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5210" windowHeight="4275"/>
  </bookViews>
  <sheets>
    <sheet name="Tests" sheetId="1" r:id="rId1"/>
    <sheet name="turns" sheetId="3" r:id="rId2"/>
    <sheet name="Wire" sheetId="9" r:id="rId3"/>
    <sheet name="DCBase" sheetId="7" r:id="rId4"/>
  </sheets>
  <externalReferences>
    <externalReference r:id="rId5"/>
    <externalReference r:id="rId6"/>
    <externalReference r:id="rId7"/>
  </externalReferences>
  <definedNames>
    <definedName name="__123Graph_A" hidden="1">#REF!</definedName>
    <definedName name="__123Graph_AW11_ETA" hidden="1">#REF!</definedName>
    <definedName name="__123Graph_AW11_HZ" hidden="1">#REF!</definedName>
    <definedName name="__123Graph_X" hidden="1">#REF!</definedName>
    <definedName name="__123Graph_XW11_ETA" hidden="1">#REF!</definedName>
    <definedName name="__123Graph_XW11_HZ" hidden="1">#REF!</definedName>
    <definedName name="_R">[1]Auswertung!$I$5</definedName>
    <definedName name="_Regression_Out" hidden="1">#REF!</definedName>
    <definedName name="_Regression_X" hidden="1">#REF!</definedName>
    <definedName name="_Regression_Y" hidden="1">#REF!</definedName>
    <definedName name="a_">[1]Calculator!$F$66</definedName>
    <definedName name="a__">#REF!</definedName>
    <definedName name="a_m">[1]Tools!$F$80</definedName>
    <definedName name="alt">#REF!</definedName>
    <definedName name="b_">[1]Calculator!$F$67</definedName>
    <definedName name="b__">#REF!</definedName>
    <definedName name="b_m">[1]Tools!$F$81</definedName>
    <definedName name="c_">[1]Calculator!$G$67</definedName>
    <definedName name="c__">#REF!</definedName>
    <definedName name="c_m">[1]Tools!$G$81</definedName>
    <definedName name="d_">[1]Calculator!$H$67</definedName>
    <definedName name="d__">#REF!</definedName>
    <definedName name="d_m">[1]Tools!$H$81</definedName>
    <definedName name="DrahtF_">[1]Tools!$G$74</definedName>
    <definedName name="etaG">[1]Auswertung!$I$11</definedName>
    <definedName name="etaGM">[1]Auswertung!$E$8</definedName>
    <definedName name="Etawerte">[1]Auswertung!$H$16:$H$36</definedName>
    <definedName name="Etawerte_m">'[1]Tools-Auswertung'!$H$23:$H$43</definedName>
    <definedName name="Getriebeliste">'[1]Gear boxes'!$B$16:$D$52</definedName>
    <definedName name="I">[1]Calculator!$E$61</definedName>
    <definedName name="I_0">[1]Auswertung!$C$5</definedName>
    <definedName name="I_00">[1]Auswertung!$C$6</definedName>
    <definedName name="I_1">[1]Auswertung!$C$7</definedName>
    <definedName name="I_2">[1]Auswertung!$C$8</definedName>
    <definedName name="I_3">[1]Auswertung!$C$9</definedName>
    <definedName name="Imax">[1]Auswertung!$D$11</definedName>
    <definedName name="indgear">'[1]Gear boxes'!$A$14</definedName>
    <definedName name="indgear1">'[1]Gear boxes'!$C$12</definedName>
    <definedName name="indgear2">'[1]Gear boxes'!$C$13</definedName>
    <definedName name="indgear3">'[1]Gear boxes'!$C$14</definedName>
    <definedName name="indgear4">'[1]Gear boxes'!$E$14</definedName>
    <definedName name="indmot">[1]Motors!$A$23</definedName>
    <definedName name="indmot1">[1]Motors!$C$23</definedName>
    <definedName name="indmot2">[1]Motors!$D$23</definedName>
    <definedName name="indmot3">[1]Motors!$E$23</definedName>
    <definedName name="indmot4">[1]Motors!$J$23</definedName>
    <definedName name="indprop">#REF!</definedName>
    <definedName name="indprop2">#REF!</definedName>
    <definedName name="K">[1]Auswertung!$I$6</definedName>
    <definedName name="K_">[1]Auswertung!$C$137</definedName>
    <definedName name="K_m">'[1]Tools-Auswertung'!$J$12</definedName>
    <definedName name="ke">[1]Auswertung!$I$4</definedName>
    <definedName name="ke_1_Ncm">[1]Comparison!$H$7</definedName>
    <definedName name="ke_2_Ncm">[1]Comparison!$H$19</definedName>
    <definedName name="ke_3_Ncm">[1]Comparison!$H$31</definedName>
    <definedName name="ke_m">'[1]Tools-Auswertung'!$J$10</definedName>
    <definedName name="ke_Ncm">[1]Calculator!$H$13</definedName>
    <definedName name="kL">[1]Auswertung!$J$42</definedName>
    <definedName name="L2Flag">[1]Auswertung!$C$42</definedName>
    <definedName name="lang">[1]Calculator!$C$1</definedName>
    <definedName name="modflag">'[1]Tools-Auswertung'!$B$2</definedName>
    <definedName name="Motorenliste">[1]Motors!$B$26:'[1]Motors'!$AD$509</definedName>
    <definedName name="MP00Flag">[1]Auswertung!$E$42</definedName>
    <definedName name="MP0Flag">[1]Auswertung!$D$42</definedName>
    <definedName name="MP1Flag">[1]Auswertung!$F$42</definedName>
    <definedName name="MP2Flag">[1]Auswertung!$G$42</definedName>
    <definedName name="MP3Flag">[1]Auswertung!$H$42</definedName>
    <definedName name="Mv0_">[1]Auswertung!$I$10</definedName>
    <definedName name="Mvk">[1]Auswertung!$I$42</definedName>
    <definedName name="n">[1]Calculator!$C$60</definedName>
    <definedName name="n_">[1]Tools!$C$74</definedName>
    <definedName name="n_0">[1]Auswertung!$D$5</definedName>
    <definedName name="n_00">[1]Auswertung!$D$6</definedName>
    <definedName name="n_1">[1]Auswertung!$D$7</definedName>
    <definedName name="n_2">[1]Auswertung!$D$8</definedName>
    <definedName name="n_3">[1]Auswertung!$D$9</definedName>
    <definedName name="n_out">[1]Calculator!$C$61</definedName>
    <definedName name="n_out_">[1]Tools!$C$75</definedName>
    <definedName name="n_Pmitte">[1]Calculator!$B$60</definedName>
    <definedName name="n_Pmitte_">[1]Tools!$B$74</definedName>
    <definedName name="nFaktor">[1]Calculator!$B$59</definedName>
    <definedName name="nFaktorm">[1]Tools!$B$73</definedName>
    <definedName name="nMax">[1]Calculator!$D$59</definedName>
    <definedName name="nMax_m">[1]Tools!$D$73</definedName>
    <definedName name="nMax_Motor">[1]Calculator!$D$60</definedName>
    <definedName name="nMax_Motor_m">[1]Tools!$D$74</definedName>
    <definedName name="nMin">[1]Calculator!$E$59</definedName>
    <definedName name="nMin_m">[1]Tools!$E$73</definedName>
    <definedName name="nMin_Motor">[1]Calculator!$E$60</definedName>
    <definedName name="nMin_Motor_m">[1]Tools!$E$74</definedName>
    <definedName name="nodata">[1]Calculator!$C$10</definedName>
    <definedName name="nodata2">[1]Comparison!$C$17</definedName>
    <definedName name="nodata3">[1]Comparison!$C$29</definedName>
    <definedName name="nodata4">[1]Tools!$C$42</definedName>
    <definedName name="ns_">[1]Auswertung!$I$8</definedName>
    <definedName name="ns_m">'[1]Tools-Auswertung'!$J$14</definedName>
    <definedName name="nsid_">[1]Auswertung!$I$7</definedName>
    <definedName name="Om_">[1]Auswertung!$A$38</definedName>
    <definedName name="Om_0">[1]Auswertung!$F$5</definedName>
    <definedName name="Om_00">[1]Auswertung!$F$6</definedName>
    <definedName name="Om_1">[1]Auswertung!$F$7</definedName>
    <definedName name="Om_2">[1]Auswertung!$F$8</definedName>
    <definedName name="Om_3">[1]Auswertung!$F$9</definedName>
    <definedName name="Om_Imax">[1]Auswertung!$F$11</definedName>
    <definedName name="Om_m">'[1]Tools-Auswertung'!$A$45</definedName>
    <definedName name="Om_min">[1]Auswertung!$E$11</definedName>
    <definedName name="Om_min_m">'[1]Tools-Auswertung'!$E$18</definedName>
    <definedName name="Om0_">[1]Auswertung!$A$42</definedName>
    <definedName name="P_n_">[1]Tools!$C$73</definedName>
    <definedName name="plausibel0">[1]Auswertung!$G$5</definedName>
    <definedName name="plausibel1">[1]Auswertung!$G$7</definedName>
    <definedName name="plausibel2">[1]Auswertung!$G$8</definedName>
    <definedName name="plausibel3">[1]Auswertung!$G$9</definedName>
    <definedName name="Pout_">[1]Tools!$E$77</definedName>
    <definedName name="prho1">#REF!</definedName>
    <definedName name="prho2">#REF!</definedName>
    <definedName name="prho3">#REF!</definedName>
    <definedName name="_xlnm.Print_Area" localSheetId="0">Tests!$A$3:$Z$63</definedName>
    <definedName name="_xlnm.Print_Area" localSheetId="1">turns!$A$1:$I$47</definedName>
    <definedName name="Propellerliste">#REF!</definedName>
    <definedName name="PropF">[1]Calculator!$D$67</definedName>
    <definedName name="proplist">propInventory[[Prop Name]:[DensityPower]]</definedName>
    <definedName name="propnames">propInventory[Prop Name]</definedName>
    <definedName name="R_">[1]Auswertung!$C$136</definedName>
    <definedName name="R_m">'[1]Tools-Auswertung'!$J$11</definedName>
    <definedName name="RatG">[1]Auswertung!$J$13</definedName>
    <definedName name="RatG4">'[1]Tools-Auswertung'!$J$20</definedName>
    <definedName name="rho">#REF!</definedName>
    <definedName name="SIQ">[1]Auswertung!$E$48</definedName>
    <definedName name="SIU">[1]Auswertung!$E$45</definedName>
    <definedName name="SOmI">[1]Auswertung!$E$46</definedName>
    <definedName name="SOmQ">[1]Auswertung!$E$49</definedName>
    <definedName name="SOmU">[1]Auswertung!$E$47</definedName>
    <definedName name="St_">[1]Auswertung!$I$9</definedName>
    <definedName name="temp">#REF!</definedName>
    <definedName name="Text">[1]rsrc!$B$1:$C$150</definedName>
    <definedName name="trho1">#REF!</definedName>
    <definedName name="trho2">#REF!</definedName>
    <definedName name="trho3">#REF!</definedName>
    <definedName name="U">[1]Calculator!$E$20</definedName>
    <definedName name="U_">[1]Auswertung!$D$10</definedName>
    <definedName name="U_0">[1]Auswertung!$B$5</definedName>
    <definedName name="U_00">[1]Auswertung!$B$6</definedName>
    <definedName name="U_1">[1]Auswertung!$B$7</definedName>
    <definedName name="U_2">[1]Auswertung!$B$8</definedName>
    <definedName name="U_3">[1]Auswertung!$B$9</definedName>
    <definedName name="U_m">'[1]Tools-Auswertung'!$D$19</definedName>
    <definedName name="variantlist">Tests!$F$2:$J$2</definedName>
    <definedName name="wirelist">Table4[]</definedName>
    <definedName name="wirenames">Table4[Name]</definedName>
    <definedName name="Zm">[1]Auswertung!$I$23</definedName>
    <definedName name="Zm_m">'[1]Tools-Auswertung'!$I$30</definedName>
  </definedNames>
  <calcPr calcId="125725"/>
</workbook>
</file>

<file path=xl/calcChain.xml><?xml version="1.0" encoding="utf-8"?>
<calcChain xmlns="http://schemas.openxmlformats.org/spreadsheetml/2006/main">
  <c r="W48" i="1"/>
  <c r="Z48" s="1"/>
  <c r="X48"/>
  <c r="Y48"/>
  <c r="Z6"/>
  <c r="Z8"/>
  <c r="Z11"/>
  <c r="Y14"/>
  <c r="Y21"/>
  <c r="Y29"/>
  <c r="W43"/>
  <c r="Z43" s="1"/>
  <c r="X43"/>
  <c r="Y43"/>
  <c r="W44"/>
  <c r="Z44" s="1"/>
  <c r="X44"/>
  <c r="Y44"/>
  <c r="Y13"/>
  <c r="Y15"/>
  <c r="Y20"/>
  <c r="Y33"/>
  <c r="Y34"/>
  <c r="W47"/>
  <c r="Z47" s="1"/>
  <c r="X47"/>
  <c r="Y47"/>
  <c r="Y31"/>
  <c r="W45"/>
  <c r="Z45" s="1"/>
  <c r="X45"/>
  <c r="Y45"/>
  <c r="Y32"/>
  <c r="W46"/>
  <c r="Z46" s="1"/>
  <c r="X46"/>
  <c r="Y46"/>
  <c r="Y30"/>
  <c r="Y17"/>
  <c r="W50"/>
  <c r="Z50" s="1"/>
  <c r="X50"/>
  <c r="Y50"/>
  <c r="Y23"/>
  <c r="W53"/>
  <c r="Z53" s="1"/>
  <c r="X53"/>
  <c r="Y53"/>
  <c r="Y38"/>
  <c r="W55"/>
  <c r="Z55" s="1"/>
  <c r="X55"/>
  <c r="Y55"/>
  <c r="Y27"/>
  <c r="Y28"/>
  <c r="Y39"/>
  <c r="Y42"/>
  <c r="W56"/>
  <c r="Z56" s="1"/>
  <c r="X56"/>
  <c r="Y56"/>
  <c r="W57"/>
  <c r="Z57" s="1"/>
  <c r="X57"/>
  <c r="Y57"/>
  <c r="Y26"/>
  <c r="Y37"/>
  <c r="Y41"/>
  <c r="W52"/>
  <c r="Z52" s="1"/>
  <c r="X52"/>
  <c r="Y52"/>
  <c r="Y10"/>
  <c r="Y16"/>
  <c r="Y22"/>
  <c r="W49"/>
  <c r="Z49" s="1"/>
  <c r="X49"/>
  <c r="Y49"/>
  <c r="Y25"/>
  <c r="Y36"/>
  <c r="Y40"/>
  <c r="W51"/>
  <c r="Z51" s="1"/>
  <c r="X51"/>
  <c r="Y51"/>
  <c r="Y24"/>
  <c r="W54"/>
  <c r="Z54" s="1"/>
  <c r="X54"/>
  <c r="Y54"/>
  <c r="K44" l="1"/>
  <c r="K43"/>
  <c r="J43"/>
  <c r="J44"/>
  <c r="F29"/>
  <c r="F21"/>
  <c r="I21"/>
  <c r="I29"/>
  <c r="AB21"/>
  <c r="AB29"/>
  <c r="AC21"/>
  <c r="AC29"/>
  <c r="AD21"/>
  <c r="AD29"/>
  <c r="AE21"/>
  <c r="AI21" s="1"/>
  <c r="AE29"/>
  <c r="AI29" s="1"/>
  <c r="J49"/>
  <c r="F6"/>
  <c r="I6"/>
  <c r="AB6"/>
  <c r="AC6"/>
  <c r="AD6"/>
  <c r="AE6"/>
  <c r="AI6" s="1"/>
  <c r="F18"/>
  <c r="I18"/>
  <c r="AB18"/>
  <c r="AC18"/>
  <c r="AD18"/>
  <c r="AE18"/>
  <c r="AM18" s="1"/>
  <c r="F12"/>
  <c r="I12"/>
  <c r="AB12"/>
  <c r="AC12"/>
  <c r="AD12"/>
  <c r="AE12"/>
  <c r="AM12" s="1"/>
  <c r="I19"/>
  <c r="F19"/>
  <c r="I7"/>
  <c r="F7"/>
  <c r="AB19"/>
  <c r="AC19"/>
  <c r="AD19"/>
  <c r="AE19"/>
  <c r="AI19" s="1"/>
  <c r="AB7"/>
  <c r="AC7"/>
  <c r="AD7"/>
  <c r="AE7"/>
  <c r="AM7" s="1"/>
  <c r="F22"/>
  <c r="I22"/>
  <c r="AB22"/>
  <c r="AC22"/>
  <c r="AD22"/>
  <c r="AE22"/>
  <c r="AM22" s="1"/>
  <c r="AE8"/>
  <c r="AM8" s="1"/>
  <c r="AD8"/>
  <c r="AC8"/>
  <c r="AB8"/>
  <c r="AA8" s="1"/>
  <c r="I8"/>
  <c r="F8"/>
  <c r="AE16"/>
  <c r="AM16" s="1"/>
  <c r="AD16"/>
  <c r="AC16"/>
  <c r="AB16"/>
  <c r="T16" s="1"/>
  <c r="I16"/>
  <c r="F16"/>
  <c r="AE49"/>
  <c r="AM49" s="1"/>
  <c r="AC49"/>
  <c r="AB49"/>
  <c r="T49"/>
  <c r="I49"/>
  <c r="F49"/>
  <c r="AD49" s="1"/>
  <c r="AE44"/>
  <c r="AM44" s="1"/>
  <c r="AC44"/>
  <c r="AB44"/>
  <c r="AA44" s="1"/>
  <c r="T44"/>
  <c r="I44"/>
  <c r="F44"/>
  <c r="AD44" s="1"/>
  <c r="AE54"/>
  <c r="AI54" s="1"/>
  <c r="AC54"/>
  <c r="AB54"/>
  <c r="AA54" s="1"/>
  <c r="T54"/>
  <c r="I54"/>
  <c r="F54"/>
  <c r="AD54" s="1"/>
  <c r="AM19" l="1"/>
  <c r="AM29"/>
  <c r="T8"/>
  <c r="AM21"/>
  <c r="X16"/>
  <c r="W16"/>
  <c r="Z16" s="1"/>
  <c r="X22"/>
  <c r="W22"/>
  <c r="Z22" s="1"/>
  <c r="AM6"/>
  <c r="X21"/>
  <c r="W21"/>
  <c r="Z21" s="1"/>
  <c r="X29"/>
  <c r="W29"/>
  <c r="Z29" s="1"/>
  <c r="AI18"/>
  <c r="AI22"/>
  <c r="AI7"/>
  <c r="AI12"/>
  <c r="T29"/>
  <c r="T21"/>
  <c r="AA18"/>
  <c r="T18"/>
  <c r="AA6"/>
  <c r="T6"/>
  <c r="T7"/>
  <c r="T19"/>
  <c r="T22"/>
  <c r="T12"/>
  <c r="AI8"/>
  <c r="AI16"/>
  <c r="AI44"/>
  <c r="AI49"/>
  <c r="AM54"/>
  <c r="AE51" l="1"/>
  <c r="AI51" s="1"/>
  <c r="AC51"/>
  <c r="AB51"/>
  <c r="AA51" s="1"/>
  <c r="T51"/>
  <c r="I51"/>
  <c r="F51"/>
  <c r="AD51" s="1"/>
  <c r="AM51" l="1"/>
  <c r="AE57" l="1"/>
  <c r="AC57"/>
  <c r="AB57"/>
  <c r="AA57" s="1"/>
  <c r="T57"/>
  <c r="I57"/>
  <c r="F57"/>
  <c r="AD57" s="1"/>
  <c r="AE52"/>
  <c r="AC52"/>
  <c r="AB52"/>
  <c r="AA52" s="1"/>
  <c r="T52"/>
  <c r="I52"/>
  <c r="F52"/>
  <c r="AD52" s="1"/>
  <c r="AE56"/>
  <c r="AC56"/>
  <c r="AB56"/>
  <c r="AA56" s="1"/>
  <c r="T56"/>
  <c r="I56"/>
  <c r="F56"/>
  <c r="AD56" s="1"/>
  <c r="AM52" l="1"/>
  <c r="AI52"/>
  <c r="AI56"/>
  <c r="AM56"/>
  <c r="AI57"/>
  <c r="AM57"/>
  <c r="AE55" l="1"/>
  <c r="AC55"/>
  <c r="AB55"/>
  <c r="AA55" s="1"/>
  <c r="T55"/>
  <c r="I55"/>
  <c r="F55"/>
  <c r="AD55" s="1"/>
  <c r="AE53"/>
  <c r="AC53"/>
  <c r="AB53"/>
  <c r="AA53" s="1"/>
  <c r="T53"/>
  <c r="I53"/>
  <c r="F53"/>
  <c r="AD53" s="1"/>
  <c r="AI53" l="1"/>
  <c r="AM53"/>
  <c r="AI55"/>
  <c r="AM55"/>
  <c r="AE50"/>
  <c r="AC50"/>
  <c r="AB50"/>
  <c r="AA50" s="1"/>
  <c r="T50"/>
  <c r="I50"/>
  <c r="F50"/>
  <c r="AD50" s="1"/>
  <c r="AE46"/>
  <c r="AC46"/>
  <c r="AB46"/>
  <c r="AA46" s="1"/>
  <c r="T46"/>
  <c r="I46"/>
  <c r="F46"/>
  <c r="AD46" s="1"/>
  <c r="AI46" l="1"/>
  <c r="AM46"/>
  <c r="AI50"/>
  <c r="AM50"/>
  <c r="AE45"/>
  <c r="AC45"/>
  <c r="AB45"/>
  <c r="AA45" s="1"/>
  <c r="T45"/>
  <c r="I45"/>
  <c r="F45"/>
  <c r="AD45" s="1"/>
  <c r="AI45" l="1"/>
  <c r="AM45"/>
  <c r="AE47"/>
  <c r="AC47"/>
  <c r="AB47"/>
  <c r="AA47" s="1"/>
  <c r="T47"/>
  <c r="I47"/>
  <c r="F47"/>
  <c r="AD47" s="1"/>
  <c r="AI47" l="1"/>
  <c r="AM47"/>
  <c r="I48"/>
  <c r="F48"/>
  <c r="AB48"/>
  <c r="AC48"/>
  <c r="AD48"/>
  <c r="AE48"/>
  <c r="AM48" s="1"/>
  <c r="B9" i="7"/>
  <c r="C9" s="1"/>
  <c r="B10"/>
  <c r="E10" s="1"/>
  <c r="B11"/>
  <c r="C11" s="1"/>
  <c r="B12"/>
  <c r="E12" s="1"/>
  <c r="B13"/>
  <c r="C13" s="1"/>
  <c r="B14"/>
  <c r="E14" s="1"/>
  <c r="B15"/>
  <c r="C15" s="1"/>
  <c r="B16"/>
  <c r="E16" s="1"/>
  <c r="B17"/>
  <c r="C17" s="1"/>
  <c r="B18"/>
  <c r="E18" s="1"/>
  <c r="B19"/>
  <c r="C19" s="1"/>
  <c r="B20"/>
  <c r="E20" s="1"/>
  <c r="B21"/>
  <c r="C21" s="1"/>
  <c r="B22"/>
  <c r="E22" s="1"/>
  <c r="B23"/>
  <c r="C23" s="1"/>
  <c r="B24"/>
  <c r="E24" s="1"/>
  <c r="B25"/>
  <c r="C25" s="1"/>
  <c r="B26"/>
  <c r="E26" s="1"/>
  <c r="J26"/>
  <c r="B27"/>
  <c r="C27" s="1"/>
  <c r="B28"/>
  <c r="E28" s="1"/>
  <c r="D28"/>
  <c r="F28"/>
  <c r="J28"/>
  <c r="B29"/>
  <c r="C29" s="1"/>
  <c r="B30"/>
  <c r="E30" s="1"/>
  <c r="J30"/>
  <c r="B31"/>
  <c r="C31" s="1"/>
  <c r="B32"/>
  <c r="E32" s="1"/>
  <c r="D32"/>
  <c r="J32"/>
  <c r="B33"/>
  <c r="C33" s="1"/>
  <c r="B34"/>
  <c r="E34" s="1"/>
  <c r="D34"/>
  <c r="F34"/>
  <c r="J34"/>
  <c r="B35"/>
  <c r="C35" s="1"/>
  <c r="B36"/>
  <c r="E36" s="1"/>
  <c r="J36"/>
  <c r="B37"/>
  <c r="C37" s="1"/>
  <c r="B38"/>
  <c r="E38" s="1"/>
  <c r="J38"/>
  <c r="B39"/>
  <c r="C39" s="1"/>
  <c r="B40"/>
  <c r="E40" s="1"/>
  <c r="D40"/>
  <c r="J40"/>
  <c r="B41"/>
  <c r="C41" s="1"/>
  <c r="B42"/>
  <c r="E42" s="1"/>
  <c r="D42"/>
  <c r="F42"/>
  <c r="H42"/>
  <c r="J42"/>
  <c r="B43"/>
  <c r="C43" s="1"/>
  <c r="B44"/>
  <c r="E44" s="1"/>
  <c r="H44"/>
  <c r="J44"/>
  <c r="B45"/>
  <c r="C45" s="1"/>
  <c r="B46"/>
  <c r="E46" s="1"/>
  <c r="B47"/>
  <c r="C47" s="1"/>
  <c r="B48"/>
  <c r="E48" s="1"/>
  <c r="D48"/>
  <c r="J48"/>
  <c r="B49"/>
  <c r="C49" s="1"/>
  <c r="B50"/>
  <c r="E50" s="1"/>
  <c r="D50"/>
  <c r="F50"/>
  <c r="H50"/>
  <c r="J50"/>
  <c r="B51"/>
  <c r="C51" s="1"/>
  <c r="B52"/>
  <c r="E52" s="1"/>
  <c r="J52"/>
  <c r="B53"/>
  <c r="C53" s="1"/>
  <c r="B54"/>
  <c r="E54" s="1"/>
  <c r="B55"/>
  <c r="C55" s="1"/>
  <c r="B56"/>
  <c r="E56" s="1"/>
  <c r="J56"/>
  <c r="B57"/>
  <c r="C57" s="1"/>
  <c r="B58"/>
  <c r="E58" s="1"/>
  <c r="B59"/>
  <c r="C59" s="1"/>
  <c r="B60"/>
  <c r="E60" s="1"/>
  <c r="J60"/>
  <c r="B61"/>
  <c r="C61" s="1"/>
  <c r="B62"/>
  <c r="E62" s="1"/>
  <c r="B63"/>
  <c r="C63" s="1"/>
  <c r="B64"/>
  <c r="E64" s="1"/>
  <c r="J64"/>
  <c r="B65"/>
  <c r="C65" s="1"/>
  <c r="B66"/>
  <c r="E66" s="1"/>
  <c r="B67"/>
  <c r="C67" s="1"/>
  <c r="B68"/>
  <c r="E68" s="1"/>
  <c r="J68"/>
  <c r="B69"/>
  <c r="C69" s="1"/>
  <c r="B70"/>
  <c r="E70" s="1"/>
  <c r="B71"/>
  <c r="C71" s="1"/>
  <c r="B72"/>
  <c r="E72" s="1"/>
  <c r="J72"/>
  <c r="B73"/>
  <c r="C73" s="1"/>
  <c r="B74"/>
  <c r="E74" s="1"/>
  <c r="B75"/>
  <c r="C75" s="1"/>
  <c r="B76"/>
  <c r="E76" s="1"/>
  <c r="J76"/>
  <c r="B77"/>
  <c r="C77" s="1"/>
  <c r="B78"/>
  <c r="E78" s="1"/>
  <c r="B79"/>
  <c r="J79" s="1"/>
  <c r="B80"/>
  <c r="E80" s="1"/>
  <c r="B81"/>
  <c r="J81" s="1"/>
  <c r="B82"/>
  <c r="E82" s="1"/>
  <c r="B83"/>
  <c r="J83" s="1"/>
  <c r="B84"/>
  <c r="E84" s="1"/>
  <c r="B85"/>
  <c r="J85" s="1"/>
  <c r="B86"/>
  <c r="E86" s="1"/>
  <c r="B87"/>
  <c r="J87" s="1"/>
  <c r="B88"/>
  <c r="E88" s="1"/>
  <c r="J88"/>
  <c r="B89"/>
  <c r="J89" s="1"/>
  <c r="B90"/>
  <c r="E90" s="1"/>
  <c r="J90"/>
  <c r="B91"/>
  <c r="J91" s="1"/>
  <c r="B92"/>
  <c r="E92" s="1"/>
  <c r="F92"/>
  <c r="H92"/>
  <c r="J92"/>
  <c r="B93"/>
  <c r="J93" s="1"/>
  <c r="B94"/>
  <c r="E94" s="1"/>
  <c r="B95"/>
  <c r="J95" s="1"/>
  <c r="B96"/>
  <c r="E96" s="1"/>
  <c r="J96"/>
  <c r="B97"/>
  <c r="J97" s="1"/>
  <c r="B98"/>
  <c r="E98" s="1"/>
  <c r="J98"/>
  <c r="B99"/>
  <c r="H99" s="1"/>
  <c r="B100"/>
  <c r="B101"/>
  <c r="J101" s="1"/>
  <c r="B102"/>
  <c r="H102" s="1"/>
  <c r="B103"/>
  <c r="B104"/>
  <c r="D104" s="1"/>
  <c r="B105"/>
  <c r="D105" s="1"/>
  <c r="F105"/>
  <c r="J105"/>
  <c r="B106"/>
  <c r="H106" s="1"/>
  <c r="B107"/>
  <c r="H107" s="1"/>
  <c r="B108"/>
  <c r="B109"/>
  <c r="B110"/>
  <c r="H110" s="1"/>
  <c r="B111"/>
  <c r="B112"/>
  <c r="C112" s="1"/>
  <c r="B113"/>
  <c r="D113" s="1"/>
  <c r="F113"/>
  <c r="G113"/>
  <c r="K113"/>
  <c r="B114"/>
  <c r="C114" s="1"/>
  <c r="B115"/>
  <c r="C115" s="1"/>
  <c r="B116"/>
  <c r="B117"/>
  <c r="D117" s="1"/>
  <c r="E117"/>
  <c r="F117"/>
  <c r="G117"/>
  <c r="J117"/>
  <c r="K117"/>
  <c r="B118"/>
  <c r="C118" s="1"/>
  <c r="B119"/>
  <c r="J119" s="1"/>
  <c r="B120"/>
  <c r="C120" s="1"/>
  <c r="B121"/>
  <c r="D121" s="1"/>
  <c r="G121"/>
  <c r="K121"/>
  <c r="B122"/>
  <c r="C122" s="1"/>
  <c r="B123"/>
  <c r="E123" s="1"/>
  <c r="K123"/>
  <c r="B124"/>
  <c r="C124" s="1"/>
  <c r="B125"/>
  <c r="C125" s="1"/>
  <c r="F125"/>
  <c r="H125"/>
  <c r="J125"/>
  <c r="B126"/>
  <c r="B127"/>
  <c r="D127" s="1"/>
  <c r="B128"/>
  <c r="C128" s="1"/>
  <c r="B129"/>
  <c r="J129" s="1"/>
  <c r="F129"/>
  <c r="B130"/>
  <c r="C130" s="1"/>
  <c r="B131"/>
  <c r="D131" s="1"/>
  <c r="F131"/>
  <c r="G131"/>
  <c r="J131"/>
  <c r="B132"/>
  <c r="C132" s="1"/>
  <c r="B133"/>
  <c r="C133" s="1"/>
  <c r="B134"/>
  <c r="B135"/>
  <c r="D135" s="1"/>
  <c r="G135"/>
  <c r="J135"/>
  <c r="B136"/>
  <c r="C136" s="1"/>
  <c r="J136"/>
  <c r="B137"/>
  <c r="G137" s="1"/>
  <c r="B138"/>
  <c r="C138" s="1"/>
  <c r="B139"/>
  <c r="K139" s="1"/>
  <c r="B140"/>
  <c r="C140" s="1"/>
  <c r="B141"/>
  <c r="B142"/>
  <c r="C142" s="1"/>
  <c r="B143"/>
  <c r="F143" s="1"/>
  <c r="B144"/>
  <c r="C144" s="1"/>
  <c r="B145"/>
  <c r="D145" s="1"/>
  <c r="F145"/>
  <c r="G145"/>
  <c r="K145"/>
  <c r="B146"/>
  <c r="C146" s="1"/>
  <c r="B147"/>
  <c r="E147" s="1"/>
  <c r="B148"/>
  <c r="C148" s="1"/>
  <c r="B149"/>
  <c r="E149" s="1"/>
  <c r="G149"/>
  <c r="I149"/>
  <c r="K149"/>
  <c r="B150"/>
  <c r="C150" s="1"/>
  <c r="F150"/>
  <c r="B151"/>
  <c r="E151" s="1"/>
  <c r="B152"/>
  <c r="C152" s="1"/>
  <c r="B153"/>
  <c r="C153" s="1"/>
  <c r="B154"/>
  <c r="B155"/>
  <c r="E155" s="1"/>
  <c r="K155"/>
  <c r="B156"/>
  <c r="B157"/>
  <c r="E157" s="1"/>
  <c r="G157"/>
  <c r="H157"/>
  <c r="K157"/>
  <c r="B158"/>
  <c r="B159"/>
  <c r="E159" s="1"/>
  <c r="K159"/>
  <c r="B160"/>
  <c r="B161"/>
  <c r="E161" s="1"/>
  <c r="G161"/>
  <c r="H161"/>
  <c r="B162"/>
  <c r="C162" s="1"/>
  <c r="B163"/>
  <c r="E163" s="1"/>
  <c r="G163"/>
  <c r="J163"/>
  <c r="B164"/>
  <c r="C164" s="1"/>
  <c r="B165"/>
  <c r="E165" s="1"/>
  <c r="G165"/>
  <c r="B166"/>
  <c r="C166" s="1"/>
  <c r="B167"/>
  <c r="B168"/>
  <c r="B169"/>
  <c r="E169" s="1"/>
  <c r="B170"/>
  <c r="C170" s="1"/>
  <c r="F170"/>
  <c r="B171"/>
  <c r="E171" s="1"/>
  <c r="B172"/>
  <c r="C172" s="1"/>
  <c r="B173"/>
  <c r="E173" s="1"/>
  <c r="G173"/>
  <c r="B174"/>
  <c r="C174" s="1"/>
  <c r="B175"/>
  <c r="B176"/>
  <c r="B177"/>
  <c r="E177" s="1"/>
  <c r="B178"/>
  <c r="C178" s="1"/>
  <c r="B179"/>
  <c r="E179" s="1"/>
  <c r="B180"/>
  <c r="C180" s="1"/>
  <c r="B181"/>
  <c r="E181" s="1"/>
  <c r="F181"/>
  <c r="G181"/>
  <c r="K181"/>
  <c r="B182"/>
  <c r="C182" s="1"/>
  <c r="B183"/>
  <c r="G183" s="1"/>
  <c r="B184"/>
  <c r="B185"/>
  <c r="E185" s="1"/>
  <c r="F185"/>
  <c r="G185"/>
  <c r="K185"/>
  <c r="B186"/>
  <c r="C186" s="1"/>
  <c r="B187"/>
  <c r="E187" s="1"/>
  <c r="B188"/>
  <c r="C188" s="1"/>
  <c r="B189"/>
  <c r="E189" s="1"/>
  <c r="B190"/>
  <c r="C190" s="1"/>
  <c r="B191"/>
  <c r="B192"/>
  <c r="B193"/>
  <c r="E193" s="1"/>
  <c r="K193"/>
  <c r="B194"/>
  <c r="C194" s="1"/>
  <c r="B195"/>
  <c r="E195" s="1"/>
  <c r="B196"/>
  <c r="C196" s="1"/>
  <c r="B197"/>
  <c r="E197" s="1"/>
  <c r="J197"/>
  <c r="B198"/>
  <c r="C198" s="1"/>
  <c r="J198"/>
  <c r="B199"/>
  <c r="G199" s="1"/>
  <c r="B200"/>
  <c r="B201"/>
  <c r="E201" s="1"/>
  <c r="B202"/>
  <c r="C202" s="1"/>
  <c r="B203"/>
  <c r="E203" s="1"/>
  <c r="J203"/>
  <c r="B204"/>
  <c r="C204" s="1"/>
  <c r="B205"/>
  <c r="E205" s="1"/>
  <c r="F205"/>
  <c r="G205"/>
  <c r="K205"/>
  <c r="B206"/>
  <c r="C206" s="1"/>
  <c r="B207"/>
  <c r="B208"/>
  <c r="B209"/>
  <c r="E209" s="1"/>
  <c r="D209"/>
  <c r="F209"/>
  <c r="G209"/>
  <c r="J209"/>
  <c r="K209"/>
  <c r="B210"/>
  <c r="C210" s="1"/>
  <c r="B211"/>
  <c r="E211" s="1"/>
  <c r="J211"/>
  <c r="B212"/>
  <c r="C212" s="1"/>
  <c r="B213"/>
  <c r="E213" s="1"/>
  <c r="F213"/>
  <c r="G213"/>
  <c r="K213"/>
  <c r="B214"/>
  <c r="C214" s="1"/>
  <c r="B215"/>
  <c r="G215" s="1"/>
  <c r="B216"/>
  <c r="B217"/>
  <c r="E217" s="1"/>
  <c r="G217"/>
  <c r="K217"/>
  <c r="B218"/>
  <c r="C218" s="1"/>
  <c r="B219"/>
  <c r="E219" s="1"/>
  <c r="B220"/>
  <c r="C220" s="1"/>
  <c r="B221"/>
  <c r="E221" s="1"/>
  <c r="G221"/>
  <c r="J221"/>
  <c r="B222"/>
  <c r="C222" s="1"/>
  <c r="J222"/>
  <c r="B223"/>
  <c r="B224"/>
  <c r="B225"/>
  <c r="E225" s="1"/>
  <c r="C225"/>
  <c r="D225"/>
  <c r="G225"/>
  <c r="H225"/>
  <c r="J225"/>
  <c r="K225"/>
  <c r="B226"/>
  <c r="I226" s="1"/>
  <c r="J226"/>
  <c r="B227"/>
  <c r="E227" s="1"/>
  <c r="K227"/>
  <c r="B228"/>
  <c r="I228" s="1"/>
  <c r="B229"/>
  <c r="B230"/>
  <c r="B231"/>
  <c r="G231" s="1"/>
  <c r="B232"/>
  <c r="J232" s="1"/>
  <c r="B233"/>
  <c r="E233" s="1"/>
  <c r="D233"/>
  <c r="F233"/>
  <c r="G233"/>
  <c r="J233"/>
  <c r="K233"/>
  <c r="B234"/>
  <c r="I234" s="1"/>
  <c r="B235"/>
  <c r="E235" s="1"/>
  <c r="B236"/>
  <c r="J236" s="1"/>
  <c r="B237"/>
  <c r="E237" s="1"/>
  <c r="B238"/>
  <c r="I238" s="1"/>
  <c r="B239"/>
  <c r="E239" s="1"/>
  <c r="G239"/>
  <c r="H239"/>
  <c r="B240"/>
  <c r="F240" s="1"/>
  <c r="B241"/>
  <c r="E241" s="1"/>
  <c r="B242"/>
  <c r="I242" s="1"/>
  <c r="B243"/>
  <c r="B244"/>
  <c r="B245"/>
  <c r="G245" s="1"/>
  <c r="B246"/>
  <c r="B247"/>
  <c r="E247" s="1"/>
  <c r="G247"/>
  <c r="J247"/>
  <c r="B248"/>
  <c r="E248" s="1"/>
  <c r="F248"/>
  <c r="I248"/>
  <c r="J248"/>
  <c r="B249"/>
  <c r="G249"/>
  <c r="B250"/>
  <c r="B251"/>
  <c r="E251" s="1"/>
  <c r="J251"/>
  <c r="B252"/>
  <c r="E252" s="1"/>
  <c r="B253"/>
  <c r="E253" s="1"/>
  <c r="B254"/>
  <c r="I254" s="1"/>
  <c r="B255"/>
  <c r="E255" s="1"/>
  <c r="J255"/>
  <c r="B256"/>
  <c r="F256" s="1"/>
  <c r="J256"/>
  <c r="B257"/>
  <c r="E257" s="1"/>
  <c r="B258"/>
  <c r="I258" s="1"/>
  <c r="B259"/>
  <c r="G259" s="1"/>
  <c r="B260"/>
  <c r="B261"/>
  <c r="B262"/>
  <c r="B263"/>
  <c r="E263" s="1"/>
  <c r="B264"/>
  <c r="F264" s="1"/>
  <c r="B265"/>
  <c r="B266"/>
  <c r="B267"/>
  <c r="E267" s="1"/>
  <c r="B268"/>
  <c r="I268" s="1"/>
  <c r="B269"/>
  <c r="E269" s="1"/>
  <c r="C269"/>
  <c r="F269"/>
  <c r="G269"/>
  <c r="H269"/>
  <c r="K269"/>
  <c r="B270"/>
  <c r="I270" s="1"/>
  <c r="F270"/>
  <c r="J270"/>
  <c r="B271"/>
  <c r="E271" s="1"/>
  <c r="C271"/>
  <c r="F271"/>
  <c r="G271"/>
  <c r="H271"/>
  <c r="K271"/>
  <c r="B272"/>
  <c r="F272" s="1"/>
  <c r="E272"/>
  <c r="I272"/>
  <c r="J272"/>
  <c r="B273"/>
  <c r="E273" s="1"/>
  <c r="B274"/>
  <c r="I274" s="1"/>
  <c r="B275"/>
  <c r="G275" s="1"/>
  <c r="B276"/>
  <c r="B277"/>
  <c r="E277" s="1"/>
  <c r="B278"/>
  <c r="F278" s="1"/>
  <c r="B279"/>
  <c r="E279" s="1"/>
  <c r="G279"/>
  <c r="B280"/>
  <c r="E280" s="1"/>
  <c r="J280"/>
  <c r="B281"/>
  <c r="B282"/>
  <c r="B283"/>
  <c r="E283" s="1"/>
  <c r="G283"/>
  <c r="J283"/>
  <c r="B284"/>
  <c r="I284" s="1"/>
  <c r="B285"/>
  <c r="E285" s="1"/>
  <c r="G285"/>
  <c r="B286"/>
  <c r="I286" s="1"/>
  <c r="B287"/>
  <c r="E287" s="1"/>
  <c r="B288"/>
  <c r="F288" s="1"/>
  <c r="B289"/>
  <c r="E289" s="1"/>
  <c r="B290"/>
  <c r="I290" s="1"/>
  <c r="B291"/>
  <c r="G291" s="1"/>
  <c r="B292"/>
  <c r="B293"/>
  <c r="E293" s="1"/>
  <c r="F293"/>
  <c r="G293"/>
  <c r="K293"/>
  <c r="B294"/>
  <c r="I294" s="1"/>
  <c r="B295"/>
  <c r="E295" s="1"/>
  <c r="B296"/>
  <c r="F296" s="1"/>
  <c r="I296"/>
  <c r="B297"/>
  <c r="B298"/>
  <c r="B299"/>
  <c r="E299" s="1"/>
  <c r="B300"/>
  <c r="I300" s="1"/>
  <c r="B301"/>
  <c r="E301" s="1"/>
  <c r="C301"/>
  <c r="F301"/>
  <c r="G301"/>
  <c r="H301"/>
  <c r="J301"/>
  <c r="K301"/>
  <c r="B302"/>
  <c r="I302" s="1"/>
  <c r="F302"/>
  <c r="J302"/>
  <c r="B303"/>
  <c r="E303" s="1"/>
  <c r="C303"/>
  <c r="F303"/>
  <c r="G303"/>
  <c r="H303"/>
  <c r="J303"/>
  <c r="K303"/>
  <c r="B304"/>
  <c r="F304" s="1"/>
  <c r="E304"/>
  <c r="I304"/>
  <c r="J304"/>
  <c r="B305"/>
  <c r="J305" s="1"/>
  <c r="B306"/>
  <c r="B307"/>
  <c r="G307" s="1"/>
  <c r="B308"/>
  <c r="I308" s="1"/>
  <c r="B309"/>
  <c r="E309" s="1"/>
  <c r="C309"/>
  <c r="D309"/>
  <c r="F309"/>
  <c r="G309"/>
  <c r="H309"/>
  <c r="J309"/>
  <c r="K309"/>
  <c r="B310"/>
  <c r="E310"/>
  <c r="F310"/>
  <c r="H310"/>
  <c r="J310"/>
  <c r="B311"/>
  <c r="K311" s="1"/>
  <c r="B312"/>
  <c r="F312" s="1"/>
  <c r="I312"/>
  <c r="B313"/>
  <c r="F313" s="1"/>
  <c r="B314"/>
  <c r="F314" s="1"/>
  <c r="B315"/>
  <c r="C315" s="1"/>
  <c r="B316"/>
  <c r="D316" s="1"/>
  <c r="B317"/>
  <c r="K317" s="1"/>
  <c r="B318"/>
  <c r="F318" s="1"/>
  <c r="B319"/>
  <c r="F319" s="1"/>
  <c r="K319"/>
  <c r="B320"/>
  <c r="D320" s="1"/>
  <c r="F320"/>
  <c r="H320"/>
  <c r="I320"/>
  <c r="B321"/>
  <c r="B322"/>
  <c r="B323"/>
  <c r="J323" s="1"/>
  <c r="B324"/>
  <c r="J324" s="1"/>
  <c r="B325"/>
  <c r="H325" s="1"/>
  <c r="J325"/>
  <c r="B326"/>
  <c r="G326" s="1"/>
  <c r="B327"/>
  <c r="F327" s="1"/>
  <c r="B328"/>
  <c r="G328" s="1"/>
  <c r="B329"/>
  <c r="F329" s="1"/>
  <c r="B330"/>
  <c r="E330" s="1"/>
  <c r="B331"/>
  <c r="D331" s="1"/>
  <c r="J331"/>
  <c r="B332"/>
  <c r="J332" s="1"/>
  <c r="B333"/>
  <c r="H333" s="1"/>
  <c r="B334"/>
  <c r="G334" s="1"/>
  <c r="B335"/>
  <c r="F335" s="1"/>
  <c r="B336"/>
  <c r="G336" s="1"/>
  <c r="B337"/>
  <c r="F337" s="1"/>
  <c r="J337"/>
  <c r="B338"/>
  <c r="E338" s="1"/>
  <c r="J338"/>
  <c r="B339"/>
  <c r="D339" s="1"/>
  <c r="H339"/>
  <c r="J339"/>
  <c r="B340"/>
  <c r="J340" s="1"/>
  <c r="B341"/>
  <c r="H341" s="1"/>
  <c r="J341"/>
  <c r="B342"/>
  <c r="G342" s="1"/>
  <c r="B343"/>
  <c r="F343" s="1"/>
  <c r="B344"/>
  <c r="K344" s="1"/>
  <c r="B345"/>
  <c r="E345" s="1"/>
  <c r="G345"/>
  <c r="K345"/>
  <c r="B346"/>
  <c r="D346" s="1"/>
  <c r="G346"/>
  <c r="I346"/>
  <c r="B347"/>
  <c r="D347" s="1"/>
  <c r="I347"/>
  <c r="B348"/>
  <c r="D348" s="1"/>
  <c r="C348"/>
  <c r="F348"/>
  <c r="G348"/>
  <c r="I348"/>
  <c r="J348"/>
  <c r="K348"/>
  <c r="B349"/>
  <c r="D349" s="1"/>
  <c r="C349"/>
  <c r="E349"/>
  <c r="F349"/>
  <c r="G349"/>
  <c r="I349"/>
  <c r="J349"/>
  <c r="K349"/>
  <c r="B350"/>
  <c r="D350" s="1"/>
  <c r="G350"/>
  <c r="I350"/>
  <c r="B351"/>
  <c r="D351" s="1"/>
  <c r="I351"/>
  <c r="B352"/>
  <c r="D352" s="1"/>
  <c r="C352"/>
  <c r="F352"/>
  <c r="G352"/>
  <c r="I352"/>
  <c r="J352"/>
  <c r="K352"/>
  <c r="B353"/>
  <c r="D353" s="1"/>
  <c r="C353"/>
  <c r="E353"/>
  <c r="F353"/>
  <c r="G353"/>
  <c r="H353"/>
  <c r="I353"/>
  <c r="J353"/>
  <c r="K353"/>
  <c r="B354"/>
  <c r="D354" s="1"/>
  <c r="G354"/>
  <c r="B355"/>
  <c r="D355" s="1"/>
  <c r="G355"/>
  <c r="B356"/>
  <c r="D356" s="1"/>
  <c r="G356"/>
  <c r="B357"/>
  <c r="C357" s="1"/>
  <c r="F357"/>
  <c r="J357"/>
  <c r="B358"/>
  <c r="D358" s="1"/>
  <c r="I358"/>
  <c r="B359"/>
  <c r="D359" s="1"/>
  <c r="C359"/>
  <c r="G359"/>
  <c r="I359"/>
  <c r="J359"/>
  <c r="K359"/>
  <c r="B360"/>
  <c r="D360" s="1"/>
  <c r="I360"/>
  <c r="B361"/>
  <c r="E361" s="1"/>
  <c r="C361"/>
  <c r="F361"/>
  <c r="G361"/>
  <c r="H361"/>
  <c r="J361"/>
  <c r="K361"/>
  <c r="B362"/>
  <c r="D362" s="1"/>
  <c r="G362"/>
  <c r="B363"/>
  <c r="D363" s="1"/>
  <c r="E363"/>
  <c r="I363"/>
  <c r="B364"/>
  <c r="D364" s="1"/>
  <c r="I364"/>
  <c r="B365"/>
  <c r="E365" s="1"/>
  <c r="D365"/>
  <c r="G365"/>
  <c r="J365"/>
  <c r="B366"/>
  <c r="D366" s="1"/>
  <c r="I366"/>
  <c r="B367"/>
  <c r="D367" s="1"/>
  <c r="C367"/>
  <c r="G367"/>
  <c r="I367"/>
  <c r="J367"/>
  <c r="B368"/>
  <c r="D368" s="1"/>
  <c r="C368"/>
  <c r="E368"/>
  <c r="G368"/>
  <c r="I368"/>
  <c r="J368"/>
  <c r="B369"/>
  <c r="E369" s="1"/>
  <c r="C369"/>
  <c r="D369"/>
  <c r="F369"/>
  <c r="G369"/>
  <c r="H369"/>
  <c r="J369"/>
  <c r="K369"/>
  <c r="B370"/>
  <c r="D370" s="1"/>
  <c r="G370"/>
  <c r="B371"/>
  <c r="D371" s="1"/>
  <c r="I371"/>
  <c r="B372"/>
  <c r="D372" s="1"/>
  <c r="E372"/>
  <c r="I372"/>
  <c r="B373"/>
  <c r="E373" s="1"/>
  <c r="G373"/>
  <c r="B374"/>
  <c r="D374" s="1"/>
  <c r="B375"/>
  <c r="D375" s="1"/>
  <c r="C375"/>
  <c r="G375"/>
  <c r="I375"/>
  <c r="J375"/>
  <c r="B376"/>
  <c r="D376" s="1"/>
  <c r="C376"/>
  <c r="E376"/>
  <c r="G376"/>
  <c r="I376"/>
  <c r="J376"/>
  <c r="B377"/>
  <c r="E377" s="1"/>
  <c r="C377"/>
  <c r="F377"/>
  <c r="G377"/>
  <c r="H377"/>
  <c r="J377"/>
  <c r="K377"/>
  <c r="B378"/>
  <c r="C378" s="1"/>
  <c r="H378"/>
  <c r="B8"/>
  <c r="K8" s="1"/>
  <c r="AB1" i="3"/>
  <c r="S1"/>
  <c r="AK1"/>
  <c r="J1"/>
  <c r="A1"/>
  <c r="I13" i="1"/>
  <c r="I15"/>
  <c r="I17"/>
  <c r="I20"/>
  <c r="I23"/>
  <c r="I24"/>
  <c r="I27"/>
  <c r="I26"/>
  <c r="I25"/>
  <c r="I28"/>
  <c r="I35"/>
  <c r="I30"/>
  <c r="I34"/>
  <c r="I33"/>
  <c r="I31"/>
  <c r="I32"/>
  <c r="I38"/>
  <c r="I39"/>
  <c r="I37"/>
  <c r="I36"/>
  <c r="I42"/>
  <c r="I41"/>
  <c r="I40"/>
  <c r="I43"/>
  <c r="I14"/>
  <c r="I11"/>
  <c r="I10"/>
  <c r="I9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J4"/>
  <c r="AN5" i="3" s="1"/>
  <c r="AS47" s="1"/>
  <c r="I4" i="1"/>
  <c r="AE5" i="3" s="1"/>
  <c r="AJ47" s="1"/>
  <c r="H4" i="1"/>
  <c r="V5" i="3" s="1"/>
  <c r="AA47" s="1"/>
  <c r="AE13" i="1"/>
  <c r="AE17"/>
  <c r="AE15"/>
  <c r="AE20"/>
  <c r="AE23"/>
  <c r="AE24"/>
  <c r="AI24" s="1"/>
  <c r="AE27"/>
  <c r="AE26"/>
  <c r="AE25"/>
  <c r="AI25" s="1"/>
  <c r="AE28"/>
  <c r="AE35"/>
  <c r="AE30"/>
  <c r="AE34"/>
  <c r="AE33"/>
  <c r="AE31"/>
  <c r="AE32"/>
  <c r="AE38"/>
  <c r="AE39"/>
  <c r="AE37"/>
  <c r="AE36"/>
  <c r="AI36" s="1"/>
  <c r="AE42"/>
  <c r="AE41"/>
  <c r="AE40"/>
  <c r="AI40" s="1"/>
  <c r="AE43"/>
  <c r="AE14"/>
  <c r="AE11"/>
  <c r="AE10"/>
  <c r="AI10" s="1"/>
  <c r="AE9"/>
  <c r="AI9" s="1"/>
  <c r="AE58"/>
  <c r="AI58" s="1"/>
  <c r="AE59"/>
  <c r="AI59" s="1"/>
  <c r="AE60"/>
  <c r="AI60" s="1"/>
  <c r="AE61"/>
  <c r="AI61" s="1"/>
  <c r="AE62"/>
  <c r="AI62" s="1"/>
  <c r="AE63"/>
  <c r="AI63" s="1"/>
  <c r="AE64"/>
  <c r="AI64" s="1"/>
  <c r="AE65"/>
  <c r="AI65" s="1"/>
  <c r="AE66"/>
  <c r="AI66" s="1"/>
  <c r="AE67"/>
  <c r="AI67" s="1"/>
  <c r="AE68"/>
  <c r="AI68" s="1"/>
  <c r="AE69"/>
  <c r="AI69" s="1"/>
  <c r="AE70"/>
  <c r="AI70" s="1"/>
  <c r="AE71"/>
  <c r="AI71" s="1"/>
  <c r="AE72"/>
  <c r="AI72" s="1"/>
  <c r="AE73"/>
  <c r="AI73" s="1"/>
  <c r="AE74"/>
  <c r="AI74" s="1"/>
  <c r="AE75"/>
  <c r="AI75" s="1"/>
  <c r="AE76"/>
  <c r="AI76" s="1"/>
  <c r="AE77"/>
  <c r="AI77" s="1"/>
  <c r="AE78"/>
  <c r="AI78" s="1"/>
  <c r="AE79"/>
  <c r="AI79" s="1"/>
  <c r="AE80"/>
  <c r="AI80" s="1"/>
  <c r="AE81"/>
  <c r="AI81" s="1"/>
  <c r="AE82"/>
  <c r="AI82" s="1"/>
  <c r="AE83"/>
  <c r="AI83" s="1"/>
  <c r="AE84"/>
  <c r="AI84" s="1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F13"/>
  <c r="AD17"/>
  <c r="AD23"/>
  <c r="AD24"/>
  <c r="AD27"/>
  <c r="AD26"/>
  <c r="AD25"/>
  <c r="AD28"/>
  <c r="AD35"/>
  <c r="AD30"/>
  <c r="AD34"/>
  <c r="AD33"/>
  <c r="AD31"/>
  <c r="AD32"/>
  <c r="AD38"/>
  <c r="AD39"/>
  <c r="AD37"/>
  <c r="AD36"/>
  <c r="AD42"/>
  <c r="AD41"/>
  <c r="AD40"/>
  <c r="AD14"/>
  <c r="AD11"/>
  <c r="AD10"/>
  <c r="AD9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3"/>
  <c r="AI48" l="1"/>
  <c r="I374" i="7"/>
  <c r="J373"/>
  <c r="D373"/>
  <c r="E371"/>
  <c r="E364"/>
  <c r="K360"/>
  <c r="E360"/>
  <c r="H357"/>
  <c r="D357"/>
  <c r="J356"/>
  <c r="E356"/>
  <c r="J355"/>
  <c r="E355"/>
  <c r="K351"/>
  <c r="E351"/>
  <c r="K347"/>
  <c r="E347"/>
  <c r="I345"/>
  <c r="D345"/>
  <c r="H316"/>
  <c r="G315"/>
  <c r="F280"/>
  <c r="J279"/>
  <c r="D279"/>
  <c r="I278"/>
  <c r="I264"/>
  <c r="G257"/>
  <c r="F255"/>
  <c r="K247"/>
  <c r="D247"/>
  <c r="G237"/>
  <c r="G235"/>
  <c r="F227"/>
  <c r="F225"/>
  <c r="K221"/>
  <c r="D221"/>
  <c r="F214"/>
  <c r="H213"/>
  <c r="C213"/>
  <c r="J204"/>
  <c r="D203"/>
  <c r="F197"/>
  <c r="F193"/>
  <c r="J187"/>
  <c r="F186"/>
  <c r="H185"/>
  <c r="C185"/>
  <c r="G179"/>
  <c r="G177"/>
  <c r="J174"/>
  <c r="J173"/>
  <c r="D173"/>
  <c r="J171"/>
  <c r="H169"/>
  <c r="G159"/>
  <c r="G155"/>
  <c r="J153"/>
  <c r="K151"/>
  <c r="J148"/>
  <c r="I147"/>
  <c r="F146"/>
  <c r="I145"/>
  <c r="C145"/>
  <c r="K135"/>
  <c r="E135"/>
  <c r="D133"/>
  <c r="J118"/>
  <c r="J112"/>
  <c r="F96"/>
  <c r="J94"/>
  <c r="F88"/>
  <c r="J86"/>
  <c r="J84"/>
  <c r="H82"/>
  <c r="J80"/>
  <c r="J39"/>
  <c r="J37"/>
  <c r="F36"/>
  <c r="H28"/>
  <c r="J27"/>
  <c r="D26"/>
  <c r="D24"/>
  <c r="D22"/>
  <c r="D20"/>
  <c r="D18"/>
  <c r="D16"/>
  <c r="D14"/>
  <c r="D12"/>
  <c r="D10"/>
  <c r="K373"/>
  <c r="F373"/>
  <c r="J372"/>
  <c r="C372"/>
  <c r="G371"/>
  <c r="I370"/>
  <c r="E367"/>
  <c r="G366"/>
  <c r="H365"/>
  <c r="C365"/>
  <c r="G364"/>
  <c r="J363"/>
  <c r="C363"/>
  <c r="G360"/>
  <c r="E359"/>
  <c r="G358"/>
  <c r="I357"/>
  <c r="E357"/>
  <c r="K356"/>
  <c r="F356"/>
  <c r="K355"/>
  <c r="F355"/>
  <c r="I354"/>
  <c r="G351"/>
  <c r="G347"/>
  <c r="J345"/>
  <c r="F345"/>
  <c r="J333"/>
  <c r="H331"/>
  <c r="J329"/>
  <c r="H319"/>
  <c r="K315"/>
  <c r="H314"/>
  <c r="J307"/>
  <c r="E296"/>
  <c r="J289"/>
  <c r="G287"/>
  <c r="I280"/>
  <c r="K279"/>
  <c r="F279"/>
  <c r="J278"/>
  <c r="H277"/>
  <c r="J271"/>
  <c r="D271"/>
  <c r="J269"/>
  <c r="D269"/>
  <c r="J267"/>
  <c r="J264"/>
  <c r="H263"/>
  <c r="J257"/>
  <c r="I256"/>
  <c r="G255"/>
  <c r="G251"/>
  <c r="F247"/>
  <c r="J237"/>
  <c r="G227"/>
  <c r="F221"/>
  <c r="F217"/>
  <c r="J214"/>
  <c r="J213"/>
  <c r="D213"/>
  <c r="G203"/>
  <c r="G201"/>
  <c r="G197"/>
  <c r="G193"/>
  <c r="J186"/>
  <c r="J185"/>
  <c r="D185"/>
  <c r="J179"/>
  <c r="K173"/>
  <c r="F173"/>
  <c r="F161"/>
  <c r="H159"/>
  <c r="F157"/>
  <c r="H155"/>
  <c r="K147"/>
  <c r="J146"/>
  <c r="J145"/>
  <c r="E145"/>
  <c r="J143"/>
  <c r="F138"/>
  <c r="F135"/>
  <c r="J133"/>
  <c r="K131"/>
  <c r="C131"/>
  <c r="D125"/>
  <c r="F121"/>
  <c r="J106"/>
  <c r="H98"/>
  <c r="H96"/>
  <c r="D92"/>
  <c r="H90"/>
  <c r="H88"/>
  <c r="J82"/>
  <c r="H76"/>
  <c r="D74"/>
  <c r="H72"/>
  <c r="D70"/>
  <c r="H68"/>
  <c r="D66"/>
  <c r="H64"/>
  <c r="D62"/>
  <c r="H60"/>
  <c r="D58"/>
  <c r="H56"/>
  <c r="D54"/>
  <c r="H52"/>
  <c r="J45"/>
  <c r="F44"/>
  <c r="H36"/>
  <c r="J35"/>
  <c r="F26"/>
  <c r="J24"/>
  <c r="J22"/>
  <c r="J20"/>
  <c r="J18"/>
  <c r="J16"/>
  <c r="J14"/>
  <c r="J12"/>
  <c r="J10"/>
  <c r="J378"/>
  <c r="D377"/>
  <c r="E375"/>
  <c r="G374"/>
  <c r="H373"/>
  <c r="C373"/>
  <c r="G372"/>
  <c r="J371"/>
  <c r="C371"/>
  <c r="K365"/>
  <c r="F365"/>
  <c r="J364"/>
  <c r="C364"/>
  <c r="G363"/>
  <c r="I362"/>
  <c r="D361"/>
  <c r="J360"/>
  <c r="C360"/>
  <c r="K357"/>
  <c r="G357"/>
  <c r="I356"/>
  <c r="C356"/>
  <c r="I355"/>
  <c r="C355"/>
  <c r="E352"/>
  <c r="J351"/>
  <c r="C351"/>
  <c r="H349"/>
  <c r="E348"/>
  <c r="J347"/>
  <c r="C347"/>
  <c r="H345"/>
  <c r="C345"/>
  <c r="J330"/>
  <c r="J318"/>
  <c r="F316"/>
  <c r="F315"/>
  <c r="D303"/>
  <c r="D301"/>
  <c r="J299"/>
  <c r="J296"/>
  <c r="H295"/>
  <c r="J288"/>
  <c r="H279"/>
  <c r="C279"/>
  <c r="E264"/>
  <c r="K255"/>
  <c r="D255"/>
  <c r="J238"/>
  <c r="D237"/>
  <c r="J210"/>
  <c r="K197"/>
  <c r="D197"/>
  <c r="G189"/>
  <c r="G187"/>
  <c r="J180"/>
  <c r="D179"/>
  <c r="F174"/>
  <c r="H173"/>
  <c r="C173"/>
  <c r="G169"/>
  <c r="F159"/>
  <c r="F155"/>
  <c r="D153"/>
  <c r="F148"/>
  <c r="G147"/>
  <c r="F142"/>
  <c r="G139"/>
  <c r="G127"/>
  <c r="J120"/>
  <c r="J115"/>
  <c r="D96"/>
  <c r="H94"/>
  <c r="D88"/>
  <c r="H86"/>
  <c r="D82"/>
  <c r="H80"/>
  <c r="J75"/>
  <c r="J71"/>
  <c r="J67"/>
  <c r="J63"/>
  <c r="J59"/>
  <c r="J55"/>
  <c r="J51"/>
  <c r="J46"/>
  <c r="J43"/>
  <c r="D36"/>
  <c r="J31"/>
  <c r="J29"/>
  <c r="G378"/>
  <c r="F374"/>
  <c r="F370"/>
  <c r="F366"/>
  <c r="F362"/>
  <c r="F358"/>
  <c r="F354"/>
  <c r="F350"/>
  <c r="F346"/>
  <c r="J343"/>
  <c r="J342"/>
  <c r="F339"/>
  <c r="G338"/>
  <c r="J335"/>
  <c r="J334"/>
  <c r="F331"/>
  <c r="G330"/>
  <c r="J327"/>
  <c r="J326"/>
  <c r="G319"/>
  <c r="E318"/>
  <c r="J316"/>
  <c r="E316"/>
  <c r="J315"/>
  <c r="D315"/>
  <c r="H312"/>
  <c r="D307"/>
  <c r="G299"/>
  <c r="G295"/>
  <c r="J294"/>
  <c r="J293"/>
  <c r="D293"/>
  <c r="G289"/>
  <c r="I288"/>
  <c r="K287"/>
  <c r="F287"/>
  <c r="J286"/>
  <c r="K285"/>
  <c r="F285"/>
  <c r="J284"/>
  <c r="D283"/>
  <c r="G277"/>
  <c r="J273"/>
  <c r="G267"/>
  <c r="G263"/>
  <c r="D257"/>
  <c r="E256"/>
  <c r="H255"/>
  <c r="C255"/>
  <c r="J253"/>
  <c r="I252"/>
  <c r="D251"/>
  <c r="H247"/>
  <c r="C247"/>
  <c r="J241"/>
  <c r="J240"/>
  <c r="K239"/>
  <c r="F239"/>
  <c r="K235"/>
  <c r="F235"/>
  <c r="J234"/>
  <c r="H233"/>
  <c r="C233"/>
  <c r="J228"/>
  <c r="J227"/>
  <c r="D227"/>
  <c r="F222"/>
  <c r="H221"/>
  <c r="C221"/>
  <c r="J219"/>
  <c r="J218"/>
  <c r="J217"/>
  <c r="D217"/>
  <c r="G211"/>
  <c r="F210"/>
  <c r="H209"/>
  <c r="C209"/>
  <c r="J206"/>
  <c r="J205"/>
  <c r="D205"/>
  <c r="K201"/>
  <c r="F201"/>
  <c r="F198"/>
  <c r="H197"/>
  <c r="C197"/>
  <c r="J195"/>
  <c r="J194"/>
  <c r="J193"/>
  <c r="D193"/>
  <c r="K189"/>
  <c r="F189"/>
  <c r="J188"/>
  <c r="D187"/>
  <c r="J182"/>
  <c r="J181"/>
  <c r="D181"/>
  <c r="K177"/>
  <c r="F177"/>
  <c r="G171"/>
  <c r="F169"/>
  <c r="K165"/>
  <c r="F165"/>
  <c r="J164"/>
  <c r="D163"/>
  <c r="K161"/>
  <c r="C161"/>
  <c r="J159"/>
  <c r="C159"/>
  <c r="J157"/>
  <c r="C157"/>
  <c r="J155"/>
  <c r="C155"/>
  <c r="H153"/>
  <c r="F152"/>
  <c r="G151"/>
  <c r="D149"/>
  <c r="D147"/>
  <c r="K137"/>
  <c r="F136"/>
  <c r="I135"/>
  <c r="C135"/>
  <c r="H133"/>
  <c r="F132"/>
  <c r="I131"/>
  <c r="E131"/>
  <c r="J130"/>
  <c r="J128"/>
  <c r="J127"/>
  <c r="E127"/>
  <c r="I123"/>
  <c r="J122"/>
  <c r="J121"/>
  <c r="E121"/>
  <c r="F118"/>
  <c r="I117"/>
  <c r="C117"/>
  <c r="H115"/>
  <c r="J114"/>
  <c r="J113"/>
  <c r="E113"/>
  <c r="D106"/>
  <c r="D102"/>
  <c r="F98"/>
  <c r="F94"/>
  <c r="F90"/>
  <c r="D86"/>
  <c r="H84"/>
  <c r="F80"/>
  <c r="J78"/>
  <c r="J77"/>
  <c r="D76"/>
  <c r="J74"/>
  <c r="J73"/>
  <c r="D72"/>
  <c r="J70"/>
  <c r="J69"/>
  <c r="D68"/>
  <c r="J66"/>
  <c r="J65"/>
  <c r="D64"/>
  <c r="J62"/>
  <c r="J61"/>
  <c r="D60"/>
  <c r="J58"/>
  <c r="J57"/>
  <c r="D56"/>
  <c r="J54"/>
  <c r="J53"/>
  <c r="D52"/>
  <c r="H48"/>
  <c r="J47"/>
  <c r="F46"/>
  <c r="D44"/>
  <c r="H40"/>
  <c r="F38"/>
  <c r="H32"/>
  <c r="F30"/>
  <c r="H24"/>
  <c r="J23"/>
  <c r="H22"/>
  <c r="J21"/>
  <c r="H20"/>
  <c r="J19"/>
  <c r="H18"/>
  <c r="J17"/>
  <c r="H16"/>
  <c r="J15"/>
  <c r="H14"/>
  <c r="J13"/>
  <c r="H12"/>
  <c r="J11"/>
  <c r="H10"/>
  <c r="J9"/>
  <c r="I151"/>
  <c r="K127"/>
  <c r="F127"/>
  <c r="H46"/>
  <c r="H38"/>
  <c r="H30"/>
  <c r="G344"/>
  <c r="D343"/>
  <c r="D335"/>
  <c r="D327"/>
  <c r="J295"/>
  <c r="C295"/>
  <c r="E288"/>
  <c r="H287"/>
  <c r="C287"/>
  <c r="F286"/>
  <c r="H285"/>
  <c r="C285"/>
  <c r="J277"/>
  <c r="C277"/>
  <c r="D273"/>
  <c r="J263"/>
  <c r="C263"/>
  <c r="J254"/>
  <c r="D253"/>
  <c r="D241"/>
  <c r="E240"/>
  <c r="I236"/>
  <c r="H235"/>
  <c r="C235"/>
  <c r="J220"/>
  <c r="D219"/>
  <c r="F202"/>
  <c r="H201"/>
  <c r="C201"/>
  <c r="J196"/>
  <c r="D195"/>
  <c r="F190"/>
  <c r="H189"/>
  <c r="C189"/>
  <c r="F178"/>
  <c r="H177"/>
  <c r="C177"/>
  <c r="F166"/>
  <c r="H165"/>
  <c r="C165"/>
  <c r="F162"/>
  <c r="D123"/>
  <c r="D115"/>
  <c r="D110"/>
  <c r="D84"/>
  <c r="D78"/>
  <c r="D378"/>
  <c r="I377"/>
  <c r="K376"/>
  <c r="F376"/>
  <c r="K375"/>
  <c r="F375"/>
  <c r="K374"/>
  <c r="C374"/>
  <c r="I373"/>
  <c r="K372"/>
  <c r="F372"/>
  <c r="K371"/>
  <c r="F371"/>
  <c r="K370"/>
  <c r="C370"/>
  <c r="I369"/>
  <c r="K368"/>
  <c r="F368"/>
  <c r="K367"/>
  <c r="F367"/>
  <c r="K366"/>
  <c r="C366"/>
  <c r="I365"/>
  <c r="K364"/>
  <c r="F364"/>
  <c r="K363"/>
  <c r="F363"/>
  <c r="K362"/>
  <c r="C362"/>
  <c r="I361"/>
  <c r="F360"/>
  <c r="F359"/>
  <c r="K358"/>
  <c r="C358"/>
  <c r="K354"/>
  <c r="C354"/>
  <c r="F351"/>
  <c r="K350"/>
  <c r="C350"/>
  <c r="F347"/>
  <c r="K346"/>
  <c r="C346"/>
  <c r="H343"/>
  <c r="E342"/>
  <c r="H335"/>
  <c r="E334"/>
  <c r="H327"/>
  <c r="E326"/>
  <c r="C319"/>
  <c r="I316"/>
  <c r="H315"/>
  <c r="G313"/>
  <c r="J308"/>
  <c r="J300"/>
  <c r="D299"/>
  <c r="K295"/>
  <c r="F295"/>
  <c r="F294"/>
  <c r="H293"/>
  <c r="C293"/>
  <c r="D289"/>
  <c r="J287"/>
  <c r="D287"/>
  <c r="J285"/>
  <c r="D285"/>
  <c r="K277"/>
  <c r="F277"/>
  <c r="G273"/>
  <c r="J268"/>
  <c r="D267"/>
  <c r="K263"/>
  <c r="F263"/>
  <c r="G253"/>
  <c r="G241"/>
  <c r="I240"/>
  <c r="J239"/>
  <c r="C239"/>
  <c r="J235"/>
  <c r="D235"/>
  <c r="H227"/>
  <c r="C227"/>
  <c r="G219"/>
  <c r="F218"/>
  <c r="H217"/>
  <c r="C217"/>
  <c r="J212"/>
  <c r="D211"/>
  <c r="F206"/>
  <c r="H205"/>
  <c r="C205"/>
  <c r="J202"/>
  <c r="J201"/>
  <c r="D201"/>
  <c r="G195"/>
  <c r="F194"/>
  <c r="H193"/>
  <c r="C193"/>
  <c r="J190"/>
  <c r="J189"/>
  <c r="D189"/>
  <c r="F182"/>
  <c r="H181"/>
  <c r="C181"/>
  <c r="J178"/>
  <c r="J177"/>
  <c r="D177"/>
  <c r="J172"/>
  <c r="D171"/>
  <c r="K169"/>
  <c r="C169"/>
  <c r="J166"/>
  <c r="J165"/>
  <c r="D165"/>
  <c r="F153"/>
  <c r="D151"/>
  <c r="J144"/>
  <c r="F140"/>
  <c r="J138"/>
  <c r="F133"/>
  <c r="H131"/>
  <c r="F128"/>
  <c r="I127"/>
  <c r="C127"/>
  <c r="F124"/>
  <c r="G123"/>
  <c r="F122"/>
  <c r="I121"/>
  <c r="C121"/>
  <c r="F119"/>
  <c r="F115"/>
  <c r="F114"/>
  <c r="I113"/>
  <c r="C113"/>
  <c r="H104"/>
  <c r="D98"/>
  <c r="D94"/>
  <c r="D90"/>
  <c r="F84"/>
  <c r="D80"/>
  <c r="H78"/>
  <c r="H74"/>
  <c r="H70"/>
  <c r="H66"/>
  <c r="H62"/>
  <c r="H58"/>
  <c r="H54"/>
  <c r="J49"/>
  <c r="F48"/>
  <c r="D46"/>
  <c r="J41"/>
  <c r="F40"/>
  <c r="D38"/>
  <c r="H34"/>
  <c r="J33"/>
  <c r="F32"/>
  <c r="D30"/>
  <c r="H26"/>
  <c r="J25"/>
  <c r="F24"/>
  <c r="F23"/>
  <c r="F22"/>
  <c r="F21"/>
  <c r="F20"/>
  <c r="F19"/>
  <c r="F18"/>
  <c r="F17"/>
  <c r="F16"/>
  <c r="F15"/>
  <c r="F14"/>
  <c r="F13"/>
  <c r="F12"/>
  <c r="F11"/>
  <c r="F10"/>
  <c r="F9"/>
  <c r="D344"/>
  <c r="F344"/>
  <c r="C344"/>
  <c r="I344"/>
  <c r="E337"/>
  <c r="I337"/>
  <c r="C337"/>
  <c r="G337"/>
  <c r="K337"/>
  <c r="D336"/>
  <c r="F336"/>
  <c r="K336"/>
  <c r="C336"/>
  <c r="I336"/>
  <c r="E329"/>
  <c r="I329"/>
  <c r="C329"/>
  <c r="G329"/>
  <c r="K329"/>
  <c r="D328"/>
  <c r="F328"/>
  <c r="K328"/>
  <c r="C328"/>
  <c r="I328"/>
  <c r="F321"/>
  <c r="G321"/>
  <c r="F317"/>
  <c r="J317"/>
  <c r="D317"/>
  <c r="E297"/>
  <c r="F297"/>
  <c r="K297"/>
  <c r="D297"/>
  <c r="J297"/>
  <c r="C297"/>
  <c r="H297"/>
  <c r="E281"/>
  <c r="F281"/>
  <c r="K281"/>
  <c r="D281"/>
  <c r="J281"/>
  <c r="C281"/>
  <c r="H281"/>
  <c r="I266"/>
  <c r="J266"/>
  <c r="E261"/>
  <c r="F261"/>
  <c r="K261"/>
  <c r="D261"/>
  <c r="J261"/>
  <c r="C261"/>
  <c r="H261"/>
  <c r="J244"/>
  <c r="I244"/>
  <c r="E244"/>
  <c r="E229"/>
  <c r="F229"/>
  <c r="K229"/>
  <c r="D229"/>
  <c r="J229"/>
  <c r="C229"/>
  <c r="H229"/>
  <c r="E223"/>
  <c r="F223"/>
  <c r="K223"/>
  <c r="D223"/>
  <c r="J223"/>
  <c r="C223"/>
  <c r="H223"/>
  <c r="C208"/>
  <c r="J208"/>
  <c r="F208"/>
  <c r="E191"/>
  <c r="F191"/>
  <c r="K191"/>
  <c r="D191"/>
  <c r="J191"/>
  <c r="C191"/>
  <c r="H191"/>
  <c r="C176"/>
  <c r="J176"/>
  <c r="F176"/>
  <c r="C168"/>
  <c r="J168"/>
  <c r="F168"/>
  <c r="C160"/>
  <c r="J160"/>
  <c r="F160"/>
  <c r="C158"/>
  <c r="J158"/>
  <c r="F158"/>
  <c r="C156"/>
  <c r="J156"/>
  <c r="F156"/>
  <c r="C154"/>
  <c r="J154"/>
  <c r="F154"/>
  <c r="E141"/>
  <c r="F141"/>
  <c r="J141"/>
  <c r="D141"/>
  <c r="I141"/>
  <c r="C141"/>
  <c r="H141"/>
  <c r="G111"/>
  <c r="H111"/>
  <c r="H109"/>
  <c r="F109"/>
  <c r="D109"/>
  <c r="D100"/>
  <c r="J100"/>
  <c r="H100"/>
  <c r="F100"/>
  <c r="C339"/>
  <c r="G339"/>
  <c r="K339"/>
  <c r="E339"/>
  <c r="I339"/>
  <c r="D338"/>
  <c r="C338"/>
  <c r="I338"/>
  <c r="F338"/>
  <c r="K338"/>
  <c r="C331"/>
  <c r="G331"/>
  <c r="K331"/>
  <c r="E331"/>
  <c r="I331"/>
  <c r="D330"/>
  <c r="C330"/>
  <c r="I330"/>
  <c r="F330"/>
  <c r="K330"/>
  <c r="F322"/>
  <c r="H322"/>
  <c r="J292"/>
  <c r="I292"/>
  <c r="E275"/>
  <c r="F275"/>
  <c r="K275"/>
  <c r="D275"/>
  <c r="J275"/>
  <c r="C275"/>
  <c r="H275"/>
  <c r="E259"/>
  <c r="F259"/>
  <c r="K259"/>
  <c r="D259"/>
  <c r="J259"/>
  <c r="C259"/>
  <c r="H259"/>
  <c r="E249"/>
  <c r="F249"/>
  <c r="K249"/>
  <c r="D249"/>
  <c r="J249"/>
  <c r="C249"/>
  <c r="H249"/>
  <c r="E245"/>
  <c r="F245"/>
  <c r="K245"/>
  <c r="D245"/>
  <c r="J245"/>
  <c r="C245"/>
  <c r="H245"/>
  <c r="I232"/>
  <c r="F232"/>
  <c r="E232"/>
  <c r="E215"/>
  <c r="F215"/>
  <c r="K215"/>
  <c r="D215"/>
  <c r="J215"/>
  <c r="C215"/>
  <c r="H215"/>
  <c r="C200"/>
  <c r="J200"/>
  <c r="F200"/>
  <c r="E183"/>
  <c r="F183"/>
  <c r="K183"/>
  <c r="D183"/>
  <c r="J183"/>
  <c r="C183"/>
  <c r="H183"/>
  <c r="E143"/>
  <c r="I143"/>
  <c r="D143"/>
  <c r="H143"/>
  <c r="C143"/>
  <c r="G143"/>
  <c r="K143"/>
  <c r="E137"/>
  <c r="F137"/>
  <c r="J137"/>
  <c r="D137"/>
  <c r="I137"/>
  <c r="C137"/>
  <c r="H137"/>
  <c r="C134"/>
  <c r="J134"/>
  <c r="F134"/>
  <c r="H103"/>
  <c r="J103"/>
  <c r="H101"/>
  <c r="F101"/>
  <c r="D101"/>
  <c r="F341"/>
  <c r="G340"/>
  <c r="F333"/>
  <c r="G332"/>
  <c r="F325"/>
  <c r="H324"/>
  <c r="G323"/>
  <c r="G305"/>
  <c r="K378"/>
  <c r="F378"/>
  <c r="H375"/>
  <c r="J374"/>
  <c r="E374"/>
  <c r="H371"/>
  <c r="J370"/>
  <c r="E370"/>
  <c r="H367"/>
  <c r="J366"/>
  <c r="E366"/>
  <c r="H363"/>
  <c r="J362"/>
  <c r="E362"/>
  <c r="H359"/>
  <c r="J358"/>
  <c r="E358"/>
  <c r="H355"/>
  <c r="J354"/>
  <c r="E354"/>
  <c r="H351"/>
  <c r="J350"/>
  <c r="E350"/>
  <c r="H347"/>
  <c r="J346"/>
  <c r="E346"/>
  <c r="E344"/>
  <c r="D337"/>
  <c r="E336"/>
  <c r="D329"/>
  <c r="E328"/>
  <c r="G317"/>
  <c r="G297"/>
  <c r="G281"/>
  <c r="G261"/>
  <c r="G229"/>
  <c r="G223"/>
  <c r="G191"/>
  <c r="G141"/>
  <c r="J109"/>
  <c r="E341"/>
  <c r="I341"/>
  <c r="C341"/>
  <c r="G341"/>
  <c r="K341"/>
  <c r="D340"/>
  <c r="F340"/>
  <c r="K340"/>
  <c r="C340"/>
  <c r="I340"/>
  <c r="E333"/>
  <c r="I333"/>
  <c r="C333"/>
  <c r="G333"/>
  <c r="K333"/>
  <c r="D332"/>
  <c r="F332"/>
  <c r="K332"/>
  <c r="C332"/>
  <c r="I332"/>
  <c r="E325"/>
  <c r="I325"/>
  <c r="C325"/>
  <c r="G325"/>
  <c r="K325"/>
  <c r="F324"/>
  <c r="K324"/>
  <c r="D324"/>
  <c r="I324"/>
  <c r="F323"/>
  <c r="K323"/>
  <c r="C323"/>
  <c r="H323"/>
  <c r="H311"/>
  <c r="F311"/>
  <c r="I306"/>
  <c r="J306"/>
  <c r="E305"/>
  <c r="C305"/>
  <c r="H305"/>
  <c r="F305"/>
  <c r="K305"/>
  <c r="I298"/>
  <c r="J298"/>
  <c r="I282"/>
  <c r="J282"/>
  <c r="E265"/>
  <c r="F265"/>
  <c r="K265"/>
  <c r="D265"/>
  <c r="J265"/>
  <c r="C265"/>
  <c r="H265"/>
  <c r="I262"/>
  <c r="J262"/>
  <c r="F262"/>
  <c r="E243"/>
  <c r="F243"/>
  <c r="K243"/>
  <c r="D243"/>
  <c r="J243"/>
  <c r="C243"/>
  <c r="H243"/>
  <c r="J230"/>
  <c r="I230"/>
  <c r="F230"/>
  <c r="C224"/>
  <c r="J224"/>
  <c r="F224"/>
  <c r="E207"/>
  <c r="F207"/>
  <c r="K207"/>
  <c r="D207"/>
  <c r="J207"/>
  <c r="C207"/>
  <c r="H207"/>
  <c r="C192"/>
  <c r="J192"/>
  <c r="F192"/>
  <c r="E175"/>
  <c r="F175"/>
  <c r="K175"/>
  <c r="D175"/>
  <c r="J175"/>
  <c r="C175"/>
  <c r="H175"/>
  <c r="E167"/>
  <c r="F167"/>
  <c r="K167"/>
  <c r="D167"/>
  <c r="J167"/>
  <c r="C167"/>
  <c r="H167"/>
  <c r="C343"/>
  <c r="G343"/>
  <c r="K343"/>
  <c r="E343"/>
  <c r="I343"/>
  <c r="D342"/>
  <c r="C342"/>
  <c r="I342"/>
  <c r="F342"/>
  <c r="K342"/>
  <c r="C335"/>
  <c r="G335"/>
  <c r="K335"/>
  <c r="E335"/>
  <c r="I335"/>
  <c r="D334"/>
  <c r="C334"/>
  <c r="I334"/>
  <c r="F334"/>
  <c r="K334"/>
  <c r="C327"/>
  <c r="G327"/>
  <c r="K327"/>
  <c r="E327"/>
  <c r="I327"/>
  <c r="D326"/>
  <c r="C326"/>
  <c r="I326"/>
  <c r="F326"/>
  <c r="K326"/>
  <c r="E307"/>
  <c r="F307"/>
  <c r="K307"/>
  <c r="C307"/>
  <c r="H307"/>
  <c r="E291"/>
  <c r="F291"/>
  <c r="K291"/>
  <c r="D291"/>
  <c r="J291"/>
  <c r="C291"/>
  <c r="H291"/>
  <c r="J276"/>
  <c r="I276"/>
  <c r="J260"/>
  <c r="I260"/>
  <c r="E260"/>
  <c r="I250"/>
  <c r="J250"/>
  <c r="I246"/>
  <c r="J246"/>
  <c r="F246"/>
  <c r="E231"/>
  <c r="F231"/>
  <c r="K231"/>
  <c r="D231"/>
  <c r="J231"/>
  <c r="C231"/>
  <c r="H231"/>
  <c r="C216"/>
  <c r="J216"/>
  <c r="F216"/>
  <c r="E199"/>
  <c r="F199"/>
  <c r="K199"/>
  <c r="D199"/>
  <c r="J199"/>
  <c r="C199"/>
  <c r="H199"/>
  <c r="C184"/>
  <c r="J184"/>
  <c r="F184"/>
  <c r="E139"/>
  <c r="F139"/>
  <c r="J139"/>
  <c r="D139"/>
  <c r="I139"/>
  <c r="C139"/>
  <c r="H139"/>
  <c r="E129"/>
  <c r="I129"/>
  <c r="D129"/>
  <c r="H129"/>
  <c r="C129"/>
  <c r="G129"/>
  <c r="K129"/>
  <c r="C126"/>
  <c r="J126"/>
  <c r="F126"/>
  <c r="E119"/>
  <c r="I119"/>
  <c r="D119"/>
  <c r="H119"/>
  <c r="C119"/>
  <c r="G119"/>
  <c r="K119"/>
  <c r="C116"/>
  <c r="J116"/>
  <c r="F116"/>
  <c r="D108"/>
  <c r="J108"/>
  <c r="H108"/>
  <c r="F108"/>
  <c r="K141"/>
  <c r="J344"/>
  <c r="D341"/>
  <c r="E340"/>
  <c r="H337"/>
  <c r="J336"/>
  <c r="D333"/>
  <c r="E332"/>
  <c r="H329"/>
  <c r="J328"/>
  <c r="D325"/>
  <c r="E324"/>
  <c r="D323"/>
  <c r="G311"/>
  <c r="D305"/>
  <c r="G265"/>
  <c r="G243"/>
  <c r="G207"/>
  <c r="G175"/>
  <c r="G167"/>
  <c r="K299"/>
  <c r="F299"/>
  <c r="D295"/>
  <c r="K289"/>
  <c r="F289"/>
  <c r="K283"/>
  <c r="F283"/>
  <c r="D277"/>
  <c r="K273"/>
  <c r="F273"/>
  <c r="K267"/>
  <c r="F267"/>
  <c r="D263"/>
  <c r="K257"/>
  <c r="F257"/>
  <c r="K253"/>
  <c r="F253"/>
  <c r="J252"/>
  <c r="K251"/>
  <c r="F251"/>
  <c r="K241"/>
  <c r="F241"/>
  <c r="K237"/>
  <c r="F237"/>
  <c r="K219"/>
  <c r="F219"/>
  <c r="K211"/>
  <c r="F211"/>
  <c r="K203"/>
  <c r="F203"/>
  <c r="K195"/>
  <c r="F195"/>
  <c r="K187"/>
  <c r="F187"/>
  <c r="K179"/>
  <c r="F179"/>
  <c r="K171"/>
  <c r="F171"/>
  <c r="J170"/>
  <c r="J169"/>
  <c r="D169"/>
  <c r="K163"/>
  <c r="F163"/>
  <c r="J162"/>
  <c r="J161"/>
  <c r="D161"/>
  <c r="I159"/>
  <c r="D159"/>
  <c r="I157"/>
  <c r="D157"/>
  <c r="I155"/>
  <c r="D155"/>
  <c r="I153"/>
  <c r="E153"/>
  <c r="J152"/>
  <c r="J151"/>
  <c r="F151"/>
  <c r="J150"/>
  <c r="J149"/>
  <c r="F149"/>
  <c r="J147"/>
  <c r="F147"/>
  <c r="H135"/>
  <c r="I133"/>
  <c r="E133"/>
  <c r="J132"/>
  <c r="H127"/>
  <c r="I125"/>
  <c r="E125"/>
  <c r="J124"/>
  <c r="J123"/>
  <c r="F123"/>
  <c r="H117"/>
  <c r="I115"/>
  <c r="E115"/>
  <c r="H105"/>
  <c r="J104"/>
  <c r="H318"/>
  <c r="H299"/>
  <c r="C299"/>
  <c r="J290"/>
  <c r="H289"/>
  <c r="C289"/>
  <c r="H283"/>
  <c r="C283"/>
  <c r="J274"/>
  <c r="H273"/>
  <c r="C273"/>
  <c r="H267"/>
  <c r="C267"/>
  <c r="J258"/>
  <c r="H257"/>
  <c r="C257"/>
  <c r="F254"/>
  <c r="H253"/>
  <c r="C253"/>
  <c r="H251"/>
  <c r="C251"/>
  <c r="J242"/>
  <c r="H241"/>
  <c r="C241"/>
  <c r="D239"/>
  <c r="F238"/>
  <c r="H237"/>
  <c r="C237"/>
  <c r="F220"/>
  <c r="H219"/>
  <c r="C219"/>
  <c r="F212"/>
  <c r="H211"/>
  <c r="C211"/>
  <c r="F204"/>
  <c r="H203"/>
  <c r="C203"/>
  <c r="F196"/>
  <c r="H195"/>
  <c r="C195"/>
  <c r="F188"/>
  <c r="H187"/>
  <c r="C187"/>
  <c r="F180"/>
  <c r="H179"/>
  <c r="C179"/>
  <c r="F172"/>
  <c r="H171"/>
  <c r="C171"/>
  <c r="F164"/>
  <c r="H163"/>
  <c r="C163"/>
  <c r="K153"/>
  <c r="G153"/>
  <c r="H151"/>
  <c r="C151"/>
  <c r="H149"/>
  <c r="C149"/>
  <c r="H147"/>
  <c r="C147"/>
  <c r="H145"/>
  <c r="F144"/>
  <c r="J142"/>
  <c r="J140"/>
  <c r="K133"/>
  <c r="G133"/>
  <c r="F130"/>
  <c r="K125"/>
  <c r="G125"/>
  <c r="H123"/>
  <c r="C123"/>
  <c r="H121"/>
  <c r="F120"/>
  <c r="K115"/>
  <c r="G115"/>
  <c r="H113"/>
  <c r="F112"/>
  <c r="J110"/>
  <c r="J107"/>
  <c r="F104"/>
  <c r="J102"/>
  <c r="J99"/>
  <c r="F86"/>
  <c r="F82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49"/>
  <c r="F47"/>
  <c r="F45"/>
  <c r="F43"/>
  <c r="F41"/>
  <c r="F39"/>
  <c r="F37"/>
  <c r="F35"/>
  <c r="F33"/>
  <c r="F31"/>
  <c r="F29"/>
  <c r="F27"/>
  <c r="F25"/>
  <c r="C320"/>
  <c r="G320"/>
  <c r="K320"/>
  <c r="E319"/>
  <c r="I319"/>
  <c r="C312"/>
  <c r="G312"/>
  <c r="K312"/>
  <c r="E311"/>
  <c r="I311"/>
  <c r="C308"/>
  <c r="G308"/>
  <c r="K308"/>
  <c r="D308"/>
  <c r="H308"/>
  <c r="C300"/>
  <c r="G300"/>
  <c r="K300"/>
  <c r="D300"/>
  <c r="H300"/>
  <c r="C292"/>
  <c r="G292"/>
  <c r="K292"/>
  <c r="D292"/>
  <c r="H292"/>
  <c r="C284"/>
  <c r="G284"/>
  <c r="K284"/>
  <c r="D284"/>
  <c r="H284"/>
  <c r="C276"/>
  <c r="G276"/>
  <c r="K276"/>
  <c r="D276"/>
  <c r="H276"/>
  <c r="C268"/>
  <c r="G268"/>
  <c r="K268"/>
  <c r="D268"/>
  <c r="H268"/>
  <c r="C260"/>
  <c r="G260"/>
  <c r="K260"/>
  <c r="D260"/>
  <c r="H260"/>
  <c r="C252"/>
  <c r="G252"/>
  <c r="K252"/>
  <c r="D252"/>
  <c r="H252"/>
  <c r="C244"/>
  <c r="G244"/>
  <c r="K244"/>
  <c r="D244"/>
  <c r="H244"/>
  <c r="C236"/>
  <c r="G236"/>
  <c r="K236"/>
  <c r="D236"/>
  <c r="H236"/>
  <c r="C228"/>
  <c r="G228"/>
  <c r="K228"/>
  <c r="D228"/>
  <c r="H228"/>
  <c r="I322"/>
  <c r="D322"/>
  <c r="H321"/>
  <c r="C321"/>
  <c r="I314"/>
  <c r="D314"/>
  <c r="H313"/>
  <c r="C313"/>
  <c r="E306"/>
  <c r="E298"/>
  <c r="E290"/>
  <c r="E282"/>
  <c r="E274"/>
  <c r="E266"/>
  <c r="E258"/>
  <c r="E250"/>
  <c r="E242"/>
  <c r="E234"/>
  <c r="E226"/>
  <c r="C318"/>
  <c r="G318"/>
  <c r="K318"/>
  <c r="E317"/>
  <c r="I317"/>
  <c r="C310"/>
  <c r="G310"/>
  <c r="K310"/>
  <c r="C302"/>
  <c r="G302"/>
  <c r="K302"/>
  <c r="D302"/>
  <c r="H302"/>
  <c r="C294"/>
  <c r="G294"/>
  <c r="K294"/>
  <c r="D294"/>
  <c r="H294"/>
  <c r="C286"/>
  <c r="G286"/>
  <c r="K286"/>
  <c r="D286"/>
  <c r="H286"/>
  <c r="C278"/>
  <c r="G278"/>
  <c r="K278"/>
  <c r="D278"/>
  <c r="H278"/>
  <c r="C270"/>
  <c r="G270"/>
  <c r="K270"/>
  <c r="D270"/>
  <c r="H270"/>
  <c r="C262"/>
  <c r="G262"/>
  <c r="K262"/>
  <c r="D262"/>
  <c r="H262"/>
  <c r="C254"/>
  <c r="G254"/>
  <c r="K254"/>
  <c r="D254"/>
  <c r="H254"/>
  <c r="C246"/>
  <c r="G246"/>
  <c r="K246"/>
  <c r="D246"/>
  <c r="H246"/>
  <c r="C238"/>
  <c r="G238"/>
  <c r="K238"/>
  <c r="D238"/>
  <c r="H238"/>
  <c r="C230"/>
  <c r="G230"/>
  <c r="K230"/>
  <c r="D230"/>
  <c r="H230"/>
  <c r="J322"/>
  <c r="E322"/>
  <c r="J321"/>
  <c r="D321"/>
  <c r="J314"/>
  <c r="E314"/>
  <c r="J313"/>
  <c r="D313"/>
  <c r="D312"/>
  <c r="C311"/>
  <c r="E308"/>
  <c r="F306"/>
  <c r="E300"/>
  <c r="F298"/>
  <c r="E292"/>
  <c r="F290"/>
  <c r="E284"/>
  <c r="F282"/>
  <c r="E276"/>
  <c r="F274"/>
  <c r="E268"/>
  <c r="F266"/>
  <c r="F258"/>
  <c r="F250"/>
  <c r="F242"/>
  <c r="E236"/>
  <c r="F234"/>
  <c r="E228"/>
  <c r="F226"/>
  <c r="C324"/>
  <c r="G324"/>
  <c r="E323"/>
  <c r="I323"/>
  <c r="C316"/>
  <c r="G316"/>
  <c r="K316"/>
  <c r="E315"/>
  <c r="I315"/>
  <c r="C304"/>
  <c r="G304"/>
  <c r="K304"/>
  <c r="D304"/>
  <c r="H304"/>
  <c r="C296"/>
  <c r="G296"/>
  <c r="K296"/>
  <c r="D296"/>
  <c r="H296"/>
  <c r="C288"/>
  <c r="G288"/>
  <c r="K288"/>
  <c r="D288"/>
  <c r="H288"/>
  <c r="C280"/>
  <c r="G280"/>
  <c r="K280"/>
  <c r="D280"/>
  <c r="H280"/>
  <c r="C272"/>
  <c r="G272"/>
  <c r="K272"/>
  <c r="D272"/>
  <c r="H272"/>
  <c r="C264"/>
  <c r="G264"/>
  <c r="K264"/>
  <c r="D264"/>
  <c r="H264"/>
  <c r="C256"/>
  <c r="G256"/>
  <c r="K256"/>
  <c r="D256"/>
  <c r="H256"/>
  <c r="C248"/>
  <c r="G248"/>
  <c r="K248"/>
  <c r="D248"/>
  <c r="H248"/>
  <c r="C240"/>
  <c r="G240"/>
  <c r="K240"/>
  <c r="D240"/>
  <c r="H240"/>
  <c r="C232"/>
  <c r="G232"/>
  <c r="K232"/>
  <c r="D232"/>
  <c r="H232"/>
  <c r="I378"/>
  <c r="E378"/>
  <c r="H376"/>
  <c r="H374"/>
  <c r="H372"/>
  <c r="H370"/>
  <c r="H368"/>
  <c r="H366"/>
  <c r="H364"/>
  <c r="H362"/>
  <c r="H360"/>
  <c r="H358"/>
  <c r="H356"/>
  <c r="H354"/>
  <c r="H352"/>
  <c r="H350"/>
  <c r="H348"/>
  <c r="H346"/>
  <c r="H344"/>
  <c r="H342"/>
  <c r="H340"/>
  <c r="H338"/>
  <c r="H336"/>
  <c r="H334"/>
  <c r="H332"/>
  <c r="H330"/>
  <c r="H328"/>
  <c r="H326"/>
  <c r="K321"/>
  <c r="J320"/>
  <c r="E320"/>
  <c r="J319"/>
  <c r="D319"/>
  <c r="I318"/>
  <c r="D318"/>
  <c r="H317"/>
  <c r="C317"/>
  <c r="K313"/>
  <c r="J312"/>
  <c r="E312"/>
  <c r="J311"/>
  <c r="D311"/>
  <c r="I310"/>
  <c r="D310"/>
  <c r="F308"/>
  <c r="E302"/>
  <c r="F300"/>
  <c r="E294"/>
  <c r="F292"/>
  <c r="E286"/>
  <c r="F284"/>
  <c r="E278"/>
  <c r="F276"/>
  <c r="E270"/>
  <c r="F268"/>
  <c r="E262"/>
  <c r="F260"/>
  <c r="E254"/>
  <c r="F252"/>
  <c r="E246"/>
  <c r="F244"/>
  <c r="E238"/>
  <c r="F236"/>
  <c r="E230"/>
  <c r="F228"/>
  <c r="C322"/>
  <c r="G322"/>
  <c r="K322"/>
  <c r="E321"/>
  <c r="I321"/>
  <c r="C314"/>
  <c r="G314"/>
  <c r="K314"/>
  <c r="E313"/>
  <c r="I313"/>
  <c r="C306"/>
  <c r="G306"/>
  <c r="K306"/>
  <c r="D306"/>
  <c r="H306"/>
  <c r="C298"/>
  <c r="G298"/>
  <c r="K298"/>
  <c r="D298"/>
  <c r="H298"/>
  <c r="C290"/>
  <c r="G290"/>
  <c r="K290"/>
  <c r="D290"/>
  <c r="H290"/>
  <c r="C282"/>
  <c r="G282"/>
  <c r="K282"/>
  <c r="D282"/>
  <c r="H282"/>
  <c r="C274"/>
  <c r="G274"/>
  <c r="K274"/>
  <c r="D274"/>
  <c r="H274"/>
  <c r="C266"/>
  <c r="G266"/>
  <c r="K266"/>
  <c r="D266"/>
  <c r="H266"/>
  <c r="C258"/>
  <c r="G258"/>
  <c r="K258"/>
  <c r="D258"/>
  <c r="H258"/>
  <c r="C250"/>
  <c r="G250"/>
  <c r="K250"/>
  <c r="D250"/>
  <c r="H250"/>
  <c r="C242"/>
  <c r="G242"/>
  <c r="K242"/>
  <c r="D242"/>
  <c r="H242"/>
  <c r="C234"/>
  <c r="G234"/>
  <c r="K234"/>
  <c r="D234"/>
  <c r="H234"/>
  <c r="C226"/>
  <c r="G226"/>
  <c r="K226"/>
  <c r="D226"/>
  <c r="H226"/>
  <c r="C109"/>
  <c r="G109"/>
  <c r="K109"/>
  <c r="E109"/>
  <c r="I109"/>
  <c r="C105"/>
  <c r="G105"/>
  <c r="K105"/>
  <c r="E105"/>
  <c r="I105"/>
  <c r="C101"/>
  <c r="G101"/>
  <c r="K101"/>
  <c r="E101"/>
  <c r="I101"/>
  <c r="H224"/>
  <c r="D224"/>
  <c r="H222"/>
  <c r="D222"/>
  <c r="H220"/>
  <c r="D220"/>
  <c r="H218"/>
  <c r="D218"/>
  <c r="H216"/>
  <c r="D216"/>
  <c r="H214"/>
  <c r="D214"/>
  <c r="H212"/>
  <c r="D212"/>
  <c r="H210"/>
  <c r="D210"/>
  <c r="H208"/>
  <c r="D208"/>
  <c r="H206"/>
  <c r="D206"/>
  <c r="H204"/>
  <c r="D204"/>
  <c r="H202"/>
  <c r="D202"/>
  <c r="H200"/>
  <c r="D200"/>
  <c r="H198"/>
  <c r="D198"/>
  <c r="H196"/>
  <c r="D196"/>
  <c r="H194"/>
  <c r="D194"/>
  <c r="H192"/>
  <c r="D192"/>
  <c r="H190"/>
  <c r="D190"/>
  <c r="H188"/>
  <c r="D188"/>
  <c r="H186"/>
  <c r="D186"/>
  <c r="H184"/>
  <c r="D184"/>
  <c r="H182"/>
  <c r="D182"/>
  <c r="H180"/>
  <c r="D180"/>
  <c r="H178"/>
  <c r="D178"/>
  <c r="H176"/>
  <c r="D176"/>
  <c r="H174"/>
  <c r="D174"/>
  <c r="H172"/>
  <c r="D172"/>
  <c r="H170"/>
  <c r="D170"/>
  <c r="H168"/>
  <c r="D168"/>
  <c r="H166"/>
  <c r="D166"/>
  <c r="H164"/>
  <c r="D164"/>
  <c r="H162"/>
  <c r="D162"/>
  <c r="H160"/>
  <c r="D160"/>
  <c r="H158"/>
  <c r="D158"/>
  <c r="H156"/>
  <c r="D156"/>
  <c r="H154"/>
  <c r="D154"/>
  <c r="H152"/>
  <c r="D152"/>
  <c r="H150"/>
  <c r="D150"/>
  <c r="H148"/>
  <c r="D148"/>
  <c r="H146"/>
  <c r="D146"/>
  <c r="H144"/>
  <c r="D144"/>
  <c r="H142"/>
  <c r="D142"/>
  <c r="H140"/>
  <c r="D140"/>
  <c r="H138"/>
  <c r="D138"/>
  <c r="H136"/>
  <c r="D136"/>
  <c r="H134"/>
  <c r="D134"/>
  <c r="H132"/>
  <c r="D132"/>
  <c r="H130"/>
  <c r="D130"/>
  <c r="H128"/>
  <c r="D128"/>
  <c r="H126"/>
  <c r="D126"/>
  <c r="H124"/>
  <c r="D124"/>
  <c r="H122"/>
  <c r="D122"/>
  <c r="H120"/>
  <c r="D120"/>
  <c r="H118"/>
  <c r="D118"/>
  <c r="H116"/>
  <c r="D116"/>
  <c r="H114"/>
  <c r="D114"/>
  <c r="H112"/>
  <c r="D112"/>
  <c r="J111"/>
  <c r="F111"/>
  <c r="F107"/>
  <c r="F103"/>
  <c r="F99"/>
  <c r="E110"/>
  <c r="I110"/>
  <c r="C110"/>
  <c r="G110"/>
  <c r="K110"/>
  <c r="E106"/>
  <c r="I106"/>
  <c r="C106"/>
  <c r="G106"/>
  <c r="K106"/>
  <c r="E102"/>
  <c r="I102"/>
  <c r="C102"/>
  <c r="G102"/>
  <c r="K102"/>
  <c r="I224"/>
  <c r="E224"/>
  <c r="I222"/>
  <c r="E222"/>
  <c r="I220"/>
  <c r="E220"/>
  <c r="I218"/>
  <c r="E218"/>
  <c r="I216"/>
  <c r="E216"/>
  <c r="I214"/>
  <c r="E214"/>
  <c r="I212"/>
  <c r="E212"/>
  <c r="I210"/>
  <c r="E210"/>
  <c r="I208"/>
  <c r="E208"/>
  <c r="I206"/>
  <c r="E206"/>
  <c r="I204"/>
  <c r="E204"/>
  <c r="I202"/>
  <c r="E202"/>
  <c r="I200"/>
  <c r="E200"/>
  <c r="I198"/>
  <c r="E198"/>
  <c r="I196"/>
  <c r="E196"/>
  <c r="I194"/>
  <c r="E194"/>
  <c r="I192"/>
  <c r="E192"/>
  <c r="I190"/>
  <c r="E190"/>
  <c r="I188"/>
  <c r="E188"/>
  <c r="I186"/>
  <c r="E186"/>
  <c r="I184"/>
  <c r="E184"/>
  <c r="I182"/>
  <c r="E182"/>
  <c r="I180"/>
  <c r="E180"/>
  <c r="I178"/>
  <c r="E178"/>
  <c r="I176"/>
  <c r="E176"/>
  <c r="I174"/>
  <c r="E174"/>
  <c r="I172"/>
  <c r="E172"/>
  <c r="I170"/>
  <c r="E170"/>
  <c r="I168"/>
  <c r="E168"/>
  <c r="I166"/>
  <c r="E166"/>
  <c r="I164"/>
  <c r="E164"/>
  <c r="I162"/>
  <c r="E162"/>
  <c r="I160"/>
  <c r="E160"/>
  <c r="I158"/>
  <c r="E158"/>
  <c r="I156"/>
  <c r="E156"/>
  <c r="I154"/>
  <c r="E154"/>
  <c r="I152"/>
  <c r="E152"/>
  <c r="I150"/>
  <c r="E150"/>
  <c r="I148"/>
  <c r="E148"/>
  <c r="I146"/>
  <c r="E146"/>
  <c r="I144"/>
  <c r="E144"/>
  <c r="I142"/>
  <c r="E142"/>
  <c r="I140"/>
  <c r="E140"/>
  <c r="I138"/>
  <c r="E138"/>
  <c r="I136"/>
  <c r="E136"/>
  <c r="I134"/>
  <c r="E134"/>
  <c r="I132"/>
  <c r="E132"/>
  <c r="I130"/>
  <c r="E130"/>
  <c r="I128"/>
  <c r="E128"/>
  <c r="I126"/>
  <c r="E126"/>
  <c r="I124"/>
  <c r="E124"/>
  <c r="I122"/>
  <c r="E122"/>
  <c r="I120"/>
  <c r="E120"/>
  <c r="I118"/>
  <c r="E118"/>
  <c r="I116"/>
  <c r="E116"/>
  <c r="I114"/>
  <c r="E114"/>
  <c r="I112"/>
  <c r="E112"/>
  <c r="K111"/>
  <c r="C111"/>
  <c r="E111"/>
  <c r="C107"/>
  <c r="G107"/>
  <c r="K107"/>
  <c r="E107"/>
  <c r="I107"/>
  <c r="C103"/>
  <c r="G103"/>
  <c r="K103"/>
  <c r="E103"/>
  <c r="I103"/>
  <c r="C99"/>
  <c r="G99"/>
  <c r="K99"/>
  <c r="E99"/>
  <c r="I99"/>
  <c r="C97"/>
  <c r="G97"/>
  <c r="K97"/>
  <c r="E97"/>
  <c r="I97"/>
  <c r="D97"/>
  <c r="H97"/>
  <c r="C95"/>
  <c r="G95"/>
  <c r="K95"/>
  <c r="E95"/>
  <c r="I95"/>
  <c r="D95"/>
  <c r="H95"/>
  <c r="C93"/>
  <c r="G93"/>
  <c r="K93"/>
  <c r="E93"/>
  <c r="I93"/>
  <c r="D93"/>
  <c r="H93"/>
  <c r="C91"/>
  <c r="G91"/>
  <c r="K91"/>
  <c r="E91"/>
  <c r="I91"/>
  <c r="D91"/>
  <c r="H91"/>
  <c r="C89"/>
  <c r="G89"/>
  <c r="K89"/>
  <c r="E89"/>
  <c r="I89"/>
  <c r="D89"/>
  <c r="H89"/>
  <c r="C87"/>
  <c r="G87"/>
  <c r="K87"/>
  <c r="E87"/>
  <c r="I87"/>
  <c r="D87"/>
  <c r="H87"/>
  <c r="C85"/>
  <c r="G85"/>
  <c r="K85"/>
  <c r="E85"/>
  <c r="I85"/>
  <c r="D85"/>
  <c r="H85"/>
  <c r="C83"/>
  <c r="G83"/>
  <c r="K83"/>
  <c r="E83"/>
  <c r="I83"/>
  <c r="D83"/>
  <c r="H83"/>
  <c r="C81"/>
  <c r="G81"/>
  <c r="K81"/>
  <c r="E81"/>
  <c r="I81"/>
  <c r="D81"/>
  <c r="H81"/>
  <c r="C79"/>
  <c r="G79"/>
  <c r="K79"/>
  <c r="E79"/>
  <c r="I79"/>
  <c r="D79"/>
  <c r="H79"/>
  <c r="E108"/>
  <c r="I108"/>
  <c r="C108"/>
  <c r="G108"/>
  <c r="K108"/>
  <c r="E104"/>
  <c r="I104"/>
  <c r="C104"/>
  <c r="G104"/>
  <c r="K104"/>
  <c r="E100"/>
  <c r="I100"/>
  <c r="C100"/>
  <c r="G100"/>
  <c r="K100"/>
  <c r="I309"/>
  <c r="I307"/>
  <c r="I305"/>
  <c r="I303"/>
  <c r="I301"/>
  <c r="I299"/>
  <c r="I297"/>
  <c r="I295"/>
  <c r="I293"/>
  <c r="I291"/>
  <c r="I289"/>
  <c r="I287"/>
  <c r="I285"/>
  <c r="I283"/>
  <c r="I281"/>
  <c r="I279"/>
  <c r="I277"/>
  <c r="I275"/>
  <c r="I273"/>
  <c r="I271"/>
  <c r="I269"/>
  <c r="I267"/>
  <c r="I265"/>
  <c r="I263"/>
  <c r="I261"/>
  <c r="I259"/>
  <c r="I257"/>
  <c r="I255"/>
  <c r="I253"/>
  <c r="I251"/>
  <c r="I249"/>
  <c r="I247"/>
  <c r="I245"/>
  <c r="I243"/>
  <c r="I241"/>
  <c r="I239"/>
  <c r="I237"/>
  <c r="I235"/>
  <c r="I233"/>
  <c r="I231"/>
  <c r="I229"/>
  <c r="I227"/>
  <c r="I225"/>
  <c r="K224"/>
  <c r="G224"/>
  <c r="I223"/>
  <c r="K222"/>
  <c r="G222"/>
  <c r="I221"/>
  <c r="K220"/>
  <c r="G220"/>
  <c r="I219"/>
  <c r="K218"/>
  <c r="G218"/>
  <c r="I217"/>
  <c r="K216"/>
  <c r="G216"/>
  <c r="I215"/>
  <c r="K214"/>
  <c r="G214"/>
  <c r="I213"/>
  <c r="K212"/>
  <c r="G212"/>
  <c r="I211"/>
  <c r="K210"/>
  <c r="G210"/>
  <c r="I209"/>
  <c r="K208"/>
  <c r="G208"/>
  <c r="I207"/>
  <c r="K206"/>
  <c r="G206"/>
  <c r="I205"/>
  <c r="K204"/>
  <c r="G204"/>
  <c r="I203"/>
  <c r="K202"/>
  <c r="G202"/>
  <c r="I201"/>
  <c r="K200"/>
  <c r="G200"/>
  <c r="I199"/>
  <c r="K198"/>
  <c r="G198"/>
  <c r="I197"/>
  <c r="K196"/>
  <c r="G196"/>
  <c r="I195"/>
  <c r="K194"/>
  <c r="G194"/>
  <c r="I193"/>
  <c r="K192"/>
  <c r="G192"/>
  <c r="I191"/>
  <c r="K190"/>
  <c r="G190"/>
  <c r="I189"/>
  <c r="K188"/>
  <c r="G188"/>
  <c r="I187"/>
  <c r="K186"/>
  <c r="G186"/>
  <c r="I185"/>
  <c r="K184"/>
  <c r="G184"/>
  <c r="I183"/>
  <c r="K182"/>
  <c r="G182"/>
  <c r="I181"/>
  <c r="K180"/>
  <c r="G180"/>
  <c r="I179"/>
  <c r="K178"/>
  <c r="G178"/>
  <c r="I177"/>
  <c r="K176"/>
  <c r="G176"/>
  <c r="I175"/>
  <c r="K174"/>
  <c r="G174"/>
  <c r="I173"/>
  <c r="K172"/>
  <c r="G172"/>
  <c r="I171"/>
  <c r="K170"/>
  <c r="G170"/>
  <c r="I169"/>
  <c r="K168"/>
  <c r="G168"/>
  <c r="I167"/>
  <c r="K166"/>
  <c r="G166"/>
  <c r="I165"/>
  <c r="K164"/>
  <c r="G164"/>
  <c r="I163"/>
  <c r="K162"/>
  <c r="G162"/>
  <c r="I161"/>
  <c r="K160"/>
  <c r="G160"/>
  <c r="K158"/>
  <c r="G158"/>
  <c r="K156"/>
  <c r="G156"/>
  <c r="K154"/>
  <c r="G154"/>
  <c r="K152"/>
  <c r="G152"/>
  <c r="K150"/>
  <c r="G150"/>
  <c r="K148"/>
  <c r="G148"/>
  <c r="K146"/>
  <c r="G146"/>
  <c r="K144"/>
  <c r="G144"/>
  <c r="K142"/>
  <c r="G142"/>
  <c r="K140"/>
  <c r="G140"/>
  <c r="K138"/>
  <c r="G138"/>
  <c r="K136"/>
  <c r="G136"/>
  <c r="K134"/>
  <c r="G134"/>
  <c r="K132"/>
  <c r="G132"/>
  <c r="K130"/>
  <c r="G130"/>
  <c r="K128"/>
  <c r="G128"/>
  <c r="K126"/>
  <c r="G126"/>
  <c r="K124"/>
  <c r="G124"/>
  <c r="K122"/>
  <c r="G122"/>
  <c r="K120"/>
  <c r="G120"/>
  <c r="K118"/>
  <c r="G118"/>
  <c r="K116"/>
  <c r="G116"/>
  <c r="K114"/>
  <c r="G114"/>
  <c r="K112"/>
  <c r="G112"/>
  <c r="I111"/>
  <c r="D111"/>
  <c r="F110"/>
  <c r="D107"/>
  <c r="F106"/>
  <c r="D103"/>
  <c r="F102"/>
  <c r="D99"/>
  <c r="F97"/>
  <c r="F95"/>
  <c r="F93"/>
  <c r="F91"/>
  <c r="F89"/>
  <c r="F87"/>
  <c r="F85"/>
  <c r="F83"/>
  <c r="F81"/>
  <c r="F79"/>
  <c r="H77"/>
  <c r="D77"/>
  <c r="H75"/>
  <c r="D75"/>
  <c r="H73"/>
  <c r="D73"/>
  <c r="H71"/>
  <c r="D71"/>
  <c r="H69"/>
  <c r="D69"/>
  <c r="H67"/>
  <c r="D67"/>
  <c r="H65"/>
  <c r="D65"/>
  <c r="H63"/>
  <c r="D63"/>
  <c r="H61"/>
  <c r="D61"/>
  <c r="H59"/>
  <c r="D59"/>
  <c r="H57"/>
  <c r="D57"/>
  <c r="H55"/>
  <c r="D55"/>
  <c r="H53"/>
  <c r="D53"/>
  <c r="H51"/>
  <c r="D51"/>
  <c r="H49"/>
  <c r="D49"/>
  <c r="H47"/>
  <c r="D47"/>
  <c r="H45"/>
  <c r="D45"/>
  <c r="H43"/>
  <c r="D43"/>
  <c r="H41"/>
  <c r="D41"/>
  <c r="H39"/>
  <c r="D39"/>
  <c r="H37"/>
  <c r="D37"/>
  <c r="H35"/>
  <c r="D35"/>
  <c r="H33"/>
  <c r="D33"/>
  <c r="H31"/>
  <c r="D31"/>
  <c r="H29"/>
  <c r="D29"/>
  <c r="H27"/>
  <c r="D27"/>
  <c r="H25"/>
  <c r="D25"/>
  <c r="H23"/>
  <c r="D23"/>
  <c r="H21"/>
  <c r="D21"/>
  <c r="H19"/>
  <c r="D19"/>
  <c r="H17"/>
  <c r="D17"/>
  <c r="H15"/>
  <c r="D15"/>
  <c r="H13"/>
  <c r="D13"/>
  <c r="H11"/>
  <c r="D11"/>
  <c r="H9"/>
  <c r="D9"/>
  <c r="K98"/>
  <c r="G98"/>
  <c r="C98"/>
  <c r="K96"/>
  <c r="G96"/>
  <c r="C96"/>
  <c r="K94"/>
  <c r="G94"/>
  <c r="C94"/>
  <c r="K92"/>
  <c r="G92"/>
  <c r="C92"/>
  <c r="K90"/>
  <c r="G90"/>
  <c r="C90"/>
  <c r="K88"/>
  <c r="G88"/>
  <c r="C88"/>
  <c r="K86"/>
  <c r="G86"/>
  <c r="C86"/>
  <c r="K84"/>
  <c r="G84"/>
  <c r="C84"/>
  <c r="K82"/>
  <c r="G82"/>
  <c r="C82"/>
  <c r="K80"/>
  <c r="G80"/>
  <c r="C80"/>
  <c r="K78"/>
  <c r="G78"/>
  <c r="C78"/>
  <c r="I77"/>
  <c r="E77"/>
  <c r="K76"/>
  <c r="G76"/>
  <c r="C76"/>
  <c r="I75"/>
  <c r="E75"/>
  <c r="K74"/>
  <c r="G74"/>
  <c r="C74"/>
  <c r="I73"/>
  <c r="E73"/>
  <c r="K72"/>
  <c r="G72"/>
  <c r="C72"/>
  <c r="I71"/>
  <c r="E71"/>
  <c r="K70"/>
  <c r="G70"/>
  <c r="C70"/>
  <c r="I69"/>
  <c r="E69"/>
  <c r="K68"/>
  <c r="G68"/>
  <c r="C68"/>
  <c r="I67"/>
  <c r="E67"/>
  <c r="K66"/>
  <c r="G66"/>
  <c r="C66"/>
  <c r="I65"/>
  <c r="E65"/>
  <c r="K64"/>
  <c r="G64"/>
  <c r="C64"/>
  <c r="I63"/>
  <c r="E63"/>
  <c r="K62"/>
  <c r="G62"/>
  <c r="C62"/>
  <c r="I61"/>
  <c r="E61"/>
  <c r="K60"/>
  <c r="G60"/>
  <c r="C60"/>
  <c r="I59"/>
  <c r="E59"/>
  <c r="K58"/>
  <c r="G58"/>
  <c r="C58"/>
  <c r="I57"/>
  <c r="E57"/>
  <c r="K56"/>
  <c r="G56"/>
  <c r="C56"/>
  <c r="I55"/>
  <c r="E55"/>
  <c r="K54"/>
  <c r="G54"/>
  <c r="C54"/>
  <c r="I53"/>
  <c r="E53"/>
  <c r="K52"/>
  <c r="G52"/>
  <c r="C52"/>
  <c r="I51"/>
  <c r="E51"/>
  <c r="K50"/>
  <c r="G50"/>
  <c r="C50"/>
  <c r="I49"/>
  <c r="E49"/>
  <c r="K48"/>
  <c r="G48"/>
  <c r="C48"/>
  <c r="I47"/>
  <c r="E47"/>
  <c r="K46"/>
  <c r="G46"/>
  <c r="C46"/>
  <c r="I45"/>
  <c r="E45"/>
  <c r="K44"/>
  <c r="G44"/>
  <c r="C44"/>
  <c r="I43"/>
  <c r="E43"/>
  <c r="K42"/>
  <c r="G42"/>
  <c r="C42"/>
  <c r="I41"/>
  <c r="E41"/>
  <c r="K40"/>
  <c r="G40"/>
  <c r="C40"/>
  <c r="I39"/>
  <c r="E39"/>
  <c r="K38"/>
  <c r="G38"/>
  <c r="C38"/>
  <c r="I37"/>
  <c r="E37"/>
  <c r="K36"/>
  <c r="G36"/>
  <c r="C36"/>
  <c r="I35"/>
  <c r="E35"/>
  <c r="K34"/>
  <c r="G34"/>
  <c r="C34"/>
  <c r="I33"/>
  <c r="E33"/>
  <c r="K32"/>
  <c r="G32"/>
  <c r="C32"/>
  <c r="I31"/>
  <c r="E31"/>
  <c r="K30"/>
  <c r="G30"/>
  <c r="C30"/>
  <c r="I29"/>
  <c r="E29"/>
  <c r="K28"/>
  <c r="G28"/>
  <c r="C28"/>
  <c r="I27"/>
  <c r="E27"/>
  <c r="K26"/>
  <c r="G26"/>
  <c r="C26"/>
  <c r="I25"/>
  <c r="E25"/>
  <c r="K24"/>
  <c r="G24"/>
  <c r="C24"/>
  <c r="I23"/>
  <c r="E23"/>
  <c r="K22"/>
  <c r="G22"/>
  <c r="C22"/>
  <c r="I21"/>
  <c r="E21"/>
  <c r="K20"/>
  <c r="G20"/>
  <c r="C20"/>
  <c r="I19"/>
  <c r="E19"/>
  <c r="K18"/>
  <c r="G18"/>
  <c r="C18"/>
  <c r="I17"/>
  <c r="E17"/>
  <c r="K16"/>
  <c r="G16"/>
  <c r="C16"/>
  <c r="I15"/>
  <c r="E15"/>
  <c r="K14"/>
  <c r="G14"/>
  <c r="C14"/>
  <c r="I13"/>
  <c r="E13"/>
  <c r="K12"/>
  <c r="G12"/>
  <c r="C12"/>
  <c r="I11"/>
  <c r="E11"/>
  <c r="K10"/>
  <c r="G10"/>
  <c r="C10"/>
  <c r="I9"/>
  <c r="E9"/>
  <c r="I98"/>
  <c r="I96"/>
  <c r="I94"/>
  <c r="I92"/>
  <c r="I90"/>
  <c r="I88"/>
  <c r="I86"/>
  <c r="I84"/>
  <c r="I82"/>
  <c r="I80"/>
  <c r="I78"/>
  <c r="K77"/>
  <c r="G77"/>
  <c r="I76"/>
  <c r="K75"/>
  <c r="G75"/>
  <c r="I74"/>
  <c r="K73"/>
  <c r="G73"/>
  <c r="I72"/>
  <c r="K71"/>
  <c r="G71"/>
  <c r="I70"/>
  <c r="K69"/>
  <c r="G69"/>
  <c r="I68"/>
  <c r="K67"/>
  <c r="G67"/>
  <c r="I66"/>
  <c r="K65"/>
  <c r="G65"/>
  <c r="I64"/>
  <c r="K63"/>
  <c r="G63"/>
  <c r="I62"/>
  <c r="K61"/>
  <c r="G61"/>
  <c r="I60"/>
  <c r="K59"/>
  <c r="G59"/>
  <c r="I58"/>
  <c r="K57"/>
  <c r="G57"/>
  <c r="I56"/>
  <c r="K55"/>
  <c r="G55"/>
  <c r="I54"/>
  <c r="K53"/>
  <c r="G53"/>
  <c r="I52"/>
  <c r="K51"/>
  <c r="G51"/>
  <c r="I50"/>
  <c r="K49"/>
  <c r="G49"/>
  <c r="I48"/>
  <c r="K47"/>
  <c r="G47"/>
  <c r="I46"/>
  <c r="K45"/>
  <c r="G45"/>
  <c r="I44"/>
  <c r="K43"/>
  <c r="G43"/>
  <c r="I42"/>
  <c r="K41"/>
  <c r="G41"/>
  <c r="I40"/>
  <c r="K39"/>
  <c r="G39"/>
  <c r="I38"/>
  <c r="K37"/>
  <c r="G37"/>
  <c r="I36"/>
  <c r="K35"/>
  <c r="G35"/>
  <c r="I34"/>
  <c r="K33"/>
  <c r="G33"/>
  <c r="I32"/>
  <c r="K31"/>
  <c r="G31"/>
  <c r="I30"/>
  <c r="K29"/>
  <c r="G29"/>
  <c r="I28"/>
  <c r="K27"/>
  <c r="G27"/>
  <c r="I26"/>
  <c r="K25"/>
  <c r="G25"/>
  <c r="I24"/>
  <c r="K23"/>
  <c r="G23"/>
  <c r="I22"/>
  <c r="K21"/>
  <c r="G21"/>
  <c r="I20"/>
  <c r="K19"/>
  <c r="G19"/>
  <c r="I18"/>
  <c r="K17"/>
  <c r="G17"/>
  <c r="I16"/>
  <c r="K15"/>
  <c r="G15"/>
  <c r="I14"/>
  <c r="K13"/>
  <c r="G13"/>
  <c r="I12"/>
  <c r="K11"/>
  <c r="G11"/>
  <c r="I10"/>
  <c r="K9"/>
  <c r="G9"/>
  <c r="AI120" i="1"/>
  <c r="AM120"/>
  <c r="AI119"/>
  <c r="AM119"/>
  <c r="AI118"/>
  <c r="AM118"/>
  <c r="AI117"/>
  <c r="AM117"/>
  <c r="AI116"/>
  <c r="AM116"/>
  <c r="AI115"/>
  <c r="AM115"/>
  <c r="AI114"/>
  <c r="AM114"/>
  <c r="AI113"/>
  <c r="AM113"/>
  <c r="AI112"/>
  <c r="AM112"/>
  <c r="AI111"/>
  <c r="AM111"/>
  <c r="AI110"/>
  <c r="AM110"/>
  <c r="AI109"/>
  <c r="AM109"/>
  <c r="AI108"/>
  <c r="AM108"/>
  <c r="AI107"/>
  <c r="AM107"/>
  <c r="AI106"/>
  <c r="AM106"/>
  <c r="AI105"/>
  <c r="AM105"/>
  <c r="AI104"/>
  <c r="AM104"/>
  <c r="AI103"/>
  <c r="AM103"/>
  <c r="AI102"/>
  <c r="AM102"/>
  <c r="AI101"/>
  <c r="AM101"/>
  <c r="AI100"/>
  <c r="AM100"/>
  <c r="AI99"/>
  <c r="AM99"/>
  <c r="AI98"/>
  <c r="AM98"/>
  <c r="AI97"/>
  <c r="AM97"/>
  <c r="AI96"/>
  <c r="AM96"/>
  <c r="AI95"/>
  <c r="AM95"/>
  <c r="AI94"/>
  <c r="AM94"/>
  <c r="AI93"/>
  <c r="AM93"/>
  <c r="AI92"/>
  <c r="AM92"/>
  <c r="AI91"/>
  <c r="AM91"/>
  <c r="AI90"/>
  <c r="AM90"/>
  <c r="AI89"/>
  <c r="AM89"/>
  <c r="AI88"/>
  <c r="AM88"/>
  <c r="AI87"/>
  <c r="AM87"/>
  <c r="AI86"/>
  <c r="AM86"/>
  <c r="AI85"/>
  <c r="AM85"/>
  <c r="AM84"/>
  <c r="AM83"/>
  <c r="AM82"/>
  <c r="AM81"/>
  <c r="AM80"/>
  <c r="AM79"/>
  <c r="AM78"/>
  <c r="AM77"/>
  <c r="AM76"/>
  <c r="AM75"/>
  <c r="AM74"/>
  <c r="AM73"/>
  <c r="AM72"/>
  <c r="AM71"/>
  <c r="AM70"/>
  <c r="AM69"/>
  <c r="AM68"/>
  <c r="AM67"/>
  <c r="AM66"/>
  <c r="AM65"/>
  <c r="AM64"/>
  <c r="AM63"/>
  <c r="AM62"/>
  <c r="AM61"/>
  <c r="AM60"/>
  <c r="AM59"/>
  <c r="AM58"/>
  <c r="AM9"/>
  <c r="AM10"/>
  <c r="AI11"/>
  <c r="AM11"/>
  <c r="AI14"/>
  <c r="AM14"/>
  <c r="AI43"/>
  <c r="AM43"/>
  <c r="AM40"/>
  <c r="AI41"/>
  <c r="AM41"/>
  <c r="AI42"/>
  <c r="AM42"/>
  <c r="AM36"/>
  <c r="AI37"/>
  <c r="AM37"/>
  <c r="AI39"/>
  <c r="AM39"/>
  <c r="AI38"/>
  <c r="AM38"/>
  <c r="AI32"/>
  <c r="AM32"/>
  <c r="AI31"/>
  <c r="AM31"/>
  <c r="AI33"/>
  <c r="AM33"/>
  <c r="AI34"/>
  <c r="AM34"/>
  <c r="AI30"/>
  <c r="AM30"/>
  <c r="AI35"/>
  <c r="AM35"/>
  <c r="AI28"/>
  <c r="AM28"/>
  <c r="AM25"/>
  <c r="AI26"/>
  <c r="AM26"/>
  <c r="AI27"/>
  <c r="AM27"/>
  <c r="AM24"/>
  <c r="AI23"/>
  <c r="AM23"/>
  <c r="AI20"/>
  <c r="AM20"/>
  <c r="AI15"/>
  <c r="AM15"/>
  <c r="AI17"/>
  <c r="AM17"/>
  <c r="AI13"/>
  <c r="F4" s="1"/>
  <c r="D5" i="3" s="1"/>
  <c r="AM13" i="1"/>
  <c r="AA48"/>
  <c r="T48"/>
  <c r="C8" i="7"/>
  <c r="D8"/>
  <c r="E8"/>
  <c r="F8"/>
  <c r="G8"/>
  <c r="H8"/>
  <c r="I8"/>
  <c r="J8"/>
  <c r="AN7" i="3"/>
  <c r="AS7"/>
  <c r="AN8"/>
  <c r="AS8"/>
  <c r="AN9"/>
  <c r="AS9"/>
  <c r="AN10"/>
  <c r="AS10"/>
  <c r="AN11"/>
  <c r="AS11"/>
  <c r="AN12"/>
  <c r="AS12"/>
  <c r="AN13"/>
  <c r="AS13"/>
  <c r="AN14"/>
  <c r="AS14"/>
  <c r="AN15"/>
  <c r="AS15"/>
  <c r="AN16"/>
  <c r="AS16"/>
  <c r="AN17"/>
  <c r="AS17"/>
  <c r="AN18"/>
  <c r="AS18"/>
  <c r="AN19"/>
  <c r="AS19"/>
  <c r="AN20"/>
  <c r="AS20"/>
  <c r="AN21"/>
  <c r="AS21"/>
  <c r="AN22"/>
  <c r="AS22"/>
  <c r="AN23"/>
  <c r="AS23"/>
  <c r="AN24"/>
  <c r="AS24"/>
  <c r="AN25"/>
  <c r="AS25"/>
  <c r="AN26"/>
  <c r="AS26"/>
  <c r="AN27"/>
  <c r="AS27"/>
  <c r="AN28"/>
  <c r="AS28"/>
  <c r="AN29"/>
  <c r="AS29"/>
  <c r="AN30"/>
  <c r="AS30"/>
  <c r="AN31"/>
  <c r="AS31"/>
  <c r="AN32"/>
  <c r="AS32"/>
  <c r="AN33"/>
  <c r="AS33"/>
  <c r="AN34"/>
  <c r="AS34"/>
  <c r="AN35"/>
  <c r="AS35"/>
  <c r="AN36"/>
  <c r="AS36"/>
  <c r="AN37"/>
  <c r="AS37"/>
  <c r="AN38"/>
  <c r="AS38"/>
  <c r="AN39"/>
  <c r="AS39"/>
  <c r="AN40"/>
  <c r="AS40"/>
  <c r="AN41"/>
  <c r="AS41"/>
  <c r="AN42"/>
  <c r="AS42"/>
  <c r="AN43"/>
  <c r="AS43"/>
  <c r="AN44"/>
  <c r="AS44"/>
  <c r="AN45"/>
  <c r="AS45"/>
  <c r="AN46"/>
  <c r="AS46"/>
  <c r="AN47"/>
  <c r="AE7"/>
  <c r="AJ7"/>
  <c r="AE8"/>
  <c r="AJ8"/>
  <c r="AE9"/>
  <c r="AJ9"/>
  <c r="AE10"/>
  <c r="AJ10"/>
  <c r="AE11"/>
  <c r="AJ11"/>
  <c r="AE12"/>
  <c r="AJ12"/>
  <c r="AE13"/>
  <c r="AJ13"/>
  <c r="AE14"/>
  <c r="AJ14"/>
  <c r="AE15"/>
  <c r="AJ15"/>
  <c r="AE16"/>
  <c r="AJ16"/>
  <c r="AE17"/>
  <c r="AJ17"/>
  <c r="AE18"/>
  <c r="AJ18"/>
  <c r="AE19"/>
  <c r="AJ19"/>
  <c r="AE20"/>
  <c r="AJ20"/>
  <c r="AE21"/>
  <c r="AJ21"/>
  <c r="AE22"/>
  <c r="AJ22"/>
  <c r="AE23"/>
  <c r="AJ23"/>
  <c r="AE24"/>
  <c r="AJ24"/>
  <c r="AE25"/>
  <c r="AJ25"/>
  <c r="AE26"/>
  <c r="AJ26"/>
  <c r="AE27"/>
  <c r="AJ27"/>
  <c r="AE28"/>
  <c r="AJ28"/>
  <c r="AE29"/>
  <c r="AJ29"/>
  <c r="AE30"/>
  <c r="AJ30"/>
  <c r="AE31"/>
  <c r="AJ31"/>
  <c r="AE32"/>
  <c r="AJ32"/>
  <c r="AE33"/>
  <c r="AJ33"/>
  <c r="AE34"/>
  <c r="AJ34"/>
  <c r="AE35"/>
  <c r="AJ35"/>
  <c r="AE36"/>
  <c r="AJ36"/>
  <c r="AE37"/>
  <c r="AJ37"/>
  <c r="AE38"/>
  <c r="AJ38"/>
  <c r="AE39"/>
  <c r="AJ39"/>
  <c r="AE40"/>
  <c r="AJ40"/>
  <c r="AE41"/>
  <c r="AJ41"/>
  <c r="AE42"/>
  <c r="AJ42"/>
  <c r="AE43"/>
  <c r="AJ43"/>
  <c r="AE44"/>
  <c r="AJ44"/>
  <c r="AE45"/>
  <c r="AJ45"/>
  <c r="AE46"/>
  <c r="AJ46"/>
  <c r="AE47"/>
  <c r="V7"/>
  <c r="AA7"/>
  <c r="V8"/>
  <c r="AA8"/>
  <c r="V9"/>
  <c r="AA9"/>
  <c r="V10"/>
  <c r="AA10"/>
  <c r="V11"/>
  <c r="AA11"/>
  <c r="V12"/>
  <c r="AA12"/>
  <c r="V13"/>
  <c r="AA13"/>
  <c r="V14"/>
  <c r="AA14"/>
  <c r="V15"/>
  <c r="AA15"/>
  <c r="V16"/>
  <c r="AA16"/>
  <c r="V17"/>
  <c r="AA17"/>
  <c r="V18"/>
  <c r="AA18"/>
  <c r="V19"/>
  <c r="AA19"/>
  <c r="V20"/>
  <c r="AA20"/>
  <c r="V21"/>
  <c r="AA21"/>
  <c r="V22"/>
  <c r="AA22"/>
  <c r="V23"/>
  <c r="AA23"/>
  <c r="V24"/>
  <c r="AA24"/>
  <c r="V25"/>
  <c r="AA25"/>
  <c r="V26"/>
  <c r="AA26"/>
  <c r="V27"/>
  <c r="AA27"/>
  <c r="V28"/>
  <c r="AA28"/>
  <c r="V29"/>
  <c r="AA29"/>
  <c r="V30"/>
  <c r="AA30"/>
  <c r="V31"/>
  <c r="AA31"/>
  <c r="V32"/>
  <c r="AA32"/>
  <c r="V33"/>
  <c r="AA33"/>
  <c r="V34"/>
  <c r="AA34"/>
  <c r="V35"/>
  <c r="AA35"/>
  <c r="V36"/>
  <c r="AA36"/>
  <c r="V37"/>
  <c r="AA37"/>
  <c r="V38"/>
  <c r="AA38"/>
  <c r="V39"/>
  <c r="AA39"/>
  <c r="V40"/>
  <c r="AA40"/>
  <c r="V41"/>
  <c r="AA41"/>
  <c r="V42"/>
  <c r="AA42"/>
  <c r="V43"/>
  <c r="AA43"/>
  <c r="V44"/>
  <c r="AA44"/>
  <c r="V45"/>
  <c r="AA45"/>
  <c r="V46"/>
  <c r="AA46"/>
  <c r="V47"/>
  <c r="Y35" i="1" l="1"/>
  <c r="AA29"/>
  <c r="AA16"/>
  <c r="AA22"/>
  <c r="AA21"/>
  <c r="G4"/>
  <c r="M5" i="3" s="1"/>
  <c r="AV4" i="1"/>
  <c r="AR4"/>
  <c r="AN4"/>
  <c r="AJ4"/>
  <c r="AF4"/>
  <c r="AF21" l="1"/>
  <c r="AF29"/>
  <c r="AG21"/>
  <c r="AG29"/>
  <c r="AJ21"/>
  <c r="AJ29"/>
  <c r="AK21"/>
  <c r="AK29"/>
  <c r="AN21"/>
  <c r="AN29"/>
  <c r="AO21"/>
  <c r="AO29"/>
  <c r="AR21"/>
  <c r="AR29"/>
  <c r="AS21"/>
  <c r="AS29"/>
  <c r="AV21"/>
  <c r="AV29"/>
  <c r="AW21"/>
  <c r="AW29"/>
  <c r="AF6"/>
  <c r="AG6"/>
  <c r="AF18"/>
  <c r="AG18"/>
  <c r="AJ6"/>
  <c r="AK6"/>
  <c r="AJ18"/>
  <c r="AK18"/>
  <c r="AN6"/>
  <c r="AO6"/>
  <c r="AN18"/>
  <c r="AO18"/>
  <c r="AR6"/>
  <c r="AS6"/>
  <c r="AR18"/>
  <c r="AS18"/>
  <c r="AV6"/>
  <c r="AW6"/>
  <c r="AV18"/>
  <c r="AW18"/>
  <c r="AF12"/>
  <c r="AG12"/>
  <c r="AJ12"/>
  <c r="AK12"/>
  <c r="AN12"/>
  <c r="AO12"/>
  <c r="AR12"/>
  <c r="AS12"/>
  <c r="AV12"/>
  <c r="AW12"/>
  <c r="AF19"/>
  <c r="AG19"/>
  <c r="AJ19"/>
  <c r="AK19"/>
  <c r="AN19"/>
  <c r="AO19"/>
  <c r="AR19"/>
  <c r="AS19"/>
  <c r="AV19"/>
  <c r="AW19"/>
  <c r="AF7"/>
  <c r="AG7"/>
  <c r="AJ7"/>
  <c r="AK7"/>
  <c r="AN7"/>
  <c r="AO7"/>
  <c r="AR7"/>
  <c r="AS7"/>
  <c r="AV7"/>
  <c r="AW7"/>
  <c r="AF22"/>
  <c r="AG22"/>
  <c r="AF8"/>
  <c r="AG8"/>
  <c r="AJ22"/>
  <c r="AK22"/>
  <c r="AJ8"/>
  <c r="AK8"/>
  <c r="AN22"/>
  <c r="AO22"/>
  <c r="AN8"/>
  <c r="AO8"/>
  <c r="AR22"/>
  <c r="AS22"/>
  <c r="AR8"/>
  <c r="AS8"/>
  <c r="AV22"/>
  <c r="AW22"/>
  <c r="AW8"/>
  <c r="AV8"/>
  <c r="AF16"/>
  <c r="AG16"/>
  <c r="AJ16"/>
  <c r="AK16"/>
  <c r="AN16"/>
  <c r="AO16"/>
  <c r="AR16"/>
  <c r="AS16"/>
  <c r="AW16"/>
  <c r="AV16"/>
  <c r="AF44"/>
  <c r="AG44"/>
  <c r="AF49"/>
  <c r="AG49"/>
  <c r="AF54"/>
  <c r="AG54"/>
  <c r="AF51"/>
  <c r="AG51"/>
  <c r="AG57"/>
  <c r="AF57"/>
  <c r="AJ44"/>
  <c r="AK44"/>
  <c r="AJ49"/>
  <c r="AK49"/>
  <c r="AJ54"/>
  <c r="AK54"/>
  <c r="AJ51"/>
  <c r="AK51"/>
  <c r="AK57"/>
  <c r="AJ57"/>
  <c r="AN44"/>
  <c r="AO44"/>
  <c r="AN49"/>
  <c r="AO49"/>
  <c r="AN54"/>
  <c r="AO54"/>
  <c r="AN51"/>
  <c r="AO51"/>
  <c r="AO57"/>
  <c r="AN57"/>
  <c r="AR44"/>
  <c r="AS44"/>
  <c r="AR49"/>
  <c r="AS49"/>
  <c r="AR54"/>
  <c r="AS54"/>
  <c r="AR51"/>
  <c r="AS51"/>
  <c r="AS57"/>
  <c r="AR57"/>
  <c r="AW54"/>
  <c r="AW44"/>
  <c r="AW49"/>
  <c r="AV44"/>
  <c r="AV49"/>
  <c r="AV54"/>
  <c r="AW51"/>
  <c r="AV51"/>
  <c r="AW57"/>
  <c r="AV57"/>
  <c r="AF52"/>
  <c r="AG52"/>
  <c r="AF56"/>
  <c r="AG56"/>
  <c r="AJ52"/>
  <c r="AK52"/>
  <c r="AJ56"/>
  <c r="AK56"/>
  <c r="AN52"/>
  <c r="AO52"/>
  <c r="AN56"/>
  <c r="AO56"/>
  <c r="AR52"/>
  <c r="AS52"/>
  <c r="AR56"/>
  <c r="AS56"/>
  <c r="AW56"/>
  <c r="AW52"/>
  <c r="AV52"/>
  <c r="AV56"/>
  <c r="AF53"/>
  <c r="AG53"/>
  <c r="AF55"/>
  <c r="AG55"/>
  <c r="AJ53"/>
  <c r="AK53"/>
  <c r="AJ55"/>
  <c r="AK55"/>
  <c r="AN53"/>
  <c r="AO53"/>
  <c r="AN55"/>
  <c r="AO55"/>
  <c r="AR53"/>
  <c r="AS53"/>
  <c r="AR55"/>
  <c r="AS55"/>
  <c r="AW53"/>
  <c r="AW55"/>
  <c r="AV53"/>
  <c r="AV55"/>
  <c r="AF46"/>
  <c r="AG46"/>
  <c r="AF50"/>
  <c r="AG50"/>
  <c r="AJ46"/>
  <c r="AK46"/>
  <c r="AJ50"/>
  <c r="AK50"/>
  <c r="AN46"/>
  <c r="AO46"/>
  <c r="AN50"/>
  <c r="AO50"/>
  <c r="AR46"/>
  <c r="AS46"/>
  <c r="AR50"/>
  <c r="AS50"/>
  <c r="AW46"/>
  <c r="AW50"/>
  <c r="AV46"/>
  <c r="AX46" s="1"/>
  <c r="AV50"/>
  <c r="AF45"/>
  <c r="AG45"/>
  <c r="AF47"/>
  <c r="AG47"/>
  <c r="AJ45"/>
  <c r="AK45"/>
  <c r="AJ47"/>
  <c r="AK47"/>
  <c r="AN45"/>
  <c r="AO45"/>
  <c r="AN47"/>
  <c r="AO47"/>
  <c r="AR45"/>
  <c r="AS45"/>
  <c r="AR47"/>
  <c r="AS47"/>
  <c r="AW45"/>
  <c r="AV45"/>
  <c r="AW47"/>
  <c r="AV47"/>
  <c r="AF48"/>
  <c r="AG48"/>
  <c r="AJ48"/>
  <c r="AK48"/>
  <c r="AN48"/>
  <c r="AO48"/>
  <c r="AR48"/>
  <c r="AS48"/>
  <c r="AV48"/>
  <c r="AW48"/>
  <c r="AF120"/>
  <c r="AF119"/>
  <c r="AF118"/>
  <c r="AF117"/>
  <c r="AF116"/>
  <c r="AF115"/>
  <c r="AF114"/>
  <c r="AF113"/>
  <c r="AF112"/>
  <c r="AF111"/>
  <c r="AF110"/>
  <c r="AF109"/>
  <c r="AF108"/>
  <c r="AF107"/>
  <c r="AF106"/>
  <c r="AF105"/>
  <c r="AF104"/>
  <c r="AF103"/>
  <c r="AF102"/>
  <c r="AF101"/>
  <c r="AF100"/>
  <c r="AF99"/>
  <c r="AF98"/>
  <c r="AF97"/>
  <c r="AF96"/>
  <c r="AF95"/>
  <c r="AF94"/>
  <c r="AF93"/>
  <c r="AF92"/>
  <c r="AF91"/>
  <c r="AF90"/>
  <c r="AF89"/>
  <c r="AF88"/>
  <c r="AF87"/>
  <c r="AF86"/>
  <c r="AF85"/>
  <c r="AF84"/>
  <c r="AF83"/>
  <c r="AF82"/>
  <c r="AF81"/>
  <c r="AF80"/>
  <c r="AF79"/>
  <c r="AF78"/>
  <c r="AF77"/>
  <c r="AF17"/>
  <c r="AG17"/>
  <c r="AF76"/>
  <c r="AG76"/>
  <c r="AF75"/>
  <c r="AG75"/>
  <c r="AF74"/>
  <c r="AG74"/>
  <c r="AF73"/>
  <c r="AG73"/>
  <c r="AF72"/>
  <c r="AG72"/>
  <c r="AF71"/>
  <c r="AG71"/>
  <c r="AF70"/>
  <c r="AG70"/>
  <c r="AF69"/>
  <c r="AG69"/>
  <c r="AF68"/>
  <c r="AG68"/>
  <c r="AF67"/>
  <c r="AG67"/>
  <c r="AF66"/>
  <c r="AG66"/>
  <c r="AF65"/>
  <c r="AG65"/>
  <c r="AF64"/>
  <c r="AG64"/>
  <c r="AF63"/>
  <c r="AG63"/>
  <c r="AF62"/>
  <c r="AG62"/>
  <c r="AF61"/>
  <c r="AG61"/>
  <c r="AF60"/>
  <c r="AG60"/>
  <c r="AF59"/>
  <c r="AG59"/>
  <c r="AF58"/>
  <c r="AG58"/>
  <c r="AF9"/>
  <c r="AG9"/>
  <c r="AF10"/>
  <c r="AG10"/>
  <c r="AF11"/>
  <c r="AG11"/>
  <c r="AF14"/>
  <c r="AG14"/>
  <c r="AF40"/>
  <c r="AG40"/>
  <c r="AF41"/>
  <c r="AG41"/>
  <c r="AF42"/>
  <c r="AG42"/>
  <c r="AF36"/>
  <c r="AG36"/>
  <c r="AF37"/>
  <c r="AG37"/>
  <c r="AF39"/>
  <c r="AG39"/>
  <c r="AF38"/>
  <c r="AG38"/>
  <c r="AF32"/>
  <c r="AG32"/>
  <c r="AF31"/>
  <c r="AG31"/>
  <c r="AF33"/>
  <c r="AG33"/>
  <c r="AF34"/>
  <c r="AG34"/>
  <c r="AF30"/>
  <c r="AG30"/>
  <c r="AF35"/>
  <c r="AG35"/>
  <c r="AF28"/>
  <c r="AG28"/>
  <c r="AF25"/>
  <c r="AG25"/>
  <c r="AF26"/>
  <c r="AG26"/>
  <c r="AF27"/>
  <c r="AG27"/>
  <c r="AF24"/>
  <c r="AG24"/>
  <c r="AF23"/>
  <c r="AG23"/>
  <c r="AG120"/>
  <c r="AH120" s="1"/>
  <c r="AG119"/>
  <c r="AG118"/>
  <c r="AH118" s="1"/>
  <c r="AG117"/>
  <c r="AH117" s="1"/>
  <c r="AG116"/>
  <c r="AH116" s="1"/>
  <c r="AG115"/>
  <c r="AG114"/>
  <c r="AH114" s="1"/>
  <c r="AG113"/>
  <c r="AH113" s="1"/>
  <c r="AG112"/>
  <c r="AH112" s="1"/>
  <c r="AG111"/>
  <c r="AG110"/>
  <c r="AH110" s="1"/>
  <c r="AG109"/>
  <c r="AH109" s="1"/>
  <c r="AG108"/>
  <c r="AH108" s="1"/>
  <c r="AG107"/>
  <c r="AG106"/>
  <c r="AH106" s="1"/>
  <c r="AG105"/>
  <c r="AH105" s="1"/>
  <c r="AG104"/>
  <c r="AH104" s="1"/>
  <c r="AG103"/>
  <c r="AG102"/>
  <c r="AH102" s="1"/>
  <c r="AG101"/>
  <c r="AH101" s="1"/>
  <c r="AG100"/>
  <c r="AH100" s="1"/>
  <c r="AG99"/>
  <c r="AG98"/>
  <c r="AH98" s="1"/>
  <c r="AG97"/>
  <c r="AH97" s="1"/>
  <c r="AG96"/>
  <c r="AH96" s="1"/>
  <c r="AG95"/>
  <c r="AG94"/>
  <c r="AH94" s="1"/>
  <c r="AG93"/>
  <c r="AH93" s="1"/>
  <c r="AG92"/>
  <c r="AH92" s="1"/>
  <c r="AG91"/>
  <c r="AG90"/>
  <c r="AH90" s="1"/>
  <c r="AG89"/>
  <c r="AH89" s="1"/>
  <c r="AG88"/>
  <c r="AH88" s="1"/>
  <c r="AG87"/>
  <c r="AG86"/>
  <c r="AH86" s="1"/>
  <c r="AG85"/>
  <c r="AH85" s="1"/>
  <c r="AG84"/>
  <c r="AH84" s="1"/>
  <c r="AG83"/>
  <c r="AG82"/>
  <c r="AH82" s="1"/>
  <c r="AG81"/>
  <c r="AH81" s="1"/>
  <c r="AG80"/>
  <c r="AH80" s="1"/>
  <c r="AG79"/>
  <c r="AG78"/>
  <c r="AH78" s="1"/>
  <c r="AG77"/>
  <c r="AH77" s="1"/>
  <c r="AK17"/>
  <c r="AJ17"/>
  <c r="AJ76"/>
  <c r="AK76"/>
  <c r="AJ75"/>
  <c r="AK75"/>
  <c r="AJ74"/>
  <c r="AK74"/>
  <c r="AJ73"/>
  <c r="AK73"/>
  <c r="AJ72"/>
  <c r="AK72"/>
  <c r="AJ71"/>
  <c r="AK71"/>
  <c r="AJ70"/>
  <c r="AK70"/>
  <c r="AJ69"/>
  <c r="AK69"/>
  <c r="AJ68"/>
  <c r="AK68"/>
  <c r="AJ67"/>
  <c r="AK67"/>
  <c r="AJ66"/>
  <c r="AK66"/>
  <c r="AJ65"/>
  <c r="AK65"/>
  <c r="AJ64"/>
  <c r="AK64"/>
  <c r="AJ63"/>
  <c r="AK63"/>
  <c r="AJ62"/>
  <c r="AK62"/>
  <c r="AJ61"/>
  <c r="AK61"/>
  <c r="AJ60"/>
  <c r="AK60"/>
  <c r="AJ59"/>
  <c r="AK59"/>
  <c r="AJ58"/>
  <c r="AK58"/>
  <c r="AJ9"/>
  <c r="AK9"/>
  <c r="AJ10"/>
  <c r="AK10"/>
  <c r="AJ11"/>
  <c r="AK11"/>
  <c r="AJ14"/>
  <c r="AK14"/>
  <c r="AJ40"/>
  <c r="AK40"/>
  <c r="AJ41"/>
  <c r="AK41"/>
  <c r="AJ42"/>
  <c r="AK42"/>
  <c r="AJ36"/>
  <c r="AK36"/>
  <c r="AJ37"/>
  <c r="AK37"/>
  <c r="AJ39"/>
  <c r="AK39"/>
  <c r="AJ38"/>
  <c r="AK38"/>
  <c r="AJ32"/>
  <c r="AK32"/>
  <c r="AJ31"/>
  <c r="AK31"/>
  <c r="AJ33"/>
  <c r="AK33"/>
  <c r="AJ34"/>
  <c r="AK34"/>
  <c r="AJ30"/>
  <c r="AK30"/>
  <c r="AJ35"/>
  <c r="AK35"/>
  <c r="AJ28"/>
  <c r="AK28"/>
  <c r="AJ25"/>
  <c r="AK25"/>
  <c r="AJ26"/>
  <c r="AK26"/>
  <c r="AJ27"/>
  <c r="AK27"/>
  <c r="AJ24"/>
  <c r="AK24"/>
  <c r="AJ23"/>
  <c r="AK23"/>
  <c r="AK120"/>
  <c r="AJ120"/>
  <c r="AK119"/>
  <c r="AJ119"/>
  <c r="AK118"/>
  <c r="AJ118"/>
  <c r="AK117"/>
  <c r="AJ117"/>
  <c r="AK116"/>
  <c r="AJ116"/>
  <c r="AK115"/>
  <c r="AJ115"/>
  <c r="AK114"/>
  <c r="AJ114"/>
  <c r="AK113"/>
  <c r="AJ113"/>
  <c r="AK112"/>
  <c r="AJ112"/>
  <c r="AK111"/>
  <c r="AJ111"/>
  <c r="AK110"/>
  <c r="AJ110"/>
  <c r="AK109"/>
  <c r="AJ109"/>
  <c r="AK108"/>
  <c r="AJ108"/>
  <c r="AK107"/>
  <c r="AJ107"/>
  <c r="AK106"/>
  <c r="AJ106"/>
  <c r="AK105"/>
  <c r="AJ105"/>
  <c r="AK104"/>
  <c r="AJ104"/>
  <c r="AK103"/>
  <c r="AJ103"/>
  <c r="AK102"/>
  <c r="AJ102"/>
  <c r="AK101"/>
  <c r="AJ101"/>
  <c r="AK100"/>
  <c r="AJ100"/>
  <c r="AK99"/>
  <c r="AJ99"/>
  <c r="AK98"/>
  <c r="AJ98"/>
  <c r="AK97"/>
  <c r="AJ97"/>
  <c r="AK96"/>
  <c r="AJ96"/>
  <c r="AK95"/>
  <c r="AJ95"/>
  <c r="AK94"/>
  <c r="AJ94"/>
  <c r="AK93"/>
  <c r="AJ93"/>
  <c r="AK92"/>
  <c r="AJ92"/>
  <c r="AK91"/>
  <c r="AJ91"/>
  <c r="AK90"/>
  <c r="AJ90"/>
  <c r="AK89"/>
  <c r="AJ89"/>
  <c r="AK88"/>
  <c r="AJ88"/>
  <c r="AK87"/>
  <c r="AJ87"/>
  <c r="AK86"/>
  <c r="AJ86"/>
  <c r="AK85"/>
  <c r="AJ85"/>
  <c r="AK84"/>
  <c r="AJ84"/>
  <c r="AK83"/>
  <c r="AJ83"/>
  <c r="AK82"/>
  <c r="AJ82"/>
  <c r="AK81"/>
  <c r="AJ81"/>
  <c r="AK80"/>
  <c r="AJ80"/>
  <c r="AK79"/>
  <c r="AJ79"/>
  <c r="AK78"/>
  <c r="AJ78"/>
  <c r="AK77"/>
  <c r="AJ77"/>
  <c r="AO17"/>
  <c r="AN17"/>
  <c r="AN76"/>
  <c r="AO76"/>
  <c r="AN75"/>
  <c r="AO75"/>
  <c r="AN74"/>
  <c r="AO74"/>
  <c r="AN73"/>
  <c r="AO73"/>
  <c r="AN72"/>
  <c r="AO72"/>
  <c r="AN71"/>
  <c r="AO71"/>
  <c r="AN70"/>
  <c r="AO70"/>
  <c r="AN69"/>
  <c r="AO69"/>
  <c r="AN68"/>
  <c r="AO68"/>
  <c r="AN67"/>
  <c r="AO67"/>
  <c r="AN66"/>
  <c r="AO66"/>
  <c r="AN65"/>
  <c r="AO65"/>
  <c r="AN64"/>
  <c r="AO64"/>
  <c r="AN63"/>
  <c r="AO63"/>
  <c r="AN62"/>
  <c r="AO62"/>
  <c r="AN61"/>
  <c r="AO61"/>
  <c r="AN60"/>
  <c r="AO60"/>
  <c r="AN59"/>
  <c r="AO59"/>
  <c r="AN58"/>
  <c r="AO58"/>
  <c r="AN9"/>
  <c r="AO9"/>
  <c r="AN10"/>
  <c r="AO10"/>
  <c r="AN11"/>
  <c r="AO11"/>
  <c r="AN14"/>
  <c r="AO14"/>
  <c r="AN40"/>
  <c r="AO40"/>
  <c r="AN41"/>
  <c r="AO41"/>
  <c r="AN42"/>
  <c r="AO42"/>
  <c r="AN36"/>
  <c r="AO36"/>
  <c r="AN37"/>
  <c r="AO37"/>
  <c r="AN39"/>
  <c r="AO39"/>
  <c r="AN38"/>
  <c r="AO38"/>
  <c r="AN32"/>
  <c r="AO32"/>
  <c r="AN31"/>
  <c r="AO31"/>
  <c r="AN33"/>
  <c r="AO33"/>
  <c r="AN34"/>
  <c r="AO34"/>
  <c r="AN30"/>
  <c r="AO30"/>
  <c r="AN35"/>
  <c r="AO35"/>
  <c r="AN28"/>
  <c r="AO28"/>
  <c r="AN25"/>
  <c r="AO25"/>
  <c r="AN26"/>
  <c r="AO26"/>
  <c r="AN27"/>
  <c r="AO27"/>
  <c r="AN24"/>
  <c r="AO24"/>
  <c r="AN23"/>
  <c r="AO23"/>
  <c r="AO120"/>
  <c r="AN120"/>
  <c r="AO119"/>
  <c r="AN119"/>
  <c r="AO118"/>
  <c r="AN118"/>
  <c r="AO117"/>
  <c r="AN117"/>
  <c r="AO116"/>
  <c r="AN116"/>
  <c r="AO115"/>
  <c r="AN115"/>
  <c r="AO114"/>
  <c r="AN114"/>
  <c r="AO113"/>
  <c r="AN113"/>
  <c r="AO112"/>
  <c r="AN112"/>
  <c r="AO111"/>
  <c r="AN111"/>
  <c r="AO110"/>
  <c r="AN110"/>
  <c r="AO109"/>
  <c r="AN109"/>
  <c r="AO108"/>
  <c r="AN108"/>
  <c r="AO107"/>
  <c r="AN107"/>
  <c r="AO106"/>
  <c r="AN106"/>
  <c r="AO105"/>
  <c r="AN105"/>
  <c r="AO104"/>
  <c r="AN104"/>
  <c r="AO103"/>
  <c r="AN103"/>
  <c r="AO102"/>
  <c r="AN102"/>
  <c r="AO101"/>
  <c r="AN101"/>
  <c r="AO100"/>
  <c r="AN100"/>
  <c r="AO99"/>
  <c r="AN99"/>
  <c r="AO98"/>
  <c r="AN98"/>
  <c r="AO97"/>
  <c r="AN97"/>
  <c r="AO96"/>
  <c r="AN96"/>
  <c r="AO95"/>
  <c r="AN95"/>
  <c r="AO94"/>
  <c r="AN94"/>
  <c r="AO93"/>
  <c r="AN93"/>
  <c r="AO92"/>
  <c r="AN92"/>
  <c r="AO91"/>
  <c r="AN91"/>
  <c r="AO90"/>
  <c r="AN90"/>
  <c r="AO89"/>
  <c r="AN89"/>
  <c r="AO88"/>
  <c r="AN88"/>
  <c r="AO87"/>
  <c r="AN87"/>
  <c r="AO86"/>
  <c r="AN86"/>
  <c r="AO85"/>
  <c r="AN85"/>
  <c r="AO84"/>
  <c r="AN84"/>
  <c r="AO83"/>
  <c r="AN83"/>
  <c r="AO82"/>
  <c r="AN82"/>
  <c r="AO81"/>
  <c r="AN81"/>
  <c r="AO80"/>
  <c r="AN80"/>
  <c r="AO79"/>
  <c r="AN79"/>
  <c r="AO78"/>
  <c r="AN78"/>
  <c r="AO77"/>
  <c r="AN77"/>
  <c r="AP77" s="1"/>
  <c r="AS17"/>
  <c r="AR17"/>
  <c r="AR76"/>
  <c r="AS76"/>
  <c r="AR75"/>
  <c r="AS75"/>
  <c r="AR74"/>
  <c r="AS74"/>
  <c r="AR73"/>
  <c r="AS73"/>
  <c r="AR72"/>
  <c r="AS72"/>
  <c r="AR71"/>
  <c r="AS71"/>
  <c r="AR70"/>
  <c r="AS70"/>
  <c r="AR69"/>
  <c r="AS69"/>
  <c r="AR68"/>
  <c r="AS68"/>
  <c r="AR67"/>
  <c r="AS67"/>
  <c r="AR66"/>
  <c r="AS66"/>
  <c r="AR65"/>
  <c r="AS65"/>
  <c r="AR64"/>
  <c r="AS64"/>
  <c r="AR63"/>
  <c r="AS63"/>
  <c r="AR62"/>
  <c r="AS62"/>
  <c r="AR61"/>
  <c r="AS61"/>
  <c r="AR60"/>
  <c r="AS60"/>
  <c r="AR59"/>
  <c r="AS59"/>
  <c r="AR58"/>
  <c r="AS58"/>
  <c r="AR9"/>
  <c r="AS9"/>
  <c r="AR10"/>
  <c r="AS10"/>
  <c r="AR11"/>
  <c r="AS11"/>
  <c r="AR14"/>
  <c r="AS14"/>
  <c r="AR40"/>
  <c r="AS40"/>
  <c r="AR41"/>
  <c r="AS41"/>
  <c r="AR42"/>
  <c r="AS42"/>
  <c r="AR36"/>
  <c r="AS36"/>
  <c r="AR37"/>
  <c r="AS37"/>
  <c r="AR39"/>
  <c r="AS39"/>
  <c r="AR38"/>
  <c r="AS38"/>
  <c r="AR32"/>
  <c r="AS32"/>
  <c r="AR31"/>
  <c r="AS31"/>
  <c r="AR33"/>
  <c r="AS33"/>
  <c r="AR34"/>
  <c r="AS34"/>
  <c r="AR30"/>
  <c r="AS30"/>
  <c r="AR35"/>
  <c r="AS35"/>
  <c r="AR28"/>
  <c r="AS28"/>
  <c r="AR25"/>
  <c r="AS25"/>
  <c r="AR26"/>
  <c r="AS26"/>
  <c r="AR27"/>
  <c r="AS27"/>
  <c r="AR24"/>
  <c r="AS24"/>
  <c r="AR23"/>
  <c r="AS23"/>
  <c r="AS120"/>
  <c r="AR120"/>
  <c r="AT120" s="1"/>
  <c r="AS119"/>
  <c r="AR119"/>
  <c r="AS118"/>
  <c r="AR118"/>
  <c r="AT118" s="1"/>
  <c r="AS117"/>
  <c r="AR117"/>
  <c r="AS116"/>
  <c r="AR116"/>
  <c r="AT116" s="1"/>
  <c r="AS115"/>
  <c r="AR115"/>
  <c r="AS114"/>
  <c r="AR114"/>
  <c r="AT114" s="1"/>
  <c r="AS113"/>
  <c r="AR113"/>
  <c r="AS112"/>
  <c r="AR112"/>
  <c r="AT112" s="1"/>
  <c r="AS111"/>
  <c r="AR111"/>
  <c r="AS110"/>
  <c r="AR110"/>
  <c r="AT110" s="1"/>
  <c r="AS109"/>
  <c r="AR109"/>
  <c r="AS108"/>
  <c r="AR108"/>
  <c r="AT108" s="1"/>
  <c r="AS107"/>
  <c r="AR107"/>
  <c r="AT107" s="1"/>
  <c r="AS106"/>
  <c r="AR106"/>
  <c r="AT106" s="1"/>
  <c r="AS105"/>
  <c r="AR105"/>
  <c r="AT105" s="1"/>
  <c r="AS104"/>
  <c r="AR104"/>
  <c r="AT104" s="1"/>
  <c r="AS103"/>
  <c r="AR103"/>
  <c r="AT103" s="1"/>
  <c r="AS102"/>
  <c r="AR102"/>
  <c r="AT102" s="1"/>
  <c r="AS101"/>
  <c r="AR101"/>
  <c r="AT101" s="1"/>
  <c r="AS100"/>
  <c r="AR100"/>
  <c r="AT100" s="1"/>
  <c r="AS99"/>
  <c r="AR99"/>
  <c r="AT99" s="1"/>
  <c r="AS98"/>
  <c r="AR98"/>
  <c r="AT98" s="1"/>
  <c r="AS97"/>
  <c r="AR97"/>
  <c r="AS96"/>
  <c r="AR96"/>
  <c r="AT96" s="1"/>
  <c r="AS95"/>
  <c r="AR95"/>
  <c r="AS94"/>
  <c r="AR94"/>
  <c r="AT94" s="1"/>
  <c r="AS93"/>
  <c r="AR93"/>
  <c r="AS92"/>
  <c r="AR92"/>
  <c r="AT92" s="1"/>
  <c r="AS91"/>
  <c r="AR91"/>
  <c r="AS90"/>
  <c r="AR90"/>
  <c r="AT90" s="1"/>
  <c r="AS89"/>
  <c r="AR89"/>
  <c r="AS88"/>
  <c r="AR88"/>
  <c r="AT88" s="1"/>
  <c r="AS87"/>
  <c r="AR87"/>
  <c r="AS86"/>
  <c r="AR86"/>
  <c r="AT86" s="1"/>
  <c r="AS85"/>
  <c r="AR85"/>
  <c r="AS84"/>
  <c r="AR84"/>
  <c r="AT84" s="1"/>
  <c r="AS83"/>
  <c r="AR83"/>
  <c r="AS82"/>
  <c r="AR82"/>
  <c r="AT82" s="1"/>
  <c r="AS81"/>
  <c r="AR81"/>
  <c r="AS80"/>
  <c r="AR80"/>
  <c r="AT80" s="1"/>
  <c r="AS79"/>
  <c r="AR79"/>
  <c r="AS78"/>
  <c r="AR78"/>
  <c r="AT78" s="1"/>
  <c r="AS77"/>
  <c r="AR77"/>
  <c r="AW17"/>
  <c r="AV17"/>
  <c r="AX17" s="1"/>
  <c r="AV76"/>
  <c r="AW76"/>
  <c r="AV75"/>
  <c r="AW75"/>
  <c r="AV74"/>
  <c r="AW74"/>
  <c r="AV73"/>
  <c r="AW73"/>
  <c r="AV72"/>
  <c r="AW72"/>
  <c r="AV71"/>
  <c r="AW71"/>
  <c r="AV70"/>
  <c r="AW70"/>
  <c r="AV69"/>
  <c r="AW69"/>
  <c r="AV68"/>
  <c r="AW68"/>
  <c r="AV67"/>
  <c r="AW67"/>
  <c r="AV66"/>
  <c r="AW66"/>
  <c r="AV65"/>
  <c r="AW65"/>
  <c r="AV64"/>
  <c r="AW64"/>
  <c r="AV63"/>
  <c r="AW63"/>
  <c r="AV62"/>
  <c r="AW62"/>
  <c r="AV61"/>
  <c r="AW61"/>
  <c r="AV60"/>
  <c r="AW60"/>
  <c r="AV59"/>
  <c r="AW59"/>
  <c r="AV58"/>
  <c r="AW58"/>
  <c r="AV9"/>
  <c r="AW9"/>
  <c r="AV10"/>
  <c r="AW10"/>
  <c r="AV11"/>
  <c r="AW11"/>
  <c r="AV14"/>
  <c r="AW14"/>
  <c r="AV40"/>
  <c r="AW40"/>
  <c r="AV41"/>
  <c r="AW41"/>
  <c r="AV42"/>
  <c r="AW42"/>
  <c r="AV36"/>
  <c r="AW36"/>
  <c r="AV37"/>
  <c r="AW37"/>
  <c r="AV39"/>
  <c r="AW39"/>
  <c r="AV38"/>
  <c r="AW38"/>
  <c r="AV32"/>
  <c r="AW32"/>
  <c r="AV31"/>
  <c r="AW31"/>
  <c r="AV33"/>
  <c r="AW33"/>
  <c r="AV34"/>
  <c r="AW34"/>
  <c r="AV30"/>
  <c r="AW30"/>
  <c r="AV35"/>
  <c r="AW35"/>
  <c r="AV28"/>
  <c r="AW28"/>
  <c r="AV25"/>
  <c r="AW25"/>
  <c r="AV26"/>
  <c r="AW26"/>
  <c r="AV27"/>
  <c r="AW27"/>
  <c r="AV24"/>
  <c r="AW24"/>
  <c r="AV23"/>
  <c r="AW23"/>
  <c r="AW120"/>
  <c r="AV120"/>
  <c r="AW119"/>
  <c r="AV119"/>
  <c r="AX119" s="1"/>
  <c r="AW118"/>
  <c r="AV118"/>
  <c r="AW117"/>
  <c r="AV117"/>
  <c r="AX117" s="1"/>
  <c r="AW116"/>
  <c r="AV116"/>
  <c r="AW115"/>
  <c r="AV115"/>
  <c r="AX115" s="1"/>
  <c r="AW114"/>
  <c r="AV114"/>
  <c r="AW113"/>
  <c r="AV113"/>
  <c r="AX113" s="1"/>
  <c r="AW112"/>
  <c r="AV112"/>
  <c r="AW111"/>
  <c r="AV111"/>
  <c r="AX111" s="1"/>
  <c r="AW110"/>
  <c r="AV110"/>
  <c r="AW109"/>
  <c r="AV109"/>
  <c r="AX109" s="1"/>
  <c r="AW108"/>
  <c r="AV108"/>
  <c r="AW107"/>
  <c r="AV107"/>
  <c r="AX107" s="1"/>
  <c r="AW106"/>
  <c r="AV106"/>
  <c r="AW105"/>
  <c r="AV105"/>
  <c r="AX105" s="1"/>
  <c r="AW104"/>
  <c r="AV104"/>
  <c r="AW103"/>
  <c r="AV103"/>
  <c r="AX103" s="1"/>
  <c r="AW102"/>
  <c r="AV102"/>
  <c r="AW101"/>
  <c r="AV101"/>
  <c r="AX101" s="1"/>
  <c r="AW100"/>
  <c r="AV100"/>
  <c r="AW99"/>
  <c r="AV99"/>
  <c r="AX99" s="1"/>
  <c r="AW98"/>
  <c r="AV98"/>
  <c r="AW97"/>
  <c r="AV97"/>
  <c r="AX97" s="1"/>
  <c r="AW96"/>
  <c r="AV96"/>
  <c r="AX96" s="1"/>
  <c r="AW95"/>
  <c r="AV95"/>
  <c r="AX95" s="1"/>
  <c r="AW94"/>
  <c r="AV94"/>
  <c r="AX94" s="1"/>
  <c r="AW93"/>
  <c r="AV93"/>
  <c r="AX93" s="1"/>
  <c r="AW92"/>
  <c r="AV92"/>
  <c r="AX92" s="1"/>
  <c r="AW91"/>
  <c r="AV91"/>
  <c r="AX91" s="1"/>
  <c r="AW90"/>
  <c r="AV90"/>
  <c r="AX90" s="1"/>
  <c r="AW89"/>
  <c r="AV89"/>
  <c r="AX89" s="1"/>
  <c r="AW88"/>
  <c r="AV88"/>
  <c r="AX88" s="1"/>
  <c r="AW87"/>
  <c r="AV87"/>
  <c r="AX87" s="1"/>
  <c r="AW86"/>
  <c r="AV86"/>
  <c r="AX86" s="1"/>
  <c r="AW85"/>
  <c r="AV85"/>
  <c r="AX85" s="1"/>
  <c r="AW84"/>
  <c r="AV84"/>
  <c r="AX84" s="1"/>
  <c r="AW83"/>
  <c r="AV83"/>
  <c r="AX83" s="1"/>
  <c r="AW82"/>
  <c r="AV82"/>
  <c r="AX82" s="1"/>
  <c r="AW81"/>
  <c r="AV81"/>
  <c r="AX81" s="1"/>
  <c r="AW80"/>
  <c r="AV80"/>
  <c r="AX80" s="1"/>
  <c r="AW79"/>
  <c r="AV79"/>
  <c r="AX79" s="1"/>
  <c r="AW78"/>
  <c r="AV78"/>
  <c r="AX78" s="1"/>
  <c r="AW77"/>
  <c r="AV77"/>
  <c r="AX77" s="1"/>
  <c r="T43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F15"/>
  <c r="AD15" s="1"/>
  <c r="F20"/>
  <c r="AD20" s="1"/>
  <c r="F23"/>
  <c r="F24"/>
  <c r="F27"/>
  <c r="F26"/>
  <c r="F25"/>
  <c r="F28"/>
  <c r="F35"/>
  <c r="F30"/>
  <c r="F34"/>
  <c r="F33"/>
  <c r="F31"/>
  <c r="F32"/>
  <c r="F38"/>
  <c r="F39"/>
  <c r="F37"/>
  <c r="F36"/>
  <c r="F42"/>
  <c r="F41"/>
  <c r="F40"/>
  <c r="F43"/>
  <c r="AD43" s="1"/>
  <c r="AF43" s="1"/>
  <c r="F14"/>
  <c r="F11"/>
  <c r="F10"/>
  <c r="F9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7"/>
  <c r="AB63"/>
  <c r="AA63" s="1"/>
  <c r="AC63"/>
  <c r="AB64"/>
  <c r="AA64" s="1"/>
  <c r="AC64"/>
  <c r="AB65"/>
  <c r="AA65" s="1"/>
  <c r="AC65"/>
  <c r="AB66"/>
  <c r="AA66" s="1"/>
  <c r="AC66"/>
  <c r="AB67"/>
  <c r="AA67" s="1"/>
  <c r="AC67"/>
  <c r="AB68"/>
  <c r="AA68" s="1"/>
  <c r="AC68"/>
  <c r="AB69"/>
  <c r="AA69" s="1"/>
  <c r="AC69"/>
  <c r="AB70"/>
  <c r="AA70" s="1"/>
  <c r="AC70"/>
  <c r="AB71"/>
  <c r="AA71" s="1"/>
  <c r="AC71"/>
  <c r="AB72"/>
  <c r="AA72" s="1"/>
  <c r="AC72"/>
  <c r="AB73"/>
  <c r="AA73" s="1"/>
  <c r="AC73"/>
  <c r="AB74"/>
  <c r="AA74" s="1"/>
  <c r="AC74"/>
  <c r="AB75"/>
  <c r="AA75" s="1"/>
  <c r="AC75"/>
  <c r="AB76"/>
  <c r="AA76" s="1"/>
  <c r="AC76"/>
  <c r="AB77"/>
  <c r="AA77" s="1"/>
  <c r="AC77"/>
  <c r="AB78"/>
  <c r="AA78" s="1"/>
  <c r="AC78"/>
  <c r="AB79"/>
  <c r="AA79" s="1"/>
  <c r="AC79"/>
  <c r="AB80"/>
  <c r="AA80" s="1"/>
  <c r="AC80"/>
  <c r="AB81"/>
  <c r="AA81" s="1"/>
  <c r="AC81"/>
  <c r="AB82"/>
  <c r="AA82" s="1"/>
  <c r="AC82"/>
  <c r="AB83"/>
  <c r="AA83" s="1"/>
  <c r="AC83"/>
  <c r="AB84"/>
  <c r="AA84" s="1"/>
  <c r="AC84"/>
  <c r="AB85"/>
  <c r="AA85" s="1"/>
  <c r="AC85"/>
  <c r="AB86"/>
  <c r="AA86" s="1"/>
  <c r="AC86"/>
  <c r="AB87"/>
  <c r="AA87" s="1"/>
  <c r="AC87"/>
  <c r="AB88"/>
  <c r="AA88" s="1"/>
  <c r="AC88"/>
  <c r="AB89"/>
  <c r="AA89" s="1"/>
  <c r="Z89"/>
  <c r="AC89"/>
  <c r="AB90"/>
  <c r="AA90" s="1"/>
  <c r="Z90"/>
  <c r="AC90"/>
  <c r="Z91"/>
  <c r="AB91"/>
  <c r="AA91" s="1"/>
  <c r="AC91"/>
  <c r="Z92"/>
  <c r="AB92"/>
  <c r="AA92" s="1"/>
  <c r="AC92"/>
  <c r="Z93"/>
  <c r="AB93"/>
  <c r="AA93" s="1"/>
  <c r="AC93"/>
  <c r="Z94"/>
  <c r="AB94"/>
  <c r="AA94" s="1"/>
  <c r="AC94"/>
  <c r="Z95"/>
  <c r="AB95"/>
  <c r="AA95" s="1"/>
  <c r="AC95"/>
  <c r="Z96"/>
  <c r="AB96"/>
  <c r="AA96" s="1"/>
  <c r="AC96"/>
  <c r="Z97"/>
  <c r="AB97"/>
  <c r="AA97" s="1"/>
  <c r="AC97"/>
  <c r="Z98"/>
  <c r="AB98"/>
  <c r="AA98" s="1"/>
  <c r="AC98"/>
  <c r="Z99"/>
  <c r="AB99"/>
  <c r="AA99" s="1"/>
  <c r="AC99"/>
  <c r="Z100"/>
  <c r="AB100"/>
  <c r="AA100" s="1"/>
  <c r="AC100"/>
  <c r="Z101"/>
  <c r="AB101"/>
  <c r="AA101" s="1"/>
  <c r="AC101"/>
  <c r="Z102"/>
  <c r="AB102"/>
  <c r="AA102" s="1"/>
  <c r="AC102"/>
  <c r="Z103"/>
  <c r="AB103"/>
  <c r="AA103" s="1"/>
  <c r="AC103"/>
  <c r="Z104"/>
  <c r="AB104"/>
  <c r="AA104" s="1"/>
  <c r="AC104"/>
  <c r="Z105"/>
  <c r="AB105"/>
  <c r="AA105" s="1"/>
  <c r="AC105"/>
  <c r="Z106"/>
  <c r="AB106"/>
  <c r="AA106" s="1"/>
  <c r="AC106"/>
  <c r="Z107"/>
  <c r="AB107"/>
  <c r="AA107" s="1"/>
  <c r="AC107"/>
  <c r="Z108"/>
  <c r="AB108"/>
  <c r="AA108" s="1"/>
  <c r="AC108"/>
  <c r="Z109"/>
  <c r="AB109"/>
  <c r="AA109" s="1"/>
  <c r="AC109"/>
  <c r="Z110"/>
  <c r="AB110"/>
  <c r="AA110" s="1"/>
  <c r="AC110"/>
  <c r="Z111"/>
  <c r="AB111"/>
  <c r="AA111" s="1"/>
  <c r="AC111"/>
  <c r="Z112"/>
  <c r="AB112"/>
  <c r="AA112" s="1"/>
  <c r="AC112"/>
  <c r="Z113"/>
  <c r="AB113"/>
  <c r="AA113" s="1"/>
  <c r="AC113"/>
  <c r="Z114"/>
  <c r="AB114"/>
  <c r="AA114" s="1"/>
  <c r="AC114"/>
  <c r="Z115"/>
  <c r="AB115"/>
  <c r="AA115" s="1"/>
  <c r="AC115"/>
  <c r="Z116"/>
  <c r="AB116"/>
  <c r="AA116" s="1"/>
  <c r="AC116"/>
  <c r="Z117"/>
  <c r="AB117"/>
  <c r="AA117" s="1"/>
  <c r="AC117"/>
  <c r="Z118"/>
  <c r="AB118"/>
  <c r="AA118" s="1"/>
  <c r="AC118"/>
  <c r="Z119"/>
  <c r="AB119"/>
  <c r="AA119" s="1"/>
  <c r="AC119"/>
  <c r="Z120"/>
  <c r="AB120"/>
  <c r="AA120" s="1"/>
  <c r="AC120"/>
  <c r="AC17"/>
  <c r="AC15"/>
  <c r="AC20"/>
  <c r="AC23"/>
  <c r="AC24"/>
  <c r="AC27"/>
  <c r="AC26"/>
  <c r="AC25"/>
  <c r="AC28"/>
  <c r="AC35"/>
  <c r="W35" s="1"/>
  <c r="AC30"/>
  <c r="AC34"/>
  <c r="AC33"/>
  <c r="AC31"/>
  <c r="AC32"/>
  <c r="AC38"/>
  <c r="AC39"/>
  <c r="AC37"/>
  <c r="AC36"/>
  <c r="AC42"/>
  <c r="AC41"/>
  <c r="AC40"/>
  <c r="AC43"/>
  <c r="AC14"/>
  <c r="AC11"/>
  <c r="AC10"/>
  <c r="AC9"/>
  <c r="AC58"/>
  <c r="AC59"/>
  <c r="AC60"/>
  <c r="AC61"/>
  <c r="AC62"/>
  <c r="AC13"/>
  <c r="Z58"/>
  <c r="Z59"/>
  <c r="Z60"/>
  <c r="Z61"/>
  <c r="Z62"/>
  <c r="AB17"/>
  <c r="AB15"/>
  <c r="AB20"/>
  <c r="AB23"/>
  <c r="AB24"/>
  <c r="AB27"/>
  <c r="AB26"/>
  <c r="AB25"/>
  <c r="AB28"/>
  <c r="AB35"/>
  <c r="AB30"/>
  <c r="AB34"/>
  <c r="AB33"/>
  <c r="AB31"/>
  <c r="AB32"/>
  <c r="AB38"/>
  <c r="AB39"/>
  <c r="AB37"/>
  <c r="AB36"/>
  <c r="AB42"/>
  <c r="AB41"/>
  <c r="AB40"/>
  <c r="AB43"/>
  <c r="AA43" s="1"/>
  <c r="AB14"/>
  <c r="AB11"/>
  <c r="AB10"/>
  <c r="AB9"/>
  <c r="AB58"/>
  <c r="AA58" s="1"/>
  <c r="AB59"/>
  <c r="AA59" s="1"/>
  <c r="AB60"/>
  <c r="AA60" s="1"/>
  <c r="AB61"/>
  <c r="AA61" s="1"/>
  <c r="AB62"/>
  <c r="AA62" s="1"/>
  <c r="AB13"/>
  <c r="AX53" l="1"/>
  <c r="AX49"/>
  <c r="AP79"/>
  <c r="AP81"/>
  <c r="AP83"/>
  <c r="AP85"/>
  <c r="AP87"/>
  <c r="AP89"/>
  <c r="AP91"/>
  <c r="AP93"/>
  <c r="AP95"/>
  <c r="AP97"/>
  <c r="AP99"/>
  <c r="AP101"/>
  <c r="AP103"/>
  <c r="AP105"/>
  <c r="AP107"/>
  <c r="AP109"/>
  <c r="AP111"/>
  <c r="AP113"/>
  <c r="AP115"/>
  <c r="AP117"/>
  <c r="AP119"/>
  <c r="AP17"/>
  <c r="AL78"/>
  <c r="AL80"/>
  <c r="AL82"/>
  <c r="AL84"/>
  <c r="AL86"/>
  <c r="AL88"/>
  <c r="AL90"/>
  <c r="AL92"/>
  <c r="AL94"/>
  <c r="AL96"/>
  <c r="AL98"/>
  <c r="AL100"/>
  <c r="AL102"/>
  <c r="AL104"/>
  <c r="AL106"/>
  <c r="AL108"/>
  <c r="AL110"/>
  <c r="AL112"/>
  <c r="AL114"/>
  <c r="AL116"/>
  <c r="AL118"/>
  <c r="AL120"/>
  <c r="AH17"/>
  <c r="AX47"/>
  <c r="AX56"/>
  <c r="AX54"/>
  <c r="AX45"/>
  <c r="AX51"/>
  <c r="AX52"/>
  <c r="AX50"/>
  <c r="AX55"/>
  <c r="AX98"/>
  <c r="AX100"/>
  <c r="AX102"/>
  <c r="AX104"/>
  <c r="AX106"/>
  <c r="AX108"/>
  <c r="AX110"/>
  <c r="AX112"/>
  <c r="AX114"/>
  <c r="AX116"/>
  <c r="AX118"/>
  <c r="AX120"/>
  <c r="AT77"/>
  <c r="AT79"/>
  <c r="AT81"/>
  <c r="AT83"/>
  <c r="AT85"/>
  <c r="AT87"/>
  <c r="AT89"/>
  <c r="AT91"/>
  <c r="AT93"/>
  <c r="AT95"/>
  <c r="AT97"/>
  <c r="AT109"/>
  <c r="AT111"/>
  <c r="AT113"/>
  <c r="AT115"/>
  <c r="AT117"/>
  <c r="AT119"/>
  <c r="AT17"/>
  <c r="AP78"/>
  <c r="AP80"/>
  <c r="AP82"/>
  <c r="AP84"/>
  <c r="AP86"/>
  <c r="AP88"/>
  <c r="AP90"/>
  <c r="AP92"/>
  <c r="AP94"/>
  <c r="AP96"/>
  <c r="AP98"/>
  <c r="AP100"/>
  <c r="AP102"/>
  <c r="AP104"/>
  <c r="AP106"/>
  <c r="AP108"/>
  <c r="AP110"/>
  <c r="AP112"/>
  <c r="AP114"/>
  <c r="AP116"/>
  <c r="AP118"/>
  <c r="AP120"/>
  <c r="AL77"/>
  <c r="AL79"/>
  <c r="AL81"/>
  <c r="AL83"/>
  <c r="AL85"/>
  <c r="AL87"/>
  <c r="AL89"/>
  <c r="AL91"/>
  <c r="AL93"/>
  <c r="AL95"/>
  <c r="AL97"/>
  <c r="AL99"/>
  <c r="AL101"/>
  <c r="AL103"/>
  <c r="AL105"/>
  <c r="AL107"/>
  <c r="AL109"/>
  <c r="AL111"/>
  <c r="AL113"/>
  <c r="AL115"/>
  <c r="AL117"/>
  <c r="AL119"/>
  <c r="AL17"/>
  <c r="AH79"/>
  <c r="AH83"/>
  <c r="AH87"/>
  <c r="AH91"/>
  <c r="AH95"/>
  <c r="AH99"/>
  <c r="AH103"/>
  <c r="AH107"/>
  <c r="AH111"/>
  <c r="AH115"/>
  <c r="AH119"/>
  <c r="X10"/>
  <c r="W10"/>
  <c r="Z10" s="1"/>
  <c r="W31"/>
  <c r="Z31" s="1"/>
  <c r="X31"/>
  <c r="X42"/>
  <c r="W42"/>
  <c r="Z42" s="1"/>
  <c r="X34"/>
  <c r="W34"/>
  <c r="Z34" s="1"/>
  <c r="W25"/>
  <c r="Z25" s="1"/>
  <c r="X25"/>
  <c r="X13"/>
  <c r="W13"/>
  <c r="Z13" s="1"/>
  <c r="X41"/>
  <c r="W41"/>
  <c r="Z41" s="1"/>
  <c r="W39"/>
  <c r="Z39" s="1"/>
  <c r="X39"/>
  <c r="X33"/>
  <c r="W33"/>
  <c r="Z33" s="1"/>
  <c r="W28"/>
  <c r="Z28" s="1"/>
  <c r="X28"/>
  <c r="W24"/>
  <c r="Z24" s="1"/>
  <c r="X24"/>
  <c r="W17"/>
  <c r="Z17" s="1"/>
  <c r="X17"/>
  <c r="X40"/>
  <c r="W40"/>
  <c r="Z40" s="1"/>
  <c r="X15"/>
  <c r="W15"/>
  <c r="Z15" s="1"/>
  <c r="AX57"/>
  <c r="AP57"/>
  <c r="AH57"/>
  <c r="AX8"/>
  <c r="X37"/>
  <c r="W37"/>
  <c r="Z37" s="1"/>
  <c r="X27"/>
  <c r="W27"/>
  <c r="Z27" s="1"/>
  <c r="X36"/>
  <c r="W36"/>
  <c r="Z36" s="1"/>
  <c r="X32"/>
  <c r="W32"/>
  <c r="Z32" s="1"/>
  <c r="W30"/>
  <c r="Z30" s="1"/>
  <c r="X30"/>
  <c r="W26"/>
  <c r="Z26" s="1"/>
  <c r="X26"/>
  <c r="W20"/>
  <c r="Z20" s="1"/>
  <c r="X20"/>
  <c r="X14"/>
  <c r="W14"/>
  <c r="Z14" s="1"/>
  <c r="W38"/>
  <c r="Z38" s="1"/>
  <c r="X38"/>
  <c r="X23"/>
  <c r="W23"/>
  <c r="Z23" s="1"/>
  <c r="AX44"/>
  <c r="AT57"/>
  <c r="AL57"/>
  <c r="AX16"/>
  <c r="AW43"/>
  <c r="AV43"/>
  <c r="AS43"/>
  <c r="AR43"/>
  <c r="AO43"/>
  <c r="AN43"/>
  <c r="AK43"/>
  <c r="AJ43"/>
  <c r="AG43"/>
  <c r="AA14"/>
  <c r="T14"/>
  <c r="AA11"/>
  <c r="T11"/>
  <c r="AX29"/>
  <c r="AX21"/>
  <c r="AT29"/>
  <c r="AT21"/>
  <c r="AP29"/>
  <c r="AP21"/>
  <c r="AL29"/>
  <c r="AL21"/>
  <c r="AH29"/>
  <c r="AH21"/>
  <c r="AA10"/>
  <c r="T10"/>
  <c r="T9"/>
  <c r="AX18"/>
  <c r="AX6"/>
  <c r="AT18"/>
  <c r="AT6"/>
  <c r="AP18"/>
  <c r="AP6"/>
  <c r="AL18"/>
  <c r="AL6"/>
  <c r="AH18"/>
  <c r="AH6"/>
  <c r="AX12"/>
  <c r="AT12"/>
  <c r="AP12"/>
  <c r="AL12"/>
  <c r="AH12"/>
  <c r="AX19"/>
  <c r="AT19"/>
  <c r="AP19"/>
  <c r="AL19"/>
  <c r="AH19"/>
  <c r="AX7"/>
  <c r="AT7"/>
  <c r="AP7"/>
  <c r="AL7"/>
  <c r="AH7"/>
  <c r="AX22"/>
  <c r="AT8"/>
  <c r="AT22"/>
  <c r="AP8"/>
  <c r="AP22"/>
  <c r="AL8"/>
  <c r="AL22"/>
  <c r="AH8"/>
  <c r="AH22"/>
  <c r="AT16"/>
  <c r="AP16"/>
  <c r="AL16"/>
  <c r="AH16"/>
  <c r="AT51"/>
  <c r="AT54"/>
  <c r="AT49"/>
  <c r="AT44"/>
  <c r="AP51"/>
  <c r="AP54"/>
  <c r="AP49"/>
  <c r="AP44"/>
  <c r="AL51"/>
  <c r="AL54"/>
  <c r="AL49"/>
  <c r="AL44"/>
  <c r="AH51"/>
  <c r="AH54"/>
  <c r="AH49"/>
  <c r="AH44"/>
  <c r="AT56"/>
  <c r="AT52"/>
  <c r="AP56"/>
  <c r="AP52"/>
  <c r="AL56"/>
  <c r="AL52"/>
  <c r="AH56"/>
  <c r="AH52"/>
  <c r="AT55"/>
  <c r="AT53"/>
  <c r="AP55"/>
  <c r="AP53"/>
  <c r="AL55"/>
  <c r="AL53"/>
  <c r="AH55"/>
  <c r="AH53"/>
  <c r="AT50"/>
  <c r="AT46"/>
  <c r="AP50"/>
  <c r="AP46"/>
  <c r="AL50"/>
  <c r="AL46"/>
  <c r="AH50"/>
  <c r="AH46"/>
  <c r="AT47"/>
  <c r="AT45"/>
  <c r="AP47"/>
  <c r="AP45"/>
  <c r="AL47"/>
  <c r="AL45"/>
  <c r="AH47"/>
  <c r="AH45"/>
  <c r="AX48"/>
  <c r="AT48"/>
  <c r="AP48"/>
  <c r="AL48"/>
  <c r="AH48"/>
  <c r="AX23"/>
  <c r="AX24"/>
  <c r="AX27"/>
  <c r="AX26"/>
  <c r="AX25"/>
  <c r="AX28"/>
  <c r="AX35"/>
  <c r="AX30"/>
  <c r="AX34"/>
  <c r="AX33"/>
  <c r="AX31"/>
  <c r="AX32"/>
  <c r="AX38"/>
  <c r="AX39"/>
  <c r="AX37"/>
  <c r="AX36"/>
  <c r="AX42"/>
  <c r="AX41"/>
  <c r="AX40"/>
  <c r="AX43"/>
  <c r="AX14"/>
  <c r="AX11"/>
  <c r="AX10"/>
  <c r="AX9"/>
  <c r="AX58"/>
  <c r="AX59"/>
  <c r="AX60"/>
  <c r="AX61"/>
  <c r="AX62"/>
  <c r="AX63"/>
  <c r="AX64"/>
  <c r="AX65"/>
  <c r="AX66"/>
  <c r="AX67"/>
  <c r="AX68"/>
  <c r="AX69"/>
  <c r="AX70"/>
  <c r="AX71"/>
  <c r="AX72"/>
  <c r="AX73"/>
  <c r="AX74"/>
  <c r="AX75"/>
  <c r="AX76"/>
  <c r="AT23"/>
  <c r="AT24"/>
  <c r="AT27"/>
  <c r="AT26"/>
  <c r="AT25"/>
  <c r="AT28"/>
  <c r="AT35"/>
  <c r="AT30"/>
  <c r="AT34"/>
  <c r="AT33"/>
  <c r="AT31"/>
  <c r="AT32"/>
  <c r="AT38"/>
  <c r="AT39"/>
  <c r="AT37"/>
  <c r="AT36"/>
  <c r="AT42"/>
  <c r="AT41"/>
  <c r="AT40"/>
  <c r="AT43"/>
  <c r="AT14"/>
  <c r="AT11"/>
  <c r="AT10"/>
  <c r="AT9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P23"/>
  <c r="AP24"/>
  <c r="AP27"/>
  <c r="AP26"/>
  <c r="AP25"/>
  <c r="AP28"/>
  <c r="AP35"/>
  <c r="AP30"/>
  <c r="AP34"/>
  <c r="AP33"/>
  <c r="AP31"/>
  <c r="AP32"/>
  <c r="AP38"/>
  <c r="AP39"/>
  <c r="AP37"/>
  <c r="AP36"/>
  <c r="AP42"/>
  <c r="AP41"/>
  <c r="AP40"/>
  <c r="AP43"/>
  <c r="AP14"/>
  <c r="AP11"/>
  <c r="AP10"/>
  <c r="AP9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L23"/>
  <c r="AL24"/>
  <c r="AL27"/>
  <c r="AL26"/>
  <c r="AL25"/>
  <c r="AL28"/>
  <c r="AL35"/>
  <c r="AL30"/>
  <c r="AL34"/>
  <c r="AL33"/>
  <c r="AL31"/>
  <c r="AL32"/>
  <c r="AL38"/>
  <c r="AL39"/>
  <c r="AL37"/>
  <c r="AL36"/>
  <c r="AL42"/>
  <c r="AL41"/>
  <c r="AL40"/>
  <c r="AL43"/>
  <c r="AL14"/>
  <c r="AL11"/>
  <c r="AL10"/>
  <c r="AL9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H23"/>
  <c r="AH24"/>
  <c r="AH27"/>
  <c r="AH26"/>
  <c r="AH25"/>
  <c r="AH28"/>
  <c r="AH35"/>
  <c r="AH30"/>
  <c r="AH34"/>
  <c r="AH33"/>
  <c r="AH31"/>
  <c r="AH32"/>
  <c r="AH38"/>
  <c r="AH39"/>
  <c r="AH37"/>
  <c r="AH36"/>
  <c r="AH42"/>
  <c r="AH41"/>
  <c r="AH40"/>
  <c r="AH43"/>
  <c r="AH14"/>
  <c r="AH11"/>
  <c r="AH10"/>
  <c r="AH9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A41"/>
  <c r="AA39"/>
  <c r="AA33"/>
  <c r="X35"/>
  <c r="Z35"/>
  <c r="AA28"/>
  <c r="AA24"/>
  <c r="AA15"/>
  <c r="AA40"/>
  <c r="AA42"/>
  <c r="AA36"/>
  <c r="AA37"/>
  <c r="AA38"/>
  <c r="AA32"/>
  <c r="AA31"/>
  <c r="AA34"/>
  <c r="AA30"/>
  <c r="AA35"/>
  <c r="AA25"/>
  <c r="AA26"/>
  <c r="AA27"/>
  <c r="AA23"/>
  <c r="AA20"/>
  <c r="T40"/>
  <c r="T41"/>
  <c r="T42"/>
  <c r="T36"/>
  <c r="T37"/>
  <c r="T39"/>
  <c r="T38"/>
  <c r="T32"/>
  <c r="T31"/>
  <c r="T33"/>
  <c r="T34"/>
  <c r="T30"/>
  <c r="T35"/>
  <c r="T28"/>
  <c r="T25"/>
  <c r="T26"/>
  <c r="T27"/>
  <c r="T24"/>
  <c r="T23"/>
  <c r="T20"/>
  <c r="T15"/>
  <c r="AF20"/>
  <c r="AG20"/>
  <c r="AJ20"/>
  <c r="AK20"/>
  <c r="AN20"/>
  <c r="AO20"/>
  <c r="AR20"/>
  <c r="AS20"/>
  <c r="AV20"/>
  <c r="AW20"/>
  <c r="AF15"/>
  <c r="AG15"/>
  <c r="AJ15"/>
  <c r="AK15"/>
  <c r="AN15"/>
  <c r="AO15"/>
  <c r="AR15"/>
  <c r="AS15"/>
  <c r="AV15"/>
  <c r="AW15"/>
  <c r="T13"/>
  <c r="T17"/>
  <c r="AA13"/>
  <c r="AA17"/>
  <c r="AW13"/>
  <c r="AV13"/>
  <c r="AS13"/>
  <c r="AR13"/>
  <c r="AT13" s="1"/>
  <c r="AO13"/>
  <c r="AN13"/>
  <c r="AK13"/>
  <c r="AJ13"/>
  <c r="AL13" s="1"/>
  <c r="AG13"/>
  <c r="AF13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AP13" l="1"/>
  <c r="AX15"/>
  <c r="AT15"/>
  <c r="I3" s="1"/>
  <c r="AE3" i="3" s="1"/>
  <c r="AP15" i="1"/>
  <c r="AL15"/>
  <c r="AH15"/>
  <c r="AX20"/>
  <c r="AT20"/>
  <c r="AP20"/>
  <c r="AL20"/>
  <c r="AH20"/>
  <c r="AX13"/>
  <c r="H3"/>
  <c r="V3" i="3" s="1"/>
  <c r="AH13" i="1"/>
  <c r="J3" l="1"/>
  <c r="AN3" i="3" s="1"/>
  <c r="V4"/>
  <c r="X47"/>
  <c r="X7"/>
  <c r="X9"/>
  <c r="X11"/>
  <c r="X12"/>
  <c r="X14"/>
  <c r="X15"/>
  <c r="X17"/>
  <c r="X19"/>
  <c r="X20"/>
  <c r="X22"/>
  <c r="X23"/>
  <c r="S25"/>
  <c r="X25"/>
  <c r="S26"/>
  <c r="X26"/>
  <c r="S28"/>
  <c r="X28"/>
  <c r="S30"/>
  <c r="X30"/>
  <c r="S31"/>
  <c r="X31"/>
  <c r="S33"/>
  <c r="X33"/>
  <c r="S34"/>
  <c r="X34"/>
  <c r="S36"/>
  <c r="X36"/>
  <c r="S37"/>
  <c r="X37"/>
  <c r="S39"/>
  <c r="X39"/>
  <c r="S41"/>
  <c r="X41"/>
  <c r="S42"/>
  <c r="X42"/>
  <c r="S44"/>
  <c r="X44"/>
  <c r="S45"/>
  <c r="X45"/>
  <c r="S47"/>
  <c r="AN4"/>
  <c r="AP47"/>
  <c r="AP7"/>
  <c r="AP9"/>
  <c r="AP11"/>
  <c r="AP12"/>
  <c r="AP14"/>
  <c r="AP15"/>
  <c r="AP17"/>
  <c r="AP19"/>
  <c r="AP20"/>
  <c r="AP22"/>
  <c r="AP23"/>
  <c r="AK25"/>
  <c r="AP25"/>
  <c r="AK26"/>
  <c r="AP26"/>
  <c r="AK28"/>
  <c r="AP28"/>
  <c r="AK30"/>
  <c r="AP30"/>
  <c r="AK31"/>
  <c r="AP31"/>
  <c r="AK33"/>
  <c r="AP33"/>
  <c r="AK34"/>
  <c r="AP34"/>
  <c r="AK36"/>
  <c r="AP36"/>
  <c r="AK37"/>
  <c r="AP37"/>
  <c r="AK39"/>
  <c r="AP39"/>
  <c r="AK41"/>
  <c r="AP41"/>
  <c r="AK42"/>
  <c r="AP42"/>
  <c r="AK44"/>
  <c r="AP44"/>
  <c r="AK45"/>
  <c r="AP45"/>
  <c r="AK47"/>
  <c r="AE4"/>
  <c r="AG47"/>
  <c r="AG7"/>
  <c r="AG9"/>
  <c r="AG11"/>
  <c r="AG12"/>
  <c r="AG14"/>
  <c r="AG15"/>
  <c r="AG17"/>
  <c r="AG19"/>
  <c r="AG20"/>
  <c r="AG22"/>
  <c r="AG23"/>
  <c r="AB25"/>
  <c r="AG25"/>
  <c r="AB26"/>
  <c r="AG26"/>
  <c r="AB28"/>
  <c r="AG28"/>
  <c r="AB30"/>
  <c r="AG30"/>
  <c r="AB31"/>
  <c r="AG31"/>
  <c r="AB33"/>
  <c r="AG33"/>
  <c r="AB34"/>
  <c r="AG34"/>
  <c r="AB36"/>
  <c r="AG36"/>
  <c r="AB37"/>
  <c r="AG37"/>
  <c r="AB39"/>
  <c r="AG39"/>
  <c r="AB41"/>
  <c r="AG41"/>
  <c r="AB42"/>
  <c r="AG42"/>
  <c r="AB44"/>
  <c r="AG44"/>
  <c r="AB45"/>
  <c r="AG45"/>
  <c r="AB47"/>
  <c r="F3" i="1"/>
  <c r="D3" i="3" s="1"/>
  <c r="D4" s="1"/>
  <c r="A7" s="1"/>
  <c r="G3" i="1"/>
  <c r="M3" i="3" s="1"/>
  <c r="M4" s="1"/>
  <c r="F43" l="1"/>
  <c r="A23"/>
  <c r="A11"/>
  <c r="A41"/>
  <c r="F23"/>
  <c r="A27"/>
  <c r="F13"/>
  <c r="F42"/>
  <c r="F26"/>
  <c r="F38"/>
  <c r="F27"/>
  <c r="A20"/>
  <c r="A14"/>
  <c r="F8"/>
  <c r="A44"/>
  <c r="A37"/>
  <c r="F30"/>
  <c r="F11"/>
  <c r="F32"/>
  <c r="A17"/>
  <c r="A47"/>
  <c r="F33"/>
  <c r="A38"/>
  <c r="A19"/>
  <c r="A8"/>
  <c r="F36"/>
  <c r="A43"/>
  <c r="A32"/>
  <c r="A22"/>
  <c r="F16"/>
  <c r="F10"/>
  <c r="F45"/>
  <c r="F39"/>
  <c r="A31"/>
  <c r="F17"/>
  <c r="A34"/>
  <c r="A28"/>
  <c r="A25"/>
  <c r="F19"/>
  <c r="A46"/>
  <c r="A40"/>
  <c r="A35"/>
  <c r="A29"/>
  <c r="A24"/>
  <c r="A21"/>
  <c r="A18"/>
  <c r="A15"/>
  <c r="A12"/>
  <c r="A9"/>
  <c r="F47"/>
  <c r="F44"/>
  <c r="F41"/>
  <c r="F37"/>
  <c r="F34"/>
  <c r="F31"/>
  <c r="F28"/>
  <c r="F25"/>
  <c r="F20"/>
  <c r="F14"/>
  <c r="F7"/>
  <c r="F12"/>
  <c r="F46"/>
  <c r="F40"/>
  <c r="F35"/>
  <c r="F29"/>
  <c r="F24"/>
  <c r="F21"/>
  <c r="F18"/>
  <c r="A16"/>
  <c r="A13"/>
  <c r="A10"/>
  <c r="A45"/>
  <c r="A42"/>
  <c r="A39"/>
  <c r="A36"/>
  <c r="A33"/>
  <c r="A30"/>
  <c r="A26"/>
  <c r="F22"/>
  <c r="F15"/>
  <c r="F9"/>
  <c r="AG46"/>
  <c r="AB46"/>
  <c r="AG43"/>
  <c r="AB43"/>
  <c r="AG40"/>
  <c r="AB40"/>
  <c r="AG38"/>
  <c r="AB38"/>
  <c r="AG35"/>
  <c r="AB35"/>
  <c r="AG32"/>
  <c r="AB32"/>
  <c r="AG29"/>
  <c r="AB29"/>
  <c r="AG27"/>
  <c r="AB27"/>
  <c r="AG24"/>
  <c r="AB24"/>
  <c r="AB23"/>
  <c r="AB22"/>
  <c r="AG21"/>
  <c r="AB21"/>
  <c r="AB20"/>
  <c r="AB19"/>
  <c r="AG18"/>
  <c r="AB18"/>
  <c r="AB17"/>
  <c r="AG16"/>
  <c r="AB16"/>
  <c r="AB15"/>
  <c r="AB14"/>
  <c r="AG13"/>
  <c r="AB13"/>
  <c r="AB12"/>
  <c r="AB11"/>
  <c r="AG10"/>
  <c r="AB10"/>
  <c r="AB9"/>
  <c r="AG8"/>
  <c r="AB8"/>
  <c r="AB7"/>
  <c r="AP46"/>
  <c r="AK46"/>
  <c r="AP43"/>
  <c r="AK43"/>
  <c r="AP40"/>
  <c r="AK40"/>
  <c r="AP38"/>
  <c r="AK38"/>
  <c r="AP35"/>
  <c r="AK35"/>
  <c r="AP32"/>
  <c r="AK32"/>
  <c r="AP29"/>
  <c r="AK29"/>
  <c r="AP27"/>
  <c r="AK27"/>
  <c r="AP24"/>
  <c r="AK24"/>
  <c r="AK23"/>
  <c r="AK22"/>
  <c r="AP21"/>
  <c r="AK21"/>
  <c r="AK20"/>
  <c r="AK19"/>
  <c r="AP18"/>
  <c r="AK18"/>
  <c r="AK17"/>
  <c r="AP16"/>
  <c r="AK16"/>
  <c r="AK15"/>
  <c r="AK14"/>
  <c r="AP13"/>
  <c r="AK13"/>
  <c r="AK12"/>
  <c r="AK11"/>
  <c r="AP10"/>
  <c r="AK10"/>
  <c r="AK9"/>
  <c r="AP8"/>
  <c r="AK8"/>
  <c r="AK7"/>
  <c r="X46"/>
  <c r="S46"/>
  <c r="X43"/>
  <c r="S43"/>
  <c r="X40"/>
  <c r="S40"/>
  <c r="X38"/>
  <c r="S38"/>
  <c r="X35"/>
  <c r="S35"/>
  <c r="X32"/>
  <c r="S32"/>
  <c r="X29"/>
  <c r="S29"/>
  <c r="X27"/>
  <c r="S27"/>
  <c r="X24"/>
  <c r="S24"/>
  <c r="S23"/>
  <c r="S22"/>
  <c r="X21"/>
  <c r="S21"/>
  <c r="S20"/>
  <c r="S19"/>
  <c r="X18"/>
  <c r="S18"/>
  <c r="S17"/>
  <c r="X16"/>
  <c r="S16"/>
  <c r="S15"/>
  <c r="S14"/>
  <c r="X13"/>
  <c r="S13"/>
  <c r="S12"/>
  <c r="S11"/>
  <c r="X10"/>
  <c r="S10"/>
  <c r="S9"/>
  <c r="X8"/>
  <c r="S8"/>
  <c r="S7"/>
  <c r="O47"/>
  <c r="J47"/>
  <c r="O45"/>
  <c r="J45"/>
  <c r="O44"/>
  <c r="J44"/>
  <c r="O42"/>
  <c r="J42"/>
  <c r="O41"/>
  <c r="J41"/>
  <c r="O39"/>
  <c r="J39"/>
  <c r="O37"/>
  <c r="J37"/>
  <c r="O36"/>
  <c r="J36"/>
  <c r="O34"/>
  <c r="J34"/>
  <c r="O33"/>
  <c r="J33"/>
  <c r="O31"/>
  <c r="J31"/>
  <c r="O30"/>
  <c r="J30"/>
  <c r="O28"/>
  <c r="J28"/>
  <c r="O26"/>
  <c r="J26"/>
  <c r="O25"/>
  <c r="J25"/>
  <c r="O23"/>
  <c r="O22"/>
  <c r="O20"/>
  <c r="O19"/>
  <c r="O17"/>
  <c r="O15"/>
  <c r="O14"/>
  <c r="O12"/>
  <c r="O11"/>
  <c r="O9"/>
  <c r="O7"/>
  <c r="O46"/>
  <c r="J46"/>
  <c r="O43"/>
  <c r="J43"/>
  <c r="O40"/>
  <c r="J40"/>
  <c r="O38"/>
  <c r="J38"/>
  <c r="O35"/>
  <c r="J35"/>
  <c r="O32"/>
  <c r="J32"/>
  <c r="O29"/>
  <c r="J29"/>
  <c r="O27"/>
  <c r="J27"/>
  <c r="O24"/>
  <c r="J24"/>
  <c r="J23"/>
  <c r="J22"/>
  <c r="O21"/>
  <c r="J21"/>
  <c r="J20"/>
  <c r="J19"/>
  <c r="O18"/>
  <c r="J18"/>
  <c r="J17"/>
  <c r="O16"/>
  <c r="J16"/>
  <c r="J15"/>
  <c r="J14"/>
  <c r="O13"/>
  <c r="J13"/>
  <c r="J12"/>
  <c r="J11"/>
  <c r="O10"/>
  <c r="J10"/>
  <c r="J9"/>
  <c r="O8"/>
  <c r="J8"/>
  <c r="J7"/>
  <c r="D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7"/>
  <c r="A378" i="7"/>
  <c r="A352"/>
  <c r="A250"/>
  <c r="A251"/>
  <c r="A377"/>
  <c r="A246"/>
  <c r="A245"/>
  <c r="A233"/>
  <c r="A376"/>
  <c r="A194"/>
  <c r="A334"/>
  <c r="A244"/>
  <c r="A8"/>
  <c r="A324"/>
  <c r="A372"/>
  <c r="A9"/>
  <c r="A234"/>
  <c r="A235"/>
  <c r="A10"/>
  <c r="A349"/>
  <c r="A236"/>
  <c r="A274"/>
  <c r="A11"/>
  <c r="A199"/>
  <c r="A12"/>
  <c r="A375"/>
  <c r="A13"/>
  <c r="A247"/>
  <c r="A14"/>
  <c r="A243"/>
  <c r="A15"/>
  <c r="A16"/>
  <c r="A200"/>
  <c r="A325"/>
  <c r="A326"/>
  <c r="A248"/>
  <c r="A282"/>
  <c r="A279"/>
  <c r="A17"/>
  <c r="A18"/>
  <c r="A19"/>
  <c r="A20"/>
  <c r="A21"/>
  <c r="A22"/>
  <c r="A283"/>
  <c r="A23"/>
  <c r="A198"/>
  <c r="A241"/>
  <c r="A316"/>
  <c r="A350"/>
  <c r="A232"/>
  <c r="A24"/>
  <c r="A25"/>
  <c r="A287"/>
  <c r="A322"/>
  <c r="A353"/>
  <c r="A26"/>
  <c r="A27"/>
  <c r="A327"/>
  <c r="A242"/>
  <c r="A28"/>
  <c r="A29"/>
  <c r="A288"/>
  <c r="A30"/>
  <c r="A221"/>
  <c r="A31"/>
  <c r="A32"/>
  <c r="A357"/>
  <c r="A355"/>
  <c r="A330"/>
  <c r="A195"/>
  <c r="A33"/>
  <c r="A351"/>
  <c r="A329"/>
  <c r="A339"/>
  <c r="A238"/>
  <c r="A354"/>
  <c r="A356"/>
  <c r="A332"/>
  <c r="A34"/>
  <c r="A35"/>
  <c r="A36"/>
  <c r="A37"/>
  <c r="A213"/>
  <c r="A38"/>
  <c r="A323"/>
  <c r="A370"/>
  <c r="A197"/>
  <c r="A39"/>
  <c r="A40"/>
  <c r="A41"/>
  <c r="A188"/>
  <c r="A42"/>
  <c r="A225"/>
  <c r="A358"/>
  <c r="A43"/>
  <c r="A44"/>
  <c r="A45"/>
  <c r="A46"/>
  <c r="A47"/>
  <c r="A48"/>
  <c r="A201"/>
  <c r="A211"/>
  <c r="A341"/>
  <c r="A49"/>
  <c r="A50"/>
  <c r="A51"/>
  <c r="A52"/>
  <c r="A53"/>
  <c r="A342"/>
  <c r="A196"/>
  <c r="A54"/>
  <c r="A55"/>
  <c r="A56"/>
  <c r="A57"/>
  <c r="A58"/>
  <c r="A59"/>
  <c r="A207"/>
  <c r="A208"/>
  <c r="A214"/>
  <c r="A359"/>
  <c r="A60"/>
  <c r="A204"/>
  <c r="A239"/>
  <c r="A240"/>
  <c r="A276"/>
  <c r="A315"/>
  <c r="A61"/>
  <c r="A62"/>
  <c r="A63"/>
  <c r="A275"/>
  <c r="A343"/>
  <c r="A64"/>
  <c r="A65"/>
  <c r="A66"/>
  <c r="A67"/>
  <c r="A68"/>
  <c r="A69"/>
  <c r="A70"/>
  <c r="A206"/>
  <c r="A227"/>
  <c r="A273"/>
  <c r="A71"/>
  <c r="A72"/>
  <c r="A280"/>
  <c r="A261"/>
  <c r="A73"/>
  <c r="A74"/>
  <c r="A75"/>
  <c r="A76"/>
  <c r="A317"/>
  <c r="A77"/>
  <c r="A78"/>
  <c r="A79"/>
  <c r="A184"/>
  <c r="A205"/>
  <c r="A212"/>
  <c r="A226"/>
  <c r="A228"/>
  <c r="A284"/>
  <c r="A313"/>
  <c r="A344"/>
  <c r="A80"/>
  <c r="A81"/>
  <c r="A82"/>
  <c r="A83"/>
  <c r="A84"/>
  <c r="A262"/>
  <c r="A85"/>
  <c r="A86"/>
  <c r="A87"/>
  <c r="A88"/>
  <c r="A193"/>
  <c r="A224"/>
  <c r="A263"/>
  <c r="A331"/>
  <c r="A346"/>
  <c r="A89"/>
  <c r="A90"/>
  <c r="A91"/>
  <c r="A92"/>
  <c r="A229"/>
  <c r="A93"/>
  <c r="A94"/>
  <c r="A366"/>
  <c r="A95"/>
  <c r="A96"/>
  <c r="A97"/>
  <c r="A98"/>
  <c r="A189"/>
  <c r="A318"/>
  <c r="A99"/>
  <c r="A100"/>
  <c r="A187"/>
  <c r="A192"/>
  <c r="A345"/>
  <c r="A101"/>
  <c r="A102"/>
  <c r="A103"/>
  <c r="A104"/>
  <c r="A105"/>
  <c r="A185"/>
  <c r="A264"/>
  <c r="A106"/>
  <c r="A107"/>
  <c r="A108"/>
  <c r="A223"/>
  <c r="A347"/>
  <c r="A109"/>
  <c r="A110"/>
  <c r="A111"/>
  <c r="A112"/>
  <c r="A113"/>
  <c r="A114"/>
  <c r="A115"/>
  <c r="A116"/>
  <c r="A117"/>
  <c r="A203"/>
  <c r="A231"/>
  <c r="A237"/>
  <c r="A335"/>
  <c r="A348"/>
  <c r="A118"/>
  <c r="A119"/>
  <c r="A120"/>
  <c r="A121"/>
  <c r="A319"/>
  <c r="A122"/>
  <c r="A123"/>
  <c r="A124"/>
  <c r="A186"/>
  <c r="A202"/>
  <c r="A369"/>
  <c r="A125"/>
  <c r="A126"/>
  <c r="A127"/>
  <c r="A128"/>
  <c r="A210"/>
  <c r="A222"/>
  <c r="A230"/>
  <c r="A259"/>
  <c r="A129"/>
  <c r="A130"/>
  <c r="A340"/>
  <c r="A131"/>
  <c r="A132"/>
  <c r="A133"/>
  <c r="A134"/>
  <c r="A135"/>
  <c r="A277"/>
  <c r="A336"/>
  <c r="A338"/>
  <c r="A136"/>
  <c r="A137"/>
  <c r="A260"/>
  <c r="A368"/>
  <c r="A138"/>
  <c r="A139"/>
  <c r="A191"/>
  <c r="A216"/>
  <c r="A321"/>
  <c r="A337"/>
  <c r="A140"/>
  <c r="A141"/>
  <c r="A142"/>
  <c r="A209"/>
  <c r="A215"/>
  <c r="A258"/>
  <c r="A143"/>
  <c r="A144"/>
  <c r="A145"/>
  <c r="A217"/>
  <c r="A146"/>
  <c r="A147"/>
  <c r="A148"/>
  <c r="A149"/>
  <c r="A367"/>
  <c r="A150"/>
  <c r="A151"/>
  <c r="A289"/>
  <c r="A152"/>
  <c r="A153"/>
  <c r="A290"/>
  <c r="A314"/>
  <c r="A257"/>
  <c r="A154"/>
  <c r="A155"/>
  <c r="A156"/>
  <c r="A157"/>
  <c r="A158"/>
  <c r="A218"/>
  <c r="A219"/>
  <c r="A159"/>
  <c r="A160"/>
  <c r="A291"/>
  <c r="A161"/>
  <c r="A162"/>
  <c r="A256"/>
  <c r="A266"/>
  <c r="A292"/>
  <c r="A312"/>
  <c r="A362"/>
  <c r="A163"/>
  <c r="A164"/>
  <c r="A165"/>
  <c r="A363"/>
  <c r="A166"/>
  <c r="A167"/>
  <c r="A293"/>
  <c r="A168"/>
  <c r="A169"/>
  <c r="A190"/>
  <c r="A252"/>
  <c r="A267"/>
  <c r="A294"/>
  <c r="A364"/>
  <c r="A170"/>
  <c r="A171"/>
  <c r="A371"/>
  <c r="A172"/>
  <c r="A173"/>
  <c r="A220"/>
  <c r="A268"/>
  <c r="A174"/>
  <c r="A269"/>
  <c r="A295"/>
  <c r="A309"/>
  <c r="A175"/>
  <c r="A249"/>
  <c r="A271"/>
  <c r="A272"/>
  <c r="A310"/>
  <c r="A176"/>
  <c r="A311"/>
  <c r="A177"/>
  <c r="A178"/>
  <c r="A179"/>
  <c r="A296"/>
  <c r="A307"/>
  <c r="A333"/>
  <c r="A360"/>
  <c r="A278"/>
  <c r="A297"/>
  <c r="A308"/>
  <c r="A320"/>
  <c r="A180"/>
  <c r="A361"/>
  <c r="A181"/>
  <c r="A253"/>
  <c r="A298"/>
  <c r="A299"/>
  <c r="A328"/>
  <c r="A300"/>
  <c r="A270"/>
  <c r="A301"/>
  <c r="A182"/>
  <c r="A265"/>
  <c r="A281"/>
  <c r="A365"/>
  <c r="A302"/>
  <c r="A254"/>
  <c r="A255"/>
  <c r="A303"/>
  <c r="A285"/>
  <c r="A286"/>
  <c r="A304"/>
  <c r="A305"/>
  <c r="A306"/>
  <c r="A183"/>
  <c r="A374"/>
  <c r="A373"/>
</calcChain>
</file>

<file path=xl/comments1.xml><?xml version="1.0" encoding="utf-8"?>
<comments xmlns="http://schemas.openxmlformats.org/spreadsheetml/2006/main">
  <authors>
    <author>Kev</author>
  </authors>
  <commentList>
    <comment ref="E2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Name up to 5 motor variants as you wish… for example, "16p ABCx4", "10pole dLRK"...</t>
        </r>
      </text>
    </comment>
    <comment ref="AA2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Tweak the Dissipated Heat rule… this sets when Heat* cells turn red. A value of 1 W/gm is the accepted safe for most common plane setups, but a more meaningful value can be set for other situations. For example, an exposed motor going over 100mph can safely dissipate well over 3W/gm of heat. Set as needed to visualize your test results in context with your design goals.</t>
        </r>
      </text>
    </comment>
    <comment ref="AB2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Tweak the W/gm rule… this sets when Pin cells turn red</t>
        </r>
      </text>
    </comment>
    <comment ref="E3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Average of Kv*T products, converted to delta… includes only "No Load" rows, and Y data is converted to Delta using the "3^0.5 rule".</t>
        </r>
      </text>
    </comment>
    <comment ref="P3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DO NOT type in the blue cells unless you're sure you know what you're doing!</t>
        </r>
      </text>
    </comment>
    <comment ref="E4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Average wire length per turn for a standard wind (series coils)… includes only "No Load" rows</t>
        </r>
      </text>
    </comment>
    <comment ref="A5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Select from one of your 5 named wind variants.</t>
        </r>
      </text>
    </comment>
    <comment ref="B5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Enter a motor ID name or number… just for reference if you want to sort data by motor specimen. ;)</t>
        </r>
      </text>
    </comment>
    <comment ref="C5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Full physical turns of copper around each stator pole… for example enter "12" for a 12 turn standard (series) wind, or "24" for a parallel 24 turn wind (equivalent to 12T, which is calculated in the blue "T" column).</t>
        </r>
      </text>
    </comment>
    <comment ref="D5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Wire thickness… select from the list. Refer to the "Wire" tab to convert direct measurements to size.</t>
        </r>
      </text>
    </comment>
    <comment ref="E5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Winding Scheme:
"1" for standard wind
"2" for half parallel
"4" for full parallel</t>
        </r>
      </text>
    </comment>
    <comment ref="F5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Electromagnetic equivalent turns… this number is used to calculated Kv*T factors.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D for delta termination, Y for star termination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Cut Length of wires, including ~6" to pull last turn. Series winds have 3pcs, parallels can have 6 to 12 pieces… enter the length of one piece!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Looks up the selected wire size and calculates copper cross sectional area… physical turns times wire area.</t>
        </r>
      </text>
    </comment>
    <comment ref="J5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Enter the specific RPM of the motor tested (usually just no load RPM/V works well enough).</t>
        </r>
      </text>
    </comment>
    <comment ref="L5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Enter the phase resistance of the motor… this is just for reference and is not used in any formulas on this spreadsheet.</t>
        </r>
      </text>
    </comment>
    <comment ref="M5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Select the prop from those in the Drive Calculator database. If you have a prop not on the list, remove the data validation settings from the cell (Dcalc numbers obviously won't be calculated).</t>
        </r>
      </text>
    </comment>
    <comment ref="N5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Ambient temperature during the test… this is optional; if you leave it blank then a value of 22C will be used.</t>
        </r>
      </text>
    </comment>
    <comment ref="O5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Above sea level altitude for the test… again this is optional, and a value of 0m will be used if you leave the cell blank.</t>
        </r>
      </text>
    </comment>
    <comment ref="S5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If you have a thrust stand, enter thrust here. This value is only used to calculate "+gm/W".</t>
        </r>
      </text>
    </comment>
    <comment ref="AA5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"Dissipated Heat"… turns red when Pin*(1-Effy) &gt; Motor Weight</t>
        </r>
      </text>
    </comment>
    <comment ref="AB5" authorId="0">
      <text>
        <r>
          <rPr>
            <b/>
            <sz val="8"/>
            <color indexed="81"/>
            <rFont val="Tahoma"/>
            <family val="2"/>
          </rPr>
          <t>Kev:</t>
        </r>
        <r>
          <rPr>
            <sz val="8"/>
            <color indexed="81"/>
            <rFont val="Tahoma"/>
            <family val="2"/>
          </rPr>
          <t xml:space="preserve">
"3 W/gm rule"… turns red when Pin &gt; 3 * motor weight</t>
        </r>
      </text>
    </comment>
  </commentList>
</comments>
</file>

<file path=xl/connections.xml><?xml version="1.0" encoding="utf-8"?>
<connections xmlns="http://schemas.openxmlformats.org/spreadsheetml/2006/main">
  <connection id="1" name="9T-23awgDLRKy2s" type="6" refreshedVersion="0" background="1">
    <textPr codePage="437" sourceFile="J:\Documents and Settings\Kev\My Documents\RC hobby\motors\(_powerSuite\9T-23awgDLRKy2s.FDR" space="1" consecutive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<sst xmlns="http://schemas.openxmlformats.org/spreadsheetml/2006/main" count="1027" uniqueCount="250">
  <si>
    <t>Turns</t>
  </si>
  <si>
    <t>Prop.</t>
  </si>
  <si>
    <t>Battery</t>
  </si>
  <si>
    <t>Stock</t>
  </si>
  <si>
    <t>RPM</t>
  </si>
  <si>
    <t>V</t>
  </si>
  <si>
    <t>A</t>
  </si>
  <si>
    <t>Note</t>
  </si>
  <si>
    <t>Pin [W]</t>
  </si>
  <si>
    <t>2 cell</t>
  </si>
  <si>
    <t>Kv*T</t>
  </si>
  <si>
    <t>D</t>
  </si>
  <si>
    <t>4 cell</t>
  </si>
  <si>
    <t>Kv</t>
  </si>
  <si>
    <t>in</t>
  </si>
  <si>
    <t>D product</t>
  </si>
  <si>
    <t>RPM Turns/V</t>
  </si>
  <si>
    <t>Star/Y product</t>
  </si>
  <si>
    <t>Term. Length</t>
  </si>
  <si>
    <t>Length per Turn</t>
  </si>
  <si>
    <t>Term.</t>
  </si>
  <si>
    <t>Y</t>
  </si>
  <si>
    <t>Temp [C]</t>
  </si>
  <si>
    <t>Alt [m]</t>
  </si>
  <si>
    <t>Kv*T "D"</t>
  </si>
  <si>
    <t>Kv*T "Y"</t>
  </si>
  <si>
    <t>Max Heat [W/gm]</t>
  </si>
  <si>
    <t>Truglodite</t>
  </si>
  <si>
    <t>Wire [in]</t>
  </si>
  <si>
    <t>Wire (in)</t>
  </si>
  <si>
    <t>d</t>
  </si>
  <si>
    <t>c</t>
  </si>
  <si>
    <t>b</t>
  </si>
  <si>
    <t>a</t>
  </si>
  <si>
    <t>Ptch Spd [mph]</t>
  </si>
  <si>
    <t>Parallel</t>
  </si>
  <si>
    <t>26awg</t>
  </si>
  <si>
    <t>Pitch</t>
  </si>
  <si>
    <t>Prop Name</t>
  </si>
  <si>
    <t>Test Density</t>
  </si>
  <si>
    <t>Convert to Delta</t>
  </si>
  <si>
    <t>Overheat</t>
  </si>
  <si>
    <t>24awg</t>
  </si>
  <si>
    <t>8x4 GWS HD</t>
  </si>
  <si>
    <t>Motor Weight</t>
  </si>
  <si>
    <t>gm/W*</t>
  </si>
  <si>
    <t>*Drive Calculator</t>
  </si>
  <si>
    <t>Heat* [W]</t>
  </si>
  <si>
    <t>gm</t>
  </si>
  <si>
    <t>+Measured</t>
  </si>
  <si>
    <t>DensityThrust</t>
  </si>
  <si>
    <t>DensityPower</t>
  </si>
  <si>
    <t>Variant</t>
  </si>
  <si>
    <t>Kv*T "D"2</t>
  </si>
  <si>
    <t>Kv*T "Y"3</t>
  </si>
  <si>
    <t>Convert to Delta4</t>
  </si>
  <si>
    <t>Convert to Delta5</t>
  </si>
  <si>
    <t>Kv*T "D"3</t>
  </si>
  <si>
    <t>Kv*T "Y"4</t>
  </si>
  <si>
    <t>Kv*T "Y"2</t>
  </si>
  <si>
    <t>Kv*T "D"4</t>
  </si>
  <si>
    <t>Kv*T "D"5</t>
  </si>
  <si>
    <t>Kv*T "Y"5</t>
  </si>
  <si>
    <t>Kv*T-D</t>
  </si>
  <si>
    <t>Convert to Delta2</t>
  </si>
  <si>
    <t>Convert to Delta3</t>
  </si>
  <si>
    <t>Inch/T</t>
  </si>
  <si>
    <t>Io</t>
  </si>
  <si>
    <t>Wire</t>
  </si>
  <si>
    <t>ID</t>
  </si>
  <si>
    <t>Diam.</t>
  </si>
  <si>
    <t>Drive Calc Prop List</t>
  </si>
  <si>
    <t>No Load</t>
  </si>
  <si>
    <t>Std Inch per turn</t>
  </si>
  <si>
    <t>in/turn</t>
  </si>
  <si>
    <t>in per turn</t>
  </si>
  <si>
    <t>in per turn2</t>
  </si>
  <si>
    <t>in per turn3</t>
  </si>
  <si>
    <t>in per turn4</t>
  </si>
  <si>
    <t>W/gm rule</t>
  </si>
  <si>
    <t>Formula</t>
  </si>
  <si>
    <t>"T"</t>
  </si>
  <si>
    <t>Phys. Turns</t>
  </si>
  <si>
    <t xml:space="preserve">in </t>
  </si>
  <si>
    <t xml:space="preserve">mm </t>
  </si>
  <si>
    <t xml:space="preserve">mm² </t>
  </si>
  <si>
    <t>Name</t>
  </si>
  <si>
    <t>4/0swg</t>
  </si>
  <si>
    <t>4/0awg</t>
  </si>
  <si>
    <t>4/0bwg</t>
  </si>
  <si>
    <t>3/0swg</t>
  </si>
  <si>
    <t>3/0awg</t>
  </si>
  <si>
    <t>3/0bwg</t>
  </si>
  <si>
    <t>2/0swg</t>
  </si>
  <si>
    <t>2/0awg</t>
  </si>
  <si>
    <t>2/0bwg</t>
  </si>
  <si>
    <t>1/0swg</t>
  </si>
  <si>
    <t>1/0awg</t>
  </si>
  <si>
    <t>1/0bwg</t>
  </si>
  <si>
    <t>1swg</t>
  </si>
  <si>
    <t>1awg</t>
  </si>
  <si>
    <t>1bwg</t>
  </si>
  <si>
    <t>2swg</t>
  </si>
  <si>
    <t>2awg</t>
  </si>
  <si>
    <t>2bwg</t>
  </si>
  <si>
    <t>3swg</t>
  </si>
  <si>
    <t>3awg</t>
  </si>
  <si>
    <t>3bwg</t>
  </si>
  <si>
    <t>4swg</t>
  </si>
  <si>
    <t>4awg</t>
  </si>
  <si>
    <t>4bwg</t>
  </si>
  <si>
    <t>5swg</t>
  </si>
  <si>
    <t>5awg</t>
  </si>
  <si>
    <t>5bwg</t>
  </si>
  <si>
    <t>6swg</t>
  </si>
  <si>
    <t>6awg</t>
  </si>
  <si>
    <t>6bwg</t>
  </si>
  <si>
    <t>7swg</t>
  </si>
  <si>
    <t>7awg</t>
  </si>
  <si>
    <t>7bwg</t>
  </si>
  <si>
    <t>8swg</t>
  </si>
  <si>
    <t>8awg</t>
  </si>
  <si>
    <t>8bwg</t>
  </si>
  <si>
    <t>9swg</t>
  </si>
  <si>
    <t>9awg</t>
  </si>
  <si>
    <t>9bwg</t>
  </si>
  <si>
    <t>10swg</t>
  </si>
  <si>
    <t>10awg</t>
  </si>
  <si>
    <t>10bwg</t>
  </si>
  <si>
    <t>11swg</t>
  </si>
  <si>
    <t>11awg</t>
  </si>
  <si>
    <t>11bwg</t>
  </si>
  <si>
    <t>12swg</t>
  </si>
  <si>
    <t>12awg</t>
  </si>
  <si>
    <t>12bwg</t>
  </si>
  <si>
    <t>13swg</t>
  </si>
  <si>
    <t>13awg</t>
  </si>
  <si>
    <t>13bwg</t>
  </si>
  <si>
    <t>14swg</t>
  </si>
  <si>
    <t>14awg</t>
  </si>
  <si>
    <t>14bwg</t>
  </si>
  <si>
    <t>15swg</t>
  </si>
  <si>
    <t>15awg</t>
  </si>
  <si>
    <t>15bwg</t>
  </si>
  <si>
    <t>16swg</t>
  </si>
  <si>
    <t>16awg</t>
  </si>
  <si>
    <t>16bwg</t>
  </si>
  <si>
    <t>17swg</t>
  </si>
  <si>
    <t>17awg</t>
  </si>
  <si>
    <t>17bwg</t>
  </si>
  <si>
    <t>18swg</t>
  </si>
  <si>
    <t>18awg</t>
  </si>
  <si>
    <t>18bwg</t>
  </si>
  <si>
    <t>19swg</t>
  </si>
  <si>
    <t>19awg</t>
  </si>
  <si>
    <t>19bwg</t>
  </si>
  <si>
    <t>20swg</t>
  </si>
  <si>
    <t>20awg</t>
  </si>
  <si>
    <t>20bwg</t>
  </si>
  <si>
    <t>21swg</t>
  </si>
  <si>
    <t>21awg</t>
  </si>
  <si>
    <t>21bwg</t>
  </si>
  <si>
    <t>22swg</t>
  </si>
  <si>
    <t>22awg</t>
  </si>
  <si>
    <t>22bwg</t>
  </si>
  <si>
    <t>23swg</t>
  </si>
  <si>
    <t>23awg</t>
  </si>
  <si>
    <t>23bwg</t>
  </si>
  <si>
    <t>24swg</t>
  </si>
  <si>
    <t>24bwg</t>
  </si>
  <si>
    <t>25swg</t>
  </si>
  <si>
    <t>25awg</t>
  </si>
  <si>
    <t>25bwg</t>
  </si>
  <si>
    <t>26swg</t>
  </si>
  <si>
    <t>26bwg</t>
  </si>
  <si>
    <t>27swg</t>
  </si>
  <si>
    <t>27awg</t>
  </si>
  <si>
    <t>27bwg</t>
  </si>
  <si>
    <t>28swg</t>
  </si>
  <si>
    <t>28awg</t>
  </si>
  <si>
    <t>28bwg</t>
  </si>
  <si>
    <t>29swg</t>
  </si>
  <si>
    <t>29awg</t>
  </si>
  <si>
    <t>29bwg</t>
  </si>
  <si>
    <t>30swg</t>
  </si>
  <si>
    <t>30awg</t>
  </si>
  <si>
    <t>30bwg</t>
  </si>
  <si>
    <t>31swg</t>
  </si>
  <si>
    <t>31awg</t>
  </si>
  <si>
    <t>31bwg</t>
  </si>
  <si>
    <t>32swg</t>
  </si>
  <si>
    <t>32awg</t>
  </si>
  <si>
    <t>32bwg</t>
  </si>
  <si>
    <t>33swg</t>
  </si>
  <si>
    <t>33awg</t>
  </si>
  <si>
    <t>33bwg</t>
  </si>
  <si>
    <t>34swg</t>
  </si>
  <si>
    <t>34awg</t>
  </si>
  <si>
    <t>34bwg</t>
  </si>
  <si>
    <t>35swg</t>
  </si>
  <si>
    <t>35awg</t>
  </si>
  <si>
    <t>35bwg</t>
  </si>
  <si>
    <t>36swg</t>
  </si>
  <si>
    <t>36awg</t>
  </si>
  <si>
    <t>36bwg</t>
  </si>
  <si>
    <t>37swg</t>
  </si>
  <si>
    <t>37awg</t>
  </si>
  <si>
    <t>38swg</t>
  </si>
  <si>
    <t>38awg</t>
  </si>
  <si>
    <t>39swg</t>
  </si>
  <si>
    <t>39awg</t>
  </si>
  <si>
    <t>40swg</t>
  </si>
  <si>
    <t>40awg</t>
  </si>
  <si>
    <t>Wirelist</t>
  </si>
  <si>
    <t>+Thrust [oz]</t>
  </si>
  <si>
    <t>+gm/W</t>
  </si>
  <si>
    <t>*Effy</t>
  </si>
  <si>
    <t>Variant 4</t>
  </si>
  <si>
    <t>Variant 5</t>
  </si>
  <si>
    <t>*Thrust [oz]</t>
  </si>
  <si>
    <t>***This sheet references the files 'DCBase.csv' and 'props.xlsx'. Open files at the same time to update data!!!</t>
  </si>
  <si>
    <t>Termination List</t>
  </si>
  <si>
    <t>Cu Area [mm^2]</t>
  </si>
  <si>
    <t>Rm</t>
  </si>
  <si>
    <t>14p dLRK</t>
  </si>
  <si>
    <t>16p ABCx4</t>
  </si>
  <si>
    <t>Top 10%</t>
  </si>
  <si>
    <t>myid</t>
  </si>
  <si>
    <t>BrianSwift</t>
  </si>
  <si>
    <t>4.5x4.5 EMP</t>
  </si>
  <si>
    <t>4.75x4.75 APC E</t>
  </si>
  <si>
    <t>5.5x4.5 APC E</t>
  </si>
  <si>
    <t>6x4 APC E</t>
  </si>
  <si>
    <t>7x3.5 GWS HD</t>
  </si>
  <si>
    <t>8x3.8 APC SF</t>
  </si>
  <si>
    <t>9x5 GWS HD</t>
  </si>
  <si>
    <t>5x5 APC E</t>
  </si>
  <si>
    <t>Rhino 3s1250 30C</t>
  </si>
  <si>
    <t>Rhino 3s750 20C</t>
  </si>
  <si>
    <t>Rhino 3s460 20C</t>
  </si>
  <si>
    <t>TP 3s730 PL</t>
  </si>
  <si>
    <t>Rhino 2s610 20C</t>
  </si>
  <si>
    <t>Turnigy 2730 - Black &amp; Red</t>
  </si>
  <si>
    <t>4.2x4 APC E</t>
  </si>
  <si>
    <t>4.2x5.5 APC E</t>
  </si>
  <si>
    <t>4.0x5.5 APC E</t>
  </si>
  <si>
    <t>3.8x5.5 APC E</t>
  </si>
  <si>
    <t>5x4.3 GWS HD</t>
  </si>
  <si>
    <t>4.75x4.75e TGS</t>
  </si>
  <si>
    <t>10p dLRK</t>
  </si>
</sst>
</file>

<file path=xl/styles.xml><?xml version="1.0" encoding="utf-8"?>
<styleSheet xmlns="http://schemas.openxmlformats.org/spreadsheetml/2006/main">
  <numFmts count="5">
    <numFmt numFmtId="164" formatCode="0.0"/>
    <numFmt numFmtId="165" formatCode="0.0%"/>
    <numFmt numFmtId="166" formatCode="0.000"/>
    <numFmt numFmtId="167" formatCode="#,##0.00_ ;\-#,##0.00\ "/>
    <numFmt numFmtId="168" formatCode="#,##0.0_ ;\-#,##0.0\ "/>
  </numFmts>
  <fonts count="2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168" fontId="13" fillId="0" borderId="0" applyFont="0" applyFill="0" applyBorder="0" applyAlignment="0" applyProtection="0"/>
    <xf numFmtId="167" fontId="13" fillId="0" borderId="0"/>
    <xf numFmtId="0" fontId="13" fillId="0" borderId="0"/>
    <xf numFmtId="0" fontId="15" fillId="0" borderId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49" fontId="13" fillId="0" borderId="0"/>
  </cellStyleXfs>
  <cellXfs count="195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5" applyNumberFormat="1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 wrapText="1"/>
    </xf>
    <xf numFmtId="0" fontId="0" fillId="2" borderId="2" xfId="0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0" fillId="0" borderId="4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2" fillId="4" borderId="0" xfId="0" applyFont="1" applyFill="1" applyBorder="1" applyAlignment="1"/>
    <xf numFmtId="1" fontId="12" fillId="3" borderId="0" xfId="0" applyNumberFormat="1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1" fontId="12" fillId="4" borderId="0" xfId="0" applyNumberFormat="1" applyFont="1" applyFill="1" applyBorder="1" applyAlignment="1">
      <alignment horizontal="center"/>
    </xf>
    <xf numFmtId="0" fontId="12" fillId="3" borderId="6" xfId="0" applyFont="1" applyFill="1" applyBorder="1" applyAlignment="1">
      <alignment horizontal="center"/>
    </xf>
    <xf numFmtId="1" fontId="12" fillId="3" borderId="6" xfId="0" applyNumberFormat="1" applyFont="1" applyFill="1" applyBorder="1" applyAlignment="1">
      <alignment horizontal="center"/>
    </xf>
    <xf numFmtId="0" fontId="12" fillId="3" borderId="0" xfId="0" applyFont="1" applyFill="1" applyBorder="1" applyAlignment="1"/>
    <xf numFmtId="0" fontId="12" fillId="3" borderId="0" xfId="0" applyFont="1" applyFill="1" applyBorder="1" applyAlignment="1">
      <alignment wrapText="1"/>
    </xf>
    <xf numFmtId="0" fontId="0" fillId="2" borderId="8" xfId="0" applyFill="1" applyBorder="1" applyAlignment="1">
      <alignment horizontal="center"/>
    </xf>
    <xf numFmtId="0" fontId="0" fillId="0" borderId="0" xfId="0" applyBorder="1"/>
    <xf numFmtId="1" fontId="12" fillId="3" borderId="4" xfId="0" applyNumberFormat="1" applyFont="1" applyFill="1" applyBorder="1" applyAlignment="1">
      <alignment horizontal="center"/>
    </xf>
    <xf numFmtId="1" fontId="12" fillId="4" borderId="4" xfId="0" applyNumberFormat="1" applyFont="1" applyFill="1" applyBorder="1" applyAlignment="1">
      <alignment horizontal="center"/>
    </xf>
    <xf numFmtId="1" fontId="12" fillId="3" borderId="5" xfId="0" applyNumberFormat="1" applyFont="1" applyFill="1" applyBorder="1" applyAlignment="1">
      <alignment horizontal="center"/>
    </xf>
    <xf numFmtId="0" fontId="12" fillId="3" borderId="6" xfId="0" applyFont="1" applyFill="1" applyBorder="1" applyAlignment="1"/>
    <xf numFmtId="0" fontId="0" fillId="2" borderId="2" xfId="0" applyFill="1" applyBorder="1" applyAlignment="1"/>
    <xf numFmtId="0" fontId="0" fillId="2" borderId="8" xfId="0" applyFill="1" applyBorder="1" applyAlignment="1"/>
    <xf numFmtId="0" fontId="0" fillId="0" borderId="9" xfId="0" applyBorder="1" applyAlignment="1">
      <alignment horizontal="center"/>
    </xf>
    <xf numFmtId="1" fontId="12" fillId="3" borderId="9" xfId="0" applyNumberFormat="1" applyFont="1" applyFill="1" applyBorder="1" applyAlignment="1">
      <alignment horizontal="center"/>
    </xf>
    <xf numFmtId="1" fontId="12" fillId="4" borderId="9" xfId="0" applyNumberFormat="1" applyFont="1" applyFill="1" applyBorder="1" applyAlignment="1">
      <alignment horizontal="center"/>
    </xf>
    <xf numFmtId="1" fontId="12" fillId="3" borderId="10" xfId="0" applyNumberFormat="1" applyFont="1" applyFill="1" applyBorder="1" applyAlignment="1">
      <alignment horizontal="center"/>
    </xf>
    <xf numFmtId="164" fontId="4" fillId="9" borderId="0" xfId="0" applyNumberFormat="1" applyFont="1" applyFill="1" applyBorder="1" applyAlignment="1">
      <alignment horizontal="center"/>
    </xf>
    <xf numFmtId="1" fontId="4" fillId="9" borderId="0" xfId="0" applyNumberFormat="1" applyFont="1" applyFill="1" applyBorder="1" applyAlignment="1">
      <alignment horizontal="center"/>
    </xf>
    <xf numFmtId="0" fontId="4" fillId="9" borderId="0" xfId="0" applyFont="1" applyFill="1" applyAlignment="1">
      <alignment horizontal="center"/>
    </xf>
    <xf numFmtId="164" fontId="0" fillId="9" borderId="0" xfId="0" applyNumberFormat="1" applyFill="1" applyBorder="1" applyAlignment="1">
      <alignment horizontal="center"/>
    </xf>
    <xf numFmtId="165" fontId="14" fillId="9" borderId="0" xfId="5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5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top" wrapText="1"/>
    </xf>
    <xf numFmtId="0" fontId="0" fillId="8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1" fontId="0" fillId="0" borderId="0" xfId="0" applyNumberFormat="1"/>
    <xf numFmtId="0" fontId="3" fillId="0" borderId="0" xfId="4" applyFont="1" applyAlignment="1">
      <alignment horizontal="left"/>
    </xf>
    <xf numFmtId="0" fontId="0" fillId="0" borderId="0" xfId="4" applyFont="1" applyAlignment="1">
      <alignment horizontal="left"/>
    </xf>
    <xf numFmtId="166" fontId="0" fillId="0" borderId="0" xfId="4" applyNumberFormat="1" applyFont="1"/>
    <xf numFmtId="11" fontId="3" fillId="0" borderId="0" xfId="4" applyNumberFormat="1" applyFont="1" applyFill="1"/>
    <xf numFmtId="2" fontId="3" fillId="0" borderId="0" xfId="4" applyNumberFormat="1" applyFont="1" applyFill="1"/>
    <xf numFmtId="0" fontId="0" fillId="0" borderId="0" xfId="0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3" fillId="0" borderId="0" xfId="4" applyNumberFormat="1" applyFont="1" applyAlignment="1">
      <alignment horizontal="right"/>
    </xf>
    <xf numFmtId="166" fontId="3" fillId="0" borderId="0" xfId="4" applyNumberFormat="1" applyFont="1"/>
    <xf numFmtId="2" fontId="0" fillId="0" borderId="0" xfId="0" applyNumberFormat="1"/>
    <xf numFmtId="0" fontId="17" fillId="0" borderId="0" xfId="0" applyFont="1" applyAlignment="1">
      <alignment horizontal="center" vertical="center"/>
    </xf>
    <xf numFmtId="0" fontId="0" fillId="0" borderId="0" xfId="0" applyAlignme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right" vertical="center" wrapText="1"/>
    </xf>
    <xf numFmtId="0" fontId="4" fillId="0" borderId="0" xfId="0" applyFont="1" applyAlignment="1">
      <alignment horizontal="left"/>
    </xf>
    <xf numFmtId="1" fontId="4" fillId="9" borderId="0" xfId="0" applyNumberFormat="1" applyFont="1" applyFill="1" applyAlignment="1">
      <alignment horizontal="center"/>
    </xf>
    <xf numFmtId="2" fontId="4" fillId="9" borderId="0" xfId="0" applyNumberFormat="1" applyFont="1" applyFill="1" applyAlignment="1">
      <alignment horizontal="center"/>
    </xf>
    <xf numFmtId="0" fontId="4" fillId="9" borderId="0" xfId="0" applyNumberFormat="1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4" fillId="0" borderId="5" xfId="0" applyFont="1" applyBorder="1" applyAlignment="1">
      <alignment horizontal="left"/>
    </xf>
    <xf numFmtId="1" fontId="0" fillId="0" borderId="19" xfId="0" applyNumberFormat="1" applyFill="1" applyBorder="1" applyAlignment="1">
      <alignment horizontal="center"/>
    </xf>
    <xf numFmtId="1" fontId="0" fillId="0" borderId="20" xfId="0" applyNumberFormat="1" applyFill="1" applyBorder="1" applyAlignment="1">
      <alignment horizontal="center"/>
    </xf>
    <xf numFmtId="0" fontId="3" fillId="0" borderId="0" xfId="4" applyNumberFormat="1" applyFont="1"/>
    <xf numFmtId="0" fontId="2" fillId="0" borderId="0" xfId="4" applyFont="1" applyAlignment="1">
      <alignment horizontal="left"/>
    </xf>
    <xf numFmtId="0" fontId="4" fillId="0" borderId="0" xfId="4" applyFont="1" applyAlignment="1">
      <alignment horizontal="left"/>
    </xf>
    <xf numFmtId="166" fontId="4" fillId="0" borderId="0" xfId="4" applyNumberFormat="1" applyFont="1"/>
    <xf numFmtId="0" fontId="2" fillId="0" borderId="0" xfId="4" applyNumberFormat="1" applyFont="1" applyFill="1" applyAlignment="1">
      <alignment horizontal="center"/>
    </xf>
    <xf numFmtId="0" fontId="18" fillId="0" borderId="0" xfId="0" applyFont="1"/>
    <xf numFmtId="0" fontId="4" fillId="9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6" fillId="0" borderId="11" xfId="0" applyFont="1" applyFill="1" applyBorder="1" applyAlignment="1"/>
    <xf numFmtId="0" fontId="6" fillId="0" borderId="12" xfId="0" applyFont="1" applyFill="1" applyBorder="1" applyAlignment="1"/>
    <xf numFmtId="0" fontId="6" fillId="0" borderId="13" xfId="0" applyFont="1" applyFill="1" applyBorder="1" applyAlignment="1"/>
    <xf numFmtId="0" fontId="4" fillId="0" borderId="5" xfId="0" applyFont="1" applyFill="1" applyBorder="1" applyAlignment="1"/>
    <xf numFmtId="0" fontId="6" fillId="11" borderId="6" xfId="0" applyFont="1" applyFill="1" applyBorder="1" applyAlignment="1"/>
    <xf numFmtId="0" fontId="6" fillId="0" borderId="10" xfId="0" applyFont="1" applyFill="1" applyBorder="1" applyAlignment="1">
      <alignment horizontal="center"/>
    </xf>
    <xf numFmtId="0" fontId="6" fillId="0" borderId="4" xfId="0" applyFont="1" applyBorder="1"/>
    <xf numFmtId="0" fontId="4" fillId="11" borderId="21" xfId="0" applyFont="1" applyFill="1" applyBorder="1" applyAlignment="1">
      <alignment horizontal="left"/>
    </xf>
    <xf numFmtId="2" fontId="4" fillId="9" borderId="0" xfId="0" applyNumberFormat="1" applyFont="1" applyFill="1" applyBorder="1" applyAlignment="1">
      <alignment horizontal="center"/>
    </xf>
    <xf numFmtId="2" fontId="0" fillId="9" borderId="0" xfId="0" applyNumberFormat="1" applyFill="1" applyBorder="1" applyAlignment="1">
      <alignment horizontal="center"/>
    </xf>
    <xf numFmtId="0" fontId="0" fillId="0" borderId="4" xfId="0" applyFill="1" applyBorder="1"/>
    <xf numFmtId="0" fontId="0" fillId="0" borderId="0" xfId="0" applyFill="1" applyBorder="1"/>
    <xf numFmtId="0" fontId="4" fillId="0" borderId="0" xfId="0" quotePrefix="1" applyFont="1" applyFill="1" applyBorder="1" applyAlignment="1">
      <alignment horizontal="left"/>
    </xf>
    <xf numFmtId="165" fontId="0" fillId="0" borderId="0" xfId="5" applyNumberFormat="1" applyFont="1" applyFill="1" applyBorder="1" applyAlignment="1">
      <alignment horizontal="center"/>
    </xf>
    <xf numFmtId="1" fontId="4" fillId="9" borderId="9" xfId="0" applyNumberFormat="1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2" fontId="0" fillId="9" borderId="6" xfId="0" applyNumberFormat="1" applyFill="1" applyBorder="1" applyAlignment="1">
      <alignment horizontal="center"/>
    </xf>
    <xf numFmtId="164" fontId="4" fillId="9" borderId="6" xfId="0" applyNumberFormat="1" applyFont="1" applyFill="1" applyBorder="1" applyAlignment="1">
      <alignment horizontal="center"/>
    </xf>
    <xf numFmtId="165" fontId="0" fillId="0" borderId="6" xfId="5" applyNumberFormat="1" applyFon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5" fontId="14" fillId="9" borderId="6" xfId="5" applyNumberFormat="1" applyFont="1" applyFill="1" applyBorder="1" applyAlignment="1">
      <alignment horizontal="center"/>
    </xf>
    <xf numFmtId="1" fontId="4" fillId="9" borderId="6" xfId="0" applyNumberFormat="1" applyFont="1" applyFill="1" applyBorder="1" applyAlignment="1">
      <alignment horizontal="center"/>
    </xf>
    <xf numFmtId="1" fontId="4" fillId="9" borderId="10" xfId="0" applyNumberFormat="1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0" fillId="0" borderId="5" xfId="0" applyBorder="1"/>
    <xf numFmtId="0" fontId="4" fillId="10" borderId="4" xfId="0" applyFont="1" applyFill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0" xfId="0" quotePrefix="1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Alignment="1">
      <alignment wrapText="1"/>
    </xf>
    <xf numFmtId="0" fontId="0" fillId="0" borderId="10" xfId="0" applyFill="1" applyBorder="1" applyAlignment="1">
      <alignment horizontal="center"/>
    </xf>
    <xf numFmtId="0" fontId="1" fillId="0" borderId="0" xfId="4" applyNumberFormat="1" applyFont="1"/>
    <xf numFmtId="0" fontId="1" fillId="0" borderId="0" xfId="4" applyFont="1" applyAlignment="1">
      <alignment horizontal="left"/>
    </xf>
    <xf numFmtId="164" fontId="2" fillId="0" borderId="0" xfId="4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5" fontId="4" fillId="0" borderId="0" xfId="5" applyNumberFormat="1" applyFont="1" applyFill="1" applyAlignment="1">
      <alignment horizontal="center"/>
    </xf>
    <xf numFmtId="165" fontId="4" fillId="0" borderId="0" xfId="5" applyNumberFormat="1" applyFont="1" applyFill="1" applyBorder="1" applyAlignment="1">
      <alignment horizontal="center"/>
    </xf>
    <xf numFmtId="0" fontId="4" fillId="9" borderId="0" xfId="0" applyNumberFormat="1" applyFont="1" applyFill="1" applyBorder="1" applyAlignment="1">
      <alignment horizontal="center"/>
    </xf>
    <xf numFmtId="1" fontId="0" fillId="9" borderId="0" xfId="0" applyNumberFormat="1" applyFont="1" applyFill="1" applyBorder="1" applyAlignment="1">
      <alignment horizontal="center"/>
    </xf>
    <xf numFmtId="2" fontId="0" fillId="9" borderId="0" xfId="0" applyNumberFormat="1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0" xfId="0" applyNumberFormat="1" applyFont="1" applyFill="1" applyBorder="1" applyAlignment="1">
      <alignment horizontal="center"/>
    </xf>
    <xf numFmtId="164" fontId="0" fillId="9" borderId="0" xfId="0" applyNumberFormat="1" applyFont="1" applyFill="1" applyBorder="1" applyAlignment="1">
      <alignment horizontal="center"/>
    </xf>
    <xf numFmtId="165" fontId="4" fillId="0" borderId="0" xfId="5" applyNumberFormat="1" applyFont="1" applyFill="1" applyAlignment="1">
      <alignment horizontal="right"/>
    </xf>
    <xf numFmtId="165" fontId="4" fillId="0" borderId="0" xfId="5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5" fontId="0" fillId="0" borderId="0" xfId="5" applyNumberFormat="1" applyFont="1" applyFill="1" applyBorder="1" applyAlignment="1">
      <alignment horizontal="right"/>
    </xf>
    <xf numFmtId="165" fontId="0" fillId="0" borderId="6" xfId="5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9" borderId="0" xfId="0" applyNumberFormat="1" applyFont="1" applyFill="1" applyAlignment="1">
      <alignment horizontal="center"/>
    </xf>
    <xf numFmtId="0" fontId="4" fillId="0" borderId="0" xfId="0" applyFont="1" applyFill="1" applyBorder="1"/>
    <xf numFmtId="0" fontId="4" fillId="11" borderId="0" xfId="0" applyFont="1" applyFill="1" applyBorder="1"/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166" fontId="4" fillId="0" borderId="0" xfId="0" applyNumberFormat="1" applyFon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6" xfId="0" applyNumberFormat="1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0" fillId="0" borderId="9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9" fillId="0" borderId="11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 wrapText="1"/>
    </xf>
    <xf numFmtId="0" fontId="4" fillId="0" borderId="9" xfId="0" applyFont="1" applyFill="1" applyBorder="1" applyAlignment="1">
      <alignment horizontal="center" wrapText="1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0" fillId="2" borderId="2" xfId="0" applyFill="1" applyBorder="1" applyAlignment="1"/>
    <xf numFmtId="0" fontId="0" fillId="2" borderId="8" xfId="0" applyFill="1" applyBorder="1" applyAlignment="1"/>
    <xf numFmtId="0" fontId="7" fillId="6" borderId="2" xfId="0" applyFont="1" applyFill="1" applyBorder="1" applyAlignment="1">
      <alignment horizontal="center"/>
    </xf>
    <xf numFmtId="0" fontId="7" fillId="6" borderId="14" xfId="0" applyFon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0" fontId="16" fillId="0" borderId="16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</cellXfs>
  <cellStyles count="8">
    <cellStyle name="Dezimal1" xfId="1"/>
    <cellStyle name="Dezimal2" xfId="2"/>
    <cellStyle name="Normal" xfId="0" builtinId="0"/>
    <cellStyle name="Normal 2" xfId="3"/>
    <cellStyle name="Normal 3" xfId="4"/>
    <cellStyle name="Percent" xfId="5" builtinId="5"/>
    <cellStyle name="Percent 2" xfId="6"/>
    <cellStyle name="Text" xfId="7"/>
  </cellStyles>
  <dxfs count="80">
    <dxf>
      <numFmt numFmtId="166" formatCode="0.000"/>
    </dxf>
    <dxf>
      <numFmt numFmtId="2" formatCode="0.00"/>
    </dxf>
    <dxf>
      <numFmt numFmtId="15" formatCode="0.00E+00"/>
    </dxf>
    <dxf>
      <numFmt numFmtId="166" formatCode="0.000"/>
    </dxf>
    <dxf>
      <numFmt numFmtId="166" formatCode="0.000"/>
    </dxf>
    <dxf>
      <numFmt numFmtId="166" formatCode="0.000"/>
    </dxf>
    <dxf>
      <numFmt numFmtId="0" formatCode="General"/>
      <alignment horizontal="right" vertical="bottom" textRotation="0" wrapText="0" indent="0" relativeIndent="255" justifyLastLine="0" shrinkToFit="0" readingOrder="0"/>
    </dxf>
    <dxf>
      <numFmt numFmtId="0" formatCode="General"/>
      <alignment horizontal="right" vertical="bottom" textRotation="0" wrapText="0" indent="0" relativeIndent="255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numFmt numFmtId="166" formatCode="0.000"/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 style="medium">
          <color indexed="64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0.0%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numFmt numFmtId="164" formatCode="0.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right" vertical="bottom" textRotation="0" wrapText="0" indent="0" relativeIndent="255" justifyLastLine="0" shrinkToFit="0" mergeCell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0.0%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0.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4" formatCode="0.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166" formatCode="0.00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/>
        <right/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medium">
          <color indexed="64"/>
        </left>
        <right/>
        <top style="medium">
          <color auto="1"/>
        </top>
        <bottom style="medium">
          <color auto="1"/>
        </bottom>
      </border>
    </dxf>
    <dxf>
      <border outline="0">
        <right style="medium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8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border outline="0">
        <bottom style="thin">
          <color indexed="64"/>
        </bottom>
      </border>
    </dxf>
    <dxf>
      <alignment horizontal="general" vertical="bottom" textRotation="0" wrapText="1" indent="0" relativeIndent="255" justifyLastLine="0" shrinkToFit="0" mergeCell="0" readingOrder="0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indexed="4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50"/>
        </patternFill>
      </fill>
    </dxf>
    <dxf>
      <fill>
        <patternFill>
          <bgColor indexed="34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8FF2"/>
      <color rgb="FFFF99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cal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p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CBase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lculator"/>
      <sheetName val="Comparison"/>
      <sheetName val="Comparison (Pin)"/>
      <sheetName val="Tools"/>
      <sheetName val="Motors"/>
      <sheetName val="Props"/>
      <sheetName val="Gear boxes"/>
      <sheetName val="Versionshistorie"/>
      <sheetName val="Auswertung"/>
      <sheetName val="Auswertung1"/>
      <sheetName val="Auswertung2"/>
      <sheetName val="Auswertung3"/>
      <sheetName val="Tools-Auswertung"/>
      <sheetName val="rsrc"/>
    </sheetNames>
    <sheetDataSet>
      <sheetData sheetId="0">
        <row r="1">
          <cell r="C1">
            <v>2</v>
          </cell>
        </row>
        <row r="10">
          <cell r="C10" t="b">
            <v>0</v>
          </cell>
        </row>
        <row r="13">
          <cell r="H13">
            <v>1.1373123965903147</v>
          </cell>
        </row>
        <row r="20">
          <cell r="E20">
            <v>10</v>
          </cell>
        </row>
        <row r="59">
          <cell r="B59">
            <v>0.72227650929640963</v>
          </cell>
          <cell r="D59">
            <v>6446.5602607513219</v>
          </cell>
          <cell r="E59">
            <v>6312.0263064648298</v>
          </cell>
        </row>
        <row r="60">
          <cell r="B60">
            <v>6382.3762918662869</v>
          </cell>
          <cell r="C60">
            <v>6382.3763298745816</v>
          </cell>
          <cell r="D60">
            <v>8264.3667277177974</v>
          </cell>
          <cell r="E60">
            <v>6312.0263064648298</v>
          </cell>
        </row>
        <row r="61">
          <cell r="C61">
            <v>6382.3763298745816</v>
          </cell>
          <cell r="E61">
            <v>36.52499087248772</v>
          </cell>
        </row>
        <row r="66">
          <cell r="F66">
            <v>1.17E-5</v>
          </cell>
        </row>
        <row r="67">
          <cell r="D67">
            <v>9.9314665903109542E-2</v>
          </cell>
          <cell r="F67">
            <v>2.1574119999999999</v>
          </cell>
          <cell r="G67">
            <v>1.7960000000000001E-10</v>
          </cell>
          <cell r="H67">
            <v>3.2</v>
          </cell>
        </row>
      </sheetData>
      <sheetData sheetId="1">
        <row r="7">
          <cell r="H7">
            <v>1.1373123965903147</v>
          </cell>
        </row>
        <row r="17">
          <cell r="C17" t="b">
            <v>0</v>
          </cell>
        </row>
        <row r="19">
          <cell r="H19">
            <v>1.183206094353122</v>
          </cell>
        </row>
        <row r="29">
          <cell r="C29" t="b">
            <v>0</v>
          </cell>
        </row>
        <row r="31">
          <cell r="H31">
            <v>1.086704912138639</v>
          </cell>
        </row>
      </sheetData>
      <sheetData sheetId="2"/>
      <sheetData sheetId="3">
        <row r="42">
          <cell r="C42" t="b">
            <v>0</v>
          </cell>
        </row>
        <row r="73">
          <cell r="B73">
            <v>-0.05</v>
          </cell>
          <cell r="C73">
            <v>0</v>
          </cell>
          <cell r="D73">
            <v>19283.611796972338</v>
          </cell>
          <cell r="E73">
            <v>30135.366868848323</v>
          </cell>
        </row>
        <row r="74">
          <cell r="B74">
            <v>0</v>
          </cell>
          <cell r="C74" t="str">
            <v/>
          </cell>
          <cell r="D74">
            <v>19283.611796972338</v>
          </cell>
          <cell r="E74">
            <v>9876.9718960102164</v>
          </cell>
          <cell r="G74">
            <v>0.28274333882308139</v>
          </cell>
        </row>
        <row r="75">
          <cell r="C75">
            <v>0</v>
          </cell>
        </row>
        <row r="77">
          <cell r="E77" t="str">
            <v>0</v>
          </cell>
        </row>
        <row r="80">
          <cell r="F80">
            <v>2.3947600000000002E-7</v>
          </cell>
        </row>
        <row r="81">
          <cell r="F81">
            <v>2.1313010000000001</v>
          </cell>
          <cell r="G81">
            <v>9.6368630000000003E-12</v>
          </cell>
          <cell r="H81">
            <v>3.0586180000000001</v>
          </cell>
        </row>
      </sheetData>
      <sheetData sheetId="4">
        <row r="23">
          <cell r="A23">
            <v>170</v>
          </cell>
          <cell r="C23">
            <v>170</v>
          </cell>
          <cell r="D23">
            <v>344</v>
          </cell>
          <cell r="E23">
            <v>451</v>
          </cell>
          <cell r="J23">
            <v>28</v>
          </cell>
        </row>
        <row r="26">
          <cell r="B26" t="str">
            <v>===  Einzelstücke  ===</v>
          </cell>
        </row>
      </sheetData>
      <sheetData sheetId="5" refreshError="1"/>
      <sheetData sheetId="6">
        <row r="12">
          <cell r="C12">
            <v>37</v>
          </cell>
        </row>
        <row r="13">
          <cell r="C13">
            <v>37</v>
          </cell>
        </row>
        <row r="14">
          <cell r="A14">
            <v>37</v>
          </cell>
          <cell r="C14">
            <v>37</v>
          </cell>
          <cell r="E14">
            <v>22</v>
          </cell>
        </row>
        <row r="16">
          <cell r="B16" t="str">
            <v>Gear box 1.5 : 1 (Eta 96%)</v>
          </cell>
          <cell r="C16">
            <v>1.5</v>
          </cell>
          <cell r="D16">
            <v>0.96</v>
          </cell>
        </row>
        <row r="17">
          <cell r="B17" t="str">
            <v>Gear box 1.7 : 1 (Eta 96%)</v>
          </cell>
          <cell r="C17">
            <v>1.7</v>
          </cell>
          <cell r="D17">
            <v>0.96</v>
          </cell>
        </row>
        <row r="18">
          <cell r="B18" t="str">
            <v>Gear box 1.85 : 1 (Eta 96%)</v>
          </cell>
          <cell r="C18">
            <v>1.85</v>
          </cell>
          <cell r="D18">
            <v>0.96</v>
          </cell>
        </row>
        <row r="19">
          <cell r="B19" t="str">
            <v>Gear box 2 : 1 (Eta 96%)</v>
          </cell>
          <cell r="C19">
            <v>2</v>
          </cell>
          <cell r="D19">
            <v>0.96</v>
          </cell>
        </row>
        <row r="20">
          <cell r="B20" t="str">
            <v>Gear box 2 : 1 (Eta 96%)</v>
          </cell>
          <cell r="C20">
            <v>2</v>
          </cell>
          <cell r="D20">
            <v>0.96</v>
          </cell>
        </row>
        <row r="21">
          <cell r="B21" t="str">
            <v>Gear box 2.33 : 1 (Eta 95%)</v>
          </cell>
          <cell r="C21">
            <v>2.33</v>
          </cell>
          <cell r="D21">
            <v>0.95</v>
          </cell>
        </row>
        <row r="22">
          <cell r="B22" t="str">
            <v>Gear box 2.4 : 1 (Eta 96%)</v>
          </cell>
          <cell r="C22">
            <v>2.4</v>
          </cell>
          <cell r="D22">
            <v>0.96</v>
          </cell>
        </row>
        <row r="23">
          <cell r="B23" t="str">
            <v>Gear box 2.5 : 1 (Eta 95%)</v>
          </cell>
          <cell r="C23">
            <v>2.5</v>
          </cell>
          <cell r="D23">
            <v>0.95</v>
          </cell>
        </row>
        <row r="24">
          <cell r="B24" t="str">
            <v>Gear box 2.7 : 1 (Eta 95%)</v>
          </cell>
          <cell r="C24">
            <v>2.7</v>
          </cell>
          <cell r="D24">
            <v>0.95</v>
          </cell>
        </row>
        <row r="25">
          <cell r="B25" t="str">
            <v>Gear box 2.8 : 1 (Eta 92%)</v>
          </cell>
          <cell r="C25">
            <v>2.8</v>
          </cell>
          <cell r="D25">
            <v>0.92</v>
          </cell>
        </row>
        <row r="26">
          <cell r="B26" t="str">
            <v>Gear box 2.8 : 1 (Eta 95%)</v>
          </cell>
          <cell r="C26">
            <v>2.8</v>
          </cell>
          <cell r="D26">
            <v>0.95</v>
          </cell>
        </row>
        <row r="27">
          <cell r="B27" t="str">
            <v>Gear box 3 : 1 (Eta 95%)</v>
          </cell>
          <cell r="C27">
            <v>3</v>
          </cell>
          <cell r="D27">
            <v>0.95</v>
          </cell>
        </row>
        <row r="28">
          <cell r="B28" t="str">
            <v>Gear box 3.1 : 1 (Eta 100%)</v>
          </cell>
          <cell r="C28">
            <v>3.1</v>
          </cell>
          <cell r="D28">
            <v>1</v>
          </cell>
        </row>
        <row r="29">
          <cell r="B29" t="str">
            <v>Gear box 3.2 : 1 (Eta 95%)</v>
          </cell>
          <cell r="C29">
            <v>3.2</v>
          </cell>
          <cell r="D29">
            <v>0.95</v>
          </cell>
        </row>
        <row r="30">
          <cell r="B30" t="str">
            <v>Gear box 3.5 : 1 (Eta 95%)</v>
          </cell>
          <cell r="C30">
            <v>3.5</v>
          </cell>
          <cell r="D30">
            <v>0.95</v>
          </cell>
        </row>
        <row r="31">
          <cell r="B31" t="str">
            <v>Gear box 3.7 : 1 (Eta 95%)</v>
          </cell>
          <cell r="C31">
            <v>3.7</v>
          </cell>
          <cell r="D31">
            <v>0.95</v>
          </cell>
        </row>
        <row r="32">
          <cell r="B32" t="str">
            <v>Gear box 4 : 1 (Eta 95%)</v>
          </cell>
          <cell r="C32">
            <v>4</v>
          </cell>
          <cell r="D32">
            <v>0.95</v>
          </cell>
        </row>
        <row r="33">
          <cell r="B33" t="str">
            <v>Gear box 4 : 1 (Eta 95%)</v>
          </cell>
          <cell r="C33">
            <v>4</v>
          </cell>
          <cell r="D33">
            <v>0.95</v>
          </cell>
        </row>
        <row r="34">
          <cell r="B34" t="str">
            <v>Gear box 4.2 : 1 (Eta 96%)</v>
          </cell>
          <cell r="C34">
            <v>4.2</v>
          </cell>
          <cell r="D34">
            <v>0.96</v>
          </cell>
        </row>
        <row r="35">
          <cell r="B35" t="str">
            <v>Gear box 4.4 : 1 (Eta 95%)</v>
          </cell>
          <cell r="C35">
            <v>4.4000000000000004</v>
          </cell>
          <cell r="D35">
            <v>0.95</v>
          </cell>
        </row>
        <row r="36">
          <cell r="B36" t="str">
            <v>Gear box 4.4 : 1 (Eta 96%)</v>
          </cell>
          <cell r="C36">
            <v>4.4000000000000004</v>
          </cell>
          <cell r="D36">
            <v>0.96</v>
          </cell>
        </row>
        <row r="37">
          <cell r="B37" t="str">
            <v>Gear box 4.43 : 1 (Eta 95%)</v>
          </cell>
          <cell r="C37">
            <v>4.43</v>
          </cell>
          <cell r="D37">
            <v>0.95</v>
          </cell>
        </row>
        <row r="38">
          <cell r="B38" t="str">
            <v>Gear box 4.5 : 1 (Eta 95%)</v>
          </cell>
          <cell r="C38">
            <v>4.5</v>
          </cell>
          <cell r="D38">
            <v>0.95</v>
          </cell>
        </row>
        <row r="39">
          <cell r="B39" t="str">
            <v>Gear box 5 : 1 (Eta 95%)</v>
          </cell>
          <cell r="C39">
            <v>5</v>
          </cell>
          <cell r="D39">
            <v>0.95</v>
          </cell>
        </row>
        <row r="40">
          <cell r="B40" t="str">
            <v>Gear box 5.2 : 1 (Eta 95%)</v>
          </cell>
          <cell r="C40">
            <v>5.2</v>
          </cell>
          <cell r="D40">
            <v>0.95</v>
          </cell>
        </row>
        <row r="41">
          <cell r="B41" t="str">
            <v>Gear box 5.2 : 1 (Eta 95%)</v>
          </cell>
          <cell r="C41">
            <v>5.2</v>
          </cell>
          <cell r="D41">
            <v>0.95</v>
          </cell>
        </row>
        <row r="42">
          <cell r="B42" t="str">
            <v>Gear box 5.3 : 1 (Eta 96.8%)</v>
          </cell>
          <cell r="C42">
            <v>5.3</v>
          </cell>
          <cell r="D42">
            <v>0.96799999999999997</v>
          </cell>
        </row>
        <row r="43">
          <cell r="B43" t="str">
            <v>Gear box 5.4 : 1 (Eta 95%)</v>
          </cell>
          <cell r="C43">
            <v>5.4</v>
          </cell>
          <cell r="D43">
            <v>0.95</v>
          </cell>
        </row>
        <row r="44">
          <cell r="B44" t="str">
            <v>Gear box 5.7 : 1 (Eta 95%)</v>
          </cell>
          <cell r="C44">
            <v>5.7</v>
          </cell>
          <cell r="D44">
            <v>0.95</v>
          </cell>
        </row>
        <row r="45">
          <cell r="B45" t="str">
            <v>Gear box 6 : 1 (Eta 95%)</v>
          </cell>
          <cell r="C45">
            <v>6</v>
          </cell>
          <cell r="D45">
            <v>0.95</v>
          </cell>
        </row>
        <row r="46">
          <cell r="B46" t="str">
            <v>Gear box 6.3 : 1 (Eta 97%)</v>
          </cell>
          <cell r="C46">
            <v>6.3</v>
          </cell>
          <cell r="D46">
            <v>0.97</v>
          </cell>
        </row>
        <row r="47">
          <cell r="B47" t="str">
            <v>Gear box 6.6 : 1 (Eta 96.8%)</v>
          </cell>
          <cell r="C47">
            <v>6.6</v>
          </cell>
          <cell r="D47">
            <v>0.96799999999999997</v>
          </cell>
        </row>
        <row r="48">
          <cell r="B48" t="str">
            <v>Gear box 6.61 : 1 (Eta 96.8%)</v>
          </cell>
          <cell r="C48">
            <v>6.61</v>
          </cell>
          <cell r="D48">
            <v>0.96799999999999997</v>
          </cell>
        </row>
        <row r="49">
          <cell r="B49" t="str">
            <v>Gear box 6.7 : 1 (Eta 96.8%)</v>
          </cell>
          <cell r="C49">
            <v>6.7</v>
          </cell>
          <cell r="D49">
            <v>0.96799999999999997</v>
          </cell>
        </row>
        <row r="50">
          <cell r="B50" t="str">
            <v>Gear box 6.8 : 1 (Eta 95%)</v>
          </cell>
          <cell r="C50">
            <v>6.8</v>
          </cell>
          <cell r="D50">
            <v>0.95</v>
          </cell>
        </row>
        <row r="51">
          <cell r="B51" t="str">
            <v>Gear box 18 : 1 (Eta 85%)</v>
          </cell>
          <cell r="C51">
            <v>18</v>
          </cell>
          <cell r="D51">
            <v>0.85</v>
          </cell>
        </row>
        <row r="52">
          <cell r="B52" t="str">
            <v>ohne Getriebe / wie gemessen</v>
          </cell>
          <cell r="C52">
            <v>1</v>
          </cell>
          <cell r="D52">
            <v>1</v>
          </cell>
        </row>
      </sheetData>
      <sheetData sheetId="7"/>
      <sheetData sheetId="8">
        <row r="4">
          <cell r="I4">
            <v>1.1373123965903146E-2</v>
          </cell>
        </row>
        <row r="5">
          <cell r="B5">
            <v>9</v>
          </cell>
          <cell r="C5">
            <v>1.18</v>
          </cell>
          <cell r="D5" t="str">
            <v/>
          </cell>
          <cell r="F5" t="str">
            <v>–</v>
          </cell>
          <cell r="G5" t="str">
            <v>–</v>
          </cell>
          <cell r="I5">
            <v>3.7934123331489496E-2</v>
          </cell>
        </row>
        <row r="6">
          <cell r="B6">
            <v>11.3</v>
          </cell>
          <cell r="C6">
            <v>1.33</v>
          </cell>
          <cell r="D6">
            <v>9386</v>
          </cell>
          <cell r="F6">
            <v>982.89962155312662</v>
          </cell>
          <cell r="I6">
            <v>8.0207087223725434E-5</v>
          </cell>
        </row>
        <row r="7">
          <cell r="B7">
            <v>9</v>
          </cell>
          <cell r="C7">
            <v>1.18</v>
          </cell>
          <cell r="D7">
            <v>7484</v>
          </cell>
          <cell r="F7">
            <v>783.72264731553366</v>
          </cell>
          <cell r="G7">
            <v>1.1798695479847969</v>
          </cell>
          <cell r="I7">
            <v>839.63707897167956</v>
          </cell>
        </row>
        <row r="8">
          <cell r="B8">
            <v>11.2</v>
          </cell>
          <cell r="C8">
            <v>14.59</v>
          </cell>
          <cell r="D8">
            <v>8421</v>
          </cell>
          <cell r="E8">
            <v>1</v>
          </cell>
          <cell r="F8">
            <v>881.84505786265493</v>
          </cell>
          <cell r="G8">
            <v>14.58582407157092</v>
          </cell>
          <cell r="I8">
            <v>831.31752382491163</v>
          </cell>
        </row>
        <row r="9">
          <cell r="B9">
            <v>11.19</v>
          </cell>
          <cell r="C9">
            <v>26.23</v>
          </cell>
          <cell r="D9">
            <v>7738</v>
          </cell>
          <cell r="F9">
            <v>810.32146511592725</v>
          </cell>
          <cell r="G9">
            <v>26.232692233267148</v>
          </cell>
          <cell r="I9">
            <v>51.632273514490606</v>
          </cell>
        </row>
        <row r="10">
          <cell r="D10">
            <v>10</v>
          </cell>
          <cell r="I10">
            <v>1.418142438009673E-2</v>
          </cell>
        </row>
        <row r="11">
          <cell r="D11">
            <v>32</v>
          </cell>
          <cell r="E11">
            <v>660.99384912184746</v>
          </cell>
          <cell r="F11">
            <v>690.40636435471049</v>
          </cell>
          <cell r="I11">
            <v>1</v>
          </cell>
        </row>
        <row r="13">
          <cell r="J13">
            <v>1</v>
          </cell>
        </row>
        <row r="16">
          <cell r="H16">
            <v>0.73022911044481997</v>
          </cell>
        </row>
        <row r="17">
          <cell r="H17">
            <v>0.74005082348779649</v>
          </cell>
        </row>
        <row r="18">
          <cell r="H18">
            <v>0.74966852480403356</v>
          </cell>
        </row>
        <row r="19">
          <cell r="H19">
            <v>0.75904865016892487</v>
          </cell>
        </row>
        <row r="20">
          <cell r="H20">
            <v>0.76814989868804406</v>
          </cell>
        </row>
        <row r="21">
          <cell r="H21">
            <v>0.77692086714784891</v>
          </cell>
        </row>
        <row r="22">
          <cell r="H22">
            <v>0.78529675982011604</v>
          </cell>
        </row>
        <row r="23">
          <cell r="H23">
            <v>0.79319472279305425</v>
          </cell>
          <cell r="I23">
            <v>6.993738866807786E-2</v>
          </cell>
        </row>
        <row r="24">
          <cell r="H24">
            <v>0.80050708172942375</v>
          </cell>
        </row>
        <row r="25">
          <cell r="H25">
            <v>0.80709129492853116</v>
          </cell>
        </row>
        <row r="26">
          <cell r="H26">
            <v>0.81275459629242686</v>
          </cell>
        </row>
        <row r="27">
          <cell r="H27">
            <v>0.8172297376128107</v>
          </cell>
        </row>
        <row r="28">
          <cell r="H28">
            <v>0.82013516818212195</v>
          </cell>
        </row>
        <row r="29">
          <cell r="H29">
            <v>0.82090660871188881</v>
          </cell>
        </row>
        <row r="30">
          <cell r="H30">
            <v>0.81867278443350855</v>
          </cell>
        </row>
        <row r="31">
          <cell r="H31">
            <v>0.8120137825217667</v>
          </cell>
        </row>
        <row r="32">
          <cell r="H32">
            <v>0.79844852317390058</v>
          </cell>
        </row>
        <row r="33">
          <cell r="H33">
            <v>0.77321566211978177</v>
          </cell>
        </row>
        <row r="34">
          <cell r="H34">
            <v>0.72587251009878662</v>
          </cell>
        </row>
        <row r="35">
          <cell r="H35">
            <v>0.6282187032398957</v>
          </cell>
        </row>
        <row r="36">
          <cell r="H36">
            <v>0.36863718947603491</v>
          </cell>
        </row>
        <row r="38">
          <cell r="A38">
            <v>870.55367521626681</v>
          </cell>
        </row>
        <row r="42">
          <cell r="A42">
            <v>779.4692141383008</v>
          </cell>
          <cell r="C42" t="b">
            <v>1</v>
          </cell>
          <cell r="D42" t="b">
            <v>0</v>
          </cell>
          <cell r="E42" t="b">
            <v>1</v>
          </cell>
          <cell r="F42" t="b">
            <v>1</v>
          </cell>
          <cell r="G42" t="b">
            <v>1</v>
          </cell>
          <cell r="H42" t="b">
            <v>1</v>
          </cell>
          <cell r="I42">
            <v>6.7892352289052301E-3</v>
          </cell>
          <cell r="J42">
            <v>8.491365164078021E-6</v>
          </cell>
        </row>
        <row r="45">
          <cell r="E45">
            <v>467.54169999999999</v>
          </cell>
        </row>
        <row r="46">
          <cell r="E46">
            <v>35045.644148039239</v>
          </cell>
        </row>
        <row r="47">
          <cell r="E47">
            <v>25997.665668548761</v>
          </cell>
        </row>
        <row r="48">
          <cell r="E48">
            <v>902.27340000000004</v>
          </cell>
        </row>
        <row r="49">
          <cell r="E49">
            <v>2048492.7708196803</v>
          </cell>
        </row>
        <row r="136">
          <cell r="C136">
            <v>3.7934123331489496E-2</v>
          </cell>
        </row>
        <row r="137">
          <cell r="C137">
            <v>8.0207087223725434E-5</v>
          </cell>
        </row>
      </sheetData>
      <sheetData sheetId="9"/>
      <sheetData sheetId="10"/>
      <sheetData sheetId="11"/>
      <sheetData sheetId="12">
        <row r="2">
          <cell r="B2" t="b">
            <v>1</v>
          </cell>
        </row>
        <row r="10">
          <cell r="J10">
            <v>4.7071976527017709E-3</v>
          </cell>
        </row>
        <row r="11">
          <cell r="J11">
            <v>0.23315930776288396</v>
          </cell>
        </row>
        <row r="12">
          <cell r="J12">
            <v>1.7037256895700216E-4</v>
          </cell>
        </row>
        <row r="14">
          <cell r="J14">
            <v>1995.3478577798417</v>
          </cell>
        </row>
        <row r="18">
          <cell r="E18">
            <v>1034.3140782739515</v>
          </cell>
        </row>
        <row r="19">
          <cell r="D19">
            <v>9.9</v>
          </cell>
        </row>
        <row r="20">
          <cell r="J20">
            <v>4.43</v>
          </cell>
        </row>
        <row r="23">
          <cell r="H23">
            <v>0.46198056149047256</v>
          </cell>
        </row>
        <row r="24">
          <cell r="H24">
            <v>0.48333697183386554</v>
          </cell>
        </row>
        <row r="25">
          <cell r="H25">
            <v>0.50455277870138493</v>
          </cell>
        </row>
        <row r="26">
          <cell r="H26">
            <v>0.52560321685000833</v>
          </cell>
        </row>
        <row r="27">
          <cell r="H27">
            <v>0.54645790066264788</v>
          </cell>
        </row>
        <row r="28">
          <cell r="H28">
            <v>0.56707914490908962</v>
          </cell>
        </row>
        <row r="29">
          <cell r="H29">
            <v>0.58741964336661701</v>
          </cell>
        </row>
        <row r="30">
          <cell r="H30">
            <v>0.60741919959120683</v>
          </cell>
          <cell r="I30">
            <v>0.33101159962144489</v>
          </cell>
        </row>
        <row r="31">
          <cell r="H31">
            <v>0.62700002562627599</v>
          </cell>
        </row>
        <row r="32">
          <cell r="H32">
            <v>0.64605981944409119</v>
          </cell>
        </row>
        <row r="33">
          <cell r="H33">
            <v>0.66446129233668028</v>
          </cell>
        </row>
        <row r="34">
          <cell r="H34">
            <v>0.68201582409275441</v>
          </cell>
        </row>
        <row r="35">
          <cell r="H35">
            <v>0.69845700883344408</v>
          </cell>
        </row>
        <row r="36">
          <cell r="H36">
            <v>0.71339595868211292</v>
          </cell>
        </row>
        <row r="37">
          <cell r="H37">
            <v>0.72624178401631301</v>
          </cell>
        </row>
        <row r="38">
          <cell r="H38">
            <v>0.73605087394519397</v>
          </cell>
        </row>
        <row r="39">
          <cell r="H39">
            <v>0.74121755645323939</v>
          </cell>
        </row>
        <row r="40">
          <cell r="H40">
            <v>0.73876995323956196</v>
          </cell>
        </row>
        <row r="41">
          <cell r="H41">
            <v>0.72252433338325084</v>
          </cell>
        </row>
        <row r="42">
          <cell r="H42">
            <v>0.67713978350545345</v>
          </cell>
        </row>
        <row r="43">
          <cell r="H43">
            <v>0.55120360296180893</v>
          </cell>
        </row>
        <row r="45">
          <cell r="A45">
            <v>2068.628156547903</v>
          </cell>
        </row>
      </sheetData>
      <sheetData sheetId="13">
        <row r="1">
          <cell r="B1" t="str">
            <v>Antriebsrechner</v>
          </cell>
          <cell r="C1" t="str">
            <v>Drive calculator</v>
          </cell>
        </row>
        <row r="2">
          <cell r="B2" t="str">
            <v>© Helmut Schenk 2/2004, Christian Persson 2006</v>
          </cell>
          <cell r="C2" t="str">
            <v>© Helmut Schenk 2/2004, Christian Persson 2006</v>
          </cell>
        </row>
        <row r="3">
          <cell r="B3" t="str">
            <v>Version 2.21, Datenbank 026</v>
          </cell>
          <cell r="C3" t="str">
            <v>Version 2.21, data base 022</v>
          </cell>
        </row>
        <row r="4">
          <cell r="B4" t="str">
            <v>Neue Versionen zum Download auf</v>
          </cell>
          <cell r="C4" t="str">
            <v>New Version download from</v>
          </cell>
        </row>
        <row r="5">
          <cell r="B5" t="str">
            <v>Der Antriebsrechner ermittelt aus wenigen Messdaten näherungsweise die Kenndaten und Kennlinien eines DC-Motors</v>
          </cell>
          <cell r="C5" t="str">
            <v xml:space="preserve">This tool determines the characteristics of an electric motor from a few measured data points and computes the </v>
          </cell>
        </row>
        <row r="6">
          <cell r="B6" t="str">
            <v xml:space="preserve">und berechnet den Arbeitspunkt für die ausgewählte Luftschraube. </v>
          </cell>
          <cell r="C6" t="str">
            <v>operating point for the selected propeller.</v>
          </cell>
        </row>
        <row r="7">
          <cell r="B7" t="str">
            <v>Hilfe</v>
          </cell>
          <cell r="C7" t="str">
            <v>Help</v>
          </cell>
        </row>
        <row r="8">
          <cell r="B8" t="str">
            <v xml:space="preserve">Gemessen mit Getriebe </v>
          </cell>
          <cell r="C8" t="str">
            <v xml:space="preserve">Measurement taken with gear box </v>
          </cell>
        </row>
        <row r="9">
          <cell r="B9" t="str">
            <v>Upm</v>
          </cell>
          <cell r="C9" t="str">
            <v>rpm</v>
          </cell>
        </row>
        <row r="10">
          <cell r="B10" t="str">
            <v>Leerlauf</v>
          </cell>
          <cell r="C10" t="str">
            <v>Unloaded</v>
          </cell>
        </row>
        <row r="11">
          <cell r="B11" t="str">
            <v>Lastbetrieb</v>
          </cell>
          <cell r="C11" t="str">
            <v>Loaded</v>
          </cell>
        </row>
        <row r="12">
          <cell r="B12" t="str">
            <v xml:space="preserve">Motor berechnen für Spannung [V] </v>
          </cell>
          <cell r="C12" t="str">
            <v>Motor voltage for calculation [V]</v>
          </cell>
        </row>
        <row r="13">
          <cell r="B13" t="str">
            <v>Drehzahl [Upm]</v>
          </cell>
          <cell r="C13" t="str">
            <v>Speed [rpm]</v>
          </cell>
        </row>
        <row r="14">
          <cell r="B14" t="str">
            <v>Standschub [g]</v>
          </cell>
          <cell r="C14" t="str">
            <v>Static thrust [g]</v>
          </cell>
        </row>
        <row r="15">
          <cell r="B15" t="str">
            <v>Effizienz [g/W]</v>
          </cell>
          <cell r="C15" t="str">
            <v>Efficiency [g/W]</v>
          </cell>
        </row>
        <row r="16">
          <cell r="B16" t="str">
            <v>Strom [A]</v>
          </cell>
          <cell r="C16" t="str">
            <v>Current [A]</v>
          </cell>
        </row>
        <row r="17">
          <cell r="B17" t="str">
            <v>Stromd. [A/mm^2]</v>
          </cell>
          <cell r="C17" t="str">
            <v>C. dens. [A/mm^2]</v>
          </cell>
        </row>
        <row r="18">
          <cell r="B18" t="str">
            <v>Wirkungsgrad (Eta)</v>
          </cell>
          <cell r="C18" t="str">
            <v>Motor efficiency Eta</v>
          </cell>
        </row>
        <row r="19">
          <cell r="B19" t="str">
            <v>Kleineren Propeller wählen</v>
          </cell>
          <cell r="C19" t="str">
            <v>Select smaller prop</v>
          </cell>
        </row>
        <row r="20">
          <cell r="B20" t="str">
            <v>Größeren Propeller wählen</v>
          </cell>
          <cell r="C20" t="str">
            <v>Select larger prop</v>
          </cell>
        </row>
        <row r="21">
          <cell r="B21" t="str">
            <v>KEIN ERGEBNIS!</v>
          </cell>
          <cell r="C21" t="str">
            <v>NO RESULT!</v>
          </cell>
        </row>
        <row r="22">
          <cell r="B22" t="str">
            <v>Arbeitspunkt mit dem gewählten Prop</v>
          </cell>
          <cell r="C22" t="str">
            <v>Operating point with the selected prop.</v>
          </cell>
        </row>
        <row r="23">
          <cell r="B23" t="str">
            <v>Nenn-Maximalstrom oder berechneter</v>
          </cell>
          <cell r="C23" t="str">
            <v xml:space="preserve">Nominal maximum current or computed </v>
          </cell>
        </row>
        <row r="24">
          <cell r="B24" t="str">
            <v xml:space="preserve">Grenzpunkt. Jenseits des G-Punkts ist die </v>
          </cell>
          <cell r="C24" t="str">
            <v>current limit. Beyond this point the</v>
          </cell>
        </row>
        <row r="25">
          <cell r="B25" t="str">
            <v>relative Zunahme der Ausgangsleistung</v>
          </cell>
          <cell r="C25" t="str">
            <v>increase in output power relative to</v>
          </cell>
        </row>
        <row r="26">
          <cell r="B26" t="str">
            <v>geringer als die der Eingangsleistung.</v>
          </cell>
          <cell r="C26" t="str">
            <v>input power is decreasing. Before this</v>
          </cell>
        </row>
        <row r="27">
          <cell r="B27" t="str">
            <v>Strom und Verlustleistung sind oft schon</v>
          </cell>
          <cell r="C27" t="str">
            <v>point the power dissipation may</v>
          </cell>
        </row>
        <row r="28">
          <cell r="B28" t="str">
            <v>vor dem G-Punkt zu hoch für den Motor.</v>
          </cell>
          <cell r="C28" t="str">
            <v>already be too high for the motor.</v>
          </cell>
        </row>
        <row r="29">
          <cell r="B29" t="str">
            <v>Die Propellerberechnung erfolgt iterativ – in den Excel-Optionen/Voreinstellungen muss deshalb "Iteration" aktiviert sein. Wenn</v>
          </cell>
          <cell r="C29" t="str">
            <v xml:space="preserve">The propeller computation is an iterative operation - in Excel 'Tools' &gt; 'Options' "iteration" must be activated.  </v>
          </cell>
        </row>
        <row r="30">
          <cell r="B30" t="str">
            <v xml:space="preserve">der Hinweis KEIN ERGEBNIS! erscheint, ist die Berechnung nicht zum Abschluss gekommen. Dann Auswahl wiederholen.  </v>
          </cell>
          <cell r="C30" t="str">
            <v>If the reference "NO RESULT!" appears, then the calculation was inconclusive - repeat the selection process.</v>
          </cell>
        </row>
        <row r="31">
          <cell r="B31" t="str">
            <v>Dieses Rechenblatt ist Freeware und kann zu nichtkommerziellen Zwecken kopiert und weitergegeben werden.</v>
          </cell>
          <cell r="C31" t="str">
            <v>This computing sheet is Freeware and cannot be used for commercial purposes or copied and passed on for profit.</v>
          </cell>
        </row>
        <row r="32">
          <cell r="B32" t="str">
            <v>Der Copyright-Vermerk darf nicht entfernt werden.</v>
          </cell>
          <cell r="C32" t="str">
            <v>This copyright notice may not be removed.                                   Special thanks to Rod Badcock for the translation.</v>
          </cell>
        </row>
        <row r="33">
          <cell r="B33" t="str">
            <v>Motorenvergleich</v>
          </cell>
          <cell r="C33" t="str">
            <v>Motor Comparison</v>
          </cell>
        </row>
        <row r="34">
          <cell r="B34" t="str">
            <v>Motorenvergleich über Pin</v>
          </cell>
          <cell r="C34" t="str">
            <v>Motor comparison with Pin</v>
          </cell>
        </row>
        <row r="35">
          <cell r="B35" t="str">
            <v>Betriebsspannungen bitte auf dem Blatt Vergleich angeben</v>
          </cell>
          <cell r="C35" t="str">
            <v>Please indicate the Operating Voltages on the 'Comparison' sheet</v>
          </cell>
        </row>
        <row r="36">
          <cell r="B36" t="str">
            <v>Kleine Werkzeuge für Motorenbauer</v>
          </cell>
          <cell r="C36" t="str">
            <v>Small tools for motor builders</v>
          </cell>
        </row>
        <row r="37">
          <cell r="B37" t="str">
            <v>Eingabefelder sind grün unterlegt.</v>
          </cell>
          <cell r="C37" t="str">
            <v>Input fields are highlighted in green.</v>
          </cell>
        </row>
        <row r="38">
          <cell r="B38" t="str">
            <v>Drahtrechner</v>
          </cell>
          <cell r="C38" t="str">
            <v>Wire calculator</v>
          </cell>
        </row>
        <row r="39">
          <cell r="B39" t="str">
            <v xml:space="preserve">Berechnet Drahtquerschnitt und entsprechenden Durchmesser für Mehrdraht-Wicklungen; ermittelt überschlägig </v>
          </cell>
          <cell r="C39" t="str">
            <v>Computes wire cross section and respective diameter for multi-wire winds; approximates based on the stator</v>
          </cell>
        </row>
        <row r="40">
          <cell r="B40" t="str">
            <v xml:space="preserve">anhand der Nutmaße, wie viele Windungen untergebracht werden können (für Litze nicht geeignet). </v>
          </cell>
          <cell r="C40" t="str">
            <v>spacing how many turns can be accommodated (not suitable for braid).</v>
          </cell>
        </row>
        <row r="41">
          <cell r="B41" t="str">
            <v xml:space="preserve">Die Empfehlung für kurzzeitigen Maximalstrom basiert auf Regeln für die Kfz-Technik. </v>
          </cell>
          <cell r="C41" t="str">
            <v>The recommendation for maximum burst current is based on rules for automotive technology.</v>
          </cell>
        </row>
        <row r="42">
          <cell r="B42" t="str">
            <v>Drahtdurchmesser [mm]</v>
          </cell>
          <cell r="C42" t="str">
            <v>Wire diameter [mm]</v>
          </cell>
        </row>
        <row r="43">
          <cell r="B43" t="str">
            <v>Anzahl der parallelen Drähte</v>
          </cell>
          <cell r="C43" t="str">
            <v>Number of parallel wires</v>
          </cell>
        </row>
        <row r="44">
          <cell r="B44" t="str">
            <v>Querschnitt [mm^2]</v>
          </cell>
          <cell r="C44" t="str">
            <v>Cross-section [mm^2]</v>
          </cell>
        </row>
        <row r="45">
          <cell r="B45" t="str">
            <v>Entsprechender Durchmesser [mm]</v>
          </cell>
          <cell r="C45" t="str">
            <v>Respective diameter [mm]</v>
          </cell>
        </row>
        <row r="46">
          <cell r="B46" t="str">
            <v>Zahnlänge innen [mm]</v>
          </cell>
          <cell r="C46" t="str">
            <v>Tooth length [mm]</v>
          </cell>
        </row>
        <row r="47">
          <cell r="B47" t="str">
            <v>Nutweite innen [mm]</v>
          </cell>
          <cell r="C47" t="str">
            <v>Slot width inner [mm]</v>
          </cell>
        </row>
        <row r="48">
          <cell r="B48" t="str">
            <v>Nutweite außen [mm]</v>
          </cell>
          <cell r="C48" t="str">
            <v>Slot width outer [mm]</v>
          </cell>
        </row>
        <row r="49">
          <cell r="B49" t="str">
            <v>Zahnbreite [mm]</v>
          </cell>
          <cell r="C49" t="str">
            <v>Tooth width [mm]</v>
          </cell>
        </row>
        <row r="50">
          <cell r="B50" t="str">
            <v>Zahnhöhe [mm]</v>
          </cell>
          <cell r="C50" t="str">
            <v>Tooth depth (= stator height) [mm]</v>
          </cell>
        </row>
        <row r="51">
          <cell r="B51" t="str">
            <v>Zähne pro Phase</v>
          </cell>
          <cell r="C51" t="str">
            <v>Teeth per Phase</v>
          </cell>
        </row>
        <row r="52">
          <cell r="B52" t="str">
            <v>Zulässige Stromdichte [A/mm^2]</v>
          </cell>
          <cell r="C52" t="str">
            <v>Permissible current density [A/mm^2]</v>
          </cell>
        </row>
        <row r="53">
          <cell r="B53" t="str">
            <v>Maximalstrom Sternschaltung [A]</v>
          </cell>
          <cell r="C53" t="str">
            <v>Maximum current - WYE [A]</v>
          </cell>
        </row>
        <row r="54">
          <cell r="B54" t="str">
            <v>Maximalstrom Dreieckschaltung [A]</v>
          </cell>
          <cell r="C54" t="str">
            <v>Maximum current - DELTA [A]</v>
          </cell>
        </row>
        <row r="55">
          <cell r="B55" t="str">
            <v>Windungen maximal</v>
          </cell>
          <cell r="C55" t="str">
            <v>Maximum turns</v>
          </cell>
        </row>
        <row r="56">
          <cell r="B56" t="str">
            <v>Drähte pro Lage maximal</v>
          </cell>
          <cell r="C56" t="str">
            <v>Maximum wires per layer</v>
          </cell>
        </row>
        <row r="57">
          <cell r="B57" t="str">
            <v>Windungen gewählt</v>
          </cell>
          <cell r="C57" t="str">
            <v>Number of turns selected</v>
          </cell>
        </row>
        <row r="58">
          <cell r="B58" t="str">
            <v>Länge pro Phase [m]</v>
          </cell>
          <cell r="C58" t="str">
            <v>Length per phase [m]</v>
          </cell>
        </row>
        <row r="59">
          <cell r="B59" t="str">
            <v>Widerstand [mOhm]</v>
          </cell>
          <cell r="C59" t="str">
            <v>Resistance [mOhm]</v>
          </cell>
        </row>
        <row r="60">
          <cell r="B60" t="str">
            <v>Widerstand Stern [mOhm]</v>
          </cell>
          <cell r="C60" t="str">
            <v>WYE resistance [mOhm]</v>
          </cell>
        </row>
        <row r="61">
          <cell r="B61" t="str">
            <v>Widerstand Dreieck [mOhm]</v>
          </cell>
          <cell r="C61" t="str">
            <v>Delta resistance [mOhm]</v>
          </cell>
        </row>
        <row r="62">
          <cell r="B62" t="str">
            <v>Drahtgewicht für 3 Phasen [g]</v>
          </cell>
          <cell r="C62" t="str">
            <v>Copper weight of 3 phases [g]</v>
          </cell>
        </row>
        <row r="63">
          <cell r="B63" t="str">
            <v>Rotorrechner</v>
          </cell>
          <cell r="C63" t="str">
            <v>Rotor Calculator</v>
          </cell>
        </row>
        <row r="64">
          <cell r="B64" t="str">
            <v xml:space="preserve">Berechnet Rotormaße und Magnetabstand (nach einer Idee von Hermann von der Haar). Maße gelten </v>
          </cell>
          <cell r="C64" t="str">
            <v>Computes rotor dimensions and magnet distance (from an idea of Hermann von der Haar). Result applies</v>
          </cell>
        </row>
        <row r="65">
          <cell r="B65" t="str">
            <v>für kantige Magneten; bei gerundeten Kanten sind Luftspalt und Magnetabstand etwas größer.</v>
          </cell>
          <cell r="C65" t="str">
            <v>to sharp-edged magnets; with rounded edges air gap and magnet distance are somewhat larger.</v>
          </cell>
        </row>
        <row r="66">
          <cell r="B66" t="str">
            <v>Statordurchmesser [mm]</v>
          </cell>
          <cell r="C66" t="str">
            <v>Stator diameter [mm]</v>
          </cell>
        </row>
        <row r="67">
          <cell r="B67" t="str">
            <v>Magnetlänge [mm]</v>
          </cell>
          <cell r="C67" t="str">
            <v>Magnet width [mm]</v>
          </cell>
        </row>
        <row r="68">
          <cell r="B68" t="str">
            <v>Magnethöhe [mm]</v>
          </cell>
          <cell r="C68" t="str">
            <v>Magnet thickness [mm]</v>
          </cell>
        </row>
        <row r="69">
          <cell r="B69" t="str">
            <v>Polzahl</v>
          </cell>
          <cell r="C69" t="str">
            <v>Poles</v>
          </cell>
        </row>
        <row r="70">
          <cell r="B70" t="str">
            <v>Magnete pro Pol kaskadiert</v>
          </cell>
          <cell r="C70" t="str">
            <v>Magnets per pole stacked</v>
          </cell>
        </row>
        <row r="71">
          <cell r="B71" t="str">
            <v>Luftspalt [mm]</v>
          </cell>
          <cell r="C71" t="str">
            <v>Air gap [mm]</v>
          </cell>
        </row>
        <row r="72">
          <cell r="B72" t="str">
            <v>Stärke des Rückschlussrings [mm]</v>
          </cell>
          <cell r="C72" t="str">
            <v>Flux ring thickness [mm]</v>
          </cell>
        </row>
        <row r="73">
          <cell r="B73" t="str">
            <v>Rotorinnendurchmesser [mm]</v>
          </cell>
          <cell r="C73" t="str">
            <v>Rotor inner diameter [mm]</v>
          </cell>
        </row>
        <row r="74">
          <cell r="B74" t="str">
            <v>Rotoraußendurchmesser [mm]</v>
          </cell>
          <cell r="C74" t="str">
            <v>Rotor outer diameter  [mm]</v>
          </cell>
        </row>
        <row r="75">
          <cell r="B75" t="str">
            <v>Abdeckung innen</v>
          </cell>
          <cell r="C75" t="str">
            <v>Magnet coverage</v>
          </cell>
        </row>
        <row r="76">
          <cell r="B76" t="str">
            <v>Magnetabstand innen [mm]</v>
          </cell>
          <cell r="C76" t="str">
            <v>Magnet distance inner [mm]</v>
          </cell>
        </row>
        <row r="77">
          <cell r="B77" t="str">
            <v>Magnetabstand am Ring [mm]</v>
          </cell>
          <cell r="C77" t="str">
            <v>Magnet distance outer [mm]</v>
          </cell>
        </row>
        <row r="78">
          <cell r="B78" t="str">
            <v>Rekonfigurator</v>
          </cell>
          <cell r="C78" t="str">
            <v>Reconfigurator</v>
          </cell>
        </row>
        <row r="79">
          <cell r="B79" t="str">
            <v>Liefert eine sehr grobe Abschätzung der Auswirkung von Modifikationen an dem ausgewählten Motor.</v>
          </cell>
          <cell r="C79" t="str">
            <v>A very rough estimation of the effect of modifications on the selected motor.</v>
          </cell>
        </row>
        <row r="80">
          <cell r="B80" t="str">
            <v>Unveränderte Parameter jeweils in die grünen Felder übertragen.</v>
          </cell>
          <cell r="C80" t="str">
            <v>Transfer unchanged parameters into the green fields.</v>
          </cell>
        </row>
        <row r="81">
          <cell r="B81" t="str">
            <v>Windungen</v>
          </cell>
          <cell r="C81" t="str">
            <v>Turns</v>
          </cell>
        </row>
        <row r="82">
          <cell r="B82" t="str">
            <v>Draht Ø [mm]</v>
          </cell>
          <cell r="C82" t="str">
            <v>Diameter Ø [mm]</v>
          </cell>
        </row>
        <row r="83">
          <cell r="B83" t="str">
            <v>Schaltschema</v>
          </cell>
          <cell r="C83" t="str">
            <v>Termination</v>
          </cell>
        </row>
        <row r="84">
          <cell r="B84" t="str">
            <v>Spannung [V]</v>
          </cell>
          <cell r="C84" t="str">
            <v>Operating voltage [V]</v>
          </cell>
        </row>
        <row r="85">
          <cell r="B85" t="str">
            <v>Ausgangsdaten fehlen</v>
          </cell>
          <cell r="C85" t="str">
            <v>Winding data missing</v>
          </cell>
        </row>
        <row r="86">
          <cell r="B86" t="str">
            <v>Drehzahl</v>
          </cell>
          <cell r="C86" t="str">
            <v>Rpm</v>
          </cell>
        </row>
        <row r="87">
          <cell r="B87" t="str">
            <v>Schub [g]</v>
          </cell>
          <cell r="C87" t="str">
            <v>Thrust [g]</v>
          </cell>
        </row>
        <row r="88">
          <cell r="B88" t="str">
            <v>Motorenliste</v>
          </cell>
          <cell r="C88" t="str">
            <v>Motor list</v>
          </cell>
        </row>
        <row r="89">
          <cell r="B89" t="str">
            <v xml:space="preserve">Die Messergebnisse in den grün markierten Felder sind minimal erforderlich für die einfache Motorberechnung: </v>
          </cell>
          <cell r="C89" t="str">
            <v xml:space="preserve">The green fields are the minimum required for simple motor calculations </v>
          </cell>
        </row>
        <row r="90">
          <cell r="B90" t="str">
            <v xml:space="preserve">  – Spannung und Strom im Leerlauf: eintragen unter U0 und I0</v>
          </cell>
          <cell r="C90" t="str">
            <v xml:space="preserve">  – Unloaded voltage and current: enter under U0 and I0</v>
          </cell>
        </row>
        <row r="91">
          <cell r="B91" t="str">
            <v xml:space="preserve">  – Spannung, Strom und Drehzahl an zwei Messpunkten unter stark unterschiedlicher Last: eintragen unter U1, I1, n1 bzw. U2, I2, n2</v>
          </cell>
          <cell r="C91" t="str">
            <v xml:space="preserve">  – voltage, current and RPM at two measuring points under strongly different load: enter under U1, I1, n1 and/or U2, I2, n2</v>
          </cell>
        </row>
        <row r="92">
          <cell r="B92" t="str">
            <v xml:space="preserve">     Ist die Leerlaufdrehzahl bekannt, unter U1, I1, n1 die nochmals Leerlaufwerte U0, I0, n0 angeben. Das erhöht die Genauigkeit.</v>
          </cell>
          <cell r="C92" t="str">
            <v xml:space="preserve">  – If the idle speed is known, then enter the no-load operation values U0, I0, n0 again under U1, I1, n1. This increases accuracy.</v>
          </cell>
        </row>
        <row r="93">
          <cell r="B93" t="str">
            <v xml:space="preserve">Die Betriebsspannung an allen Messpunkten sollte sich möglichst nicht um mehr als 20% unterscheiden. </v>
          </cell>
          <cell r="C93" t="str">
            <v xml:space="preserve">If possible the operating voltage at all measurement points should not differ by more than 20% </v>
          </cell>
        </row>
        <row r="94">
          <cell r="B94" t="str">
            <v xml:space="preserve">Mit weiteren Messungen kann die Genauigkeit verbessert werden:  </v>
          </cell>
          <cell r="C94" t="str">
            <v xml:space="preserve">With further measurements the accuracy can be improved: </v>
          </cell>
        </row>
        <row r="95">
          <cell r="B95" t="str">
            <v xml:space="preserve">  – Leerlaufdrehzahl: eintragen unter n0</v>
          </cell>
          <cell r="C95" t="str">
            <v xml:space="preserve">  – Idle speed: enter under n0</v>
          </cell>
        </row>
        <row r="96">
          <cell r="B96" t="str">
            <v xml:space="preserve">  – Zweite Leerlaufmessung bei anderer Spannung (mindestens 10% Unterschied): eintragen unter U00, I00 und ggf. n00</v>
          </cell>
          <cell r="C96" t="str">
            <v xml:space="preserve">  – Second unloaded operation measurement with other voltage (at least 10% difference): enter under U00, I00 and if available n00</v>
          </cell>
        </row>
        <row r="97">
          <cell r="B97" t="str">
            <v xml:space="preserve">  – Dritte Messung unter Last: eintragen unter U3, I3, n3</v>
          </cell>
          <cell r="C97" t="str">
            <v xml:space="preserve">  – Third measurement under load: enter under U3, I3, n3</v>
          </cell>
        </row>
        <row r="98">
          <cell r="B98" t="str">
            <v>Die Daten aus der zweiten Leerlaufmessung können nochmals unter U1, I1, n1 angegeben werden, wenn die Drehzahl bekannt ist.</v>
          </cell>
          <cell r="C98" t="str">
            <v>The data from the second no-load operation measurement can be indicated again by U1, I1, n1, if the RPM is known.</v>
          </cell>
        </row>
        <row r="99">
          <cell r="B99" t="str">
            <v>Die Angabe des Drahtdurchmessers und der Beschaltung Y (Stern) oder D (Dreieck) ermöglicht die Berechnung der Stromdichte.</v>
          </cell>
          <cell r="C99" t="str">
            <v>Defining the wire size and the wiring Y (star) or D (triangle) allows the current density to be calculated.</v>
          </cell>
        </row>
        <row r="100">
          <cell r="B100" t="str">
            <v>Im Feld Imax kann die maximale Strombelastbarkeit angegeben werden, falls bekannt. Die Ausgabe wird dann auf diesen Wert begrenzt.</v>
          </cell>
          <cell r="C100" t="str">
            <v>The field Imax indicates the nominal maximum current, if known. The calculations are then limited to this value.</v>
          </cell>
        </row>
        <row r="101">
          <cell r="B101" t="str">
            <v>Die Angabe der Windungszahl ist nur erforderderlich für den Rekonfigurator (siehe Blatt Tools);</v>
          </cell>
          <cell r="C101" t="str">
            <v>The indication of the number of turns is only necessary for the Reconfigurator (see 'Tools' sheet);</v>
          </cell>
        </row>
        <row r="102">
          <cell r="B102" t="str">
            <v>Die Angaben in den weißen Feldern sind rein informativ.</v>
          </cell>
          <cell r="C102" t="str">
            <v>The data in the white fields are for information only</v>
          </cell>
        </row>
        <row r="103">
          <cell r="B103" t="str">
            <v>Wer weitere Motoren einträgt, wird gebeten, seine Messwerte für alle Nutzer des Antriebsrechners zugänglich zu machen.</v>
          </cell>
          <cell r="C103" t="str">
            <v>We ask anyone who enters further data to make this accessible for all users of this calculator.</v>
          </cell>
        </row>
        <row r="104">
          <cell r="B104" t="str">
            <v>Bitte die neuen Zeilen in eine leere Excel-Tabelle kopieren und als Mail-Anhang senden an</v>
          </cell>
          <cell r="C104" t="str">
            <v>Please enter the new lines into an empty Excel table and mail it to:</v>
          </cell>
        </row>
        <row r="105">
          <cell r="B105" t="str">
            <v>ist im Rechner ausgewählt</v>
          </cell>
          <cell r="C105" t="str">
            <v>is selected for the calculator</v>
          </cell>
        </row>
        <row r="106">
          <cell r="B106" t="str">
            <v>sind im Vergleich ausgewählt</v>
          </cell>
          <cell r="C106" t="str">
            <v>are selected for comparison</v>
          </cell>
        </row>
        <row r="107">
          <cell r="B107" t="str">
            <v>im Rekonfigurator</v>
          </cell>
          <cell r="C107" t="str">
            <v>is selected for the reconfigurator</v>
          </cell>
        </row>
        <row r="108">
          <cell r="B108" t="str">
            <v>Propellerliste</v>
          </cell>
          <cell r="C108" t="str">
            <v>Propeller list</v>
          </cell>
        </row>
        <row r="109">
          <cell r="B109" t="str">
            <v xml:space="preserve">Zum Eintragen weiterer Luftschrauben nur die Felder ab "Name" ausfüllen. Nr. und Bezeichnung werden automatisch gebildet. </v>
          </cell>
          <cell r="C109" t="str">
            <v xml:space="preserve">To enter further propeller data fill in the columns from "Name" to "Comment". Number and Description should be </v>
          </cell>
        </row>
        <row r="110">
          <cell r="B110" t="str">
            <v xml:space="preserve">bitte zunächst eine neue Zeile vor der letzten Zeile einfügen und zunächst die Formeln in den ersten beiden Spalten hineinkopieren,  </v>
          </cell>
          <cell r="C110" t="str">
            <v>formed automatically. Insert a new line before the last line, copy&amp;paste the formulae in columns #1 and #2. Fill in your</v>
          </cell>
        </row>
        <row r="111">
          <cell r="B111" t="str">
            <v xml:space="preserve">dann ab Spalte 3 die neuen Daten eintragen. Neue Daten und Korrekturvorschläge bitte senden an </v>
          </cell>
          <cell r="C111" t="str">
            <v xml:space="preserve">new data beginning with column #3. Please send new propeller data and critics to </v>
          </cell>
        </row>
        <row r="112">
          <cell r="B112" t="str">
            <v>Die Berechnung der Standschubwerte und der Arbeitspunkte erfolgt anhand der Potenzfit-Werte nach den Formeln</v>
          </cell>
          <cell r="C112" t="str">
            <v>Static thrust and operating points are computed with prop constants according to the following formulae:</v>
          </cell>
        </row>
        <row r="113">
          <cell r="B113" t="str">
            <v>Schub = a * n^b; Wellenleistung = c * n^d.</v>
          </cell>
          <cell r="C113" t="str">
            <v>Thrust = a * n^b; Power draw = c * n^d.</v>
          </cell>
        </row>
        <row r="114">
          <cell r="B114" t="str">
            <v>Propellerberechnung</v>
          </cell>
          <cell r="C114" t="str">
            <v>Simple drive calculation</v>
          </cell>
        </row>
        <row r="115">
          <cell r="B115" t="str">
            <v>Zur Berechung von Standschub</v>
          </cell>
          <cell r="C115" t="str">
            <v>For the computation of static</v>
          </cell>
        </row>
        <row r="116">
          <cell r="B116" t="str">
            <v>Leistungsaufnahme und Wirkungsgrad</v>
          </cell>
          <cell r="C116" t="str">
            <v>thrust, power draw, and efficiency</v>
          </cell>
        </row>
        <row r="117">
          <cell r="B117" t="str">
            <v>die grünen Felder ausfüllen.</v>
          </cell>
          <cell r="C117" t="str">
            <v>fill in the green fields.</v>
          </cell>
        </row>
        <row r="118">
          <cell r="B118" t="str">
            <v>Umrechnung</v>
          </cell>
          <cell r="C118" t="str">
            <v>Conversion</v>
          </cell>
        </row>
        <row r="119">
          <cell r="B119" t="str">
            <v>Vorhandene Luftschraubendaten in</v>
          </cell>
          <cell r="C119" t="str">
            <v xml:space="preserve">Convert thrust constants (n1N, n10N) </v>
          </cell>
        </row>
        <row r="120">
          <cell r="B120" t="str">
            <v>Potenzfit-Koeffizienten umrechen</v>
          </cell>
          <cell r="C120" t="str">
            <v>and power constants (n100N).</v>
          </cell>
        </row>
        <row r="121">
          <cell r="B121" t="str">
            <v>Pwelle [W]</v>
          </cell>
          <cell r="C121" t="str">
            <v>Pout [W]</v>
          </cell>
        </row>
        <row r="122">
          <cell r="B122" t="str">
            <v>Getriebeliste</v>
          </cell>
          <cell r="C122" t="str">
            <v>Gear boxes</v>
          </cell>
        </row>
        <row r="123">
          <cell r="B123" t="str">
            <v xml:space="preserve">In dieser Liste stehen die zur Auswahl verfügbaren Untersetzungen und die Getriebewirkungsgrade. </v>
          </cell>
          <cell r="C123" t="str">
            <v xml:space="preserve">This is a list of the selectable gear box data. In general the efficiency is assumed to </v>
          </cell>
        </row>
        <row r="124">
          <cell r="B124" t="str">
            <v xml:space="preserve">Meist wird mangels genauerer Daten pauschal ein Wirkungsgrad von 95% pro Stufe angenommen (bei </v>
          </cell>
          <cell r="C124" t="str">
            <v>be approximately 95%, since more precise data is not available. (90,25% if the gear has</v>
          </cell>
        </row>
        <row r="125">
          <cell r="B125" t="str">
            <v>zwei Stufen also 90,25%). Es gibt im Modellbau aber auch bessere und deutlich schlechtere Getriebe.</v>
          </cell>
          <cell r="C125" t="str">
            <v>two stages.) But you may find better and worse gear boxes for model drives in the market.</v>
          </cell>
        </row>
        <row r="126">
          <cell r="B126" t="str">
            <v>Die Liste ist frei editierbar, so können die Werte ohne Weiteres angepasst und ergänzt werden.</v>
          </cell>
          <cell r="C126" t="str">
            <v>The list ist editable – so feel free to change the values and add further gear boxes.</v>
          </cell>
        </row>
        <row r="127">
          <cell r="B127" t="str">
            <v xml:space="preserve">Weitere Zeilen bitte vor "ohne Getriebe" einfügen: Dazu die Zeile "ohne Getriebe" anklicken und aus </v>
          </cell>
          <cell r="C127" t="str">
            <v xml:space="preserve">To add another entry, please insert a new line before "No Gear (or as measured)", </v>
          </cell>
        </row>
        <row r="128">
          <cell r="B128" t="str">
            <v xml:space="preserve">dem Menü Einfügen/Zeilen wählen. Dann zunächst den gesamten Inhalt der vorangehenden Zeile  </v>
          </cell>
          <cell r="C128" t="str">
            <v>copy &amp; paste the contents of the line above into the new line. Then change the</v>
          </cell>
        </row>
        <row r="129">
          <cell r="B129" t="str">
            <v>mit Copy &amp; Paste in die neue leere Zeile kopieren und anschließend nach Bedarf ändern.</v>
          </cell>
          <cell r="C129" t="str">
            <v>entries to reflect your gear data.</v>
          </cell>
        </row>
        <row r="130">
          <cell r="B130" t="str">
            <v>im Vergleich</v>
          </cell>
          <cell r="C130" t="str">
            <v>for comparison</v>
          </cell>
        </row>
        <row r="131">
          <cell r="B131" t="str">
            <v>mit Getriebe</v>
          </cell>
          <cell r="C131" t="str">
            <v>Gear box</v>
          </cell>
        </row>
        <row r="132">
          <cell r="B132" t="str">
            <v>ohne Getriebe / wie gemessen</v>
          </cell>
          <cell r="C132" t="str">
            <v>No Gear / as measured</v>
          </cell>
        </row>
        <row r="133">
          <cell r="B133" t="str">
            <v>untersetzt</v>
          </cell>
          <cell r="C133" t="str">
            <v>gear box</v>
          </cell>
        </row>
        <row r="134">
          <cell r="B134" t="str">
            <v>n.v</v>
          </cell>
          <cell r="C134" t="str">
            <v>n.a.</v>
          </cell>
        </row>
        <row r="135">
          <cell r="B135" t="str">
            <v>^Neue Zeilen vor dieser Zeile einfügen^</v>
          </cell>
          <cell r="C135" t="str">
            <v>^Insert new lines before this line^</v>
          </cell>
        </row>
        <row r="136">
          <cell r="B136" t="str">
            <v>Keine Messdaten</v>
          </cell>
          <cell r="C136" t="str">
            <v>No measured data</v>
          </cell>
        </row>
        <row r="137">
          <cell r="B137" t="str">
            <v xml:space="preserve">Falls keine Messdaten vorliegen, können Herstellerspezifikationen (Nennspannung U0, Leerlaufstrom I0, spez. Leerlaufdrehzahl ns, </v>
          </cell>
          <cell r="C137" t="str">
            <v xml:space="preserve">If no measued data are available, you may enter the motor specs given by the producer instead: Nominal voltage U0, </v>
          </cell>
        </row>
        <row r="138">
          <cell r="B138" t="str">
            <v>Phasenwiderstand Rm) als Grundlage für eine grobe Abschätzung angegeben werden.</v>
          </cell>
          <cell r="C138" t="str">
            <v>no-load current I0, speed constant Kv, phase resistance Rm. Thus the calculator can perform a rough estimation.</v>
          </cell>
        </row>
        <row r="139">
          <cell r="B139" t="str">
            <v>Grobe Schätzung</v>
          </cell>
          <cell r="C139" t="str">
            <v>Rough estimation</v>
          </cell>
        </row>
        <row r="140">
          <cell r="B140" t="str">
            <v>Luftdichte-Anpassung</v>
          </cell>
          <cell r="C140" t="str">
            <v>Air density adjustment</v>
          </cell>
        </row>
        <row r="141">
          <cell r="B141" t="str">
            <v>Höhe über NN [m]</v>
          </cell>
          <cell r="C141" t="str">
            <v>Altitude [m]</v>
          </cell>
        </row>
        <row r="142">
          <cell r="B142" t="str">
            <v>Temperatur [°C]</v>
          </cell>
          <cell r="C142" t="str">
            <v>Temperature [°C]</v>
          </cell>
        </row>
        <row r="143">
          <cell r="B143" t="str">
            <v>Quelle</v>
          </cell>
          <cell r="C143" t="str">
            <v>Source</v>
          </cell>
        </row>
        <row r="144">
          <cell r="B144" t="str">
            <v>Kommentar</v>
          </cell>
          <cell r="C144" t="str">
            <v>Comment</v>
          </cell>
        </row>
        <row r="145">
          <cell r="B145" t="str">
            <v>Regler</v>
          </cell>
          <cell r="C145" t="str">
            <v>ESC</v>
          </cell>
        </row>
        <row r="146">
          <cell r="B146" t="str">
            <v>Gew. [g]</v>
          </cell>
          <cell r="C146" t="str">
            <v>Weight [g]</v>
          </cell>
        </row>
        <row r="147">
          <cell r="B147" t="str">
            <v xml:space="preserve">Propwerte berechnet für </v>
          </cell>
          <cell r="C147" t="str">
            <v xml:space="preserve">Air density adjustment for </v>
          </cell>
        </row>
        <row r="148">
          <cell r="B148" t="str">
            <v>Diskussion und Mailing-Liste bei</v>
          </cell>
          <cell r="C148" t="str">
            <v xml:space="preserve">Discussion and mailing list at  </v>
          </cell>
        </row>
        <row r="149">
          <cell r="B149" t="str">
            <v>Spannung zu weit außerhalb des gemessenen Bereichs</v>
          </cell>
          <cell r="C149" t="str">
            <v>Voltage too far out off measured range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-Inventory"/>
      <sheetName val="Prop-Selector"/>
      <sheetName val="Prop-Kv&amp;RPM"/>
      <sheetName val="Prop-DCalc"/>
      <sheetName val="props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CBase"/>
    </sheetNames>
    <sheetDataSet>
      <sheetData sheetId="0">
        <row r="2">
          <cell r="A2">
            <v>1</v>
          </cell>
          <cell r="C2" t="str">
            <v>APC E</v>
          </cell>
          <cell r="D2">
            <v>4.0999999999999996</v>
          </cell>
          <cell r="E2">
            <v>4.0999999999999996</v>
          </cell>
          <cell r="F2">
            <v>0.50228870000000003</v>
          </cell>
          <cell r="G2">
            <v>2.0465439999999999</v>
          </cell>
          <cell r="H2">
            <v>200</v>
          </cell>
          <cell r="I2">
            <v>20</v>
          </cell>
          <cell r="K2">
            <v>5.4098999999999996E-3</v>
          </cell>
          <cell r="L2">
            <v>3.0904729999999998</v>
          </cell>
          <cell r="M2">
            <v>120</v>
          </cell>
          <cell r="N2">
            <v>18</v>
          </cell>
          <cell r="R2">
            <v>0</v>
          </cell>
          <cell r="S2">
            <v>0</v>
          </cell>
        </row>
        <row r="3">
          <cell r="A3">
            <v>2</v>
          </cell>
          <cell r="C3" t="str">
            <v>Grp. Miniprop</v>
          </cell>
          <cell r="D3">
            <v>4.3</v>
          </cell>
          <cell r="E3">
            <v>2</v>
          </cell>
          <cell r="F3">
            <v>0.50385400000000002</v>
          </cell>
          <cell r="G3">
            <v>2</v>
          </cell>
          <cell r="H3">
            <v>60</v>
          </cell>
          <cell r="I3">
            <v>22</v>
          </cell>
          <cell r="K3">
            <v>3.2155999999999999E-3</v>
          </cell>
          <cell r="L3">
            <v>3</v>
          </cell>
          <cell r="M3">
            <v>60</v>
          </cell>
          <cell r="N3">
            <v>22</v>
          </cell>
          <cell r="R3">
            <v>0</v>
          </cell>
          <cell r="S3">
            <v>0</v>
          </cell>
        </row>
        <row r="4">
          <cell r="A4">
            <v>3</v>
          </cell>
          <cell r="C4" t="str">
            <v>APC E</v>
          </cell>
          <cell r="D4">
            <v>4.5</v>
          </cell>
          <cell r="E4">
            <v>4.0999999999999996</v>
          </cell>
          <cell r="F4">
            <v>0.67123560000000004</v>
          </cell>
          <cell r="G4">
            <v>2.073493</v>
          </cell>
          <cell r="H4">
            <v>200</v>
          </cell>
          <cell r="I4">
            <v>20</v>
          </cell>
          <cell r="K4">
            <v>7.8230000000000001E-3</v>
          </cell>
          <cell r="L4">
            <v>3.097283</v>
          </cell>
          <cell r="M4">
            <v>60</v>
          </cell>
          <cell r="N4">
            <v>20</v>
          </cell>
          <cell r="R4">
            <v>0</v>
          </cell>
          <cell r="S4">
            <v>0</v>
          </cell>
        </row>
        <row r="5">
          <cell r="A5">
            <v>4</v>
          </cell>
          <cell r="C5" t="str">
            <v>GrpCamSpeed</v>
          </cell>
          <cell r="D5">
            <v>4.7</v>
          </cell>
          <cell r="E5">
            <v>4.7</v>
          </cell>
          <cell r="F5">
            <v>0.91</v>
          </cell>
          <cell r="G5">
            <v>2</v>
          </cell>
          <cell r="H5">
            <v>60</v>
          </cell>
          <cell r="I5">
            <v>22</v>
          </cell>
          <cell r="K5">
            <v>1.48088E-2</v>
          </cell>
          <cell r="L5">
            <v>2.9816560000000001</v>
          </cell>
          <cell r="M5">
            <v>60</v>
          </cell>
          <cell r="N5">
            <v>22</v>
          </cell>
          <cell r="R5">
            <v>0</v>
          </cell>
          <cell r="S5">
            <v>0</v>
          </cell>
        </row>
        <row r="6">
          <cell r="A6">
            <v>5</v>
          </cell>
          <cell r="C6" t="str">
            <v>APC E</v>
          </cell>
          <cell r="D6">
            <v>4.75</v>
          </cell>
          <cell r="E6">
            <v>4.75</v>
          </cell>
          <cell r="F6">
            <v>0.710704</v>
          </cell>
          <cell r="G6">
            <v>2.0875900000000001</v>
          </cell>
          <cell r="H6">
            <v>200</v>
          </cell>
          <cell r="I6">
            <v>20</v>
          </cell>
          <cell r="K6">
            <v>1.84333E-2</v>
          </cell>
          <cell r="L6">
            <v>2.9521060000000001</v>
          </cell>
          <cell r="M6">
            <v>120</v>
          </cell>
          <cell r="N6">
            <v>18</v>
          </cell>
          <cell r="R6">
            <v>0</v>
          </cell>
          <cell r="S6">
            <v>0</v>
          </cell>
        </row>
        <row r="7">
          <cell r="A7">
            <v>6</v>
          </cell>
          <cell r="C7" t="str">
            <v>APC E</v>
          </cell>
          <cell r="D7">
            <v>4.75</v>
          </cell>
          <cell r="E7">
            <v>5.5</v>
          </cell>
          <cell r="F7">
            <v>0.6704599</v>
          </cell>
          <cell r="G7">
            <v>2.11517</v>
          </cell>
          <cell r="H7">
            <v>200</v>
          </cell>
          <cell r="I7">
            <v>20</v>
          </cell>
          <cell r="K7">
            <v>1.8090499999999999E-2</v>
          </cell>
          <cell r="L7">
            <v>3</v>
          </cell>
          <cell r="M7">
            <v>120</v>
          </cell>
          <cell r="N7">
            <v>18</v>
          </cell>
          <cell r="R7">
            <v>0</v>
          </cell>
          <cell r="S7">
            <v>0</v>
          </cell>
        </row>
        <row r="8">
          <cell r="A8">
            <v>7</v>
          </cell>
          <cell r="C8" t="str">
            <v>GWS HD</v>
          </cell>
          <cell r="D8">
            <v>5</v>
          </cell>
          <cell r="E8">
            <v>3</v>
          </cell>
          <cell r="F8">
            <v>0.8895305</v>
          </cell>
          <cell r="G8">
            <v>2.0151370000000002</v>
          </cell>
          <cell r="H8">
            <v>200</v>
          </cell>
          <cell r="I8">
            <v>20</v>
          </cell>
          <cell r="K8">
            <v>9.3357000000000006E-3</v>
          </cell>
          <cell r="L8">
            <v>2.942698</v>
          </cell>
          <cell r="M8">
            <v>0</v>
          </cell>
          <cell r="N8">
            <v>15</v>
          </cell>
          <cell r="R8">
            <v>0</v>
          </cell>
          <cell r="S8">
            <v>0</v>
          </cell>
        </row>
        <row r="9">
          <cell r="A9">
            <v>8</v>
          </cell>
          <cell r="C9" t="str">
            <v>Günther</v>
          </cell>
          <cell r="D9">
            <v>5</v>
          </cell>
          <cell r="E9">
            <v>4.3</v>
          </cell>
          <cell r="F9">
            <v>0.78743490000000005</v>
          </cell>
          <cell r="G9">
            <v>2.2219000000000002</v>
          </cell>
          <cell r="H9">
            <v>200</v>
          </cell>
          <cell r="I9">
            <v>20</v>
          </cell>
          <cell r="K9">
            <v>1.2950100000000001E-2</v>
          </cell>
          <cell r="L9">
            <v>3</v>
          </cell>
          <cell r="M9">
            <v>57</v>
          </cell>
          <cell r="N9">
            <v>14</v>
          </cell>
          <cell r="R9">
            <v>0</v>
          </cell>
          <cell r="S9">
            <v>0</v>
          </cell>
        </row>
        <row r="10">
          <cell r="A10">
            <v>9</v>
          </cell>
          <cell r="C10" t="str">
            <v>GWS HD</v>
          </cell>
          <cell r="D10">
            <v>5</v>
          </cell>
          <cell r="E10">
            <v>4.3</v>
          </cell>
          <cell r="F10">
            <v>1.045482</v>
          </cell>
          <cell r="G10">
            <v>2.0954630000000001</v>
          </cell>
          <cell r="H10">
            <v>200</v>
          </cell>
          <cell r="I10">
            <v>20</v>
          </cell>
          <cell r="K10">
            <v>2.3210100000000001E-2</v>
          </cell>
          <cell r="L10">
            <v>2.7895319999999999</v>
          </cell>
          <cell r="M10">
            <v>57</v>
          </cell>
          <cell r="N10">
            <v>6</v>
          </cell>
          <cell r="R10">
            <v>0</v>
          </cell>
          <cell r="S10">
            <v>0</v>
          </cell>
        </row>
        <row r="11">
          <cell r="A11">
            <v>10</v>
          </cell>
          <cell r="C11" t="str">
            <v>APC E</v>
          </cell>
          <cell r="D11">
            <v>5.25</v>
          </cell>
          <cell r="E11">
            <v>4.75</v>
          </cell>
          <cell r="F11">
            <v>1.4893270000000001</v>
          </cell>
          <cell r="G11">
            <v>2</v>
          </cell>
          <cell r="H11">
            <v>200</v>
          </cell>
          <cell r="I11">
            <v>20</v>
          </cell>
          <cell r="K11">
            <v>2.15803E-2</v>
          </cell>
          <cell r="L11">
            <v>3</v>
          </cell>
          <cell r="M11">
            <v>120</v>
          </cell>
          <cell r="N11">
            <v>18</v>
          </cell>
          <cell r="R11">
            <v>0</v>
          </cell>
          <cell r="S11">
            <v>0</v>
          </cell>
        </row>
        <row r="12">
          <cell r="A12">
            <v>11</v>
          </cell>
          <cell r="C12" t="str">
            <v>APC E</v>
          </cell>
          <cell r="D12">
            <v>5.25</v>
          </cell>
          <cell r="E12">
            <v>6.25</v>
          </cell>
          <cell r="F12">
            <v>0.99392910000000001</v>
          </cell>
          <cell r="G12">
            <v>2.1227659999999999</v>
          </cell>
          <cell r="H12">
            <v>200</v>
          </cell>
          <cell r="I12">
            <v>20</v>
          </cell>
          <cell r="K12">
            <v>2.9046599999999999E-2</v>
          </cell>
          <cell r="L12">
            <v>3.04</v>
          </cell>
          <cell r="M12">
            <v>120</v>
          </cell>
          <cell r="N12">
            <v>18</v>
          </cell>
          <cell r="R12">
            <v>0</v>
          </cell>
          <cell r="S12">
            <v>0</v>
          </cell>
        </row>
        <row r="13">
          <cell r="A13">
            <v>12</v>
          </cell>
          <cell r="C13" t="str">
            <v>GrpCamSpeed</v>
          </cell>
          <cell r="D13">
            <v>5.5</v>
          </cell>
          <cell r="E13">
            <v>4.3</v>
          </cell>
          <cell r="F13">
            <v>1.35782</v>
          </cell>
          <cell r="G13">
            <v>2</v>
          </cell>
          <cell r="H13">
            <v>60</v>
          </cell>
          <cell r="I13">
            <v>22</v>
          </cell>
          <cell r="K13">
            <v>2.8718199999999999E-2</v>
          </cell>
          <cell r="L13">
            <v>2.9025799999999999</v>
          </cell>
          <cell r="M13">
            <v>60</v>
          </cell>
          <cell r="N13">
            <v>22</v>
          </cell>
          <cell r="R13">
            <v>0</v>
          </cell>
          <cell r="S13">
            <v>0</v>
          </cell>
        </row>
        <row r="14">
          <cell r="A14">
            <v>13</v>
          </cell>
          <cell r="C14" t="str">
            <v>APC E</v>
          </cell>
          <cell r="D14">
            <v>5.5</v>
          </cell>
          <cell r="E14">
            <v>4.5</v>
          </cell>
          <cell r="F14">
            <v>1.0356300000000001</v>
          </cell>
          <cell r="G14">
            <v>2.1303679999999998</v>
          </cell>
          <cell r="H14">
            <v>200</v>
          </cell>
          <cell r="I14">
            <v>20</v>
          </cell>
          <cell r="K14">
            <v>1.42241E-2</v>
          </cell>
          <cell r="L14">
            <v>3.0932040000000001</v>
          </cell>
          <cell r="M14">
            <v>120</v>
          </cell>
          <cell r="N14">
            <v>18</v>
          </cell>
          <cell r="R14">
            <v>0</v>
          </cell>
          <cell r="S14">
            <v>0</v>
          </cell>
        </row>
        <row r="15">
          <cell r="A15">
            <v>14</v>
          </cell>
          <cell r="C15" t="str">
            <v>Graupner Speed</v>
          </cell>
          <cell r="D15">
            <v>5.5</v>
          </cell>
          <cell r="E15">
            <v>5.5</v>
          </cell>
          <cell r="F15">
            <v>1.35</v>
          </cell>
          <cell r="G15">
            <v>2.0699999999999998</v>
          </cell>
          <cell r="H15">
            <v>120</v>
          </cell>
          <cell r="I15">
            <v>18</v>
          </cell>
          <cell r="K15">
            <v>1.6E-2</v>
          </cell>
          <cell r="L15">
            <v>3.2</v>
          </cell>
          <cell r="M15">
            <v>120</v>
          </cell>
          <cell r="N15">
            <v>18</v>
          </cell>
          <cell r="R15">
            <v>0</v>
          </cell>
          <cell r="S15">
            <v>0</v>
          </cell>
        </row>
        <row r="16">
          <cell r="A16">
            <v>15</v>
          </cell>
          <cell r="C16" t="str">
            <v>APC E</v>
          </cell>
          <cell r="D16">
            <v>5.5</v>
          </cell>
          <cell r="E16">
            <v>6.25</v>
          </cell>
          <cell r="F16">
            <v>1.106735</v>
          </cell>
          <cell r="G16">
            <v>2.0586035599999999</v>
          </cell>
          <cell r="H16">
            <v>200</v>
          </cell>
          <cell r="I16">
            <v>20</v>
          </cell>
          <cell r="K16">
            <v>3.5193200000000001E-2</v>
          </cell>
          <cell r="L16">
            <v>2.9143979999999998</v>
          </cell>
          <cell r="M16">
            <v>120</v>
          </cell>
          <cell r="N16">
            <v>18</v>
          </cell>
          <cell r="R16">
            <v>0</v>
          </cell>
          <cell r="S16">
            <v>0</v>
          </cell>
        </row>
        <row r="17">
          <cell r="A17">
            <v>16</v>
          </cell>
          <cell r="C17" t="str">
            <v>GWS HD</v>
          </cell>
          <cell r="D17">
            <v>6</v>
          </cell>
          <cell r="E17">
            <v>3</v>
          </cell>
          <cell r="F17">
            <v>1.2917149999999999</v>
          </cell>
          <cell r="G17">
            <v>2.0954039999999998</v>
          </cell>
          <cell r="H17">
            <v>200</v>
          </cell>
          <cell r="I17">
            <v>20</v>
          </cell>
          <cell r="K17">
            <v>1.5850699999999999E-2</v>
          </cell>
          <cell r="L17">
            <v>3.009884</v>
          </cell>
          <cell r="M17">
            <v>57</v>
          </cell>
          <cell r="N17">
            <v>6</v>
          </cell>
          <cell r="R17">
            <v>0</v>
          </cell>
          <cell r="S17">
            <v>0</v>
          </cell>
        </row>
        <row r="18">
          <cell r="A18">
            <v>17</v>
          </cell>
          <cell r="C18" t="str">
            <v>APC E</v>
          </cell>
          <cell r="D18">
            <v>6</v>
          </cell>
          <cell r="E18">
            <v>4</v>
          </cell>
          <cell r="F18">
            <v>1.5245340000000001</v>
          </cell>
          <cell r="G18">
            <v>2.1145109999999998</v>
          </cell>
          <cell r="H18">
            <v>200</v>
          </cell>
          <cell r="I18">
            <v>20</v>
          </cell>
          <cell r="K18">
            <v>1.5742599999999999E-2</v>
          </cell>
          <cell r="L18">
            <v>3.1481750000000002</v>
          </cell>
          <cell r="M18">
            <v>120</v>
          </cell>
          <cell r="N18">
            <v>18</v>
          </cell>
          <cell r="R18">
            <v>0</v>
          </cell>
          <cell r="S18">
            <v>0</v>
          </cell>
        </row>
        <row r="19">
          <cell r="A19">
            <v>18</v>
          </cell>
          <cell r="C19" t="str">
            <v>Jamara Folding</v>
          </cell>
          <cell r="D19">
            <v>6</v>
          </cell>
          <cell r="E19">
            <v>4</v>
          </cell>
          <cell r="F19">
            <v>1.9441900000000001</v>
          </cell>
          <cell r="G19">
            <v>2</v>
          </cell>
          <cell r="H19">
            <v>60</v>
          </cell>
          <cell r="I19">
            <v>22</v>
          </cell>
          <cell r="K19">
            <v>2.6646900000000001E-2</v>
          </cell>
          <cell r="L19">
            <v>3</v>
          </cell>
          <cell r="M19">
            <v>60</v>
          </cell>
          <cell r="N19">
            <v>22</v>
          </cell>
          <cell r="R19">
            <v>1</v>
          </cell>
          <cell r="S19">
            <v>30</v>
          </cell>
        </row>
        <row r="20">
          <cell r="A20">
            <v>19</v>
          </cell>
          <cell r="C20" t="str">
            <v>Aeronaut E-Prop</v>
          </cell>
          <cell r="D20">
            <v>6</v>
          </cell>
          <cell r="E20">
            <v>5</v>
          </cell>
          <cell r="F20">
            <v>1.507199</v>
          </cell>
          <cell r="G20">
            <v>2.137095</v>
          </cell>
          <cell r="H20">
            <v>200</v>
          </cell>
          <cell r="I20">
            <v>20</v>
          </cell>
          <cell r="K20">
            <v>2.8456700000000001E-2</v>
          </cell>
          <cell r="L20">
            <v>3</v>
          </cell>
          <cell r="M20">
            <v>0</v>
          </cell>
          <cell r="N20">
            <v>15</v>
          </cell>
          <cell r="R20">
            <v>0</v>
          </cell>
          <cell r="S20">
            <v>0</v>
          </cell>
        </row>
        <row r="21">
          <cell r="A21">
            <v>20</v>
          </cell>
          <cell r="C21" t="str">
            <v>GWS RS</v>
          </cell>
          <cell r="D21">
            <v>6</v>
          </cell>
          <cell r="E21">
            <v>5</v>
          </cell>
          <cell r="F21">
            <v>2.6567340000000002</v>
          </cell>
          <cell r="G21">
            <v>2.047542</v>
          </cell>
          <cell r="H21">
            <v>200</v>
          </cell>
          <cell r="I21">
            <v>20</v>
          </cell>
          <cell r="K21">
            <v>2.94396E-2</v>
          </cell>
          <cell r="L21">
            <v>3.149247576</v>
          </cell>
          <cell r="M21">
            <v>57</v>
          </cell>
          <cell r="N21">
            <v>14</v>
          </cell>
          <cell r="R21">
            <v>0</v>
          </cell>
          <cell r="S21">
            <v>0</v>
          </cell>
        </row>
        <row r="22">
          <cell r="A22">
            <v>21</v>
          </cell>
          <cell r="C22" t="str">
            <v>APC E</v>
          </cell>
          <cell r="D22">
            <v>6</v>
          </cell>
          <cell r="E22">
            <v>5.5</v>
          </cell>
          <cell r="F22">
            <v>1.6921299999999999</v>
          </cell>
          <cell r="G22">
            <v>2.121302</v>
          </cell>
          <cell r="H22">
            <v>200</v>
          </cell>
          <cell r="I22">
            <v>20</v>
          </cell>
          <cell r="K22">
            <v>3.39613E-2</v>
          </cell>
          <cell r="L22">
            <v>3.03</v>
          </cell>
          <cell r="M22">
            <v>120</v>
          </cell>
          <cell r="N22">
            <v>18</v>
          </cell>
          <cell r="R22">
            <v>0</v>
          </cell>
          <cell r="S22">
            <v>0</v>
          </cell>
        </row>
        <row r="23">
          <cell r="A23">
            <v>22</v>
          </cell>
          <cell r="C23" t="str">
            <v>Graupner Speed</v>
          </cell>
          <cell r="D23">
            <v>6</v>
          </cell>
          <cell r="E23">
            <v>5.5</v>
          </cell>
          <cell r="F23">
            <v>2.0500050000000001</v>
          </cell>
          <cell r="G23">
            <v>2.02</v>
          </cell>
          <cell r="H23">
            <v>120</v>
          </cell>
          <cell r="I23">
            <v>18</v>
          </cell>
          <cell r="K23">
            <v>2.1999999999999999E-2</v>
          </cell>
          <cell r="L23">
            <v>3.15</v>
          </cell>
          <cell r="M23">
            <v>120</v>
          </cell>
          <cell r="N23">
            <v>18</v>
          </cell>
          <cell r="R23">
            <v>0</v>
          </cell>
          <cell r="S23">
            <v>0</v>
          </cell>
        </row>
        <row r="24">
          <cell r="A24">
            <v>23</v>
          </cell>
          <cell r="C24" t="str">
            <v>Graupner Speed</v>
          </cell>
          <cell r="D24">
            <v>6</v>
          </cell>
          <cell r="E24">
            <v>6</v>
          </cell>
          <cell r="F24">
            <v>1.800001</v>
          </cell>
          <cell r="G24">
            <v>2.11</v>
          </cell>
          <cell r="H24">
            <v>120</v>
          </cell>
          <cell r="I24">
            <v>18</v>
          </cell>
          <cell r="K24">
            <v>3.5287399999999997E-2</v>
          </cell>
          <cell r="L24">
            <v>3</v>
          </cell>
          <cell r="M24">
            <v>120</v>
          </cell>
          <cell r="N24">
            <v>18</v>
          </cell>
          <cell r="R24">
            <v>0</v>
          </cell>
          <cell r="S24">
            <v>0</v>
          </cell>
        </row>
        <row r="25">
          <cell r="A25">
            <v>24</v>
          </cell>
          <cell r="C25" t="str">
            <v>Aeronaut E-Prop</v>
          </cell>
          <cell r="D25">
            <v>6.5</v>
          </cell>
          <cell r="E25">
            <v>4</v>
          </cell>
          <cell r="F25">
            <v>2.1882229999999998</v>
          </cell>
          <cell r="G25">
            <v>2.087437</v>
          </cell>
          <cell r="H25">
            <v>200</v>
          </cell>
          <cell r="I25">
            <v>20</v>
          </cell>
          <cell r="K25">
            <v>3.12254E-2</v>
          </cell>
          <cell r="L25">
            <v>3</v>
          </cell>
          <cell r="M25">
            <v>0</v>
          </cell>
          <cell r="N25">
            <v>15</v>
          </cell>
          <cell r="R25">
            <v>0</v>
          </cell>
          <cell r="S25">
            <v>0</v>
          </cell>
        </row>
        <row r="26">
          <cell r="A26">
            <v>25</v>
          </cell>
          <cell r="C26" t="str">
            <v>Graupner Speed</v>
          </cell>
          <cell r="D26">
            <v>6.5</v>
          </cell>
          <cell r="E26">
            <v>6.5</v>
          </cell>
          <cell r="F26">
            <v>2.630001</v>
          </cell>
          <cell r="G26">
            <v>2.0099999999999998</v>
          </cell>
          <cell r="H26">
            <v>120</v>
          </cell>
          <cell r="I26">
            <v>18</v>
          </cell>
          <cell r="K26">
            <v>6.1449299999999998E-2</v>
          </cell>
          <cell r="L26">
            <v>3</v>
          </cell>
          <cell r="M26">
            <v>120</v>
          </cell>
          <cell r="N26">
            <v>18</v>
          </cell>
          <cell r="R26">
            <v>0</v>
          </cell>
          <cell r="S26">
            <v>0</v>
          </cell>
        </row>
        <row r="27">
          <cell r="A27">
            <v>26</v>
          </cell>
          <cell r="C27" t="str">
            <v>GWS HD</v>
          </cell>
          <cell r="D27">
            <v>7</v>
          </cell>
          <cell r="E27">
            <v>3.5</v>
          </cell>
          <cell r="F27">
            <v>1.4219740000000001</v>
          </cell>
          <cell r="G27">
            <v>2.2102840000000001</v>
          </cell>
          <cell r="H27">
            <v>200</v>
          </cell>
          <cell r="I27">
            <v>20</v>
          </cell>
          <cell r="K27">
            <v>2.08782E-2</v>
          </cell>
          <cell r="L27">
            <v>3.0622400000000001</v>
          </cell>
          <cell r="M27">
            <v>57</v>
          </cell>
          <cell r="N27">
            <v>6</v>
          </cell>
          <cell r="R27">
            <v>0</v>
          </cell>
          <cell r="S27">
            <v>0</v>
          </cell>
        </row>
        <row r="28">
          <cell r="A28">
            <v>27</v>
          </cell>
          <cell r="C28" t="str">
            <v>APC E</v>
          </cell>
          <cell r="D28">
            <v>7</v>
          </cell>
          <cell r="E28">
            <v>5</v>
          </cell>
          <cell r="F28">
            <v>3.3181449999999999</v>
          </cell>
          <cell r="G28">
            <v>2.128231</v>
          </cell>
          <cell r="H28">
            <v>200</v>
          </cell>
          <cell r="I28">
            <v>20</v>
          </cell>
          <cell r="K28">
            <v>3.5790799999999998E-2</v>
          </cell>
          <cell r="L28">
            <v>3.198747</v>
          </cell>
          <cell r="M28">
            <v>120</v>
          </cell>
          <cell r="N28">
            <v>18</v>
          </cell>
          <cell r="R28">
            <v>0</v>
          </cell>
          <cell r="S28">
            <v>0</v>
          </cell>
        </row>
        <row r="29">
          <cell r="A29">
            <v>29</v>
          </cell>
          <cell r="C29" t="str">
            <v>AeroCarbon</v>
          </cell>
          <cell r="D29">
            <v>7</v>
          </cell>
          <cell r="E29">
            <v>6</v>
          </cell>
          <cell r="F29">
            <v>2.5149210000000002</v>
          </cell>
          <cell r="G29">
            <v>2.0468176549999999</v>
          </cell>
          <cell r="H29">
            <v>57</v>
          </cell>
          <cell r="I29">
            <v>14</v>
          </cell>
          <cell r="K29">
            <v>4.6844299999999998E-2</v>
          </cell>
          <cell r="L29">
            <v>3</v>
          </cell>
          <cell r="M29">
            <v>57</v>
          </cell>
          <cell r="N29">
            <v>14</v>
          </cell>
          <cell r="R29">
            <v>1</v>
          </cell>
          <cell r="S29">
            <v>32</v>
          </cell>
        </row>
        <row r="30">
          <cell r="A30">
            <v>30</v>
          </cell>
          <cell r="C30" t="str">
            <v>APC SF</v>
          </cell>
          <cell r="D30">
            <v>7</v>
          </cell>
          <cell r="E30">
            <v>6</v>
          </cell>
          <cell r="F30">
            <v>4.0710889999999997</v>
          </cell>
          <cell r="G30">
            <v>2.0870359999999999</v>
          </cell>
          <cell r="H30">
            <v>200</v>
          </cell>
          <cell r="I30">
            <v>20</v>
          </cell>
          <cell r="K30">
            <v>5.5870200000000002E-2</v>
          </cell>
          <cell r="L30">
            <v>3.2115520000000002</v>
          </cell>
          <cell r="M30">
            <v>57</v>
          </cell>
          <cell r="N30">
            <v>14</v>
          </cell>
          <cell r="R30">
            <v>0</v>
          </cell>
          <cell r="S30">
            <v>0</v>
          </cell>
        </row>
        <row r="31">
          <cell r="A31">
            <v>31</v>
          </cell>
          <cell r="C31" t="str">
            <v>GWS RS</v>
          </cell>
          <cell r="D31">
            <v>7</v>
          </cell>
          <cell r="E31">
            <v>6</v>
          </cell>
          <cell r="F31">
            <v>5.2135350000000003</v>
          </cell>
          <cell r="G31">
            <v>2.023968</v>
          </cell>
          <cell r="H31">
            <v>200</v>
          </cell>
          <cell r="I31">
            <v>20</v>
          </cell>
          <cell r="K31">
            <v>0.11263919999999999</v>
          </cell>
          <cell r="L31">
            <v>3</v>
          </cell>
          <cell r="M31">
            <v>0</v>
          </cell>
          <cell r="N31">
            <v>15</v>
          </cell>
          <cell r="R31">
            <v>0</v>
          </cell>
          <cell r="S31">
            <v>0</v>
          </cell>
        </row>
        <row r="32">
          <cell r="A32">
            <v>32</v>
          </cell>
          <cell r="C32" t="str">
            <v>Aeronaut E-Prop</v>
          </cell>
          <cell r="D32">
            <v>7</v>
          </cell>
          <cell r="E32">
            <v>7</v>
          </cell>
          <cell r="F32">
            <v>3.0449329999999999</v>
          </cell>
          <cell r="G32">
            <v>2.1000960000000002</v>
          </cell>
          <cell r="H32">
            <v>200</v>
          </cell>
          <cell r="I32">
            <v>20</v>
          </cell>
          <cell r="K32">
            <v>8.5161399999999998E-2</v>
          </cell>
          <cell r="L32">
            <v>3</v>
          </cell>
          <cell r="M32">
            <v>0</v>
          </cell>
          <cell r="N32">
            <v>15</v>
          </cell>
          <cell r="R32">
            <v>0</v>
          </cell>
          <cell r="S32">
            <v>0</v>
          </cell>
        </row>
        <row r="33">
          <cell r="A33">
            <v>33</v>
          </cell>
          <cell r="C33" t="str">
            <v>APC SF</v>
          </cell>
          <cell r="D33">
            <v>8</v>
          </cell>
          <cell r="E33">
            <v>3.8</v>
          </cell>
          <cell r="F33">
            <v>4.7328809999999999</v>
          </cell>
          <cell r="G33">
            <v>2.1796989999999998</v>
          </cell>
          <cell r="H33">
            <v>200</v>
          </cell>
          <cell r="I33">
            <v>20</v>
          </cell>
          <cell r="K33">
            <v>9.3156000000000003E-2</v>
          </cell>
          <cell r="L33">
            <v>3</v>
          </cell>
          <cell r="M33">
            <v>57</v>
          </cell>
          <cell r="N33">
            <v>14</v>
          </cell>
          <cell r="R33">
            <v>0</v>
          </cell>
          <cell r="S33">
            <v>0</v>
          </cell>
        </row>
        <row r="34">
          <cell r="A34">
            <v>34</v>
          </cell>
          <cell r="C34" t="str">
            <v>APC E</v>
          </cell>
          <cell r="D34">
            <v>8</v>
          </cell>
          <cell r="E34">
            <v>4</v>
          </cell>
          <cell r="F34">
            <v>6.1306120000000002</v>
          </cell>
          <cell r="G34">
            <v>2.0154839999999998</v>
          </cell>
          <cell r="H34">
            <v>200</v>
          </cell>
          <cell r="I34">
            <v>20</v>
          </cell>
          <cell r="K34">
            <v>6.28079E-2</v>
          </cell>
          <cell r="L34">
            <v>3.1306970000000001</v>
          </cell>
          <cell r="M34">
            <v>120</v>
          </cell>
          <cell r="N34">
            <v>18</v>
          </cell>
          <cell r="R34">
            <v>0</v>
          </cell>
          <cell r="S34">
            <v>0</v>
          </cell>
        </row>
        <row r="35">
          <cell r="A35">
            <v>35</v>
          </cell>
          <cell r="C35" t="str">
            <v>GWS HD</v>
          </cell>
          <cell r="D35">
            <v>8</v>
          </cell>
          <cell r="E35">
            <v>4</v>
          </cell>
          <cell r="F35">
            <v>4.1671060000000004</v>
          </cell>
          <cell r="G35">
            <v>2.1084459999999998</v>
          </cell>
          <cell r="H35">
            <v>200</v>
          </cell>
          <cell r="I35">
            <v>20</v>
          </cell>
          <cell r="K35">
            <v>6.2054699999999997E-2</v>
          </cell>
          <cell r="L35">
            <v>3.023997</v>
          </cell>
          <cell r="M35">
            <v>57</v>
          </cell>
          <cell r="N35">
            <v>14</v>
          </cell>
          <cell r="R35">
            <v>0</v>
          </cell>
          <cell r="S35">
            <v>0</v>
          </cell>
        </row>
        <row r="36">
          <cell r="A36">
            <v>36</v>
          </cell>
          <cell r="C36" t="str">
            <v>GWS RS</v>
          </cell>
          <cell r="D36">
            <v>8</v>
          </cell>
          <cell r="E36">
            <v>4.3</v>
          </cell>
          <cell r="F36">
            <v>7.193778</v>
          </cell>
          <cell r="G36">
            <v>1.9687950000000001</v>
          </cell>
          <cell r="H36">
            <v>200</v>
          </cell>
          <cell r="I36">
            <v>20</v>
          </cell>
          <cell r="K36">
            <v>9.7740800000000003E-2</v>
          </cell>
          <cell r="L36">
            <v>2.943031</v>
          </cell>
          <cell r="M36">
            <v>57</v>
          </cell>
          <cell r="N36">
            <v>6</v>
          </cell>
          <cell r="R36">
            <v>0</v>
          </cell>
          <cell r="S36">
            <v>0</v>
          </cell>
        </row>
        <row r="37">
          <cell r="A37">
            <v>37</v>
          </cell>
          <cell r="C37" t="str">
            <v>AeroCAM</v>
          </cell>
          <cell r="D37">
            <v>8</v>
          </cell>
          <cell r="E37">
            <v>5</v>
          </cell>
          <cell r="F37">
            <v>6.1458000000000004</v>
          </cell>
          <cell r="G37">
            <v>2</v>
          </cell>
          <cell r="H37">
            <v>0</v>
          </cell>
          <cell r="I37">
            <v>15</v>
          </cell>
          <cell r="K37">
            <v>7.9417500000000002E-2</v>
          </cell>
          <cell r="L37">
            <v>3.08</v>
          </cell>
          <cell r="M37">
            <v>0</v>
          </cell>
          <cell r="N37">
            <v>15</v>
          </cell>
          <cell r="R37">
            <v>1</v>
          </cell>
          <cell r="S37">
            <v>42</v>
          </cell>
        </row>
        <row r="38">
          <cell r="A38">
            <v>38</v>
          </cell>
          <cell r="C38" t="str">
            <v>AeroCarbon</v>
          </cell>
          <cell r="D38">
            <v>8</v>
          </cell>
          <cell r="E38">
            <v>5</v>
          </cell>
          <cell r="F38">
            <v>4.9800000000000004</v>
          </cell>
          <cell r="G38">
            <v>2</v>
          </cell>
          <cell r="H38">
            <v>60</v>
          </cell>
          <cell r="I38">
            <v>22</v>
          </cell>
          <cell r="K38">
            <v>8.3240700000000001E-2</v>
          </cell>
          <cell r="L38">
            <v>3.08</v>
          </cell>
          <cell r="M38">
            <v>0</v>
          </cell>
          <cell r="N38">
            <v>15</v>
          </cell>
          <cell r="R38">
            <v>1</v>
          </cell>
          <cell r="S38">
            <v>42</v>
          </cell>
        </row>
        <row r="39">
          <cell r="A39">
            <v>39</v>
          </cell>
          <cell r="C39" t="str">
            <v>APC E</v>
          </cell>
          <cell r="D39">
            <v>8</v>
          </cell>
          <cell r="E39">
            <v>6</v>
          </cell>
          <cell r="F39">
            <v>6.8200620000000001</v>
          </cell>
          <cell r="G39">
            <v>2.0754030000000001</v>
          </cell>
          <cell r="H39">
            <v>200</v>
          </cell>
          <cell r="I39">
            <v>20</v>
          </cell>
          <cell r="K39">
            <v>0.11099290000000001</v>
          </cell>
          <cell r="L39">
            <v>3.130878</v>
          </cell>
          <cell r="M39">
            <v>120</v>
          </cell>
          <cell r="N39">
            <v>18</v>
          </cell>
          <cell r="R39">
            <v>0</v>
          </cell>
          <cell r="S39">
            <v>0</v>
          </cell>
        </row>
        <row r="40">
          <cell r="A40">
            <v>40</v>
          </cell>
          <cell r="C40" t="str">
            <v>APC SF</v>
          </cell>
          <cell r="D40">
            <v>8</v>
          </cell>
          <cell r="E40">
            <v>6</v>
          </cell>
          <cell r="F40">
            <v>6.8716619999999997</v>
          </cell>
          <cell r="G40">
            <v>2.1628150000000002</v>
          </cell>
          <cell r="H40">
            <v>200</v>
          </cell>
          <cell r="I40">
            <v>20</v>
          </cell>
          <cell r="K40">
            <v>0.21453040000000001</v>
          </cell>
          <cell r="L40">
            <v>3</v>
          </cell>
          <cell r="M40">
            <v>57</v>
          </cell>
          <cell r="N40">
            <v>14</v>
          </cell>
          <cell r="R40">
            <v>0</v>
          </cell>
          <cell r="S40">
            <v>0</v>
          </cell>
        </row>
        <row r="41">
          <cell r="A41">
            <v>41</v>
          </cell>
          <cell r="C41" t="str">
            <v>Graupner Slim</v>
          </cell>
          <cell r="D41">
            <v>8</v>
          </cell>
          <cell r="E41">
            <v>6</v>
          </cell>
          <cell r="F41">
            <v>7.4958049999999998</v>
          </cell>
          <cell r="G41">
            <v>1.9794</v>
          </cell>
          <cell r="H41">
            <v>120</v>
          </cell>
          <cell r="I41">
            <v>18</v>
          </cell>
          <cell r="K41">
            <v>0.1693819</v>
          </cell>
          <cell r="L41">
            <v>2.8418969999999999</v>
          </cell>
          <cell r="M41">
            <v>120</v>
          </cell>
          <cell r="N41">
            <v>18</v>
          </cell>
          <cell r="R41">
            <v>0</v>
          </cell>
          <cell r="S41">
            <v>0</v>
          </cell>
        </row>
        <row r="42">
          <cell r="A42">
            <v>42</v>
          </cell>
          <cell r="C42" t="str">
            <v>GWS RS</v>
          </cell>
          <cell r="D42">
            <v>8</v>
          </cell>
          <cell r="E42">
            <v>6</v>
          </cell>
          <cell r="F42">
            <v>5.9109610000000004</v>
          </cell>
          <cell r="G42">
            <v>2.1364369999999999</v>
          </cell>
          <cell r="H42">
            <v>57</v>
          </cell>
          <cell r="I42">
            <v>14</v>
          </cell>
          <cell r="K42">
            <v>0.1526373</v>
          </cell>
          <cell r="L42">
            <v>3.02891691</v>
          </cell>
          <cell r="M42">
            <v>57</v>
          </cell>
          <cell r="N42">
            <v>14</v>
          </cell>
          <cell r="R42">
            <v>0</v>
          </cell>
          <cell r="S42">
            <v>0</v>
          </cell>
        </row>
        <row r="43">
          <cell r="A43">
            <v>43</v>
          </cell>
          <cell r="C43" t="str">
            <v>APC E</v>
          </cell>
          <cell r="D43">
            <v>8</v>
          </cell>
          <cell r="E43">
            <v>8</v>
          </cell>
          <cell r="F43">
            <v>7.0172249999999998</v>
          </cell>
          <cell r="G43">
            <v>2.0820280000000002</v>
          </cell>
          <cell r="H43">
            <v>200</v>
          </cell>
          <cell r="I43">
            <v>20</v>
          </cell>
          <cell r="K43">
            <v>8.6810200000000004E-2</v>
          </cell>
          <cell r="L43">
            <v>3.4014250000000001</v>
          </cell>
          <cell r="M43">
            <v>120</v>
          </cell>
          <cell r="N43">
            <v>18</v>
          </cell>
          <cell r="R43">
            <v>0</v>
          </cell>
          <cell r="S43">
            <v>0</v>
          </cell>
        </row>
        <row r="44">
          <cell r="A44">
            <v>44</v>
          </cell>
          <cell r="C44" t="str">
            <v>Aeronaut E-Prop</v>
          </cell>
          <cell r="D44">
            <v>8.5</v>
          </cell>
          <cell r="E44">
            <v>5</v>
          </cell>
          <cell r="F44">
            <v>0</v>
          </cell>
          <cell r="G44">
            <v>0</v>
          </cell>
          <cell r="H44">
            <v>0</v>
          </cell>
          <cell r="I44">
            <v>15</v>
          </cell>
          <cell r="K44">
            <v>8.5403999999999994E-2</v>
          </cell>
          <cell r="L44">
            <v>3</v>
          </cell>
          <cell r="M44">
            <v>0</v>
          </cell>
          <cell r="N44">
            <v>15</v>
          </cell>
          <cell r="R44">
            <v>0</v>
          </cell>
          <cell r="S44">
            <v>0</v>
          </cell>
        </row>
        <row r="45">
          <cell r="A45">
            <v>45</v>
          </cell>
          <cell r="C45" t="str">
            <v>Aeronaut E-Prop</v>
          </cell>
          <cell r="D45">
            <v>8.5</v>
          </cell>
          <cell r="E45">
            <v>6</v>
          </cell>
          <cell r="F45">
            <v>0</v>
          </cell>
          <cell r="G45">
            <v>0</v>
          </cell>
          <cell r="H45">
            <v>0</v>
          </cell>
          <cell r="I45">
            <v>15</v>
          </cell>
          <cell r="K45">
            <v>0.120397</v>
          </cell>
          <cell r="L45">
            <v>3</v>
          </cell>
          <cell r="M45">
            <v>0</v>
          </cell>
          <cell r="N45">
            <v>15</v>
          </cell>
          <cell r="R45">
            <v>0</v>
          </cell>
          <cell r="S45">
            <v>0</v>
          </cell>
        </row>
        <row r="46">
          <cell r="A46">
            <v>46</v>
          </cell>
          <cell r="C46" t="str">
            <v>Aeronaut E-Prop</v>
          </cell>
          <cell r="D46">
            <v>8.5</v>
          </cell>
          <cell r="E46">
            <v>7</v>
          </cell>
          <cell r="F46">
            <v>0</v>
          </cell>
          <cell r="G46">
            <v>0</v>
          </cell>
          <cell r="H46">
            <v>0</v>
          </cell>
          <cell r="I46">
            <v>15</v>
          </cell>
          <cell r="K46">
            <v>0.165741</v>
          </cell>
          <cell r="L46">
            <v>3</v>
          </cell>
          <cell r="M46">
            <v>0</v>
          </cell>
          <cell r="N46">
            <v>15</v>
          </cell>
          <cell r="R46">
            <v>0</v>
          </cell>
          <cell r="S46">
            <v>0</v>
          </cell>
        </row>
        <row r="47">
          <cell r="A47">
            <v>47</v>
          </cell>
          <cell r="C47" t="str">
            <v>APC SF</v>
          </cell>
          <cell r="D47">
            <v>9</v>
          </cell>
          <cell r="E47">
            <v>3.8</v>
          </cell>
          <cell r="F47">
            <v>6.4940220000000002</v>
          </cell>
          <cell r="G47">
            <v>2.226359</v>
          </cell>
          <cell r="H47">
            <v>200</v>
          </cell>
          <cell r="I47">
            <v>20</v>
          </cell>
          <cell r="K47">
            <v>0.14073959999999999</v>
          </cell>
          <cell r="L47">
            <v>3</v>
          </cell>
          <cell r="M47">
            <v>57</v>
          </cell>
          <cell r="N47">
            <v>14</v>
          </cell>
          <cell r="R47">
            <v>0</v>
          </cell>
          <cell r="S47">
            <v>0</v>
          </cell>
        </row>
        <row r="48">
          <cell r="A48">
            <v>48</v>
          </cell>
          <cell r="C48" t="str">
            <v>APC E</v>
          </cell>
          <cell r="D48">
            <v>9</v>
          </cell>
          <cell r="E48">
            <v>4.5</v>
          </cell>
          <cell r="F48">
            <v>5.8125330000000002</v>
          </cell>
          <cell r="G48">
            <v>2.2108690000000002</v>
          </cell>
          <cell r="H48">
            <v>200</v>
          </cell>
          <cell r="I48">
            <v>20</v>
          </cell>
          <cell r="K48">
            <v>9.5807500000000004E-2</v>
          </cell>
          <cell r="L48">
            <v>3.1678289999999998</v>
          </cell>
          <cell r="M48">
            <v>120</v>
          </cell>
          <cell r="N48">
            <v>18</v>
          </cell>
          <cell r="R48">
            <v>0</v>
          </cell>
          <cell r="S48">
            <v>0</v>
          </cell>
        </row>
        <row r="49">
          <cell r="A49">
            <v>49</v>
          </cell>
          <cell r="C49" t="str">
            <v>APC SF</v>
          </cell>
          <cell r="D49">
            <v>9</v>
          </cell>
          <cell r="E49">
            <v>4.7</v>
          </cell>
          <cell r="F49">
            <v>8.5848390000000006</v>
          </cell>
          <cell r="G49">
            <v>2.0834990000000002</v>
          </cell>
          <cell r="H49">
            <v>200</v>
          </cell>
          <cell r="I49">
            <v>20</v>
          </cell>
          <cell r="K49">
            <v>0.14776800000000001</v>
          </cell>
          <cell r="L49">
            <v>3.0170469999999998</v>
          </cell>
          <cell r="M49">
            <v>57</v>
          </cell>
          <cell r="N49">
            <v>7</v>
          </cell>
          <cell r="R49">
            <v>0</v>
          </cell>
          <cell r="S49">
            <v>0</v>
          </cell>
        </row>
        <row r="50">
          <cell r="A50">
            <v>50</v>
          </cell>
          <cell r="C50" t="str">
            <v>GWS RS</v>
          </cell>
          <cell r="D50">
            <v>9</v>
          </cell>
          <cell r="E50">
            <v>4.7</v>
          </cell>
          <cell r="F50">
            <v>11.55195</v>
          </cell>
          <cell r="G50">
            <v>2.0001980000000001</v>
          </cell>
          <cell r="H50">
            <v>200</v>
          </cell>
          <cell r="I50">
            <v>20</v>
          </cell>
          <cell r="K50">
            <v>0.1726087</v>
          </cell>
          <cell r="L50">
            <v>2.9988839999999999</v>
          </cell>
          <cell r="M50">
            <v>0</v>
          </cell>
          <cell r="N50">
            <v>15</v>
          </cell>
          <cell r="R50">
            <v>0</v>
          </cell>
          <cell r="S50">
            <v>0</v>
          </cell>
        </row>
        <row r="51">
          <cell r="A51">
            <v>51</v>
          </cell>
          <cell r="C51" t="str">
            <v>AeroCAM</v>
          </cell>
          <cell r="D51">
            <v>9</v>
          </cell>
          <cell r="E51">
            <v>5</v>
          </cell>
          <cell r="F51">
            <v>6.5433709999999996</v>
          </cell>
          <cell r="G51">
            <v>2.1239750000000002</v>
          </cell>
          <cell r="H51">
            <v>0</v>
          </cell>
          <cell r="I51">
            <v>15</v>
          </cell>
          <cell r="K51">
            <v>0.14674119999999999</v>
          </cell>
          <cell r="L51">
            <v>3</v>
          </cell>
          <cell r="M51">
            <v>0</v>
          </cell>
          <cell r="N51">
            <v>15</v>
          </cell>
          <cell r="R51">
            <v>1</v>
          </cell>
          <cell r="S51">
            <v>42</v>
          </cell>
        </row>
        <row r="52">
          <cell r="A52">
            <v>52</v>
          </cell>
          <cell r="C52" t="str">
            <v>AeroCarbon</v>
          </cell>
          <cell r="D52">
            <v>9</v>
          </cell>
          <cell r="E52">
            <v>5</v>
          </cell>
          <cell r="F52">
            <v>7.37</v>
          </cell>
          <cell r="G52">
            <v>2</v>
          </cell>
          <cell r="H52">
            <v>60</v>
          </cell>
          <cell r="I52">
            <v>22</v>
          </cell>
          <cell r="K52">
            <v>0.10528170000000001</v>
          </cell>
          <cell r="L52">
            <v>3</v>
          </cell>
          <cell r="M52">
            <v>0</v>
          </cell>
          <cell r="N52">
            <v>15</v>
          </cell>
          <cell r="R52">
            <v>1</v>
          </cell>
          <cell r="S52">
            <v>42</v>
          </cell>
        </row>
        <row r="53">
          <cell r="A53">
            <v>53</v>
          </cell>
          <cell r="C53" t="str">
            <v>GWS HD</v>
          </cell>
          <cell r="D53">
            <v>9</v>
          </cell>
          <cell r="E53">
            <v>5</v>
          </cell>
          <cell r="F53">
            <v>8.3995160000000002</v>
          </cell>
          <cell r="G53">
            <v>2.088492</v>
          </cell>
          <cell r="H53">
            <v>200</v>
          </cell>
          <cell r="I53">
            <v>20</v>
          </cell>
          <cell r="K53">
            <v>0.1193794</v>
          </cell>
          <cell r="L53">
            <v>3.0404640000000001</v>
          </cell>
          <cell r="M53">
            <v>55</v>
          </cell>
          <cell r="N53">
            <v>24</v>
          </cell>
          <cell r="R53">
            <v>0</v>
          </cell>
          <cell r="S53">
            <v>0</v>
          </cell>
        </row>
        <row r="54">
          <cell r="A54">
            <v>54</v>
          </cell>
          <cell r="C54" t="str">
            <v>Graupner Slim</v>
          </cell>
          <cell r="D54">
            <v>9</v>
          </cell>
          <cell r="E54">
            <v>6</v>
          </cell>
          <cell r="F54">
            <v>12.61225</v>
          </cell>
          <cell r="G54">
            <v>1.9721</v>
          </cell>
          <cell r="H54">
            <v>120</v>
          </cell>
          <cell r="I54">
            <v>18</v>
          </cell>
          <cell r="K54">
            <v>0.19056100000000001</v>
          </cell>
          <cell r="L54">
            <v>3</v>
          </cell>
          <cell r="M54">
            <v>120</v>
          </cell>
          <cell r="N54">
            <v>18</v>
          </cell>
          <cell r="R54">
            <v>0</v>
          </cell>
          <cell r="S54">
            <v>0</v>
          </cell>
        </row>
        <row r="55">
          <cell r="A55">
            <v>55</v>
          </cell>
          <cell r="C55" t="str">
            <v>AeroCarbon</v>
          </cell>
          <cell r="D55">
            <v>9</v>
          </cell>
          <cell r="E55">
            <v>6.5</v>
          </cell>
          <cell r="F55">
            <v>7.0712419999999998</v>
          </cell>
          <cell r="G55">
            <v>2.1234099999999998</v>
          </cell>
          <cell r="H55">
            <v>60</v>
          </cell>
          <cell r="I55">
            <v>22</v>
          </cell>
          <cell r="K55">
            <v>0.237037</v>
          </cell>
          <cell r="L55">
            <v>3</v>
          </cell>
          <cell r="M55">
            <v>0</v>
          </cell>
          <cell r="N55">
            <v>15</v>
          </cell>
          <cell r="R55">
            <v>1</v>
          </cell>
          <cell r="S55">
            <v>42</v>
          </cell>
        </row>
        <row r="56">
          <cell r="A56">
            <v>56</v>
          </cell>
          <cell r="C56" t="str">
            <v>GWS RS</v>
          </cell>
          <cell r="D56">
            <v>9</v>
          </cell>
          <cell r="E56">
            <v>7</v>
          </cell>
          <cell r="F56">
            <v>11.83229</v>
          </cell>
          <cell r="G56">
            <v>2.1171329999999999</v>
          </cell>
          <cell r="H56">
            <v>200</v>
          </cell>
          <cell r="I56">
            <v>20</v>
          </cell>
          <cell r="K56">
            <v>0.26101479999999999</v>
          </cell>
          <cell r="L56">
            <v>3.04</v>
          </cell>
          <cell r="M56">
            <v>0</v>
          </cell>
          <cell r="N56">
            <v>15</v>
          </cell>
          <cell r="R56">
            <v>0</v>
          </cell>
          <cell r="S56">
            <v>0</v>
          </cell>
        </row>
        <row r="57">
          <cell r="A57">
            <v>57</v>
          </cell>
          <cell r="C57" t="str">
            <v>GWS RS 3-Blade</v>
          </cell>
          <cell r="D57">
            <v>9</v>
          </cell>
          <cell r="E57">
            <v>7</v>
          </cell>
          <cell r="F57">
            <v>13.824870000000001</v>
          </cell>
          <cell r="G57">
            <v>2.0243229999999999</v>
          </cell>
          <cell r="H57">
            <v>200</v>
          </cell>
          <cell r="I57">
            <v>20</v>
          </cell>
          <cell r="K57">
            <v>0.334561</v>
          </cell>
          <cell r="L57">
            <v>3.0289082359999999</v>
          </cell>
          <cell r="M57">
            <v>57</v>
          </cell>
          <cell r="N57">
            <v>7</v>
          </cell>
          <cell r="R57">
            <v>0</v>
          </cell>
          <cell r="S57">
            <v>0</v>
          </cell>
        </row>
        <row r="58">
          <cell r="A58">
            <v>58</v>
          </cell>
          <cell r="C58" t="str">
            <v>APC E</v>
          </cell>
          <cell r="D58">
            <v>9</v>
          </cell>
          <cell r="E58">
            <v>7.5</v>
          </cell>
          <cell r="F58">
            <v>9.6697579999999999</v>
          </cell>
          <cell r="G58">
            <v>2.1152319999999998</v>
          </cell>
          <cell r="H58">
            <v>200</v>
          </cell>
          <cell r="I58">
            <v>20</v>
          </cell>
          <cell r="K58">
            <v>0.12653539999999999</v>
          </cell>
          <cell r="L58">
            <v>3.3545419999999999</v>
          </cell>
          <cell r="M58">
            <v>120</v>
          </cell>
          <cell r="N58">
            <v>18</v>
          </cell>
          <cell r="R58">
            <v>0</v>
          </cell>
          <cell r="S58">
            <v>0</v>
          </cell>
        </row>
        <row r="59">
          <cell r="A59">
            <v>59</v>
          </cell>
          <cell r="C59" t="str">
            <v>APC SF</v>
          </cell>
          <cell r="D59">
            <v>9</v>
          </cell>
          <cell r="E59">
            <v>7.5</v>
          </cell>
          <cell r="F59">
            <v>11.59379</v>
          </cell>
          <cell r="G59">
            <v>2.192275</v>
          </cell>
          <cell r="H59">
            <v>57</v>
          </cell>
          <cell r="I59">
            <v>14</v>
          </cell>
          <cell r="K59">
            <v>0.25330009999999997</v>
          </cell>
          <cell r="L59">
            <v>3.268172276</v>
          </cell>
          <cell r="M59">
            <v>57</v>
          </cell>
          <cell r="N59">
            <v>14</v>
          </cell>
          <cell r="R59">
            <v>0</v>
          </cell>
          <cell r="S59">
            <v>0</v>
          </cell>
        </row>
        <row r="60">
          <cell r="A60">
            <v>60</v>
          </cell>
          <cell r="C60" t="str">
            <v>APC Sport</v>
          </cell>
          <cell r="D60">
            <v>9</v>
          </cell>
          <cell r="E60">
            <v>8</v>
          </cell>
          <cell r="F60">
            <v>0</v>
          </cell>
          <cell r="G60">
            <v>0</v>
          </cell>
          <cell r="H60">
            <v>0</v>
          </cell>
          <cell r="I60">
            <v>15</v>
          </cell>
          <cell r="K60">
            <v>0.25940000000000002</v>
          </cell>
          <cell r="L60">
            <v>3</v>
          </cell>
          <cell r="M60">
            <v>155</v>
          </cell>
          <cell r="N60">
            <v>20</v>
          </cell>
          <cell r="R60">
            <v>0</v>
          </cell>
          <cell r="S60">
            <v>0</v>
          </cell>
        </row>
        <row r="61">
          <cell r="A61">
            <v>61</v>
          </cell>
          <cell r="C61" t="str">
            <v>APC E</v>
          </cell>
          <cell r="D61">
            <v>9</v>
          </cell>
          <cell r="E61">
            <v>9</v>
          </cell>
          <cell r="F61">
            <v>12.56744</v>
          </cell>
          <cell r="G61">
            <v>1.999136</v>
          </cell>
          <cell r="H61">
            <v>200</v>
          </cell>
          <cell r="I61">
            <v>20</v>
          </cell>
          <cell r="K61">
            <v>0.15699730000000001</v>
          </cell>
          <cell r="L61">
            <v>3.3810760000000002</v>
          </cell>
          <cell r="M61">
            <v>120</v>
          </cell>
          <cell r="N61">
            <v>18</v>
          </cell>
          <cell r="R61">
            <v>0</v>
          </cell>
          <cell r="S61">
            <v>0</v>
          </cell>
        </row>
        <row r="62">
          <cell r="A62">
            <v>62</v>
          </cell>
          <cell r="C62" t="str">
            <v>AeroCAM</v>
          </cell>
          <cell r="D62">
            <v>9.5</v>
          </cell>
          <cell r="E62">
            <v>5</v>
          </cell>
          <cell r="F62">
            <v>11.09235</v>
          </cell>
          <cell r="G62">
            <v>2</v>
          </cell>
          <cell r="H62">
            <v>0</v>
          </cell>
          <cell r="I62">
            <v>15</v>
          </cell>
          <cell r="K62">
            <v>0.18816759999999999</v>
          </cell>
          <cell r="L62">
            <v>3</v>
          </cell>
          <cell r="M62">
            <v>0</v>
          </cell>
          <cell r="N62">
            <v>15</v>
          </cell>
          <cell r="R62">
            <v>1</v>
          </cell>
          <cell r="S62">
            <v>42</v>
          </cell>
        </row>
        <row r="63">
          <cell r="A63">
            <v>63</v>
          </cell>
          <cell r="C63" t="str">
            <v>AeroCarbon</v>
          </cell>
          <cell r="D63">
            <v>9.5</v>
          </cell>
          <cell r="E63">
            <v>5</v>
          </cell>
          <cell r="F63">
            <v>8.82</v>
          </cell>
          <cell r="G63">
            <v>2</v>
          </cell>
          <cell r="H63">
            <v>60</v>
          </cell>
          <cell r="I63">
            <v>22</v>
          </cell>
          <cell r="K63">
            <v>0.13224659999999999</v>
          </cell>
          <cell r="L63">
            <v>3.08</v>
          </cell>
          <cell r="M63">
            <v>0</v>
          </cell>
          <cell r="N63">
            <v>15</v>
          </cell>
          <cell r="R63">
            <v>1</v>
          </cell>
          <cell r="S63">
            <v>42</v>
          </cell>
        </row>
        <row r="64">
          <cell r="A64">
            <v>64</v>
          </cell>
          <cell r="C64" t="str">
            <v>Aeronaut E-Prop</v>
          </cell>
          <cell r="D64">
            <v>9.5</v>
          </cell>
          <cell r="E64">
            <v>5</v>
          </cell>
          <cell r="F64">
            <v>0</v>
          </cell>
          <cell r="G64">
            <v>0</v>
          </cell>
          <cell r="H64">
            <v>0</v>
          </cell>
          <cell r="I64">
            <v>15</v>
          </cell>
          <cell r="K64">
            <v>0.1182267</v>
          </cell>
          <cell r="L64">
            <v>3.1636929999999999</v>
          </cell>
          <cell r="M64">
            <v>0</v>
          </cell>
          <cell r="N64">
            <v>15</v>
          </cell>
          <cell r="R64">
            <v>0</v>
          </cell>
          <cell r="S64">
            <v>0</v>
          </cell>
        </row>
        <row r="65">
          <cell r="A65">
            <v>65</v>
          </cell>
          <cell r="C65" t="str">
            <v>Aeronaut E-Prop</v>
          </cell>
          <cell r="D65">
            <v>9.5</v>
          </cell>
          <cell r="E65">
            <v>6</v>
          </cell>
          <cell r="F65">
            <v>8.7182630000000003</v>
          </cell>
          <cell r="G65">
            <v>2.1334270000000002</v>
          </cell>
          <cell r="H65">
            <v>200</v>
          </cell>
          <cell r="I65">
            <v>20</v>
          </cell>
          <cell r="K65">
            <v>0.19531299999999999</v>
          </cell>
          <cell r="L65">
            <v>3</v>
          </cell>
          <cell r="M65">
            <v>0</v>
          </cell>
          <cell r="N65">
            <v>15</v>
          </cell>
          <cell r="R65">
            <v>0</v>
          </cell>
          <cell r="S65">
            <v>0</v>
          </cell>
        </row>
        <row r="66">
          <cell r="A66">
            <v>66</v>
          </cell>
          <cell r="C66" t="str">
            <v>Aeronaut E-Prop</v>
          </cell>
          <cell r="D66">
            <v>9.5</v>
          </cell>
          <cell r="E66">
            <v>7</v>
          </cell>
          <cell r="F66">
            <v>0</v>
          </cell>
          <cell r="G66">
            <v>0</v>
          </cell>
          <cell r="H66">
            <v>0</v>
          </cell>
          <cell r="I66">
            <v>15</v>
          </cell>
          <cell r="K66">
            <v>0.24778</v>
          </cell>
          <cell r="L66">
            <v>3</v>
          </cell>
          <cell r="M66">
            <v>0</v>
          </cell>
          <cell r="N66">
            <v>15</v>
          </cell>
          <cell r="R66">
            <v>0</v>
          </cell>
          <cell r="S66">
            <v>0</v>
          </cell>
        </row>
        <row r="67">
          <cell r="A67">
            <v>67</v>
          </cell>
          <cell r="C67" t="str">
            <v>APC SF</v>
          </cell>
          <cell r="D67">
            <v>10</v>
          </cell>
          <cell r="E67">
            <v>4.7</v>
          </cell>
          <cell r="F67">
            <v>12.383649999999999</v>
          </cell>
          <cell r="G67">
            <v>2.2090339999999999</v>
          </cell>
          <cell r="H67">
            <v>200</v>
          </cell>
          <cell r="I67">
            <v>20</v>
          </cell>
          <cell r="K67">
            <v>0.3275246</v>
          </cell>
          <cell r="L67">
            <v>3</v>
          </cell>
          <cell r="M67">
            <v>57</v>
          </cell>
          <cell r="N67">
            <v>14</v>
          </cell>
          <cell r="R67">
            <v>0</v>
          </cell>
          <cell r="S67">
            <v>0</v>
          </cell>
        </row>
        <row r="68">
          <cell r="A68">
            <v>68</v>
          </cell>
          <cell r="C68" t="str">
            <v>GWS RS</v>
          </cell>
          <cell r="D68">
            <v>10</v>
          </cell>
          <cell r="E68">
            <v>4.7</v>
          </cell>
          <cell r="F68">
            <v>15.81917</v>
          </cell>
          <cell r="G68">
            <v>2.080219</v>
          </cell>
          <cell r="H68">
            <v>200</v>
          </cell>
          <cell r="I68">
            <v>20</v>
          </cell>
          <cell r="K68">
            <v>0.27365909999999999</v>
          </cell>
          <cell r="L68">
            <v>3.11</v>
          </cell>
          <cell r="M68">
            <v>0</v>
          </cell>
          <cell r="N68">
            <v>15</v>
          </cell>
          <cell r="R68">
            <v>0</v>
          </cell>
          <cell r="S68">
            <v>0</v>
          </cell>
        </row>
        <row r="69">
          <cell r="A69">
            <v>69</v>
          </cell>
          <cell r="C69" t="str">
            <v>APC E</v>
          </cell>
          <cell r="D69">
            <v>10</v>
          </cell>
          <cell r="E69">
            <v>5</v>
          </cell>
          <cell r="F69">
            <v>10.7392</v>
          </cell>
          <cell r="G69">
            <v>2.1266020000000001</v>
          </cell>
          <cell r="H69">
            <v>200</v>
          </cell>
          <cell r="I69">
            <v>20</v>
          </cell>
          <cell r="K69">
            <v>0.1225038</v>
          </cell>
          <cell r="L69">
            <v>3.2637139999999998</v>
          </cell>
          <cell r="M69">
            <v>120</v>
          </cell>
          <cell r="N69">
            <v>18</v>
          </cell>
          <cell r="R69">
            <v>0</v>
          </cell>
          <cell r="S69">
            <v>0</v>
          </cell>
        </row>
        <row r="70">
          <cell r="A70">
            <v>70</v>
          </cell>
          <cell r="C70" t="str">
            <v>APC Sport</v>
          </cell>
          <cell r="D70">
            <v>10</v>
          </cell>
          <cell r="E70">
            <v>5</v>
          </cell>
          <cell r="F70">
            <v>0</v>
          </cell>
          <cell r="G70">
            <v>0</v>
          </cell>
          <cell r="H70">
            <v>0</v>
          </cell>
          <cell r="I70">
            <v>15</v>
          </cell>
          <cell r="K70">
            <v>0.2437028</v>
          </cell>
          <cell r="L70">
            <v>2.9966547079999999</v>
          </cell>
          <cell r="M70">
            <v>155</v>
          </cell>
          <cell r="N70">
            <v>20</v>
          </cell>
          <cell r="R70">
            <v>0</v>
          </cell>
          <cell r="S70">
            <v>0</v>
          </cell>
        </row>
        <row r="71">
          <cell r="A71">
            <v>71</v>
          </cell>
          <cell r="C71" t="str">
            <v>AeroCAM</v>
          </cell>
          <cell r="D71">
            <v>10</v>
          </cell>
          <cell r="E71">
            <v>6</v>
          </cell>
          <cell r="F71">
            <v>8.2632860000000008</v>
          </cell>
          <cell r="G71">
            <v>2.201597</v>
          </cell>
          <cell r="H71">
            <v>0</v>
          </cell>
          <cell r="I71">
            <v>15</v>
          </cell>
          <cell r="K71">
            <v>0.20672409999999999</v>
          </cell>
          <cell r="L71">
            <v>3</v>
          </cell>
          <cell r="M71">
            <v>0</v>
          </cell>
          <cell r="N71">
            <v>15</v>
          </cell>
          <cell r="R71">
            <v>1</v>
          </cell>
          <cell r="S71">
            <v>42</v>
          </cell>
        </row>
        <row r="72">
          <cell r="A72">
            <v>72</v>
          </cell>
          <cell r="C72" t="str">
            <v>Aeronaut E-Prop</v>
          </cell>
          <cell r="D72">
            <v>10</v>
          </cell>
          <cell r="E72">
            <v>6</v>
          </cell>
          <cell r="F72">
            <v>0</v>
          </cell>
          <cell r="G72">
            <v>0</v>
          </cell>
          <cell r="H72">
            <v>0</v>
          </cell>
          <cell r="I72">
            <v>15</v>
          </cell>
          <cell r="K72">
            <v>0.23894299999999999</v>
          </cell>
          <cell r="L72">
            <v>3</v>
          </cell>
          <cell r="M72">
            <v>0</v>
          </cell>
          <cell r="N72">
            <v>15</v>
          </cell>
          <cell r="R72">
            <v>0</v>
          </cell>
          <cell r="S72">
            <v>0</v>
          </cell>
        </row>
        <row r="73">
          <cell r="A73">
            <v>73</v>
          </cell>
          <cell r="C73" t="str">
            <v>APC Sport</v>
          </cell>
          <cell r="D73">
            <v>10</v>
          </cell>
          <cell r="E73">
            <v>6</v>
          </cell>
          <cell r="F73">
            <v>0</v>
          </cell>
          <cell r="G73">
            <v>0</v>
          </cell>
          <cell r="H73">
            <v>0</v>
          </cell>
          <cell r="I73">
            <v>15</v>
          </cell>
          <cell r="K73">
            <v>0.26964310000000002</v>
          </cell>
          <cell r="L73">
            <v>2.9934259999999999</v>
          </cell>
          <cell r="M73">
            <v>155</v>
          </cell>
          <cell r="N73">
            <v>20</v>
          </cell>
          <cell r="R73">
            <v>0</v>
          </cell>
          <cell r="S73">
            <v>0</v>
          </cell>
        </row>
        <row r="74">
          <cell r="A74">
            <v>74</v>
          </cell>
          <cell r="C74" t="str">
            <v>AeroCarbon</v>
          </cell>
          <cell r="D74">
            <v>10</v>
          </cell>
          <cell r="E74">
            <v>7</v>
          </cell>
          <cell r="F74">
            <v>7.6032260000000003</v>
          </cell>
          <cell r="G74">
            <v>2.2890190000000001</v>
          </cell>
          <cell r="H74">
            <v>55</v>
          </cell>
          <cell r="I74">
            <v>24</v>
          </cell>
          <cell r="K74">
            <v>0.34004400000000001</v>
          </cell>
          <cell r="L74">
            <v>3</v>
          </cell>
          <cell r="M74">
            <v>0</v>
          </cell>
          <cell r="N74">
            <v>15</v>
          </cell>
          <cell r="R74">
            <v>1</v>
          </cell>
          <cell r="S74">
            <v>42</v>
          </cell>
        </row>
        <row r="75">
          <cell r="A75">
            <v>75</v>
          </cell>
          <cell r="C75" t="str">
            <v>Aeronaut E-Prop</v>
          </cell>
          <cell r="D75">
            <v>10</v>
          </cell>
          <cell r="E75">
            <v>7</v>
          </cell>
          <cell r="F75">
            <v>17.585989999999999</v>
          </cell>
          <cell r="G75">
            <v>1.9661249999999999</v>
          </cell>
          <cell r="H75">
            <v>200</v>
          </cell>
          <cell r="I75">
            <v>20</v>
          </cell>
          <cell r="K75">
            <v>0.30308600000000002</v>
          </cell>
          <cell r="L75">
            <v>3</v>
          </cell>
          <cell r="M75">
            <v>0</v>
          </cell>
          <cell r="N75">
            <v>15</v>
          </cell>
          <cell r="R75">
            <v>0</v>
          </cell>
          <cell r="S75">
            <v>0</v>
          </cell>
        </row>
        <row r="76">
          <cell r="A76">
            <v>76</v>
          </cell>
          <cell r="C76" t="str">
            <v>APC E</v>
          </cell>
          <cell r="D76">
            <v>10</v>
          </cell>
          <cell r="E76">
            <v>7</v>
          </cell>
          <cell r="F76">
            <v>11.929539999999999</v>
          </cell>
          <cell r="G76">
            <v>2.1432579999999999</v>
          </cell>
          <cell r="H76">
            <v>200</v>
          </cell>
          <cell r="I76">
            <v>20</v>
          </cell>
          <cell r="K76">
            <v>0.24341160000000001</v>
          </cell>
          <cell r="L76">
            <v>3.1066319999999998</v>
          </cell>
          <cell r="M76">
            <v>120</v>
          </cell>
          <cell r="N76">
            <v>18</v>
          </cell>
          <cell r="R76">
            <v>0</v>
          </cell>
          <cell r="S76">
            <v>0</v>
          </cell>
        </row>
        <row r="77">
          <cell r="A77">
            <v>77</v>
          </cell>
          <cell r="C77" t="str">
            <v>APC SF</v>
          </cell>
          <cell r="D77">
            <v>10</v>
          </cell>
          <cell r="E77">
            <v>7</v>
          </cell>
          <cell r="F77">
            <v>21.318149999999999</v>
          </cell>
          <cell r="G77">
            <v>2.0824973899999999</v>
          </cell>
          <cell r="H77">
            <v>57</v>
          </cell>
          <cell r="I77">
            <v>14</v>
          </cell>
          <cell r="K77">
            <v>0.55402589999999996</v>
          </cell>
          <cell r="L77">
            <v>3</v>
          </cell>
          <cell r="M77">
            <v>57</v>
          </cell>
          <cell r="N77">
            <v>7</v>
          </cell>
          <cell r="R77">
            <v>0</v>
          </cell>
          <cell r="S77">
            <v>0</v>
          </cell>
        </row>
        <row r="78">
          <cell r="A78">
            <v>78</v>
          </cell>
          <cell r="C78" t="str">
            <v>APC Sport</v>
          </cell>
          <cell r="D78">
            <v>10</v>
          </cell>
          <cell r="E78">
            <v>7</v>
          </cell>
          <cell r="F78">
            <v>0</v>
          </cell>
          <cell r="G78">
            <v>0</v>
          </cell>
          <cell r="H78">
            <v>0</v>
          </cell>
          <cell r="I78">
            <v>15</v>
          </cell>
          <cell r="K78">
            <v>0.3096949</v>
          </cell>
          <cell r="L78">
            <v>3.0015956959999999</v>
          </cell>
          <cell r="M78">
            <v>155</v>
          </cell>
          <cell r="N78">
            <v>20</v>
          </cell>
          <cell r="R78">
            <v>0</v>
          </cell>
          <cell r="S78">
            <v>0</v>
          </cell>
        </row>
        <row r="79">
          <cell r="A79">
            <v>79</v>
          </cell>
          <cell r="C79" t="str">
            <v>AeroCAM</v>
          </cell>
          <cell r="D79">
            <v>10</v>
          </cell>
          <cell r="E79">
            <v>8</v>
          </cell>
          <cell r="F79">
            <v>9.5795659999999998</v>
          </cell>
          <cell r="G79">
            <v>2.2064080000000001</v>
          </cell>
          <cell r="H79">
            <v>0</v>
          </cell>
          <cell r="I79">
            <v>15</v>
          </cell>
          <cell r="K79">
            <v>0.29890169999999999</v>
          </cell>
          <cell r="L79">
            <v>3.08</v>
          </cell>
          <cell r="M79">
            <v>0</v>
          </cell>
          <cell r="N79">
            <v>15</v>
          </cell>
          <cell r="R79">
            <v>1</v>
          </cell>
          <cell r="S79">
            <v>42</v>
          </cell>
        </row>
        <row r="80">
          <cell r="A80">
            <v>80</v>
          </cell>
          <cell r="C80" t="str">
            <v>Aeronaut E-Prop</v>
          </cell>
          <cell r="D80">
            <v>10</v>
          </cell>
          <cell r="E80">
            <v>8</v>
          </cell>
          <cell r="F80">
            <v>0</v>
          </cell>
          <cell r="G80">
            <v>0</v>
          </cell>
          <cell r="H80">
            <v>0</v>
          </cell>
          <cell r="I80">
            <v>15</v>
          </cell>
          <cell r="K80">
            <v>0.42574000000000001</v>
          </cell>
          <cell r="L80">
            <v>3</v>
          </cell>
          <cell r="M80">
            <v>0</v>
          </cell>
          <cell r="N80">
            <v>15</v>
          </cell>
          <cell r="R80">
            <v>0</v>
          </cell>
          <cell r="S80">
            <v>0</v>
          </cell>
        </row>
        <row r="81">
          <cell r="A81">
            <v>81</v>
          </cell>
          <cell r="C81" t="str">
            <v>APC Sport</v>
          </cell>
          <cell r="D81">
            <v>10</v>
          </cell>
          <cell r="E81">
            <v>8</v>
          </cell>
          <cell r="F81">
            <v>0</v>
          </cell>
          <cell r="G81">
            <v>0</v>
          </cell>
          <cell r="H81">
            <v>0</v>
          </cell>
          <cell r="I81">
            <v>15</v>
          </cell>
          <cell r="K81">
            <v>0.37338900000000003</v>
          </cell>
          <cell r="L81">
            <v>3</v>
          </cell>
          <cell r="M81">
            <v>155</v>
          </cell>
          <cell r="N81">
            <v>20</v>
          </cell>
          <cell r="R81">
            <v>0</v>
          </cell>
          <cell r="S81">
            <v>0</v>
          </cell>
        </row>
        <row r="82">
          <cell r="A82">
            <v>82</v>
          </cell>
          <cell r="C82" t="str">
            <v>GWS RS</v>
          </cell>
          <cell r="D82">
            <v>10</v>
          </cell>
          <cell r="E82">
            <v>8</v>
          </cell>
          <cell r="F82">
            <v>19.89725</v>
          </cell>
          <cell r="G82">
            <v>2.1021159410000001</v>
          </cell>
          <cell r="H82">
            <v>200</v>
          </cell>
          <cell r="I82">
            <v>20</v>
          </cell>
          <cell r="K82">
            <v>0.41199999999999998</v>
          </cell>
          <cell r="L82">
            <v>3</v>
          </cell>
          <cell r="M82">
            <v>0</v>
          </cell>
          <cell r="N82">
            <v>15</v>
          </cell>
          <cell r="R82">
            <v>0</v>
          </cell>
          <cell r="S82">
            <v>0</v>
          </cell>
        </row>
        <row r="83">
          <cell r="A83">
            <v>83</v>
          </cell>
          <cell r="C83" t="str">
            <v>APC Sport</v>
          </cell>
          <cell r="D83">
            <v>10</v>
          </cell>
          <cell r="E83">
            <v>9</v>
          </cell>
          <cell r="F83">
            <v>0</v>
          </cell>
          <cell r="G83">
            <v>0</v>
          </cell>
          <cell r="H83">
            <v>0</v>
          </cell>
          <cell r="I83">
            <v>15</v>
          </cell>
          <cell r="K83">
            <v>0.461117</v>
          </cell>
          <cell r="L83">
            <v>3</v>
          </cell>
          <cell r="M83">
            <v>155</v>
          </cell>
          <cell r="N83">
            <v>20</v>
          </cell>
          <cell r="R83">
            <v>0</v>
          </cell>
          <cell r="S83">
            <v>0</v>
          </cell>
        </row>
        <row r="84">
          <cell r="A84">
            <v>84</v>
          </cell>
          <cell r="C84" t="str">
            <v>APC E</v>
          </cell>
          <cell r="D84">
            <v>10</v>
          </cell>
          <cell r="E84">
            <v>10</v>
          </cell>
          <cell r="F84">
            <v>0</v>
          </cell>
          <cell r="G84">
            <v>0</v>
          </cell>
          <cell r="H84">
            <v>0</v>
          </cell>
          <cell r="I84">
            <v>15</v>
          </cell>
          <cell r="K84">
            <v>0.68000079999999996</v>
          </cell>
          <cell r="L84">
            <v>2.9</v>
          </cell>
          <cell r="M84">
            <v>120</v>
          </cell>
          <cell r="N84">
            <v>18</v>
          </cell>
          <cell r="R84">
            <v>0</v>
          </cell>
          <cell r="S84">
            <v>0</v>
          </cell>
        </row>
        <row r="85">
          <cell r="A85">
            <v>85</v>
          </cell>
          <cell r="C85" t="str">
            <v>AeroCarbon</v>
          </cell>
          <cell r="D85">
            <v>10.5</v>
          </cell>
          <cell r="E85">
            <v>6</v>
          </cell>
          <cell r="F85">
            <v>13.9079</v>
          </cell>
          <cell r="G85">
            <v>2</v>
          </cell>
          <cell r="H85">
            <v>60</v>
          </cell>
          <cell r="I85">
            <v>22</v>
          </cell>
          <cell r="K85">
            <v>0.2919505</v>
          </cell>
          <cell r="L85">
            <v>3.08</v>
          </cell>
          <cell r="M85">
            <v>0</v>
          </cell>
          <cell r="N85">
            <v>15</v>
          </cell>
          <cell r="R85">
            <v>1</v>
          </cell>
          <cell r="S85">
            <v>42</v>
          </cell>
        </row>
        <row r="86">
          <cell r="A86">
            <v>86</v>
          </cell>
          <cell r="C86" t="str">
            <v>Aeronaut E-Prop</v>
          </cell>
          <cell r="D86">
            <v>10.5</v>
          </cell>
          <cell r="E86">
            <v>6</v>
          </cell>
          <cell r="F86">
            <v>0</v>
          </cell>
          <cell r="G86">
            <v>0</v>
          </cell>
          <cell r="H86">
            <v>0</v>
          </cell>
          <cell r="I86">
            <v>15</v>
          </cell>
          <cell r="K86">
            <v>0.320857</v>
          </cell>
          <cell r="L86">
            <v>3</v>
          </cell>
          <cell r="M86">
            <v>0</v>
          </cell>
          <cell r="N86">
            <v>15</v>
          </cell>
          <cell r="R86">
            <v>0</v>
          </cell>
          <cell r="S86">
            <v>0</v>
          </cell>
        </row>
        <row r="87">
          <cell r="A87">
            <v>87</v>
          </cell>
          <cell r="C87" t="str">
            <v>Aeronaut E-Prop</v>
          </cell>
          <cell r="D87">
            <v>10.5</v>
          </cell>
          <cell r="E87">
            <v>7</v>
          </cell>
          <cell r="F87">
            <v>0</v>
          </cell>
          <cell r="G87">
            <v>0</v>
          </cell>
          <cell r="H87">
            <v>0</v>
          </cell>
          <cell r="I87">
            <v>15</v>
          </cell>
          <cell r="K87">
            <v>0.34004400000000001</v>
          </cell>
          <cell r="L87">
            <v>3</v>
          </cell>
          <cell r="M87">
            <v>0</v>
          </cell>
          <cell r="N87">
            <v>15</v>
          </cell>
          <cell r="R87">
            <v>0</v>
          </cell>
          <cell r="S87">
            <v>0</v>
          </cell>
        </row>
        <row r="88">
          <cell r="A88">
            <v>88</v>
          </cell>
          <cell r="C88" t="str">
            <v>Aeronaut E-Prop</v>
          </cell>
          <cell r="D88">
            <v>10.5</v>
          </cell>
          <cell r="E88">
            <v>8</v>
          </cell>
          <cell r="F88">
            <v>0</v>
          </cell>
          <cell r="G88">
            <v>0</v>
          </cell>
          <cell r="H88">
            <v>0</v>
          </cell>
          <cell r="I88">
            <v>15</v>
          </cell>
          <cell r="K88">
            <v>0.38146999999999998</v>
          </cell>
          <cell r="L88">
            <v>3</v>
          </cell>
          <cell r="M88">
            <v>0</v>
          </cell>
          <cell r="N88">
            <v>15</v>
          </cell>
          <cell r="R88">
            <v>0</v>
          </cell>
          <cell r="S88">
            <v>0</v>
          </cell>
        </row>
        <row r="89">
          <cell r="A89">
            <v>89</v>
          </cell>
          <cell r="C89" t="str">
            <v>APC SF</v>
          </cell>
          <cell r="D89">
            <v>11</v>
          </cell>
          <cell r="E89">
            <v>3.8</v>
          </cell>
          <cell r="F89">
            <v>13.20801</v>
          </cell>
          <cell r="G89">
            <v>2.2458459999999998</v>
          </cell>
          <cell r="H89">
            <v>200</v>
          </cell>
          <cell r="I89">
            <v>20</v>
          </cell>
          <cell r="K89">
            <v>0.1822627</v>
          </cell>
          <cell r="L89">
            <v>3.4</v>
          </cell>
          <cell r="M89">
            <v>120</v>
          </cell>
          <cell r="N89">
            <v>18</v>
          </cell>
          <cell r="R89">
            <v>0</v>
          </cell>
          <cell r="S89">
            <v>0</v>
          </cell>
        </row>
        <row r="90">
          <cell r="A90">
            <v>90</v>
          </cell>
          <cell r="C90" t="str">
            <v>Graupner CAM</v>
          </cell>
          <cell r="D90">
            <v>11</v>
          </cell>
          <cell r="E90">
            <v>4</v>
          </cell>
          <cell r="F90">
            <v>13.767390000000001</v>
          </cell>
          <cell r="G90">
            <v>2.0125000000000002</v>
          </cell>
          <cell r="H90">
            <v>120</v>
          </cell>
          <cell r="I90">
            <v>18</v>
          </cell>
          <cell r="K90">
            <v>0.20442830000000001</v>
          </cell>
          <cell r="L90">
            <v>3.0366</v>
          </cell>
          <cell r="M90">
            <v>120</v>
          </cell>
          <cell r="N90">
            <v>18</v>
          </cell>
          <cell r="R90">
            <v>1</v>
          </cell>
          <cell r="S90">
            <v>42</v>
          </cell>
        </row>
        <row r="91">
          <cell r="A91">
            <v>91</v>
          </cell>
          <cell r="C91" t="str">
            <v>APC SF</v>
          </cell>
          <cell r="D91">
            <v>11</v>
          </cell>
          <cell r="E91">
            <v>4.7</v>
          </cell>
          <cell r="F91">
            <v>16.112549999999999</v>
          </cell>
          <cell r="G91">
            <v>2.2558379999999998</v>
          </cell>
          <cell r="H91">
            <v>200</v>
          </cell>
          <cell r="I91">
            <v>20</v>
          </cell>
          <cell r="K91">
            <v>0.3275941</v>
          </cell>
          <cell r="L91">
            <v>3.12</v>
          </cell>
          <cell r="M91">
            <v>0</v>
          </cell>
          <cell r="N91">
            <v>15</v>
          </cell>
          <cell r="R91">
            <v>0</v>
          </cell>
          <cell r="S91">
            <v>0</v>
          </cell>
        </row>
        <row r="92">
          <cell r="A92">
            <v>92</v>
          </cell>
          <cell r="C92" t="str">
            <v>GWS RS</v>
          </cell>
          <cell r="D92">
            <v>11</v>
          </cell>
          <cell r="E92">
            <v>4.7</v>
          </cell>
          <cell r="F92">
            <v>19.14273</v>
          </cell>
          <cell r="G92">
            <v>2.1635819999999999</v>
          </cell>
          <cell r="H92">
            <v>57</v>
          </cell>
          <cell r="I92">
            <v>14</v>
          </cell>
          <cell r="K92">
            <v>0.3721158</v>
          </cell>
          <cell r="L92">
            <v>3.1489421470000001</v>
          </cell>
          <cell r="M92">
            <v>57</v>
          </cell>
          <cell r="N92">
            <v>14</v>
          </cell>
          <cell r="R92">
            <v>0</v>
          </cell>
          <cell r="S92">
            <v>0</v>
          </cell>
        </row>
        <row r="93">
          <cell r="A93">
            <v>93</v>
          </cell>
          <cell r="C93" t="str">
            <v>APC E</v>
          </cell>
          <cell r="D93">
            <v>11</v>
          </cell>
          <cell r="E93">
            <v>5.5</v>
          </cell>
          <cell r="F93">
            <v>14.44764</v>
          </cell>
          <cell r="G93">
            <v>2.1429179999999999</v>
          </cell>
          <cell r="H93">
            <v>200</v>
          </cell>
          <cell r="I93">
            <v>20</v>
          </cell>
          <cell r="K93">
            <v>0.21437639999999999</v>
          </cell>
          <cell r="L93">
            <v>3.2272560000000001</v>
          </cell>
          <cell r="M93">
            <v>120</v>
          </cell>
          <cell r="N93">
            <v>18</v>
          </cell>
          <cell r="R93">
            <v>0</v>
          </cell>
          <cell r="S93">
            <v>0</v>
          </cell>
        </row>
        <row r="94">
          <cell r="A94">
            <v>94</v>
          </cell>
          <cell r="C94" t="str">
            <v>APC Sport</v>
          </cell>
          <cell r="D94">
            <v>11</v>
          </cell>
          <cell r="E94">
            <v>6</v>
          </cell>
          <cell r="F94">
            <v>23.45703</v>
          </cell>
          <cell r="G94">
            <v>1.9661999999999999</v>
          </cell>
          <cell r="H94">
            <v>0</v>
          </cell>
          <cell r="I94">
            <v>15</v>
          </cell>
          <cell r="K94">
            <v>0.38707209999999997</v>
          </cell>
          <cell r="L94">
            <v>3.00993456</v>
          </cell>
          <cell r="M94">
            <v>155</v>
          </cell>
          <cell r="N94">
            <v>20</v>
          </cell>
          <cell r="R94">
            <v>0</v>
          </cell>
          <cell r="S94">
            <v>0</v>
          </cell>
        </row>
        <row r="95">
          <cell r="A95">
            <v>95</v>
          </cell>
          <cell r="C95" t="str">
            <v>AeroCarbon</v>
          </cell>
          <cell r="D95">
            <v>11</v>
          </cell>
          <cell r="E95">
            <v>6.5</v>
          </cell>
          <cell r="F95">
            <v>17.1309</v>
          </cell>
          <cell r="G95">
            <v>2</v>
          </cell>
          <cell r="H95">
            <v>60</v>
          </cell>
          <cell r="I95">
            <v>22</v>
          </cell>
          <cell r="K95">
            <v>0.40940349999999998</v>
          </cell>
          <cell r="L95">
            <v>3</v>
          </cell>
          <cell r="M95">
            <v>0</v>
          </cell>
          <cell r="N95">
            <v>15</v>
          </cell>
          <cell r="R95">
            <v>1</v>
          </cell>
          <cell r="S95">
            <v>42</v>
          </cell>
        </row>
        <row r="96">
          <cell r="A96">
            <v>96</v>
          </cell>
          <cell r="C96" t="str">
            <v>AeroCAM</v>
          </cell>
          <cell r="D96">
            <v>11</v>
          </cell>
          <cell r="E96">
            <v>7</v>
          </cell>
          <cell r="F96">
            <v>14.84416</v>
          </cell>
          <cell r="G96">
            <v>2.1604860000000001</v>
          </cell>
          <cell r="H96">
            <v>0</v>
          </cell>
          <cell r="I96">
            <v>15</v>
          </cell>
          <cell r="K96">
            <v>0.38146970000000002</v>
          </cell>
          <cell r="L96">
            <v>3</v>
          </cell>
          <cell r="M96">
            <v>0</v>
          </cell>
          <cell r="N96">
            <v>15</v>
          </cell>
          <cell r="R96">
            <v>1</v>
          </cell>
          <cell r="S96">
            <v>42</v>
          </cell>
        </row>
        <row r="97">
          <cell r="A97">
            <v>97</v>
          </cell>
          <cell r="C97" t="str">
            <v>APC E</v>
          </cell>
          <cell r="D97">
            <v>11</v>
          </cell>
          <cell r="E97">
            <v>7</v>
          </cell>
          <cell r="F97">
            <v>15.434340000000001</v>
          </cell>
          <cell r="G97">
            <v>2.1820279999999999</v>
          </cell>
          <cell r="H97">
            <v>200</v>
          </cell>
          <cell r="I97">
            <v>20</v>
          </cell>
          <cell r="K97">
            <v>0.42778650000000001</v>
          </cell>
          <cell r="L97">
            <v>3.0197949999999998</v>
          </cell>
          <cell r="M97">
            <v>120</v>
          </cell>
          <cell r="N97">
            <v>18</v>
          </cell>
          <cell r="R97">
            <v>0</v>
          </cell>
          <cell r="S97">
            <v>0</v>
          </cell>
        </row>
        <row r="98">
          <cell r="A98">
            <v>98</v>
          </cell>
          <cell r="C98" t="str">
            <v>APC SF</v>
          </cell>
          <cell r="D98">
            <v>11</v>
          </cell>
          <cell r="E98">
            <v>7</v>
          </cell>
          <cell r="F98">
            <v>0</v>
          </cell>
          <cell r="G98">
            <v>0</v>
          </cell>
          <cell r="H98">
            <v>0</v>
          </cell>
          <cell r="I98">
            <v>15</v>
          </cell>
          <cell r="K98">
            <v>0.3978082</v>
          </cell>
          <cell r="L98">
            <v>3.4</v>
          </cell>
          <cell r="M98">
            <v>120</v>
          </cell>
          <cell r="N98">
            <v>18</v>
          </cell>
          <cell r="R98">
            <v>0</v>
          </cell>
          <cell r="S98">
            <v>0</v>
          </cell>
        </row>
        <row r="99">
          <cell r="A99">
            <v>99</v>
          </cell>
          <cell r="C99" t="str">
            <v>APC Sport</v>
          </cell>
          <cell r="D99">
            <v>11</v>
          </cell>
          <cell r="E99">
            <v>7</v>
          </cell>
          <cell r="F99">
            <v>0</v>
          </cell>
          <cell r="G99">
            <v>0</v>
          </cell>
          <cell r="H99">
            <v>0</v>
          </cell>
          <cell r="I99">
            <v>15</v>
          </cell>
          <cell r="K99">
            <v>0.53219329999999998</v>
          </cell>
          <cell r="L99">
            <v>3.0008986110000002</v>
          </cell>
          <cell r="M99">
            <v>155</v>
          </cell>
          <cell r="N99">
            <v>20</v>
          </cell>
          <cell r="R99">
            <v>0</v>
          </cell>
          <cell r="S99">
            <v>0</v>
          </cell>
        </row>
        <row r="100">
          <cell r="A100">
            <v>100</v>
          </cell>
          <cell r="C100" t="str">
            <v>AeroCAM</v>
          </cell>
          <cell r="D100">
            <v>11</v>
          </cell>
          <cell r="E100">
            <v>8</v>
          </cell>
          <cell r="F100">
            <v>14.991110000000001</v>
          </cell>
          <cell r="G100">
            <v>2.156094</v>
          </cell>
          <cell r="H100">
            <v>0</v>
          </cell>
          <cell r="I100">
            <v>15</v>
          </cell>
          <cell r="K100">
            <v>0.42990709999999999</v>
          </cell>
          <cell r="L100">
            <v>3</v>
          </cell>
          <cell r="M100">
            <v>55</v>
          </cell>
          <cell r="N100">
            <v>24</v>
          </cell>
          <cell r="R100">
            <v>1</v>
          </cell>
          <cell r="S100">
            <v>42</v>
          </cell>
        </row>
        <row r="101">
          <cell r="A101">
            <v>101</v>
          </cell>
          <cell r="C101" t="str">
            <v>APC E</v>
          </cell>
          <cell r="D101">
            <v>11</v>
          </cell>
          <cell r="E101">
            <v>8</v>
          </cell>
          <cell r="F101">
            <v>27.612359999999999</v>
          </cell>
          <cell r="G101">
            <v>1.9238789999999999</v>
          </cell>
          <cell r="H101">
            <v>0</v>
          </cell>
          <cell r="I101">
            <v>15</v>
          </cell>
          <cell r="K101">
            <v>0.34908299999999998</v>
          </cell>
          <cell r="L101">
            <v>3.237492</v>
          </cell>
          <cell r="M101">
            <v>120</v>
          </cell>
          <cell r="N101">
            <v>18</v>
          </cell>
          <cell r="R101">
            <v>0</v>
          </cell>
          <cell r="S101">
            <v>0</v>
          </cell>
        </row>
        <row r="102">
          <cell r="A102">
            <v>102</v>
          </cell>
          <cell r="C102" t="str">
            <v>APC Sport</v>
          </cell>
          <cell r="D102">
            <v>11</v>
          </cell>
          <cell r="E102">
            <v>8</v>
          </cell>
          <cell r="F102">
            <v>0</v>
          </cell>
          <cell r="G102">
            <v>0</v>
          </cell>
          <cell r="H102">
            <v>0</v>
          </cell>
          <cell r="I102">
            <v>15</v>
          </cell>
          <cell r="K102">
            <v>0.50108569999999997</v>
          </cell>
          <cell r="L102">
            <v>3.0601669999999999</v>
          </cell>
          <cell r="M102">
            <v>155</v>
          </cell>
          <cell r="N102">
            <v>20</v>
          </cell>
          <cell r="R102">
            <v>0</v>
          </cell>
          <cell r="S102">
            <v>0</v>
          </cell>
        </row>
        <row r="103">
          <cell r="A103">
            <v>103</v>
          </cell>
          <cell r="C103" t="str">
            <v>APC E</v>
          </cell>
          <cell r="D103">
            <v>11</v>
          </cell>
          <cell r="E103">
            <v>8.5</v>
          </cell>
          <cell r="F103">
            <v>15.70833</v>
          </cell>
          <cell r="G103">
            <v>2.181162</v>
          </cell>
          <cell r="H103">
            <v>200</v>
          </cell>
          <cell r="I103">
            <v>20</v>
          </cell>
          <cell r="K103">
            <v>0.23992949999999999</v>
          </cell>
          <cell r="L103">
            <v>3.3911730000000002</v>
          </cell>
          <cell r="M103">
            <v>120</v>
          </cell>
          <cell r="N103">
            <v>18</v>
          </cell>
          <cell r="R103">
            <v>0</v>
          </cell>
          <cell r="S103">
            <v>0</v>
          </cell>
        </row>
        <row r="104">
          <cell r="A104">
            <v>104</v>
          </cell>
          <cell r="C104" t="str">
            <v>APC E</v>
          </cell>
          <cell r="D104">
            <v>11</v>
          </cell>
          <cell r="E104">
            <v>10</v>
          </cell>
          <cell r="F104">
            <v>0</v>
          </cell>
          <cell r="G104">
            <v>0</v>
          </cell>
          <cell r="H104">
            <v>0</v>
          </cell>
          <cell r="I104">
            <v>15</v>
          </cell>
          <cell r="K104">
            <v>0.712144</v>
          </cell>
          <cell r="L104">
            <v>3</v>
          </cell>
          <cell r="M104">
            <v>120</v>
          </cell>
          <cell r="N104">
            <v>18</v>
          </cell>
          <cell r="R104">
            <v>0</v>
          </cell>
          <cell r="S104">
            <v>0</v>
          </cell>
        </row>
        <row r="105">
          <cell r="A105">
            <v>105</v>
          </cell>
          <cell r="C105" t="str">
            <v>APC Sport</v>
          </cell>
          <cell r="D105">
            <v>11</v>
          </cell>
          <cell r="E105">
            <v>11</v>
          </cell>
          <cell r="F105">
            <v>0</v>
          </cell>
          <cell r="G105">
            <v>0</v>
          </cell>
          <cell r="H105">
            <v>0</v>
          </cell>
          <cell r="I105">
            <v>15</v>
          </cell>
          <cell r="K105">
            <v>0.84615099999999999</v>
          </cell>
          <cell r="L105">
            <v>3</v>
          </cell>
          <cell r="M105">
            <v>155</v>
          </cell>
          <cell r="N105">
            <v>20</v>
          </cell>
          <cell r="R105">
            <v>0</v>
          </cell>
          <cell r="S105">
            <v>0</v>
          </cell>
        </row>
        <row r="106">
          <cell r="A106">
            <v>106</v>
          </cell>
          <cell r="C106" t="str">
            <v>AeroCarbon</v>
          </cell>
          <cell r="D106">
            <v>11.5</v>
          </cell>
          <cell r="E106">
            <v>7</v>
          </cell>
          <cell r="F106">
            <v>20.873100000000001</v>
          </cell>
          <cell r="G106">
            <v>2</v>
          </cell>
          <cell r="H106">
            <v>60</v>
          </cell>
          <cell r="I106">
            <v>22</v>
          </cell>
          <cell r="K106">
            <v>0.42228559999999998</v>
          </cell>
          <cell r="L106">
            <v>3.08</v>
          </cell>
          <cell r="M106">
            <v>0</v>
          </cell>
          <cell r="N106">
            <v>15</v>
          </cell>
          <cell r="R106">
            <v>1</v>
          </cell>
          <cell r="S106">
            <v>42</v>
          </cell>
        </row>
        <row r="107">
          <cell r="A107">
            <v>107</v>
          </cell>
          <cell r="C107" t="str">
            <v>APC SF</v>
          </cell>
          <cell r="D107">
            <v>12</v>
          </cell>
          <cell r="E107">
            <v>3.8</v>
          </cell>
          <cell r="F107">
            <v>14.441850000000001</v>
          </cell>
          <cell r="G107">
            <v>2.4699622109999999</v>
          </cell>
          <cell r="H107">
            <v>200</v>
          </cell>
          <cell r="I107">
            <v>20</v>
          </cell>
          <cell r="K107">
            <v>0.23029939999999999</v>
          </cell>
          <cell r="L107">
            <v>3.6</v>
          </cell>
          <cell r="M107">
            <v>120</v>
          </cell>
          <cell r="N107">
            <v>18</v>
          </cell>
          <cell r="R107">
            <v>0</v>
          </cell>
          <cell r="S107">
            <v>0</v>
          </cell>
        </row>
        <row r="108">
          <cell r="A108">
            <v>108</v>
          </cell>
          <cell r="C108" t="str">
            <v>Graupner CAM</v>
          </cell>
          <cell r="D108">
            <v>12</v>
          </cell>
          <cell r="E108">
            <v>4</v>
          </cell>
          <cell r="F108">
            <v>10.700950000000001</v>
          </cell>
          <cell r="G108">
            <v>2.1695000000000002</v>
          </cell>
          <cell r="H108">
            <v>120</v>
          </cell>
          <cell r="I108">
            <v>18</v>
          </cell>
          <cell r="K108">
            <v>0.53896920000000004</v>
          </cell>
          <cell r="L108">
            <v>3</v>
          </cell>
          <cell r="M108">
            <v>120</v>
          </cell>
          <cell r="N108">
            <v>18</v>
          </cell>
          <cell r="R108">
            <v>1</v>
          </cell>
          <cell r="S108">
            <v>42</v>
          </cell>
        </row>
        <row r="109">
          <cell r="A109">
            <v>109</v>
          </cell>
          <cell r="C109" t="str">
            <v>APC SF</v>
          </cell>
          <cell r="D109">
            <v>12</v>
          </cell>
          <cell r="E109">
            <v>6</v>
          </cell>
          <cell r="F109">
            <v>25.69997</v>
          </cell>
          <cell r="G109">
            <v>2.36</v>
          </cell>
          <cell r="H109">
            <v>200</v>
          </cell>
          <cell r="I109">
            <v>20</v>
          </cell>
          <cell r="K109">
            <v>0.62899989999999995</v>
          </cell>
          <cell r="L109">
            <v>3.3</v>
          </cell>
          <cell r="M109">
            <v>120</v>
          </cell>
          <cell r="N109">
            <v>18</v>
          </cell>
          <cell r="R109">
            <v>0</v>
          </cell>
          <cell r="S109">
            <v>0</v>
          </cell>
        </row>
        <row r="110">
          <cell r="A110">
            <v>110</v>
          </cell>
          <cell r="C110" t="str">
            <v>APC Sport</v>
          </cell>
          <cell r="D110">
            <v>12</v>
          </cell>
          <cell r="E110">
            <v>6</v>
          </cell>
          <cell r="F110">
            <v>47.19023</v>
          </cell>
          <cell r="G110">
            <v>1.7661</v>
          </cell>
          <cell r="H110">
            <v>0</v>
          </cell>
          <cell r="I110">
            <v>15</v>
          </cell>
          <cell r="K110">
            <v>0.98874419999999996</v>
          </cell>
          <cell r="L110">
            <v>2.7161458789999999</v>
          </cell>
          <cell r="M110">
            <v>155</v>
          </cell>
          <cell r="N110">
            <v>20</v>
          </cell>
          <cell r="R110">
            <v>0</v>
          </cell>
          <cell r="S110">
            <v>0</v>
          </cell>
        </row>
        <row r="111">
          <cell r="A111">
            <v>111</v>
          </cell>
          <cell r="C111" t="str">
            <v>GWS RS</v>
          </cell>
          <cell r="D111">
            <v>12</v>
          </cell>
          <cell r="E111">
            <v>6</v>
          </cell>
          <cell r="F111">
            <v>38.346040000000002</v>
          </cell>
          <cell r="G111">
            <v>2.0139939999999998</v>
          </cell>
          <cell r="H111">
            <v>200</v>
          </cell>
          <cell r="I111">
            <v>20</v>
          </cell>
          <cell r="K111">
            <v>0.77706600000000003</v>
          </cell>
          <cell r="L111">
            <v>2.97</v>
          </cell>
          <cell r="M111">
            <v>0</v>
          </cell>
          <cell r="N111">
            <v>15</v>
          </cell>
          <cell r="R111">
            <v>0</v>
          </cell>
          <cell r="S111">
            <v>0</v>
          </cell>
        </row>
        <row r="112">
          <cell r="A112">
            <v>112</v>
          </cell>
          <cell r="C112" t="str">
            <v>AeroCAM</v>
          </cell>
          <cell r="D112">
            <v>12</v>
          </cell>
          <cell r="E112">
            <v>6.5</v>
          </cell>
          <cell r="F112">
            <v>24.45027</v>
          </cell>
          <cell r="G112">
            <v>2.0356860000000001</v>
          </cell>
          <cell r="H112">
            <v>0</v>
          </cell>
          <cell r="I112">
            <v>15</v>
          </cell>
          <cell r="K112">
            <v>0.40143200000000001</v>
          </cell>
          <cell r="L112">
            <v>3.08</v>
          </cell>
          <cell r="M112">
            <v>0</v>
          </cell>
          <cell r="N112">
            <v>15</v>
          </cell>
          <cell r="R112">
            <v>1</v>
          </cell>
          <cell r="S112">
            <v>42</v>
          </cell>
        </row>
        <row r="113">
          <cell r="A113">
            <v>113</v>
          </cell>
          <cell r="C113" t="str">
            <v>AeroCarbon</v>
          </cell>
          <cell r="D113">
            <v>12</v>
          </cell>
          <cell r="E113">
            <v>7</v>
          </cell>
          <cell r="F113">
            <v>24.054600000000001</v>
          </cell>
          <cell r="G113">
            <v>2</v>
          </cell>
          <cell r="H113">
            <v>60</v>
          </cell>
          <cell r="I113">
            <v>22</v>
          </cell>
          <cell r="K113">
            <v>0.3910052</v>
          </cell>
          <cell r="L113">
            <v>3.08</v>
          </cell>
          <cell r="M113">
            <v>0</v>
          </cell>
          <cell r="N113">
            <v>15</v>
          </cell>
          <cell r="R113">
            <v>1</v>
          </cell>
          <cell r="S113">
            <v>42</v>
          </cell>
        </row>
        <row r="114">
          <cell r="A114">
            <v>114</v>
          </cell>
          <cell r="C114" t="str">
            <v>APC Sport</v>
          </cell>
          <cell r="D114">
            <v>12</v>
          </cell>
          <cell r="E114">
            <v>7</v>
          </cell>
          <cell r="F114">
            <v>0</v>
          </cell>
          <cell r="G114">
            <v>0</v>
          </cell>
          <cell r="H114">
            <v>0</v>
          </cell>
          <cell r="I114">
            <v>15</v>
          </cell>
          <cell r="K114">
            <v>0.61677760000000004</v>
          </cell>
          <cell r="L114">
            <v>3.001982892</v>
          </cell>
          <cell r="M114">
            <v>155</v>
          </cell>
          <cell r="N114">
            <v>20</v>
          </cell>
          <cell r="R114">
            <v>0</v>
          </cell>
          <cell r="S114">
            <v>0</v>
          </cell>
        </row>
        <row r="115">
          <cell r="A115">
            <v>115</v>
          </cell>
          <cell r="C115" t="str">
            <v>Graupner CAM</v>
          </cell>
          <cell r="D115">
            <v>12</v>
          </cell>
          <cell r="E115">
            <v>7</v>
          </cell>
          <cell r="F115">
            <v>14.222849999999999</v>
          </cell>
          <cell r="G115">
            <v>2.1659999999999999</v>
          </cell>
          <cell r="H115">
            <v>120</v>
          </cell>
          <cell r="I115">
            <v>18</v>
          </cell>
          <cell r="K115">
            <v>0.32616119999999998</v>
          </cell>
          <cell r="L115">
            <v>3.0615999999999999</v>
          </cell>
          <cell r="M115">
            <v>120</v>
          </cell>
          <cell r="N115">
            <v>18</v>
          </cell>
          <cell r="R115">
            <v>1</v>
          </cell>
          <cell r="S115">
            <v>42</v>
          </cell>
        </row>
        <row r="116">
          <cell r="A116">
            <v>116</v>
          </cell>
          <cell r="C116" t="str">
            <v>AeroCAM</v>
          </cell>
          <cell r="D116">
            <v>12</v>
          </cell>
          <cell r="E116">
            <v>8</v>
          </cell>
          <cell r="F116">
            <v>24.097470000000001</v>
          </cell>
          <cell r="G116">
            <v>2.126563</v>
          </cell>
          <cell r="H116">
            <v>0</v>
          </cell>
          <cell r="I116">
            <v>15</v>
          </cell>
          <cell r="K116">
            <v>0.67169540000000005</v>
          </cell>
          <cell r="L116">
            <v>3</v>
          </cell>
          <cell r="M116">
            <v>0</v>
          </cell>
          <cell r="N116">
            <v>15</v>
          </cell>
          <cell r="R116">
            <v>1</v>
          </cell>
          <cell r="S116">
            <v>42</v>
          </cell>
        </row>
        <row r="117">
          <cell r="A117">
            <v>117</v>
          </cell>
          <cell r="C117" t="str">
            <v>APC E</v>
          </cell>
          <cell r="D117">
            <v>12</v>
          </cell>
          <cell r="E117">
            <v>8</v>
          </cell>
          <cell r="F117">
            <v>27.848870000000002</v>
          </cell>
          <cell r="G117">
            <v>2.0617220000000001</v>
          </cell>
          <cell r="H117">
            <v>200</v>
          </cell>
          <cell r="I117">
            <v>20</v>
          </cell>
          <cell r="K117">
            <v>0.38632529999999998</v>
          </cell>
          <cell r="L117">
            <v>3.2685819999999999</v>
          </cell>
          <cell r="M117">
            <v>120</v>
          </cell>
          <cell r="N117">
            <v>18</v>
          </cell>
          <cell r="R117">
            <v>0</v>
          </cell>
          <cell r="S117">
            <v>0</v>
          </cell>
        </row>
        <row r="118">
          <cell r="A118">
            <v>118</v>
          </cell>
          <cell r="C118" t="str">
            <v>APC Sport</v>
          </cell>
          <cell r="D118">
            <v>12</v>
          </cell>
          <cell r="E118">
            <v>8</v>
          </cell>
          <cell r="F118">
            <v>0</v>
          </cell>
          <cell r="G118">
            <v>0</v>
          </cell>
          <cell r="H118">
            <v>0</v>
          </cell>
          <cell r="I118">
            <v>15</v>
          </cell>
          <cell r="K118">
            <v>0.81208360000000002</v>
          </cell>
          <cell r="L118">
            <v>3</v>
          </cell>
          <cell r="M118">
            <v>155</v>
          </cell>
          <cell r="N118">
            <v>20</v>
          </cell>
          <cell r="R118">
            <v>0</v>
          </cell>
          <cell r="S118">
            <v>0</v>
          </cell>
        </row>
        <row r="119">
          <cell r="A119">
            <v>119</v>
          </cell>
          <cell r="C119" t="str">
            <v>AeroCAM</v>
          </cell>
          <cell r="D119">
            <v>12</v>
          </cell>
          <cell r="E119">
            <v>9</v>
          </cell>
          <cell r="F119">
            <v>21.243870000000001</v>
          </cell>
          <cell r="G119">
            <v>2.2227679999999999</v>
          </cell>
          <cell r="H119">
            <v>0</v>
          </cell>
          <cell r="I119">
            <v>15</v>
          </cell>
          <cell r="K119">
            <v>0.68295570000000005</v>
          </cell>
          <cell r="L119">
            <v>3.08</v>
          </cell>
          <cell r="M119">
            <v>0</v>
          </cell>
          <cell r="N119">
            <v>15</v>
          </cell>
          <cell r="R119">
            <v>1</v>
          </cell>
          <cell r="S119">
            <v>42</v>
          </cell>
        </row>
        <row r="120">
          <cell r="A120">
            <v>120</v>
          </cell>
          <cell r="C120" t="str">
            <v>APC Sport</v>
          </cell>
          <cell r="D120">
            <v>12</v>
          </cell>
          <cell r="E120">
            <v>9</v>
          </cell>
          <cell r="F120">
            <v>0</v>
          </cell>
          <cell r="G120">
            <v>0</v>
          </cell>
          <cell r="H120">
            <v>0</v>
          </cell>
          <cell r="I120">
            <v>15</v>
          </cell>
          <cell r="K120">
            <v>0.72424259999999996</v>
          </cell>
          <cell r="L120">
            <v>3.0050538520000001</v>
          </cell>
          <cell r="M120">
            <v>155</v>
          </cell>
          <cell r="N120">
            <v>20</v>
          </cell>
          <cell r="R120">
            <v>0</v>
          </cell>
          <cell r="S120">
            <v>0</v>
          </cell>
        </row>
        <row r="121">
          <cell r="A121">
            <v>121</v>
          </cell>
          <cell r="C121" t="str">
            <v>APC E</v>
          </cell>
          <cell r="D121">
            <v>12</v>
          </cell>
          <cell r="E121">
            <v>10</v>
          </cell>
          <cell r="F121">
            <v>22.889140000000001</v>
          </cell>
          <cell r="G121">
            <v>2.1061000000000001</v>
          </cell>
          <cell r="H121">
            <v>0</v>
          </cell>
          <cell r="I121">
            <v>15</v>
          </cell>
          <cell r="K121">
            <v>0.8036411</v>
          </cell>
          <cell r="L121">
            <v>3</v>
          </cell>
          <cell r="M121">
            <v>120</v>
          </cell>
          <cell r="N121">
            <v>18</v>
          </cell>
          <cell r="R121">
            <v>0</v>
          </cell>
          <cell r="S121">
            <v>0</v>
          </cell>
        </row>
        <row r="122">
          <cell r="A122">
            <v>122</v>
          </cell>
          <cell r="C122" t="str">
            <v>APC Sport</v>
          </cell>
          <cell r="D122">
            <v>12</v>
          </cell>
          <cell r="E122">
            <v>10</v>
          </cell>
          <cell r="F122">
            <v>0</v>
          </cell>
          <cell r="G122">
            <v>0</v>
          </cell>
          <cell r="H122">
            <v>0</v>
          </cell>
          <cell r="I122">
            <v>15</v>
          </cell>
          <cell r="K122">
            <v>0.95800719999999995</v>
          </cell>
          <cell r="L122">
            <v>3.006269697</v>
          </cell>
          <cell r="M122">
            <v>155</v>
          </cell>
          <cell r="N122">
            <v>20</v>
          </cell>
          <cell r="R122">
            <v>0</v>
          </cell>
          <cell r="S122">
            <v>0</v>
          </cell>
        </row>
        <row r="123">
          <cell r="A123">
            <v>123</v>
          </cell>
          <cell r="C123" t="str">
            <v>APC E</v>
          </cell>
          <cell r="D123">
            <v>12</v>
          </cell>
          <cell r="E123">
            <v>12</v>
          </cell>
          <cell r="F123">
            <v>0</v>
          </cell>
          <cell r="G123">
            <v>0</v>
          </cell>
          <cell r="H123">
            <v>0</v>
          </cell>
          <cell r="I123">
            <v>15</v>
          </cell>
          <cell r="K123">
            <v>1.528</v>
          </cell>
          <cell r="L123">
            <v>2.9</v>
          </cell>
          <cell r="M123">
            <v>120</v>
          </cell>
          <cell r="N123">
            <v>18</v>
          </cell>
          <cell r="R123">
            <v>0</v>
          </cell>
          <cell r="S123">
            <v>0</v>
          </cell>
        </row>
        <row r="124">
          <cell r="A124">
            <v>124</v>
          </cell>
          <cell r="C124" t="str">
            <v>Graupner CAM</v>
          </cell>
          <cell r="D124">
            <v>12.5</v>
          </cell>
          <cell r="E124">
            <v>4</v>
          </cell>
          <cell r="F124">
            <v>13.67676</v>
          </cell>
          <cell r="G124">
            <v>2.1623999999999999</v>
          </cell>
          <cell r="H124">
            <v>120</v>
          </cell>
          <cell r="I124">
            <v>18</v>
          </cell>
          <cell r="K124">
            <v>0.22357949999999999</v>
          </cell>
          <cell r="L124">
            <v>3.091437</v>
          </cell>
          <cell r="M124">
            <v>120</v>
          </cell>
          <cell r="N124">
            <v>18</v>
          </cell>
          <cell r="R124">
            <v>1</v>
          </cell>
          <cell r="S124">
            <v>42</v>
          </cell>
        </row>
        <row r="125">
          <cell r="A125">
            <v>125</v>
          </cell>
          <cell r="C125" t="str">
            <v>AeroCarbon</v>
          </cell>
          <cell r="D125">
            <v>12.5</v>
          </cell>
          <cell r="E125">
            <v>6.5</v>
          </cell>
          <cell r="F125">
            <v>26.232399999999998</v>
          </cell>
          <cell r="G125">
            <v>2</v>
          </cell>
          <cell r="H125">
            <v>60</v>
          </cell>
          <cell r="I125">
            <v>22</v>
          </cell>
          <cell r="K125">
            <v>0.4831086</v>
          </cell>
          <cell r="L125">
            <v>3.08</v>
          </cell>
          <cell r="M125">
            <v>0</v>
          </cell>
          <cell r="N125">
            <v>15</v>
          </cell>
          <cell r="R125">
            <v>1</v>
          </cell>
          <cell r="S125">
            <v>42</v>
          </cell>
        </row>
        <row r="126">
          <cell r="A126">
            <v>126</v>
          </cell>
          <cell r="C126" t="str">
            <v>AeroCAM</v>
          </cell>
          <cell r="D126">
            <v>12.5</v>
          </cell>
          <cell r="E126">
            <v>7.5</v>
          </cell>
          <cell r="F126">
            <v>27.718810000000001</v>
          </cell>
          <cell r="G126">
            <v>2.133343</v>
          </cell>
          <cell r="H126">
            <v>57</v>
          </cell>
          <cell r="I126">
            <v>14</v>
          </cell>
          <cell r="K126">
            <v>0.71119710000000003</v>
          </cell>
          <cell r="L126">
            <v>3</v>
          </cell>
          <cell r="M126">
            <v>57</v>
          </cell>
          <cell r="N126">
            <v>14</v>
          </cell>
          <cell r="R126">
            <v>1</v>
          </cell>
          <cell r="S126">
            <v>42</v>
          </cell>
        </row>
        <row r="127">
          <cell r="A127">
            <v>127</v>
          </cell>
          <cell r="C127" t="str">
            <v>AeroCarbon</v>
          </cell>
          <cell r="D127">
            <v>12.5</v>
          </cell>
          <cell r="E127">
            <v>10</v>
          </cell>
          <cell r="F127">
            <v>34.959200000000003</v>
          </cell>
          <cell r="G127">
            <v>2</v>
          </cell>
          <cell r="H127">
            <v>0</v>
          </cell>
          <cell r="I127">
            <v>15</v>
          </cell>
          <cell r="K127">
            <v>0.5248159</v>
          </cell>
          <cell r="L127">
            <v>3.08</v>
          </cell>
          <cell r="M127">
            <v>0</v>
          </cell>
          <cell r="N127">
            <v>15</v>
          </cell>
          <cell r="R127">
            <v>1</v>
          </cell>
          <cell r="S127">
            <v>42</v>
          </cell>
        </row>
        <row r="128">
          <cell r="A128">
            <v>128</v>
          </cell>
          <cell r="C128" t="str">
            <v>APC E</v>
          </cell>
          <cell r="D128">
            <v>13</v>
          </cell>
          <cell r="E128">
            <v>4</v>
          </cell>
          <cell r="F128">
            <v>17.26154</v>
          </cell>
          <cell r="G128">
            <v>2.2646480000000002</v>
          </cell>
          <cell r="H128">
            <v>0</v>
          </cell>
          <cell r="I128">
            <v>15</v>
          </cell>
          <cell r="K128">
            <v>0.25555600000000001</v>
          </cell>
          <cell r="L128">
            <v>3.2712500000000002</v>
          </cell>
          <cell r="M128">
            <v>120</v>
          </cell>
          <cell r="N128">
            <v>18</v>
          </cell>
          <cell r="R128">
            <v>0</v>
          </cell>
          <cell r="S128">
            <v>0</v>
          </cell>
        </row>
        <row r="129">
          <cell r="A129">
            <v>129</v>
          </cell>
          <cell r="C129" t="str">
            <v>APC Sport</v>
          </cell>
          <cell r="D129">
            <v>13</v>
          </cell>
          <cell r="E129">
            <v>6</v>
          </cell>
          <cell r="F129">
            <v>0</v>
          </cell>
          <cell r="G129">
            <v>0</v>
          </cell>
          <cell r="H129">
            <v>0</v>
          </cell>
          <cell r="I129">
            <v>15</v>
          </cell>
          <cell r="K129">
            <v>0.66108840000000002</v>
          </cell>
          <cell r="L129">
            <v>2.9994935960000002</v>
          </cell>
          <cell r="M129">
            <v>155</v>
          </cell>
          <cell r="N129">
            <v>20</v>
          </cell>
          <cell r="R129">
            <v>0</v>
          </cell>
          <cell r="S129">
            <v>0</v>
          </cell>
        </row>
        <row r="130">
          <cell r="A130">
            <v>130</v>
          </cell>
          <cell r="C130" t="str">
            <v>AeroCarbon</v>
          </cell>
          <cell r="D130">
            <v>13</v>
          </cell>
          <cell r="E130">
            <v>6.5</v>
          </cell>
          <cell r="F130">
            <v>26.081140000000001</v>
          </cell>
          <cell r="G130">
            <v>2.1855720000000001</v>
          </cell>
          <cell r="H130">
            <v>60</v>
          </cell>
          <cell r="I130">
            <v>22</v>
          </cell>
          <cell r="K130">
            <v>0.51173170000000001</v>
          </cell>
          <cell r="L130">
            <v>3</v>
          </cell>
          <cell r="M130">
            <v>0</v>
          </cell>
          <cell r="N130">
            <v>15</v>
          </cell>
          <cell r="R130">
            <v>1</v>
          </cell>
          <cell r="S130">
            <v>42</v>
          </cell>
        </row>
        <row r="131">
          <cell r="A131">
            <v>131</v>
          </cell>
          <cell r="C131" t="str">
            <v>APC E</v>
          </cell>
          <cell r="D131">
            <v>13</v>
          </cell>
          <cell r="E131">
            <v>6.5</v>
          </cell>
          <cell r="F131">
            <v>21.781469999999999</v>
          </cell>
          <cell r="G131">
            <v>2.2931159999999999</v>
          </cell>
          <cell r="H131">
            <v>200</v>
          </cell>
          <cell r="I131">
            <v>20</v>
          </cell>
          <cell r="K131">
            <v>0.46624019999999999</v>
          </cell>
          <cell r="L131">
            <v>3.2602129999999998</v>
          </cell>
          <cell r="M131">
            <v>120</v>
          </cell>
          <cell r="N131">
            <v>18</v>
          </cell>
          <cell r="R131">
            <v>0</v>
          </cell>
          <cell r="S131">
            <v>0</v>
          </cell>
        </row>
        <row r="132">
          <cell r="A132">
            <v>132</v>
          </cell>
          <cell r="C132" t="str">
            <v>APC Sport</v>
          </cell>
          <cell r="D132">
            <v>13</v>
          </cell>
          <cell r="E132">
            <v>7</v>
          </cell>
          <cell r="F132">
            <v>37.276490000000003</v>
          </cell>
          <cell r="G132">
            <v>2.0146000000000002</v>
          </cell>
          <cell r="H132">
            <v>0</v>
          </cell>
          <cell r="I132">
            <v>15</v>
          </cell>
          <cell r="K132">
            <v>0.77417029999999998</v>
          </cell>
          <cell r="L132">
            <v>3</v>
          </cell>
          <cell r="M132">
            <v>155</v>
          </cell>
          <cell r="N132">
            <v>20</v>
          </cell>
          <cell r="R132">
            <v>0</v>
          </cell>
          <cell r="S132">
            <v>0</v>
          </cell>
        </row>
        <row r="133">
          <cell r="A133">
            <v>133</v>
          </cell>
          <cell r="C133" t="str">
            <v>Graupner CAM</v>
          </cell>
          <cell r="D133">
            <v>13</v>
          </cell>
          <cell r="E133">
            <v>7</v>
          </cell>
          <cell r="F133">
            <v>25.001609999999999</v>
          </cell>
          <cell r="G133">
            <v>2.0964</v>
          </cell>
          <cell r="H133">
            <v>120</v>
          </cell>
          <cell r="I133">
            <v>18</v>
          </cell>
          <cell r="K133">
            <v>0.59300019999999998</v>
          </cell>
          <cell r="L133">
            <v>3.08</v>
          </cell>
          <cell r="M133">
            <v>120</v>
          </cell>
          <cell r="N133">
            <v>18</v>
          </cell>
          <cell r="R133">
            <v>1</v>
          </cell>
          <cell r="S133">
            <v>42</v>
          </cell>
        </row>
        <row r="134">
          <cell r="A134">
            <v>134</v>
          </cell>
          <cell r="C134" t="str">
            <v>AeroCAM</v>
          </cell>
          <cell r="D134">
            <v>13</v>
          </cell>
          <cell r="E134">
            <v>8</v>
          </cell>
          <cell r="F134">
            <v>34.763559999999998</v>
          </cell>
          <cell r="G134">
            <v>2.0092970000000001</v>
          </cell>
          <cell r="H134">
            <v>0</v>
          </cell>
          <cell r="I134">
            <v>15</v>
          </cell>
          <cell r="K134">
            <v>0.6412485</v>
          </cell>
          <cell r="L134">
            <v>3.08</v>
          </cell>
          <cell r="M134">
            <v>0</v>
          </cell>
          <cell r="N134">
            <v>15</v>
          </cell>
          <cell r="R134">
            <v>1</v>
          </cell>
          <cell r="S134">
            <v>42</v>
          </cell>
        </row>
        <row r="135">
          <cell r="A135">
            <v>135</v>
          </cell>
          <cell r="C135" t="str">
            <v>APC E</v>
          </cell>
          <cell r="D135">
            <v>13</v>
          </cell>
          <cell r="E135">
            <v>8</v>
          </cell>
          <cell r="F135">
            <v>26.436610000000002</v>
          </cell>
          <cell r="G135">
            <v>2.2490019999999999</v>
          </cell>
          <cell r="H135">
            <v>200</v>
          </cell>
          <cell r="I135">
            <v>20</v>
          </cell>
          <cell r="K135">
            <v>0.56513380000000002</v>
          </cell>
          <cell r="L135">
            <v>3.2013950000000002</v>
          </cell>
          <cell r="M135">
            <v>120</v>
          </cell>
          <cell r="N135">
            <v>18</v>
          </cell>
          <cell r="R135">
            <v>0</v>
          </cell>
          <cell r="S135">
            <v>0</v>
          </cell>
        </row>
        <row r="136">
          <cell r="A136">
            <v>136</v>
          </cell>
          <cell r="C136" t="str">
            <v>APC Sport</v>
          </cell>
          <cell r="D136">
            <v>13</v>
          </cell>
          <cell r="E136">
            <v>8</v>
          </cell>
          <cell r="F136">
            <v>0</v>
          </cell>
          <cell r="G136">
            <v>0</v>
          </cell>
          <cell r="H136">
            <v>0</v>
          </cell>
          <cell r="I136">
            <v>15</v>
          </cell>
          <cell r="K136">
            <v>0.92842639999999999</v>
          </cell>
          <cell r="L136">
            <v>2.992447045</v>
          </cell>
          <cell r="M136">
            <v>155</v>
          </cell>
          <cell r="N136">
            <v>20</v>
          </cell>
          <cell r="R136">
            <v>0</v>
          </cell>
          <cell r="S136">
            <v>0</v>
          </cell>
        </row>
        <row r="137">
          <cell r="A137">
            <v>137</v>
          </cell>
          <cell r="C137" t="str">
            <v>APC E</v>
          </cell>
          <cell r="D137">
            <v>13</v>
          </cell>
          <cell r="E137">
            <v>10</v>
          </cell>
          <cell r="F137">
            <v>33.421489999999999</v>
          </cell>
          <cell r="G137">
            <v>2.0625</v>
          </cell>
          <cell r="H137">
            <v>200</v>
          </cell>
          <cell r="I137">
            <v>20</v>
          </cell>
          <cell r="K137">
            <v>1.2238260000000001</v>
          </cell>
          <cell r="L137">
            <v>3</v>
          </cell>
          <cell r="M137">
            <v>120</v>
          </cell>
          <cell r="N137">
            <v>18</v>
          </cell>
          <cell r="R137">
            <v>0</v>
          </cell>
          <cell r="S137">
            <v>0</v>
          </cell>
        </row>
        <row r="138">
          <cell r="A138">
            <v>138</v>
          </cell>
          <cell r="C138" t="str">
            <v>APC Sport</v>
          </cell>
          <cell r="D138">
            <v>13</v>
          </cell>
          <cell r="E138">
            <v>10</v>
          </cell>
          <cell r="F138">
            <v>0</v>
          </cell>
          <cell r="G138">
            <v>0</v>
          </cell>
          <cell r="H138">
            <v>0</v>
          </cell>
          <cell r="I138">
            <v>15</v>
          </cell>
          <cell r="K138">
            <v>1.3673690000000001</v>
          </cell>
          <cell r="L138">
            <v>3.0011927169999999</v>
          </cell>
          <cell r="M138">
            <v>155</v>
          </cell>
          <cell r="N138">
            <v>20</v>
          </cell>
          <cell r="R138">
            <v>0</v>
          </cell>
          <cell r="S138">
            <v>0</v>
          </cell>
        </row>
        <row r="139">
          <cell r="A139">
            <v>139</v>
          </cell>
          <cell r="C139" t="str">
            <v>AeroCAM</v>
          </cell>
          <cell r="D139">
            <v>13</v>
          </cell>
          <cell r="E139">
            <v>11</v>
          </cell>
          <cell r="F139">
            <v>32.727460000000001</v>
          </cell>
          <cell r="G139">
            <v>2.1074389999999998</v>
          </cell>
          <cell r="H139">
            <v>0</v>
          </cell>
          <cell r="I139">
            <v>15</v>
          </cell>
          <cell r="K139">
            <v>1.173929</v>
          </cell>
          <cell r="L139">
            <v>3</v>
          </cell>
          <cell r="M139">
            <v>0</v>
          </cell>
          <cell r="N139">
            <v>15</v>
          </cell>
          <cell r="R139">
            <v>1</v>
          </cell>
          <cell r="S139">
            <v>42</v>
          </cell>
        </row>
        <row r="140">
          <cell r="A140">
            <v>140</v>
          </cell>
          <cell r="C140" t="str">
            <v>APC Sport</v>
          </cell>
          <cell r="D140">
            <v>13</v>
          </cell>
          <cell r="E140">
            <v>12</v>
          </cell>
          <cell r="F140">
            <v>0</v>
          </cell>
          <cell r="G140">
            <v>0</v>
          </cell>
          <cell r="H140">
            <v>0</v>
          </cell>
          <cell r="I140">
            <v>15</v>
          </cell>
          <cell r="K140">
            <v>1.4124399999999999</v>
          </cell>
          <cell r="L140">
            <v>3</v>
          </cell>
          <cell r="M140">
            <v>155</v>
          </cell>
          <cell r="N140">
            <v>20</v>
          </cell>
          <cell r="R140">
            <v>0</v>
          </cell>
          <cell r="S140">
            <v>0</v>
          </cell>
        </row>
        <row r="141">
          <cell r="A141">
            <v>141</v>
          </cell>
          <cell r="C141" t="str">
            <v>APC Sport</v>
          </cell>
          <cell r="D141">
            <v>13</v>
          </cell>
          <cell r="E141">
            <v>13</v>
          </cell>
          <cell r="F141">
            <v>0</v>
          </cell>
          <cell r="G141">
            <v>0</v>
          </cell>
          <cell r="H141">
            <v>0</v>
          </cell>
          <cell r="I141">
            <v>15</v>
          </cell>
          <cell r="K141">
            <v>2.1797810000000002</v>
          </cell>
          <cell r="L141">
            <v>2.8461278600000002</v>
          </cell>
          <cell r="M141">
            <v>155</v>
          </cell>
          <cell r="N141">
            <v>20</v>
          </cell>
          <cell r="R141">
            <v>0</v>
          </cell>
          <cell r="S141">
            <v>0</v>
          </cell>
        </row>
        <row r="142">
          <cell r="A142">
            <v>142</v>
          </cell>
          <cell r="C142" t="str">
            <v>AeroCarbon</v>
          </cell>
          <cell r="D142">
            <v>13.5</v>
          </cell>
          <cell r="E142">
            <v>7</v>
          </cell>
          <cell r="F142">
            <v>35.621000000000002</v>
          </cell>
          <cell r="G142">
            <v>2</v>
          </cell>
          <cell r="H142">
            <v>60</v>
          </cell>
          <cell r="I142">
            <v>22</v>
          </cell>
          <cell r="K142">
            <v>0.7489922</v>
          </cell>
          <cell r="L142">
            <v>3.08</v>
          </cell>
          <cell r="M142">
            <v>0</v>
          </cell>
          <cell r="N142">
            <v>15</v>
          </cell>
          <cell r="R142">
            <v>1</v>
          </cell>
          <cell r="S142">
            <v>42</v>
          </cell>
        </row>
        <row r="143">
          <cell r="A143">
            <v>143</v>
          </cell>
          <cell r="C143" t="str">
            <v>APC Sport</v>
          </cell>
          <cell r="D143">
            <v>13.5</v>
          </cell>
          <cell r="E143">
            <v>14</v>
          </cell>
          <cell r="F143">
            <v>0</v>
          </cell>
          <cell r="G143">
            <v>0</v>
          </cell>
          <cell r="H143">
            <v>0</v>
          </cell>
          <cell r="I143">
            <v>15</v>
          </cell>
          <cell r="K143">
            <v>1.9796400000000001</v>
          </cell>
          <cell r="L143">
            <v>3</v>
          </cell>
          <cell r="M143">
            <v>155</v>
          </cell>
          <cell r="N143">
            <v>20</v>
          </cell>
          <cell r="R143">
            <v>0</v>
          </cell>
          <cell r="S143">
            <v>0</v>
          </cell>
        </row>
        <row r="144">
          <cell r="A144">
            <v>144</v>
          </cell>
          <cell r="C144" t="str">
            <v>AeroCarbon</v>
          </cell>
          <cell r="D144">
            <v>14</v>
          </cell>
          <cell r="E144">
            <v>7</v>
          </cell>
          <cell r="F144">
            <v>40.211799999999997</v>
          </cell>
          <cell r="G144">
            <v>2</v>
          </cell>
          <cell r="H144">
            <v>60</v>
          </cell>
          <cell r="I144">
            <v>22</v>
          </cell>
          <cell r="K144">
            <v>0.90886979999999995</v>
          </cell>
          <cell r="L144">
            <v>3.08</v>
          </cell>
          <cell r="M144">
            <v>0</v>
          </cell>
          <cell r="N144">
            <v>15</v>
          </cell>
          <cell r="R144">
            <v>1</v>
          </cell>
          <cell r="S144">
            <v>42</v>
          </cell>
        </row>
        <row r="145">
          <cell r="A145">
            <v>145</v>
          </cell>
          <cell r="C145" t="str">
            <v>APC E</v>
          </cell>
          <cell r="D145">
            <v>14</v>
          </cell>
          <cell r="E145">
            <v>7</v>
          </cell>
          <cell r="F145">
            <v>52.270290000000003</v>
          </cell>
          <cell r="G145">
            <v>2</v>
          </cell>
          <cell r="H145">
            <v>0</v>
          </cell>
          <cell r="I145">
            <v>15</v>
          </cell>
          <cell r="K145">
            <v>0.47292830000000002</v>
          </cell>
          <cell r="L145">
            <v>3.3938329999999999</v>
          </cell>
          <cell r="M145">
            <v>0</v>
          </cell>
          <cell r="N145">
            <v>15</v>
          </cell>
          <cell r="R145">
            <v>0</v>
          </cell>
          <cell r="S145">
            <v>0</v>
          </cell>
        </row>
        <row r="146">
          <cell r="A146">
            <v>146</v>
          </cell>
          <cell r="C146" t="str">
            <v>AeroCAM</v>
          </cell>
          <cell r="D146">
            <v>14</v>
          </cell>
          <cell r="E146">
            <v>8</v>
          </cell>
          <cell r="F146">
            <v>48.939660000000003</v>
          </cell>
          <cell r="G146">
            <v>2.1135299999999999</v>
          </cell>
          <cell r="H146">
            <v>0</v>
          </cell>
          <cell r="I146">
            <v>15</v>
          </cell>
          <cell r="K146">
            <v>1.249479</v>
          </cell>
          <cell r="L146">
            <v>3.08</v>
          </cell>
          <cell r="M146">
            <v>0</v>
          </cell>
          <cell r="N146">
            <v>15</v>
          </cell>
          <cell r="R146">
            <v>1</v>
          </cell>
          <cell r="S146">
            <v>42</v>
          </cell>
        </row>
        <row r="147">
          <cell r="A147">
            <v>147</v>
          </cell>
          <cell r="C147" t="str">
            <v>APC Sport</v>
          </cell>
          <cell r="D147">
            <v>14</v>
          </cell>
          <cell r="E147">
            <v>8</v>
          </cell>
          <cell r="F147">
            <v>0</v>
          </cell>
          <cell r="G147">
            <v>0</v>
          </cell>
          <cell r="H147">
            <v>0</v>
          </cell>
          <cell r="I147">
            <v>15</v>
          </cell>
          <cell r="K147">
            <v>1.228723</v>
          </cell>
          <cell r="L147">
            <v>2.9992658410000002</v>
          </cell>
          <cell r="M147">
            <v>155</v>
          </cell>
          <cell r="N147">
            <v>20</v>
          </cell>
          <cell r="R147">
            <v>0</v>
          </cell>
          <cell r="S147">
            <v>0</v>
          </cell>
        </row>
        <row r="148">
          <cell r="A148">
            <v>148</v>
          </cell>
          <cell r="C148" t="str">
            <v>AeroCAM</v>
          </cell>
          <cell r="D148">
            <v>14</v>
          </cell>
          <cell r="E148">
            <v>9</v>
          </cell>
          <cell r="F148">
            <v>52.177770000000002</v>
          </cell>
          <cell r="G148">
            <v>2.0882679999999998</v>
          </cell>
          <cell r="H148">
            <v>0</v>
          </cell>
          <cell r="I148">
            <v>15</v>
          </cell>
          <cell r="K148">
            <v>1.452801</v>
          </cell>
          <cell r="L148">
            <v>3.08</v>
          </cell>
          <cell r="M148">
            <v>0</v>
          </cell>
          <cell r="N148">
            <v>15</v>
          </cell>
          <cell r="R148">
            <v>1</v>
          </cell>
          <cell r="S148">
            <v>42</v>
          </cell>
        </row>
        <row r="149">
          <cell r="A149">
            <v>149</v>
          </cell>
          <cell r="C149" t="str">
            <v>AeroCAM</v>
          </cell>
          <cell r="D149">
            <v>14</v>
          </cell>
          <cell r="E149">
            <v>10</v>
          </cell>
          <cell r="F149">
            <v>63.0075</v>
          </cell>
          <cell r="G149">
            <v>2</v>
          </cell>
          <cell r="H149">
            <v>0</v>
          </cell>
          <cell r="I149">
            <v>15</v>
          </cell>
          <cell r="K149">
            <v>1.70652</v>
          </cell>
          <cell r="L149">
            <v>3.08</v>
          </cell>
          <cell r="M149">
            <v>0</v>
          </cell>
          <cell r="N149">
            <v>15</v>
          </cell>
          <cell r="R149">
            <v>1</v>
          </cell>
          <cell r="S149">
            <v>42</v>
          </cell>
        </row>
        <row r="150">
          <cell r="A150">
            <v>150</v>
          </cell>
          <cell r="C150" t="str">
            <v>APC E</v>
          </cell>
          <cell r="D150">
            <v>14</v>
          </cell>
          <cell r="E150">
            <v>10</v>
          </cell>
          <cell r="F150">
            <v>51.624980000000001</v>
          </cell>
          <cell r="G150">
            <v>2.080838</v>
          </cell>
          <cell r="H150">
            <v>0</v>
          </cell>
          <cell r="I150">
            <v>15</v>
          </cell>
          <cell r="K150">
            <v>1.499447</v>
          </cell>
          <cell r="L150">
            <v>3</v>
          </cell>
          <cell r="M150">
            <v>120</v>
          </cell>
          <cell r="N150">
            <v>18</v>
          </cell>
          <cell r="R150">
            <v>0</v>
          </cell>
          <cell r="S150">
            <v>0</v>
          </cell>
        </row>
        <row r="151">
          <cell r="A151">
            <v>151</v>
          </cell>
          <cell r="C151" t="str">
            <v>APC Sport</v>
          </cell>
          <cell r="D151">
            <v>14</v>
          </cell>
          <cell r="E151">
            <v>10</v>
          </cell>
          <cell r="F151">
            <v>0</v>
          </cell>
          <cell r="G151">
            <v>0</v>
          </cell>
          <cell r="H151">
            <v>0</v>
          </cell>
          <cell r="I151">
            <v>15</v>
          </cell>
          <cell r="K151">
            <v>1.748672</v>
          </cell>
          <cell r="L151">
            <v>3.0022729930000001</v>
          </cell>
          <cell r="M151">
            <v>155</v>
          </cell>
          <cell r="N151">
            <v>20</v>
          </cell>
          <cell r="R151">
            <v>0</v>
          </cell>
          <cell r="S151">
            <v>0</v>
          </cell>
        </row>
        <row r="152">
          <cell r="A152">
            <v>152</v>
          </cell>
          <cell r="C152" t="str">
            <v>APC Sport</v>
          </cell>
          <cell r="D152">
            <v>14</v>
          </cell>
          <cell r="E152">
            <v>12</v>
          </cell>
          <cell r="F152">
            <v>0</v>
          </cell>
          <cell r="G152">
            <v>0</v>
          </cell>
          <cell r="H152">
            <v>0</v>
          </cell>
          <cell r="I152">
            <v>15</v>
          </cell>
          <cell r="K152">
            <v>1.990297</v>
          </cell>
          <cell r="L152">
            <v>3.0074937890000002</v>
          </cell>
          <cell r="M152">
            <v>155</v>
          </cell>
          <cell r="N152">
            <v>20</v>
          </cell>
          <cell r="R152">
            <v>0</v>
          </cell>
          <cell r="S152">
            <v>0</v>
          </cell>
        </row>
        <row r="153">
          <cell r="A153">
            <v>153</v>
          </cell>
          <cell r="C153" t="str">
            <v>APC Sport</v>
          </cell>
          <cell r="D153">
            <v>14</v>
          </cell>
          <cell r="E153">
            <v>14</v>
          </cell>
          <cell r="F153">
            <v>0</v>
          </cell>
          <cell r="G153">
            <v>0</v>
          </cell>
          <cell r="H153">
            <v>0</v>
          </cell>
          <cell r="I153">
            <v>15</v>
          </cell>
          <cell r="K153">
            <v>2.848312</v>
          </cell>
          <cell r="L153">
            <v>2.9934570800000002</v>
          </cell>
          <cell r="M153">
            <v>155</v>
          </cell>
          <cell r="N153">
            <v>20</v>
          </cell>
          <cell r="R153">
            <v>0</v>
          </cell>
          <cell r="S153">
            <v>0</v>
          </cell>
        </row>
        <row r="154">
          <cell r="A154">
            <v>154</v>
          </cell>
          <cell r="C154" t="str">
            <v>Graupner CAM</v>
          </cell>
          <cell r="D154">
            <v>14.5</v>
          </cell>
          <cell r="E154">
            <v>4</v>
          </cell>
          <cell r="F154">
            <v>26.491299999999999</v>
          </cell>
          <cell r="G154">
            <v>2.109</v>
          </cell>
          <cell r="H154">
            <v>120</v>
          </cell>
          <cell r="I154">
            <v>18</v>
          </cell>
          <cell r="K154">
            <v>0.50603379999999998</v>
          </cell>
          <cell r="L154">
            <v>3.0651999999999999</v>
          </cell>
          <cell r="M154">
            <v>120</v>
          </cell>
          <cell r="N154">
            <v>18</v>
          </cell>
          <cell r="R154">
            <v>1</v>
          </cell>
          <cell r="S154">
            <v>42</v>
          </cell>
        </row>
        <row r="155">
          <cell r="A155">
            <v>155</v>
          </cell>
          <cell r="C155" t="str">
            <v>AeroCAM</v>
          </cell>
          <cell r="D155">
            <v>15</v>
          </cell>
          <cell r="E155">
            <v>8</v>
          </cell>
          <cell r="F155">
            <v>58.79072</v>
          </cell>
          <cell r="G155">
            <v>2.035469</v>
          </cell>
          <cell r="H155">
            <v>0</v>
          </cell>
          <cell r="I155">
            <v>15</v>
          </cell>
          <cell r="K155">
            <v>1.258168</v>
          </cell>
          <cell r="L155">
            <v>3.08</v>
          </cell>
          <cell r="M155">
            <v>0</v>
          </cell>
          <cell r="N155">
            <v>15</v>
          </cell>
          <cell r="R155">
            <v>1</v>
          </cell>
          <cell r="S155">
            <v>42</v>
          </cell>
        </row>
        <row r="156">
          <cell r="A156">
            <v>156</v>
          </cell>
          <cell r="C156" t="str">
            <v>APC Sport</v>
          </cell>
          <cell r="D156">
            <v>15</v>
          </cell>
          <cell r="E156">
            <v>8</v>
          </cell>
          <cell r="F156">
            <v>0</v>
          </cell>
          <cell r="G156">
            <v>0</v>
          </cell>
          <cell r="H156">
            <v>0</v>
          </cell>
          <cell r="I156">
            <v>15</v>
          </cell>
          <cell r="K156">
            <v>1.0650230000000001</v>
          </cell>
          <cell r="L156">
            <v>3.2420140000000002</v>
          </cell>
          <cell r="M156">
            <v>155</v>
          </cell>
          <cell r="N156">
            <v>20</v>
          </cell>
          <cell r="R156">
            <v>0</v>
          </cell>
          <cell r="S156">
            <v>0</v>
          </cell>
        </row>
        <row r="157">
          <cell r="A157">
            <v>157</v>
          </cell>
          <cell r="C157" t="str">
            <v>AeroCarbon</v>
          </cell>
          <cell r="D157">
            <v>15</v>
          </cell>
          <cell r="E157">
            <v>9.5</v>
          </cell>
          <cell r="F157">
            <v>62.0366</v>
          </cell>
          <cell r="G157">
            <v>2</v>
          </cell>
          <cell r="H157">
            <v>60</v>
          </cell>
          <cell r="I157">
            <v>22</v>
          </cell>
          <cell r="K157">
            <v>1.249479</v>
          </cell>
          <cell r="L157">
            <v>3.08</v>
          </cell>
          <cell r="M157">
            <v>0</v>
          </cell>
          <cell r="N157">
            <v>15</v>
          </cell>
          <cell r="R157">
            <v>1</v>
          </cell>
          <cell r="S157">
            <v>42</v>
          </cell>
        </row>
        <row r="158">
          <cell r="A158">
            <v>158</v>
          </cell>
          <cell r="C158" t="str">
            <v>AeroCAM</v>
          </cell>
          <cell r="D158">
            <v>15</v>
          </cell>
          <cell r="E158">
            <v>10</v>
          </cell>
          <cell r="F158">
            <v>59.304070000000003</v>
          </cell>
          <cell r="G158">
            <v>2.120905</v>
          </cell>
          <cell r="H158">
            <v>0</v>
          </cell>
          <cell r="I158">
            <v>15</v>
          </cell>
          <cell r="K158">
            <v>1.7725569999999999</v>
          </cell>
          <cell r="L158">
            <v>3.08</v>
          </cell>
          <cell r="M158">
            <v>0</v>
          </cell>
          <cell r="N158">
            <v>15</v>
          </cell>
          <cell r="R158">
            <v>1</v>
          </cell>
          <cell r="S158">
            <v>42</v>
          </cell>
        </row>
        <row r="159">
          <cell r="A159">
            <v>159</v>
          </cell>
          <cell r="C159" t="str">
            <v>APC Sport</v>
          </cell>
          <cell r="D159">
            <v>15</v>
          </cell>
          <cell r="E159">
            <v>10</v>
          </cell>
          <cell r="F159">
            <v>0</v>
          </cell>
          <cell r="G159">
            <v>0</v>
          </cell>
          <cell r="H159">
            <v>0</v>
          </cell>
          <cell r="I159">
            <v>15</v>
          </cell>
          <cell r="K159">
            <v>2.043809</v>
          </cell>
          <cell r="L159">
            <v>3.007975176</v>
          </cell>
          <cell r="M159">
            <v>155</v>
          </cell>
          <cell r="N159">
            <v>20</v>
          </cell>
          <cell r="R159">
            <v>0</v>
          </cell>
          <cell r="S159">
            <v>0</v>
          </cell>
        </row>
        <row r="160">
          <cell r="A160">
            <v>160</v>
          </cell>
          <cell r="C160" t="str">
            <v>AeroCAM</v>
          </cell>
          <cell r="D160">
            <v>15</v>
          </cell>
          <cell r="E160">
            <v>13</v>
          </cell>
          <cell r="F160">
            <v>58.573979999999999</v>
          </cell>
          <cell r="G160">
            <v>2.189762</v>
          </cell>
          <cell r="H160">
            <v>0</v>
          </cell>
          <cell r="I160">
            <v>15</v>
          </cell>
          <cell r="K160">
            <v>2.5371890000000001</v>
          </cell>
          <cell r="L160">
            <v>3.08</v>
          </cell>
          <cell r="M160">
            <v>0</v>
          </cell>
          <cell r="N160">
            <v>15</v>
          </cell>
          <cell r="R160">
            <v>1</v>
          </cell>
          <cell r="S160">
            <v>42</v>
          </cell>
        </row>
        <row r="161">
          <cell r="A161">
            <v>161</v>
          </cell>
          <cell r="C161" t="str">
            <v>APC Sport</v>
          </cell>
          <cell r="D161">
            <v>15</v>
          </cell>
          <cell r="E161">
            <v>13</v>
          </cell>
          <cell r="F161">
            <v>0</v>
          </cell>
          <cell r="G161">
            <v>0</v>
          </cell>
          <cell r="H161">
            <v>0</v>
          </cell>
          <cell r="I161">
            <v>15</v>
          </cell>
          <cell r="K161">
            <v>2.66</v>
          </cell>
          <cell r="L161">
            <v>3</v>
          </cell>
          <cell r="M161">
            <v>155</v>
          </cell>
          <cell r="N161">
            <v>20</v>
          </cell>
          <cell r="R161">
            <v>0</v>
          </cell>
          <cell r="S161">
            <v>0</v>
          </cell>
        </row>
        <row r="162">
          <cell r="A162">
            <v>162</v>
          </cell>
          <cell r="C162" t="str">
            <v>AeroCAM</v>
          </cell>
          <cell r="D162">
            <v>16</v>
          </cell>
          <cell r="E162">
            <v>8</v>
          </cell>
          <cell r="F162">
            <v>68.564239999999998</v>
          </cell>
          <cell r="G162">
            <v>2.1025079999999998</v>
          </cell>
          <cell r="H162">
            <v>0</v>
          </cell>
          <cell r="I162">
            <v>15</v>
          </cell>
          <cell r="K162">
            <v>1.511887</v>
          </cell>
          <cell r="L162">
            <v>3.08</v>
          </cell>
          <cell r="M162">
            <v>0</v>
          </cell>
          <cell r="N162">
            <v>15</v>
          </cell>
          <cell r="R162">
            <v>1</v>
          </cell>
          <cell r="S162">
            <v>42</v>
          </cell>
        </row>
        <row r="163">
          <cell r="A163">
            <v>163</v>
          </cell>
          <cell r="C163" t="str">
            <v>APC Sport</v>
          </cell>
          <cell r="D163">
            <v>16</v>
          </cell>
          <cell r="E163">
            <v>8</v>
          </cell>
          <cell r="F163">
            <v>0</v>
          </cell>
          <cell r="G163">
            <v>0</v>
          </cell>
          <cell r="H163">
            <v>0</v>
          </cell>
          <cell r="I163">
            <v>15</v>
          </cell>
          <cell r="K163">
            <v>2.1648710000000002</v>
          </cell>
          <cell r="L163">
            <v>3.0009332089999998</v>
          </cell>
          <cell r="M163">
            <v>155</v>
          </cell>
          <cell r="N163">
            <v>20</v>
          </cell>
          <cell r="R163">
            <v>0</v>
          </cell>
          <cell r="S163">
            <v>0</v>
          </cell>
        </row>
        <row r="164">
          <cell r="A164">
            <v>164</v>
          </cell>
          <cell r="C164" t="str">
            <v>AeroCAM</v>
          </cell>
          <cell r="D164">
            <v>16</v>
          </cell>
          <cell r="E164">
            <v>10</v>
          </cell>
          <cell r="F164">
            <v>83.795270000000002</v>
          </cell>
          <cell r="G164">
            <v>2</v>
          </cell>
          <cell r="H164">
            <v>0</v>
          </cell>
          <cell r="I164">
            <v>15</v>
          </cell>
          <cell r="K164">
            <v>2.3303630000000002</v>
          </cell>
          <cell r="L164">
            <v>3</v>
          </cell>
          <cell r="M164">
            <v>0</v>
          </cell>
          <cell r="N164">
            <v>15</v>
          </cell>
          <cell r="R164">
            <v>1</v>
          </cell>
          <cell r="S164">
            <v>42</v>
          </cell>
        </row>
        <row r="165">
          <cell r="A165">
            <v>165</v>
          </cell>
          <cell r="C165" t="str">
            <v>APC Sport</v>
          </cell>
          <cell r="D165">
            <v>16</v>
          </cell>
          <cell r="E165">
            <v>10</v>
          </cell>
          <cell r="F165">
            <v>0</v>
          </cell>
          <cell r="G165">
            <v>0</v>
          </cell>
          <cell r="H165">
            <v>0</v>
          </cell>
          <cell r="I165">
            <v>15</v>
          </cell>
          <cell r="K165">
            <v>2.596832</v>
          </cell>
          <cell r="L165">
            <v>3.0028168810000002</v>
          </cell>
          <cell r="M165">
            <v>155</v>
          </cell>
          <cell r="N165">
            <v>20</v>
          </cell>
          <cell r="R165">
            <v>0</v>
          </cell>
          <cell r="S165">
            <v>0</v>
          </cell>
        </row>
        <row r="166">
          <cell r="A166">
            <v>166</v>
          </cell>
          <cell r="C166" t="str">
            <v>APC Sport</v>
          </cell>
          <cell r="D166">
            <v>16</v>
          </cell>
          <cell r="E166">
            <v>12</v>
          </cell>
          <cell r="F166">
            <v>0</v>
          </cell>
          <cell r="G166">
            <v>0</v>
          </cell>
          <cell r="H166">
            <v>0</v>
          </cell>
          <cell r="I166">
            <v>15</v>
          </cell>
          <cell r="K166">
            <v>2.0588540000000002</v>
          </cell>
          <cell r="L166">
            <v>3.2480768360000001</v>
          </cell>
          <cell r="M166">
            <v>155</v>
          </cell>
          <cell r="N166">
            <v>20</v>
          </cell>
          <cell r="R166">
            <v>0</v>
          </cell>
          <cell r="S166">
            <v>0</v>
          </cell>
        </row>
        <row r="167">
          <cell r="A167">
            <v>167</v>
          </cell>
          <cell r="C167" t="str">
            <v>AeroCAM</v>
          </cell>
          <cell r="D167">
            <v>16</v>
          </cell>
          <cell r="E167">
            <v>13</v>
          </cell>
          <cell r="F167">
            <v>71.235759999999999</v>
          </cell>
          <cell r="G167">
            <v>2.2034630000000002</v>
          </cell>
          <cell r="H167">
            <v>0</v>
          </cell>
          <cell r="I167">
            <v>15</v>
          </cell>
          <cell r="K167">
            <v>2.780481</v>
          </cell>
          <cell r="L167">
            <v>3.08</v>
          </cell>
          <cell r="M167">
            <v>0</v>
          </cell>
          <cell r="N167">
            <v>15</v>
          </cell>
          <cell r="R167">
            <v>1</v>
          </cell>
          <cell r="S167">
            <v>42</v>
          </cell>
        </row>
        <row r="168">
          <cell r="A168">
            <v>168</v>
          </cell>
          <cell r="C168" t="str">
            <v>AeroCarbon</v>
          </cell>
          <cell r="D168">
            <v>16.5</v>
          </cell>
          <cell r="E168">
            <v>15</v>
          </cell>
          <cell r="F168">
            <v>115.57599999999999</v>
          </cell>
          <cell r="G168">
            <v>2</v>
          </cell>
          <cell r="H168">
            <v>60</v>
          </cell>
          <cell r="I168">
            <v>22</v>
          </cell>
          <cell r="K168">
            <v>3.7037040000000001</v>
          </cell>
          <cell r="L168">
            <v>3</v>
          </cell>
          <cell r="M168">
            <v>0</v>
          </cell>
          <cell r="N168">
            <v>15</v>
          </cell>
          <cell r="R168">
            <v>1</v>
          </cell>
          <cell r="S168">
            <v>42</v>
          </cell>
        </row>
        <row r="169">
          <cell r="A169">
            <v>169</v>
          </cell>
          <cell r="C169" t="str">
            <v>AeroCAM</v>
          </cell>
          <cell r="D169">
            <v>17</v>
          </cell>
          <cell r="E169">
            <v>9</v>
          </cell>
          <cell r="F169">
            <v>102.3633</v>
          </cell>
          <cell r="G169">
            <v>2.0622440000000002</v>
          </cell>
          <cell r="H169">
            <v>0</v>
          </cell>
          <cell r="I169">
            <v>15</v>
          </cell>
          <cell r="K169">
            <v>2.3112750000000002</v>
          </cell>
          <cell r="L169">
            <v>3.08</v>
          </cell>
          <cell r="M169">
            <v>0</v>
          </cell>
          <cell r="N169">
            <v>15</v>
          </cell>
          <cell r="R169">
            <v>1</v>
          </cell>
          <cell r="S169">
            <v>42</v>
          </cell>
        </row>
        <row r="170">
          <cell r="A170">
            <v>170</v>
          </cell>
          <cell r="C170" t="str">
            <v>AeroCAM</v>
          </cell>
          <cell r="D170">
            <v>17</v>
          </cell>
          <cell r="E170">
            <v>11</v>
          </cell>
          <cell r="F170">
            <v>96.051349999999999</v>
          </cell>
          <cell r="G170">
            <v>2.1447910000000001</v>
          </cell>
          <cell r="H170">
            <v>0</v>
          </cell>
          <cell r="I170">
            <v>15</v>
          </cell>
          <cell r="K170">
            <v>3.3887119999999999</v>
          </cell>
          <cell r="L170">
            <v>3.08</v>
          </cell>
          <cell r="M170">
            <v>0</v>
          </cell>
          <cell r="N170">
            <v>15</v>
          </cell>
          <cell r="R170">
            <v>1</v>
          </cell>
          <cell r="S170">
            <v>42</v>
          </cell>
        </row>
        <row r="171">
          <cell r="A171">
            <v>171</v>
          </cell>
          <cell r="C171" t="str">
            <v>AeroCAM</v>
          </cell>
          <cell r="D171">
            <v>17</v>
          </cell>
          <cell r="E171">
            <v>13</v>
          </cell>
          <cell r="F171">
            <v>143.35900000000001</v>
          </cell>
          <cell r="G171">
            <v>2</v>
          </cell>
          <cell r="H171">
            <v>0</v>
          </cell>
          <cell r="I171">
            <v>15</v>
          </cell>
          <cell r="K171">
            <v>4.97011</v>
          </cell>
          <cell r="L171">
            <v>3.08</v>
          </cell>
          <cell r="M171">
            <v>0</v>
          </cell>
          <cell r="N171">
            <v>15</v>
          </cell>
          <cell r="R171">
            <v>1</v>
          </cell>
          <cell r="S171">
            <v>42</v>
          </cell>
        </row>
        <row r="172">
          <cell r="A172">
            <v>172</v>
          </cell>
          <cell r="C172" t="str">
            <v>APC Sport</v>
          </cell>
          <cell r="D172">
            <v>18</v>
          </cell>
          <cell r="E172">
            <v>6</v>
          </cell>
          <cell r="F172">
            <v>0</v>
          </cell>
          <cell r="G172">
            <v>0</v>
          </cell>
          <cell r="H172">
            <v>0</v>
          </cell>
          <cell r="I172">
            <v>15</v>
          </cell>
          <cell r="K172">
            <v>2.538046</v>
          </cell>
          <cell r="L172">
            <v>2.9986808059999999</v>
          </cell>
          <cell r="M172">
            <v>155</v>
          </cell>
          <cell r="N172">
            <v>20</v>
          </cell>
          <cell r="R172">
            <v>0</v>
          </cell>
          <cell r="S172">
            <v>0</v>
          </cell>
        </row>
        <row r="173">
          <cell r="A173">
            <v>173</v>
          </cell>
          <cell r="C173" t="str">
            <v>AeroCarbon</v>
          </cell>
          <cell r="D173">
            <v>18</v>
          </cell>
          <cell r="E173">
            <v>8</v>
          </cell>
          <cell r="F173">
            <v>97.651020000000003</v>
          </cell>
          <cell r="G173">
            <v>2</v>
          </cell>
          <cell r="H173">
            <v>60</v>
          </cell>
          <cell r="I173">
            <v>22</v>
          </cell>
          <cell r="K173">
            <v>1.9289590000000001</v>
          </cell>
          <cell r="L173">
            <v>3.08</v>
          </cell>
          <cell r="M173">
            <v>0</v>
          </cell>
          <cell r="N173">
            <v>15</v>
          </cell>
          <cell r="R173">
            <v>1</v>
          </cell>
          <cell r="S173">
            <v>42</v>
          </cell>
        </row>
        <row r="174">
          <cell r="A174">
            <v>174</v>
          </cell>
          <cell r="C174" t="str">
            <v>AeroCAM</v>
          </cell>
          <cell r="D174">
            <v>18</v>
          </cell>
          <cell r="E174">
            <v>11</v>
          </cell>
          <cell r="F174">
            <v>113.5624</v>
          </cell>
          <cell r="G174">
            <v>2.0902250000000002</v>
          </cell>
          <cell r="H174">
            <v>0</v>
          </cell>
          <cell r="I174">
            <v>15</v>
          </cell>
          <cell r="K174">
            <v>3.162798</v>
          </cell>
          <cell r="L174">
            <v>3.08</v>
          </cell>
          <cell r="M174">
            <v>0</v>
          </cell>
          <cell r="N174">
            <v>15</v>
          </cell>
          <cell r="R174">
            <v>1</v>
          </cell>
          <cell r="S174">
            <v>42</v>
          </cell>
        </row>
        <row r="175">
          <cell r="A175">
            <v>175</v>
          </cell>
          <cell r="C175" t="str">
            <v>AeroCAM</v>
          </cell>
          <cell r="D175">
            <v>18.5</v>
          </cell>
          <cell r="E175">
            <v>12</v>
          </cell>
          <cell r="F175">
            <v>110.7379</v>
          </cell>
          <cell r="G175">
            <v>2.169019</v>
          </cell>
          <cell r="H175">
            <v>0</v>
          </cell>
          <cell r="I175">
            <v>15</v>
          </cell>
          <cell r="K175">
            <v>4.3792580000000001</v>
          </cell>
          <cell r="L175">
            <v>3.08</v>
          </cell>
          <cell r="M175">
            <v>0</v>
          </cell>
          <cell r="N175">
            <v>15</v>
          </cell>
          <cell r="R175">
            <v>1</v>
          </cell>
          <cell r="S175">
            <v>42</v>
          </cell>
        </row>
        <row r="176">
          <cell r="A176">
            <v>176</v>
          </cell>
          <cell r="C176" t="str">
            <v>Freudenthaler</v>
          </cell>
          <cell r="D176">
            <v>20</v>
          </cell>
          <cell r="E176">
            <v>13</v>
          </cell>
          <cell r="F176">
            <v>0</v>
          </cell>
          <cell r="G176">
            <v>0</v>
          </cell>
          <cell r="H176">
            <v>0</v>
          </cell>
          <cell r="I176">
            <v>15</v>
          </cell>
          <cell r="K176">
            <v>6.6119199999999996</v>
          </cell>
          <cell r="L176">
            <v>3</v>
          </cell>
          <cell r="M176">
            <v>0</v>
          </cell>
          <cell r="N176">
            <v>15</v>
          </cell>
          <cell r="R176">
            <v>1</v>
          </cell>
          <cell r="S176">
            <v>42</v>
          </cell>
        </row>
        <row r="177">
          <cell r="A177">
            <v>177</v>
          </cell>
          <cell r="C177" t="str">
            <v>CFK Folder</v>
          </cell>
          <cell r="D177">
            <v>24</v>
          </cell>
          <cell r="E177">
            <v>12</v>
          </cell>
          <cell r="F177">
            <v>0</v>
          </cell>
          <cell r="G177">
            <v>0</v>
          </cell>
          <cell r="H177">
            <v>0</v>
          </cell>
          <cell r="I177">
            <v>15</v>
          </cell>
          <cell r="K177">
            <v>8.8143600000000006</v>
          </cell>
          <cell r="L177">
            <v>3</v>
          </cell>
          <cell r="M177">
            <v>0</v>
          </cell>
          <cell r="N177">
            <v>15</v>
          </cell>
          <cell r="R177">
            <v>1</v>
          </cell>
          <cell r="S177">
            <v>52</v>
          </cell>
        </row>
        <row r="178">
          <cell r="A178">
            <v>178</v>
          </cell>
          <cell r="C178" t="str">
            <v>GWS HD</v>
          </cell>
          <cell r="D178">
            <v>10</v>
          </cell>
          <cell r="E178">
            <v>6</v>
          </cell>
          <cell r="F178">
            <v>12.99897</v>
          </cell>
          <cell r="G178">
            <v>2.0362049999999998</v>
          </cell>
          <cell r="H178">
            <v>200</v>
          </cell>
          <cell r="I178">
            <v>20</v>
          </cell>
          <cell r="K178">
            <v>0.14337800000000001</v>
          </cell>
          <cell r="L178">
            <v>3.1832780000000001</v>
          </cell>
          <cell r="M178">
            <v>55</v>
          </cell>
          <cell r="N178">
            <v>24</v>
          </cell>
          <cell r="R178">
            <v>0</v>
          </cell>
          <cell r="S178">
            <v>0</v>
          </cell>
        </row>
        <row r="179">
          <cell r="A179">
            <v>179</v>
          </cell>
          <cell r="C179" t="str">
            <v>GWS HD</v>
          </cell>
          <cell r="D179">
            <v>11</v>
          </cell>
          <cell r="E179">
            <v>7</v>
          </cell>
          <cell r="F179">
            <v>18.176189999999998</v>
          </cell>
          <cell r="G179">
            <v>2.1115910000000002</v>
          </cell>
          <cell r="H179">
            <v>200</v>
          </cell>
          <cell r="I179">
            <v>20</v>
          </cell>
          <cell r="K179">
            <v>0.37088700000000002</v>
          </cell>
          <cell r="L179">
            <v>3.0058020000000001</v>
          </cell>
          <cell r="M179">
            <v>55</v>
          </cell>
          <cell r="N179">
            <v>24</v>
          </cell>
          <cell r="R179">
            <v>0</v>
          </cell>
          <cell r="S179">
            <v>0</v>
          </cell>
        </row>
        <row r="180">
          <cell r="A180">
            <v>180</v>
          </cell>
          <cell r="C180" t="str">
            <v>GWS HD</v>
          </cell>
          <cell r="D180">
            <v>12</v>
          </cell>
          <cell r="E180">
            <v>8</v>
          </cell>
          <cell r="F180">
            <v>25.45166</v>
          </cell>
          <cell r="G180">
            <v>2.1341329999999998</v>
          </cell>
          <cell r="H180">
            <v>200</v>
          </cell>
          <cell r="I180">
            <v>20</v>
          </cell>
          <cell r="K180">
            <v>0.51801580000000003</v>
          </cell>
          <cell r="L180">
            <v>3.073604</v>
          </cell>
          <cell r="M180">
            <v>55</v>
          </cell>
          <cell r="N180">
            <v>24</v>
          </cell>
          <cell r="R180">
            <v>0</v>
          </cell>
          <cell r="S180">
            <v>0</v>
          </cell>
        </row>
        <row r="181">
          <cell r="A181">
            <v>181</v>
          </cell>
          <cell r="C181" t="str">
            <v>AeroCAM</v>
          </cell>
          <cell r="D181">
            <v>11</v>
          </cell>
          <cell r="E181">
            <v>6</v>
          </cell>
          <cell r="F181">
            <v>20.626840000000001</v>
          </cell>
          <cell r="G181">
            <v>2.0250919999999999</v>
          </cell>
          <cell r="H181">
            <v>0</v>
          </cell>
          <cell r="I181">
            <v>15</v>
          </cell>
          <cell r="K181">
            <v>0.43968760000000001</v>
          </cell>
          <cell r="L181">
            <v>2.942669</v>
          </cell>
          <cell r="M181">
            <v>0</v>
          </cell>
          <cell r="N181">
            <v>15</v>
          </cell>
          <cell r="R181">
            <v>1</v>
          </cell>
          <cell r="S181">
            <v>42</v>
          </cell>
        </row>
        <row r="182">
          <cell r="A182">
            <v>182</v>
          </cell>
          <cell r="C182" t="str">
            <v>Graupner Slim</v>
          </cell>
          <cell r="D182">
            <v>8</v>
          </cell>
          <cell r="E182">
            <v>4</v>
          </cell>
          <cell r="F182">
            <v>4.6458640000000004</v>
          </cell>
          <cell r="G182">
            <v>2.1030829999999998</v>
          </cell>
          <cell r="H182">
            <v>200</v>
          </cell>
          <cell r="I182">
            <v>20</v>
          </cell>
          <cell r="K182">
            <v>0.20974950000000001</v>
          </cell>
          <cell r="L182">
            <v>2.8319000000000001</v>
          </cell>
          <cell r="M182">
            <v>120</v>
          </cell>
          <cell r="N182">
            <v>18</v>
          </cell>
          <cell r="R182">
            <v>0</v>
          </cell>
          <cell r="S182">
            <v>0</v>
          </cell>
        </row>
        <row r="183">
          <cell r="A183">
            <v>183</v>
          </cell>
          <cell r="C183" t="str">
            <v>APC Sport</v>
          </cell>
          <cell r="D183">
            <v>11</v>
          </cell>
          <cell r="E183">
            <v>5</v>
          </cell>
          <cell r="F183">
            <v>0</v>
          </cell>
          <cell r="G183">
            <v>0</v>
          </cell>
          <cell r="H183">
            <v>0</v>
          </cell>
          <cell r="I183">
            <v>23</v>
          </cell>
          <cell r="K183">
            <v>0.309</v>
          </cell>
          <cell r="L183">
            <v>3</v>
          </cell>
          <cell r="M183">
            <v>0</v>
          </cell>
          <cell r="N183">
            <v>23</v>
          </cell>
          <cell r="R183">
            <v>0</v>
          </cell>
          <cell r="S183">
            <v>0</v>
          </cell>
        </row>
        <row r="184">
          <cell r="A184">
            <v>184</v>
          </cell>
          <cell r="C184" t="str">
            <v>AeroCAM</v>
          </cell>
          <cell r="D184">
            <v>16</v>
          </cell>
          <cell r="E184">
            <v>8</v>
          </cell>
          <cell r="F184">
            <v>0</v>
          </cell>
          <cell r="G184">
            <v>0</v>
          </cell>
          <cell r="H184">
            <v>0</v>
          </cell>
          <cell r="I184">
            <v>15</v>
          </cell>
          <cell r="K184">
            <v>1.7229815820000001</v>
          </cell>
          <cell r="L184">
            <v>3.08</v>
          </cell>
          <cell r="M184">
            <v>160</v>
          </cell>
          <cell r="N184">
            <v>20</v>
          </cell>
          <cell r="R184">
            <v>1</v>
          </cell>
          <cell r="S184">
            <v>55</v>
          </cell>
        </row>
        <row r="185">
          <cell r="A185">
            <v>185</v>
          </cell>
          <cell r="C185" t="str">
            <v>Graupner CAM</v>
          </cell>
          <cell r="D185">
            <v>13</v>
          </cell>
          <cell r="E185">
            <v>7</v>
          </cell>
          <cell r="F185">
            <v>0</v>
          </cell>
          <cell r="G185">
            <v>0</v>
          </cell>
          <cell r="H185">
            <v>0</v>
          </cell>
          <cell r="I185">
            <v>15</v>
          </cell>
          <cell r="K185">
            <v>0.69705061000000001</v>
          </cell>
          <cell r="L185">
            <v>3.08</v>
          </cell>
          <cell r="M185">
            <v>160</v>
          </cell>
          <cell r="N185">
            <v>20</v>
          </cell>
          <cell r="R185">
            <v>1</v>
          </cell>
          <cell r="S185">
            <v>55</v>
          </cell>
        </row>
        <row r="186">
          <cell r="A186">
            <v>186</v>
          </cell>
          <cell r="C186" t="str">
            <v>Graupner CAM</v>
          </cell>
          <cell r="D186">
            <v>11</v>
          </cell>
          <cell r="E186">
            <v>6</v>
          </cell>
          <cell r="F186">
            <v>0</v>
          </cell>
          <cell r="G186">
            <v>0</v>
          </cell>
          <cell r="H186">
            <v>160</v>
          </cell>
          <cell r="I186">
            <v>20</v>
          </cell>
          <cell r="K186">
            <v>0.23411129999999999</v>
          </cell>
          <cell r="L186">
            <v>3.1940170000000001</v>
          </cell>
          <cell r="M186">
            <v>160</v>
          </cell>
          <cell r="N186">
            <v>20</v>
          </cell>
          <cell r="R186">
            <v>1</v>
          </cell>
          <cell r="S186">
            <v>45</v>
          </cell>
        </row>
        <row r="187">
          <cell r="A187">
            <v>187</v>
          </cell>
          <cell r="C187" t="str">
            <v>AeroCAM</v>
          </cell>
          <cell r="D187">
            <v>10</v>
          </cell>
          <cell r="E187">
            <v>8</v>
          </cell>
          <cell r="F187">
            <v>0</v>
          </cell>
          <cell r="G187">
            <v>0</v>
          </cell>
          <cell r="H187">
            <v>160</v>
          </cell>
          <cell r="I187">
            <v>20</v>
          </cell>
          <cell r="K187">
            <v>0.31419425899999998</v>
          </cell>
          <cell r="L187">
            <v>3.08</v>
          </cell>
          <cell r="M187">
            <v>160</v>
          </cell>
          <cell r="N187">
            <v>20</v>
          </cell>
          <cell r="R187">
            <v>1</v>
          </cell>
          <cell r="S187">
            <v>45</v>
          </cell>
        </row>
        <row r="188">
          <cell r="A188">
            <v>188</v>
          </cell>
          <cell r="C188" t="str">
            <v>GWS HD</v>
          </cell>
          <cell r="D188">
            <v>4</v>
          </cell>
          <cell r="E188">
            <v>2.5</v>
          </cell>
          <cell r="F188">
            <v>0.44823360000000001</v>
          </cell>
          <cell r="G188">
            <v>2.0089769999999998</v>
          </cell>
          <cell r="H188">
            <v>160</v>
          </cell>
          <cell r="I188">
            <v>20</v>
          </cell>
          <cell r="K188">
            <v>3.4669000000000002E-3</v>
          </cell>
          <cell r="L188">
            <v>3.0519069999999999</v>
          </cell>
          <cell r="M188">
            <v>160</v>
          </cell>
          <cell r="N188">
            <v>20</v>
          </cell>
          <cell r="R188">
            <v>0</v>
          </cell>
          <cell r="S188">
            <v>0</v>
          </cell>
        </row>
        <row r="189">
          <cell r="A189">
            <v>189</v>
          </cell>
          <cell r="C189" t="str">
            <v>STO</v>
          </cell>
          <cell r="D189">
            <v>7</v>
          </cell>
          <cell r="E189">
            <v>3.3</v>
          </cell>
          <cell r="F189">
            <v>0</v>
          </cell>
          <cell r="G189">
            <v>0</v>
          </cell>
          <cell r="H189">
            <v>160</v>
          </cell>
          <cell r="I189">
            <v>20</v>
          </cell>
          <cell r="K189">
            <v>4.8868300000000003E-2</v>
          </cell>
          <cell r="L189">
            <v>3</v>
          </cell>
          <cell r="M189">
            <v>160</v>
          </cell>
          <cell r="N189">
            <v>20</v>
          </cell>
          <cell r="R189">
            <v>0</v>
          </cell>
          <cell r="S189">
            <v>0</v>
          </cell>
        </row>
        <row r="190">
          <cell r="A190">
            <v>190</v>
          </cell>
          <cell r="C190" t="str">
            <v>STO</v>
          </cell>
          <cell r="D190">
            <v>9</v>
          </cell>
          <cell r="E190">
            <v>4.3</v>
          </cell>
          <cell r="F190">
            <v>0</v>
          </cell>
          <cell r="G190">
            <v>0</v>
          </cell>
          <cell r="H190">
            <v>160</v>
          </cell>
          <cell r="I190">
            <v>20</v>
          </cell>
          <cell r="K190">
            <v>0.22939970000000001</v>
          </cell>
          <cell r="L190">
            <v>3</v>
          </cell>
          <cell r="M190">
            <v>160</v>
          </cell>
          <cell r="N190">
            <v>20</v>
          </cell>
          <cell r="R190">
            <v>0</v>
          </cell>
          <cell r="S190">
            <v>0</v>
          </cell>
        </row>
        <row r="191">
          <cell r="A191">
            <v>191</v>
          </cell>
          <cell r="C191" t="str">
            <v>STO</v>
          </cell>
          <cell r="D191">
            <v>8</v>
          </cell>
          <cell r="E191">
            <v>3.3</v>
          </cell>
          <cell r="F191">
            <v>0</v>
          </cell>
          <cell r="G191">
            <v>0</v>
          </cell>
          <cell r="H191">
            <v>160</v>
          </cell>
          <cell r="I191">
            <v>20</v>
          </cell>
          <cell r="K191">
            <v>6.8729399999999996E-2</v>
          </cell>
          <cell r="L191">
            <v>3</v>
          </cell>
          <cell r="M191">
            <v>160</v>
          </cell>
          <cell r="N191">
            <v>20</v>
          </cell>
          <cell r="R191">
            <v>0</v>
          </cell>
          <cell r="S191">
            <v>0</v>
          </cell>
        </row>
        <row r="192">
          <cell r="A192">
            <v>192</v>
          </cell>
          <cell r="C192" t="str">
            <v>Graupner CAM Folder</v>
          </cell>
          <cell r="D192">
            <v>6</v>
          </cell>
          <cell r="E192">
            <v>3</v>
          </cell>
          <cell r="F192">
            <v>0</v>
          </cell>
          <cell r="G192">
            <v>0</v>
          </cell>
          <cell r="H192">
            <v>160</v>
          </cell>
          <cell r="I192">
            <v>20</v>
          </cell>
          <cell r="K192">
            <v>2.2592899999999999E-2</v>
          </cell>
          <cell r="L192">
            <v>3</v>
          </cell>
          <cell r="M192">
            <v>160</v>
          </cell>
          <cell r="N192">
            <v>20</v>
          </cell>
          <cell r="R192">
            <v>1</v>
          </cell>
          <cell r="S192">
            <v>30</v>
          </cell>
        </row>
        <row r="193">
          <cell r="A193">
            <v>193</v>
          </cell>
          <cell r="C193" t="str">
            <v>APC E</v>
          </cell>
          <cell r="D193">
            <v>4.75</v>
          </cell>
          <cell r="E193">
            <v>4.5</v>
          </cell>
          <cell r="F193">
            <v>0.44878289999999998</v>
          </cell>
          <cell r="G193">
            <v>2.2523930000000001</v>
          </cell>
          <cell r="H193">
            <v>160</v>
          </cell>
          <cell r="I193">
            <v>20</v>
          </cell>
          <cell r="K193">
            <v>1.03728E-2</v>
          </cell>
          <cell r="L193">
            <v>3.0908319999999998</v>
          </cell>
          <cell r="M193">
            <v>160</v>
          </cell>
          <cell r="N193">
            <v>20</v>
          </cell>
          <cell r="R193">
            <v>0</v>
          </cell>
          <cell r="S193">
            <v>0</v>
          </cell>
        </row>
        <row r="194">
          <cell r="A194">
            <v>194</v>
          </cell>
          <cell r="C194" t="str">
            <v>APC E</v>
          </cell>
          <cell r="D194">
            <v>5</v>
          </cell>
          <cell r="E194">
            <v>5</v>
          </cell>
          <cell r="F194">
            <v>0.99562430000000002</v>
          </cell>
          <cell r="G194">
            <v>2.0077569999999998</v>
          </cell>
          <cell r="H194">
            <v>200</v>
          </cell>
          <cell r="I194">
            <v>20</v>
          </cell>
          <cell r="K194">
            <v>1.2949799999999999E-2</v>
          </cell>
          <cell r="L194">
            <v>3.1222569999999998</v>
          </cell>
          <cell r="M194">
            <v>160</v>
          </cell>
          <cell r="N194">
            <v>20</v>
          </cell>
          <cell r="R194">
            <v>0</v>
          </cell>
          <cell r="S194">
            <v>0</v>
          </cell>
        </row>
        <row r="195">
          <cell r="A195">
            <v>195</v>
          </cell>
          <cell r="C195" t="str">
            <v>Graupner CAM</v>
          </cell>
          <cell r="D195">
            <v>8</v>
          </cell>
          <cell r="E195">
            <v>6</v>
          </cell>
          <cell r="F195">
            <v>0</v>
          </cell>
          <cell r="G195">
            <v>0</v>
          </cell>
          <cell r="H195">
            <v>160</v>
          </cell>
          <cell r="I195">
            <v>20</v>
          </cell>
          <cell r="K195">
            <v>0.14676729999999999</v>
          </cell>
          <cell r="L195">
            <v>3</v>
          </cell>
          <cell r="M195">
            <v>160</v>
          </cell>
          <cell r="N195">
            <v>20</v>
          </cell>
          <cell r="R195">
            <v>1</v>
          </cell>
          <cell r="S195">
            <v>45</v>
          </cell>
        </row>
        <row r="196">
          <cell r="A196">
            <v>196</v>
          </cell>
          <cell r="C196" t="str">
            <v>AeroCAM</v>
          </cell>
          <cell r="D196">
            <v>12</v>
          </cell>
          <cell r="E196">
            <v>8</v>
          </cell>
          <cell r="F196">
            <v>0</v>
          </cell>
          <cell r="G196">
            <v>0</v>
          </cell>
          <cell r="H196">
            <v>160</v>
          </cell>
          <cell r="I196">
            <v>20</v>
          </cell>
          <cell r="K196">
            <v>0.66098796999999998</v>
          </cell>
          <cell r="L196">
            <v>3</v>
          </cell>
          <cell r="M196">
            <v>160</v>
          </cell>
          <cell r="N196">
            <v>20</v>
          </cell>
          <cell r="R196">
            <v>1</v>
          </cell>
          <cell r="S196">
            <v>45</v>
          </cell>
        </row>
        <row r="197">
          <cell r="A197">
            <v>197</v>
          </cell>
          <cell r="C197" t="str">
            <v>CFK Folder</v>
          </cell>
          <cell r="D197">
            <v>12</v>
          </cell>
          <cell r="E197">
            <v>6</v>
          </cell>
          <cell r="F197">
            <v>0</v>
          </cell>
          <cell r="G197">
            <v>0</v>
          </cell>
          <cell r="H197">
            <v>160</v>
          </cell>
          <cell r="I197">
            <v>20</v>
          </cell>
          <cell r="K197">
            <v>0.39297349999999998</v>
          </cell>
          <cell r="L197">
            <v>3</v>
          </cell>
          <cell r="M197">
            <v>160</v>
          </cell>
          <cell r="N197">
            <v>20</v>
          </cell>
          <cell r="R197">
            <v>1</v>
          </cell>
          <cell r="S197">
            <v>45</v>
          </cell>
        </row>
        <row r="198">
          <cell r="A198">
            <v>198</v>
          </cell>
          <cell r="C198" t="str">
            <v>Graupner CAM</v>
          </cell>
          <cell r="D198">
            <v>9</v>
          </cell>
          <cell r="E198">
            <v>6</v>
          </cell>
          <cell r="F198">
            <v>0</v>
          </cell>
          <cell r="G198">
            <v>0</v>
          </cell>
          <cell r="H198">
            <v>160</v>
          </cell>
          <cell r="I198">
            <v>20</v>
          </cell>
          <cell r="K198">
            <v>0.18960389999999999</v>
          </cell>
          <cell r="L198">
            <v>3</v>
          </cell>
          <cell r="M198">
            <v>160</v>
          </cell>
          <cell r="N198">
            <v>20</v>
          </cell>
          <cell r="R198">
            <v>1</v>
          </cell>
          <cell r="S198">
            <v>45</v>
          </cell>
        </row>
        <row r="199">
          <cell r="A199">
            <v>199</v>
          </cell>
          <cell r="C199" t="str">
            <v>Graupner CAM</v>
          </cell>
          <cell r="D199">
            <v>10</v>
          </cell>
          <cell r="E199">
            <v>6</v>
          </cell>
          <cell r="F199">
            <v>0</v>
          </cell>
          <cell r="G199">
            <v>0</v>
          </cell>
          <cell r="H199">
            <v>160</v>
          </cell>
          <cell r="I199">
            <v>20</v>
          </cell>
          <cell r="K199">
            <v>0.2510443</v>
          </cell>
          <cell r="L199">
            <v>3</v>
          </cell>
          <cell r="M199">
            <v>160</v>
          </cell>
          <cell r="N199">
            <v>20</v>
          </cell>
          <cell r="R199">
            <v>1</v>
          </cell>
          <cell r="S199">
            <v>45</v>
          </cell>
        </row>
        <row r="200">
          <cell r="A200">
            <v>200</v>
          </cell>
          <cell r="C200" t="str">
            <v>Aero Glass</v>
          </cell>
          <cell r="D200">
            <v>9.5</v>
          </cell>
          <cell r="E200">
            <v>5</v>
          </cell>
          <cell r="F200">
            <v>0</v>
          </cell>
          <cell r="G200">
            <v>0</v>
          </cell>
          <cell r="H200">
            <v>160</v>
          </cell>
          <cell r="I200">
            <v>20</v>
          </cell>
          <cell r="K200">
            <v>0.1612431</v>
          </cell>
          <cell r="L200">
            <v>3</v>
          </cell>
          <cell r="M200">
            <v>160</v>
          </cell>
          <cell r="N200">
            <v>20</v>
          </cell>
          <cell r="R200">
            <v>0</v>
          </cell>
          <cell r="S200">
            <v>0</v>
          </cell>
        </row>
        <row r="201">
          <cell r="A201">
            <v>201</v>
          </cell>
          <cell r="C201" t="str">
            <v>AeroCAM</v>
          </cell>
          <cell r="D201">
            <v>9</v>
          </cell>
          <cell r="E201">
            <v>5</v>
          </cell>
          <cell r="F201">
            <v>0</v>
          </cell>
          <cell r="G201">
            <v>0</v>
          </cell>
          <cell r="H201">
            <v>160</v>
          </cell>
          <cell r="I201">
            <v>20</v>
          </cell>
          <cell r="K201">
            <v>0.15515309999999999</v>
          </cell>
          <cell r="L201">
            <v>3</v>
          </cell>
          <cell r="M201">
            <v>160</v>
          </cell>
          <cell r="N201">
            <v>20</v>
          </cell>
          <cell r="R201">
            <v>1</v>
          </cell>
          <cell r="S201">
            <v>45</v>
          </cell>
        </row>
        <row r="202">
          <cell r="A202">
            <v>202</v>
          </cell>
          <cell r="C202" t="str">
            <v>Aeronaut E-Prop</v>
          </cell>
          <cell r="D202">
            <v>9</v>
          </cell>
          <cell r="E202">
            <v>5</v>
          </cell>
          <cell r="F202">
            <v>0</v>
          </cell>
          <cell r="G202">
            <v>0</v>
          </cell>
          <cell r="H202">
            <v>160</v>
          </cell>
          <cell r="I202">
            <v>20</v>
          </cell>
          <cell r="K202">
            <v>0.19809080000000001</v>
          </cell>
          <cell r="L202">
            <v>3</v>
          </cell>
          <cell r="M202">
            <v>160</v>
          </cell>
          <cell r="N202">
            <v>20</v>
          </cell>
          <cell r="R202">
            <v>0</v>
          </cell>
          <cell r="S202">
            <v>0</v>
          </cell>
        </row>
        <row r="203">
          <cell r="A203">
            <v>203</v>
          </cell>
          <cell r="C203" t="str">
            <v>AeroCAM</v>
          </cell>
          <cell r="D203">
            <v>13</v>
          </cell>
          <cell r="E203">
            <v>8</v>
          </cell>
          <cell r="F203">
            <v>0</v>
          </cell>
          <cell r="G203">
            <v>0</v>
          </cell>
          <cell r="H203">
            <v>0</v>
          </cell>
          <cell r="I203">
            <v>15</v>
          </cell>
          <cell r="K203">
            <v>0.80075839000000004</v>
          </cell>
          <cell r="L203">
            <v>3.08</v>
          </cell>
          <cell r="M203">
            <v>0</v>
          </cell>
          <cell r="N203">
            <v>15</v>
          </cell>
          <cell r="R203">
            <v>1</v>
          </cell>
          <cell r="S203">
            <v>60</v>
          </cell>
        </row>
        <row r="204">
          <cell r="A204">
            <v>204</v>
          </cell>
          <cell r="C204" t="str">
            <v>AeroCAM</v>
          </cell>
          <cell r="D204">
            <v>12</v>
          </cell>
          <cell r="E204">
            <v>10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K204">
            <v>1.2443390000000001</v>
          </cell>
          <cell r="L204">
            <v>3</v>
          </cell>
          <cell r="M204">
            <v>0</v>
          </cell>
          <cell r="N204">
            <v>15</v>
          </cell>
          <cell r="R204">
            <v>1</v>
          </cell>
          <cell r="S204">
            <v>60</v>
          </cell>
        </row>
        <row r="205">
          <cell r="A205">
            <v>205</v>
          </cell>
          <cell r="C205" t="str">
            <v>Graupner CAM</v>
          </cell>
          <cell r="D205">
            <v>8</v>
          </cell>
          <cell r="E205">
            <v>6</v>
          </cell>
          <cell r="F205">
            <v>0</v>
          </cell>
          <cell r="G205">
            <v>0</v>
          </cell>
          <cell r="H205">
            <v>52</v>
          </cell>
          <cell r="I205">
            <v>15</v>
          </cell>
          <cell r="K205">
            <v>0.18053667100000001</v>
          </cell>
          <cell r="L205">
            <v>3</v>
          </cell>
          <cell r="M205">
            <v>0</v>
          </cell>
          <cell r="N205">
            <v>15</v>
          </cell>
          <cell r="R205">
            <v>1</v>
          </cell>
          <cell r="S205">
            <v>55</v>
          </cell>
        </row>
        <row r="206">
          <cell r="A206">
            <v>206</v>
          </cell>
          <cell r="C206" t="str">
            <v>Graupner CAM</v>
          </cell>
          <cell r="D206">
            <v>10</v>
          </cell>
          <cell r="E206">
            <v>6</v>
          </cell>
          <cell r="F206">
            <v>0</v>
          </cell>
          <cell r="G206">
            <v>0</v>
          </cell>
          <cell r="H206">
            <v>52</v>
          </cell>
          <cell r="I206">
            <v>15</v>
          </cell>
          <cell r="K206">
            <v>0.295771381</v>
          </cell>
          <cell r="L206">
            <v>3</v>
          </cell>
          <cell r="M206">
            <v>0</v>
          </cell>
          <cell r="N206">
            <v>15</v>
          </cell>
          <cell r="R206">
            <v>1</v>
          </cell>
          <cell r="S206">
            <v>55</v>
          </cell>
        </row>
        <row r="207">
          <cell r="A207">
            <v>207</v>
          </cell>
          <cell r="C207" t="str">
            <v>AeroCarbon</v>
          </cell>
          <cell r="D207">
            <v>7</v>
          </cell>
          <cell r="E207">
            <v>6</v>
          </cell>
          <cell r="F207">
            <v>0</v>
          </cell>
          <cell r="G207">
            <v>0</v>
          </cell>
          <cell r="H207">
            <v>57</v>
          </cell>
          <cell r="I207">
            <v>14</v>
          </cell>
          <cell r="K207">
            <v>7.2599999999999998E-2</v>
          </cell>
          <cell r="L207">
            <v>3.0667371229999998</v>
          </cell>
          <cell r="M207">
            <v>160</v>
          </cell>
          <cell r="N207">
            <v>20</v>
          </cell>
          <cell r="R207">
            <v>1</v>
          </cell>
          <cell r="S207">
            <v>55</v>
          </cell>
        </row>
        <row r="208">
          <cell r="A208">
            <v>208</v>
          </cell>
          <cell r="C208" t="str">
            <v>AeroCAM</v>
          </cell>
          <cell r="D208">
            <v>9</v>
          </cell>
          <cell r="E208">
            <v>5</v>
          </cell>
          <cell r="F208">
            <v>0</v>
          </cell>
          <cell r="G208">
            <v>0</v>
          </cell>
          <cell r="H208">
            <v>160</v>
          </cell>
          <cell r="I208">
            <v>20</v>
          </cell>
          <cell r="K208">
            <v>0.18588640000000001</v>
          </cell>
          <cell r="L208">
            <v>3</v>
          </cell>
          <cell r="M208">
            <v>160</v>
          </cell>
          <cell r="N208">
            <v>20</v>
          </cell>
          <cell r="R208">
            <v>1</v>
          </cell>
          <cell r="S208">
            <v>55</v>
          </cell>
        </row>
        <row r="209">
          <cell r="A209">
            <v>209</v>
          </cell>
          <cell r="C209" t="str">
            <v>AeroCAM</v>
          </cell>
          <cell r="D209">
            <v>13</v>
          </cell>
          <cell r="E209">
            <v>8</v>
          </cell>
          <cell r="F209">
            <v>0</v>
          </cell>
          <cell r="G209">
            <v>0</v>
          </cell>
          <cell r="H209">
            <v>160</v>
          </cell>
          <cell r="I209">
            <v>20</v>
          </cell>
          <cell r="K209">
            <v>0.75376476800000003</v>
          </cell>
          <cell r="L209">
            <v>3.08</v>
          </cell>
          <cell r="M209">
            <v>160</v>
          </cell>
          <cell r="N209">
            <v>20</v>
          </cell>
          <cell r="R209">
            <v>1</v>
          </cell>
          <cell r="S209">
            <v>55</v>
          </cell>
        </row>
        <row r="210">
          <cell r="A210">
            <v>210</v>
          </cell>
          <cell r="C210" t="str">
            <v>Graupner CAM</v>
          </cell>
          <cell r="D210">
            <v>13</v>
          </cell>
          <cell r="E210">
            <v>7</v>
          </cell>
          <cell r="F210">
            <v>0</v>
          </cell>
          <cell r="G210">
            <v>0</v>
          </cell>
          <cell r="H210">
            <v>160</v>
          </cell>
          <cell r="I210">
            <v>20</v>
          </cell>
          <cell r="K210">
            <v>0.67191162100000001</v>
          </cell>
          <cell r="L210">
            <v>3.08</v>
          </cell>
          <cell r="M210">
            <v>160</v>
          </cell>
          <cell r="N210">
            <v>20</v>
          </cell>
          <cell r="R210">
            <v>1</v>
          </cell>
          <cell r="S210">
            <v>52</v>
          </cell>
        </row>
        <row r="211">
          <cell r="A211">
            <v>211</v>
          </cell>
          <cell r="C211" t="str">
            <v>Graupner CAM</v>
          </cell>
          <cell r="D211">
            <v>13</v>
          </cell>
          <cell r="E211">
            <v>11</v>
          </cell>
          <cell r="F211">
            <v>0</v>
          </cell>
          <cell r="G211">
            <v>0</v>
          </cell>
          <cell r="H211">
            <v>160</v>
          </cell>
          <cell r="I211">
            <v>20</v>
          </cell>
          <cell r="K211">
            <v>1.2571159999999999</v>
          </cell>
          <cell r="L211">
            <v>3</v>
          </cell>
          <cell r="M211">
            <v>160</v>
          </cell>
          <cell r="N211">
            <v>20</v>
          </cell>
          <cell r="R211">
            <v>1</v>
          </cell>
          <cell r="S211">
            <v>52</v>
          </cell>
        </row>
        <row r="212">
          <cell r="A212">
            <v>212</v>
          </cell>
          <cell r="C212" t="str">
            <v>Graupner CAM</v>
          </cell>
          <cell r="D212">
            <v>14</v>
          </cell>
          <cell r="E212">
            <v>12</v>
          </cell>
          <cell r="F212">
            <v>0</v>
          </cell>
          <cell r="G212">
            <v>0</v>
          </cell>
          <cell r="H212">
            <v>160</v>
          </cell>
          <cell r="I212">
            <v>20</v>
          </cell>
          <cell r="K212">
            <v>2.6346639999999999</v>
          </cell>
          <cell r="L212">
            <v>3</v>
          </cell>
          <cell r="M212">
            <v>160</v>
          </cell>
          <cell r="N212">
            <v>20</v>
          </cell>
          <cell r="R212">
            <v>1</v>
          </cell>
          <cell r="S212">
            <v>52</v>
          </cell>
        </row>
        <row r="213">
          <cell r="A213">
            <v>213</v>
          </cell>
          <cell r="C213" t="str">
            <v>AeroCAM</v>
          </cell>
          <cell r="D213">
            <v>14</v>
          </cell>
          <cell r="E213">
            <v>12</v>
          </cell>
          <cell r="F213">
            <v>0</v>
          </cell>
          <cell r="G213">
            <v>0</v>
          </cell>
          <cell r="H213">
            <v>160</v>
          </cell>
          <cell r="I213">
            <v>20</v>
          </cell>
          <cell r="K213">
            <v>2.3319619999999999</v>
          </cell>
          <cell r="L213">
            <v>3</v>
          </cell>
          <cell r="M213">
            <v>160</v>
          </cell>
          <cell r="N213">
            <v>20</v>
          </cell>
          <cell r="R213">
            <v>1</v>
          </cell>
          <cell r="S213">
            <v>47</v>
          </cell>
        </row>
        <row r="214">
          <cell r="A214">
            <v>214</v>
          </cell>
          <cell r="C214" t="str">
            <v>CFK Folder</v>
          </cell>
          <cell r="D214">
            <v>16</v>
          </cell>
          <cell r="E214">
            <v>16</v>
          </cell>
          <cell r="F214">
            <v>0</v>
          </cell>
          <cell r="G214">
            <v>0</v>
          </cell>
          <cell r="H214">
            <v>160</v>
          </cell>
          <cell r="I214">
            <v>20</v>
          </cell>
          <cell r="K214">
            <v>4.7058470000000003</v>
          </cell>
          <cell r="L214">
            <v>3</v>
          </cell>
          <cell r="M214">
            <v>160</v>
          </cell>
          <cell r="N214">
            <v>20</v>
          </cell>
          <cell r="R214">
            <v>1</v>
          </cell>
          <cell r="S214">
            <v>47</v>
          </cell>
        </row>
        <row r="215">
          <cell r="A215">
            <v>215</v>
          </cell>
          <cell r="C215" t="str">
            <v>CFK Folder</v>
          </cell>
          <cell r="D215">
            <v>6</v>
          </cell>
          <cell r="E215">
            <v>6</v>
          </cell>
          <cell r="F215">
            <v>0</v>
          </cell>
          <cell r="G215">
            <v>0</v>
          </cell>
          <cell r="H215">
            <v>160</v>
          </cell>
          <cell r="I215">
            <v>20</v>
          </cell>
          <cell r="K215">
            <v>0.1953125</v>
          </cell>
          <cell r="L215">
            <v>3</v>
          </cell>
          <cell r="M215">
            <v>160</v>
          </cell>
          <cell r="N215">
            <v>20</v>
          </cell>
          <cell r="R215">
            <v>0</v>
          </cell>
          <cell r="S215">
            <v>0</v>
          </cell>
        </row>
        <row r="216">
          <cell r="A216">
            <v>216</v>
          </cell>
          <cell r="C216" t="str">
            <v>Graupner CAM</v>
          </cell>
          <cell r="D216">
            <v>12</v>
          </cell>
          <cell r="E216">
            <v>10</v>
          </cell>
          <cell r="F216">
            <v>0</v>
          </cell>
          <cell r="G216">
            <v>0</v>
          </cell>
          <cell r="H216">
            <v>0</v>
          </cell>
          <cell r="I216">
            <v>15</v>
          </cell>
          <cell r="K216">
            <v>1.0370490000000001</v>
          </cell>
          <cell r="L216">
            <v>3</v>
          </cell>
          <cell r="M216">
            <v>160</v>
          </cell>
          <cell r="N216">
            <v>20</v>
          </cell>
          <cell r="R216">
            <v>1</v>
          </cell>
          <cell r="S216">
            <v>45</v>
          </cell>
        </row>
        <row r="217">
          <cell r="A217">
            <v>217</v>
          </cell>
          <cell r="C217" t="str">
            <v>Graupner CAM</v>
          </cell>
          <cell r="D217">
            <v>11</v>
          </cell>
          <cell r="E217">
            <v>8</v>
          </cell>
          <cell r="F217">
            <v>0</v>
          </cell>
          <cell r="G217">
            <v>0</v>
          </cell>
          <cell r="H217">
            <v>0</v>
          </cell>
          <cell r="I217">
            <v>15</v>
          </cell>
          <cell r="K217">
            <v>0.3870885</v>
          </cell>
          <cell r="L217">
            <v>3</v>
          </cell>
          <cell r="M217">
            <v>160</v>
          </cell>
          <cell r="N217">
            <v>20</v>
          </cell>
          <cell r="R217">
            <v>1</v>
          </cell>
          <cell r="S217">
            <v>45</v>
          </cell>
        </row>
        <row r="218">
          <cell r="A218">
            <v>218</v>
          </cell>
          <cell r="C218" t="str">
            <v>Graupner CAM</v>
          </cell>
          <cell r="D218">
            <v>10</v>
          </cell>
          <cell r="E218">
            <v>8</v>
          </cell>
          <cell r="F218">
            <v>0</v>
          </cell>
          <cell r="G218">
            <v>0</v>
          </cell>
          <cell r="H218">
            <v>0</v>
          </cell>
          <cell r="I218">
            <v>15</v>
          </cell>
          <cell r="K218">
            <v>0.51491830000000005</v>
          </cell>
          <cell r="L218">
            <v>3</v>
          </cell>
          <cell r="M218">
            <v>0</v>
          </cell>
          <cell r="N218">
            <v>15</v>
          </cell>
          <cell r="R218">
            <v>1</v>
          </cell>
          <cell r="S218">
            <v>45</v>
          </cell>
        </row>
        <row r="219">
          <cell r="A219">
            <v>219</v>
          </cell>
          <cell r="C219" t="str">
            <v>Graupner CAM</v>
          </cell>
          <cell r="D219">
            <v>8</v>
          </cell>
          <cell r="E219">
            <v>4.5</v>
          </cell>
          <cell r="F219">
            <v>0</v>
          </cell>
          <cell r="G219">
            <v>0</v>
          </cell>
          <cell r="H219">
            <v>0</v>
          </cell>
          <cell r="I219">
            <v>15</v>
          </cell>
          <cell r="K219">
            <v>7.7328099999999997E-2</v>
          </cell>
          <cell r="L219">
            <v>3</v>
          </cell>
          <cell r="M219">
            <v>0</v>
          </cell>
          <cell r="N219">
            <v>15</v>
          </cell>
          <cell r="R219">
            <v>1</v>
          </cell>
          <cell r="S219">
            <v>45</v>
          </cell>
        </row>
        <row r="220">
          <cell r="A220">
            <v>220</v>
          </cell>
          <cell r="C220" t="str">
            <v>AeroCAM</v>
          </cell>
          <cell r="D220">
            <v>10</v>
          </cell>
          <cell r="E220">
            <v>6</v>
          </cell>
          <cell r="F220">
            <v>0</v>
          </cell>
          <cell r="G220">
            <v>0</v>
          </cell>
          <cell r="H220">
            <v>0</v>
          </cell>
          <cell r="I220">
            <v>15</v>
          </cell>
          <cell r="K220">
            <v>0.2172598</v>
          </cell>
          <cell r="L220">
            <v>3</v>
          </cell>
          <cell r="M220">
            <v>0</v>
          </cell>
          <cell r="N220">
            <v>15</v>
          </cell>
          <cell r="R220">
            <v>1</v>
          </cell>
          <cell r="S220">
            <v>45</v>
          </cell>
        </row>
        <row r="221">
          <cell r="A221">
            <v>221</v>
          </cell>
          <cell r="C221" t="str">
            <v>Aeronaut glass</v>
          </cell>
          <cell r="D221">
            <v>9.5</v>
          </cell>
          <cell r="E221">
            <v>5</v>
          </cell>
          <cell r="F221">
            <v>0</v>
          </cell>
          <cell r="G221">
            <v>0</v>
          </cell>
          <cell r="H221">
            <v>0</v>
          </cell>
          <cell r="I221">
            <v>15</v>
          </cell>
          <cell r="K221">
            <v>0.16994899999999999</v>
          </cell>
          <cell r="L221">
            <v>3</v>
          </cell>
          <cell r="M221">
            <v>160</v>
          </cell>
          <cell r="N221">
            <v>20</v>
          </cell>
          <cell r="R221">
            <v>0</v>
          </cell>
          <cell r="S221">
            <v>0</v>
          </cell>
        </row>
        <row r="222">
          <cell r="A222">
            <v>222</v>
          </cell>
          <cell r="C222" t="str">
            <v>Graupner CAM</v>
          </cell>
          <cell r="D222">
            <v>10</v>
          </cell>
          <cell r="E222">
            <v>6</v>
          </cell>
          <cell r="F222">
            <v>0</v>
          </cell>
          <cell r="G222">
            <v>0</v>
          </cell>
          <cell r="H222">
            <v>52</v>
          </cell>
          <cell r="I222">
            <v>15</v>
          </cell>
          <cell r="K222">
            <v>0.27272067700000002</v>
          </cell>
          <cell r="L222">
            <v>3</v>
          </cell>
          <cell r="M222">
            <v>0</v>
          </cell>
          <cell r="N222">
            <v>15</v>
          </cell>
          <cell r="R222">
            <v>1</v>
          </cell>
          <cell r="S222">
            <v>50</v>
          </cell>
        </row>
        <row r="223">
          <cell r="A223">
            <v>223</v>
          </cell>
          <cell r="C223" t="str">
            <v>AeroCarbon</v>
          </cell>
          <cell r="D223">
            <v>10.5</v>
          </cell>
          <cell r="E223">
            <v>6</v>
          </cell>
          <cell r="F223">
            <v>13.9579</v>
          </cell>
          <cell r="G223">
            <v>2</v>
          </cell>
          <cell r="H223">
            <v>60</v>
          </cell>
          <cell r="I223">
            <v>22</v>
          </cell>
          <cell r="K223">
            <v>0.35585749999999999</v>
          </cell>
          <cell r="L223">
            <v>3</v>
          </cell>
          <cell r="M223">
            <v>0</v>
          </cell>
          <cell r="N223">
            <v>15</v>
          </cell>
          <cell r="R223">
            <v>1</v>
          </cell>
          <cell r="S223">
            <v>45</v>
          </cell>
        </row>
        <row r="224">
          <cell r="A224">
            <v>224</v>
          </cell>
          <cell r="C224" t="str">
            <v>AeroCAM</v>
          </cell>
          <cell r="D224">
            <v>12</v>
          </cell>
          <cell r="E224">
            <v>10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K224">
            <v>0.88295170000000001</v>
          </cell>
          <cell r="L224">
            <v>3</v>
          </cell>
          <cell r="M224">
            <v>0</v>
          </cell>
          <cell r="N224">
            <v>15</v>
          </cell>
          <cell r="R224">
            <v>1</v>
          </cell>
          <cell r="S224">
            <v>45</v>
          </cell>
        </row>
        <row r="225">
          <cell r="A225">
            <v>225</v>
          </cell>
          <cell r="C225" t="str">
            <v>Rasa</v>
          </cell>
          <cell r="D225">
            <v>12</v>
          </cell>
          <cell r="E225">
            <v>6</v>
          </cell>
          <cell r="F225">
            <v>0</v>
          </cell>
          <cell r="G225">
            <v>0</v>
          </cell>
          <cell r="H225">
            <v>0</v>
          </cell>
          <cell r="I225">
            <v>15</v>
          </cell>
          <cell r="K225">
            <v>0.38149739999999999</v>
          </cell>
          <cell r="L225">
            <v>3</v>
          </cell>
          <cell r="M225">
            <v>0</v>
          </cell>
          <cell r="N225">
            <v>15</v>
          </cell>
          <cell r="R225">
            <v>1</v>
          </cell>
          <cell r="S225">
            <v>45</v>
          </cell>
        </row>
        <row r="226">
          <cell r="A226">
            <v>226</v>
          </cell>
          <cell r="C226" t="str">
            <v>STO</v>
          </cell>
          <cell r="D226">
            <v>6</v>
          </cell>
          <cell r="E226">
            <v>3.3</v>
          </cell>
          <cell r="F226">
            <v>0</v>
          </cell>
          <cell r="G226">
            <v>0</v>
          </cell>
          <cell r="H226">
            <v>0</v>
          </cell>
          <cell r="I226">
            <v>15</v>
          </cell>
          <cell r="K226">
            <v>2.8761599999999998E-2</v>
          </cell>
          <cell r="L226">
            <v>3</v>
          </cell>
          <cell r="M226">
            <v>160</v>
          </cell>
          <cell r="N226">
            <v>20</v>
          </cell>
          <cell r="R226">
            <v>0</v>
          </cell>
          <cell r="S226">
            <v>0</v>
          </cell>
        </row>
        <row r="227">
          <cell r="A227">
            <v>227</v>
          </cell>
          <cell r="C227" t="str">
            <v>GWS HD</v>
          </cell>
          <cell r="D227">
            <v>3</v>
          </cell>
          <cell r="E227">
            <v>3</v>
          </cell>
          <cell r="F227">
            <v>0.19059599999999999</v>
          </cell>
          <cell r="G227">
            <v>2.051396</v>
          </cell>
          <cell r="H227">
            <v>0</v>
          </cell>
          <cell r="I227">
            <v>15</v>
          </cell>
          <cell r="K227">
            <v>3.9037999999999998E-3</v>
          </cell>
          <cell r="L227">
            <v>2.8716599999999999</v>
          </cell>
          <cell r="M227">
            <v>160</v>
          </cell>
          <cell r="N227">
            <v>20</v>
          </cell>
          <cell r="R227">
            <v>0</v>
          </cell>
          <cell r="S227">
            <v>0</v>
          </cell>
        </row>
        <row r="228">
          <cell r="A228">
            <v>228</v>
          </cell>
          <cell r="C228" t="str">
            <v>GWS HD</v>
          </cell>
          <cell r="D228">
            <v>4.5</v>
          </cell>
          <cell r="E228">
            <v>3</v>
          </cell>
          <cell r="F228">
            <v>0.46912100000000001</v>
          </cell>
          <cell r="G228">
            <v>2.1458409999999999</v>
          </cell>
          <cell r="H228">
            <v>200</v>
          </cell>
          <cell r="I228">
            <v>20</v>
          </cell>
          <cell r="K228">
            <v>6.2075999999999998E-3</v>
          </cell>
          <cell r="L228">
            <v>3</v>
          </cell>
          <cell r="M228">
            <v>160</v>
          </cell>
          <cell r="N228">
            <v>20</v>
          </cell>
          <cell r="R228">
            <v>0</v>
          </cell>
          <cell r="S228">
            <v>0</v>
          </cell>
        </row>
        <row r="229">
          <cell r="A229">
            <v>229</v>
          </cell>
          <cell r="C229" t="str">
            <v>GWS HD</v>
          </cell>
          <cell r="D229">
            <v>4.5</v>
          </cell>
          <cell r="E229">
            <v>4</v>
          </cell>
          <cell r="F229">
            <v>0.72057740000000003</v>
          </cell>
          <cell r="G229">
            <v>2.0751400000000002</v>
          </cell>
          <cell r="H229">
            <v>200</v>
          </cell>
          <cell r="I229">
            <v>20</v>
          </cell>
          <cell r="K229">
            <v>7.9542999999999992E-3</v>
          </cell>
          <cell r="L229">
            <v>3</v>
          </cell>
          <cell r="M229">
            <v>160</v>
          </cell>
          <cell r="N229">
            <v>20</v>
          </cell>
          <cell r="R229">
            <v>0</v>
          </cell>
          <cell r="S229">
            <v>0</v>
          </cell>
        </row>
        <row r="230">
          <cell r="A230">
            <v>230</v>
          </cell>
          <cell r="C230" t="str">
            <v>Graupner CAM</v>
          </cell>
          <cell r="D230">
            <v>4.7</v>
          </cell>
          <cell r="E230">
            <v>2.2999999999999998</v>
          </cell>
          <cell r="F230">
            <v>0</v>
          </cell>
          <cell r="G230">
            <v>0</v>
          </cell>
          <cell r="H230">
            <v>0</v>
          </cell>
          <cell r="I230">
            <v>15</v>
          </cell>
          <cell r="K230">
            <v>5.6449999999999998E-3</v>
          </cell>
          <cell r="L230">
            <v>3</v>
          </cell>
          <cell r="M230">
            <v>160</v>
          </cell>
          <cell r="N230">
            <v>20</v>
          </cell>
          <cell r="R230">
            <v>1</v>
          </cell>
          <cell r="S230">
            <v>20</v>
          </cell>
        </row>
        <row r="231">
          <cell r="A231">
            <v>231</v>
          </cell>
          <cell r="C231" t="str">
            <v>APC E</v>
          </cell>
          <cell r="D231">
            <v>12</v>
          </cell>
          <cell r="E231">
            <v>6</v>
          </cell>
          <cell r="F231">
            <v>18.877880000000001</v>
          </cell>
          <cell r="G231">
            <v>2.1962359999999999</v>
          </cell>
          <cell r="H231">
            <v>200</v>
          </cell>
          <cell r="I231">
            <v>20</v>
          </cell>
          <cell r="K231">
            <v>0.2537758</v>
          </cell>
          <cell r="L231">
            <v>3.3509129999999998</v>
          </cell>
          <cell r="M231">
            <v>120</v>
          </cell>
          <cell r="N231">
            <v>18</v>
          </cell>
          <cell r="R231">
            <v>0</v>
          </cell>
          <cell r="S231">
            <v>0</v>
          </cell>
        </row>
        <row r="232">
          <cell r="A232">
            <v>232</v>
          </cell>
          <cell r="C232" t="str">
            <v>APC SF</v>
          </cell>
          <cell r="D232">
            <v>7</v>
          </cell>
          <cell r="E232">
            <v>4</v>
          </cell>
          <cell r="F232">
            <v>2.9703889999999999</v>
          </cell>
          <cell r="G232">
            <v>2.1305839999999998</v>
          </cell>
          <cell r="H232">
            <v>200</v>
          </cell>
          <cell r="I232">
            <v>20</v>
          </cell>
          <cell r="K232">
            <v>5.1210199999999997E-2</v>
          </cell>
          <cell r="L232">
            <v>2.9813260000000001</v>
          </cell>
          <cell r="M232">
            <v>57</v>
          </cell>
          <cell r="N232">
            <v>14</v>
          </cell>
          <cell r="R232">
            <v>0</v>
          </cell>
          <cell r="S232">
            <v>0</v>
          </cell>
        </row>
        <row r="233">
          <cell r="A233">
            <v>233</v>
          </cell>
          <cell r="C233" t="str">
            <v>APC SF</v>
          </cell>
          <cell r="D233">
            <v>9</v>
          </cell>
          <cell r="E233">
            <v>6</v>
          </cell>
          <cell r="F233">
            <v>10.021100000000001</v>
          </cell>
          <cell r="G233">
            <v>2.2213099999999999</v>
          </cell>
          <cell r="H233">
            <v>200</v>
          </cell>
          <cell r="I233">
            <v>20</v>
          </cell>
          <cell r="K233">
            <v>0.3575506</v>
          </cell>
          <cell r="L233">
            <v>3</v>
          </cell>
          <cell r="M233">
            <v>57</v>
          </cell>
          <cell r="N233">
            <v>5</v>
          </cell>
          <cell r="R233">
            <v>0</v>
          </cell>
          <cell r="S233">
            <v>0</v>
          </cell>
        </row>
        <row r="234">
          <cell r="A234">
            <v>234</v>
          </cell>
          <cell r="C234" t="str">
            <v>APC E</v>
          </cell>
          <cell r="D234">
            <v>9</v>
          </cell>
          <cell r="E234">
            <v>6</v>
          </cell>
          <cell r="F234">
            <v>10.797330000000001</v>
          </cell>
          <cell r="G234">
            <v>2.0322990000000001</v>
          </cell>
          <cell r="H234">
            <v>200</v>
          </cell>
          <cell r="I234">
            <v>20</v>
          </cell>
          <cell r="K234">
            <v>0.17532990000000001</v>
          </cell>
          <cell r="L234">
            <v>3.0253369999999999</v>
          </cell>
          <cell r="M234">
            <v>120</v>
          </cell>
          <cell r="N234">
            <v>18</v>
          </cell>
          <cell r="R234">
            <v>0</v>
          </cell>
          <cell r="S234">
            <v>0</v>
          </cell>
        </row>
        <row r="235">
          <cell r="A235">
            <v>235</v>
          </cell>
          <cell r="C235" t="str">
            <v>APC C-2</v>
          </cell>
          <cell r="D235">
            <v>6</v>
          </cell>
          <cell r="E235">
            <v>3</v>
          </cell>
          <cell r="F235">
            <v>0</v>
          </cell>
          <cell r="G235">
            <v>0</v>
          </cell>
          <cell r="H235">
            <v>200</v>
          </cell>
          <cell r="I235">
            <v>20</v>
          </cell>
          <cell r="K235">
            <v>4.9576999999999998E-3</v>
          </cell>
          <cell r="L235">
            <v>3.4139499999999998</v>
          </cell>
          <cell r="M235">
            <v>100</v>
          </cell>
          <cell r="N235">
            <v>20</v>
          </cell>
          <cell r="R235">
            <v>0</v>
          </cell>
          <cell r="S235">
            <v>0</v>
          </cell>
        </row>
        <row r="236">
          <cell r="A236">
            <v>236</v>
          </cell>
          <cell r="C236" t="str">
            <v>Günther</v>
          </cell>
          <cell r="D236">
            <v>6</v>
          </cell>
          <cell r="E236">
            <v>5.3</v>
          </cell>
          <cell r="F236">
            <v>0</v>
          </cell>
          <cell r="G236">
            <v>0</v>
          </cell>
          <cell r="H236">
            <v>100</v>
          </cell>
          <cell r="I236">
            <v>20</v>
          </cell>
          <cell r="K236">
            <v>6.3639000000000001E-2</v>
          </cell>
          <cell r="L236">
            <v>3</v>
          </cell>
          <cell r="M236">
            <v>100</v>
          </cell>
          <cell r="N236">
            <v>20</v>
          </cell>
          <cell r="R236">
            <v>0</v>
          </cell>
          <cell r="S236">
            <v>0</v>
          </cell>
        </row>
        <row r="237">
          <cell r="A237">
            <v>237</v>
          </cell>
          <cell r="C237" t="str">
            <v>MPX</v>
          </cell>
          <cell r="D237">
            <v>5</v>
          </cell>
          <cell r="E237">
            <v>4</v>
          </cell>
          <cell r="F237">
            <v>0</v>
          </cell>
          <cell r="G237">
            <v>0</v>
          </cell>
          <cell r="H237">
            <v>100</v>
          </cell>
          <cell r="I237">
            <v>20</v>
          </cell>
          <cell r="K237">
            <v>7.6685E-3</v>
          </cell>
          <cell r="L237">
            <v>3.2341069999999998</v>
          </cell>
          <cell r="M237">
            <v>100</v>
          </cell>
          <cell r="N237">
            <v>20</v>
          </cell>
          <cell r="R237">
            <v>0</v>
          </cell>
          <cell r="S237">
            <v>0</v>
          </cell>
        </row>
        <row r="238">
          <cell r="A238">
            <v>238</v>
          </cell>
          <cell r="C238" t="str">
            <v>GWS HD</v>
          </cell>
          <cell r="D238">
            <v>4</v>
          </cell>
          <cell r="E238">
            <v>4</v>
          </cell>
          <cell r="F238">
            <v>0.5006121</v>
          </cell>
          <cell r="G238">
            <v>2.060619</v>
          </cell>
          <cell r="H238">
            <v>200</v>
          </cell>
          <cell r="I238">
            <v>20</v>
          </cell>
          <cell r="K238">
            <v>1.7018200000000001E-2</v>
          </cell>
          <cell r="L238">
            <v>2.6874729999999998</v>
          </cell>
          <cell r="M238">
            <v>100</v>
          </cell>
          <cell r="N238">
            <v>20</v>
          </cell>
          <cell r="R238">
            <v>0</v>
          </cell>
          <cell r="S238">
            <v>0</v>
          </cell>
        </row>
        <row r="239">
          <cell r="A239">
            <v>239</v>
          </cell>
          <cell r="C239" t="str">
            <v>GWS HD</v>
          </cell>
          <cell r="D239">
            <v>3</v>
          </cell>
          <cell r="E239">
            <v>2</v>
          </cell>
          <cell r="F239">
            <v>0.1634671</v>
          </cell>
          <cell r="G239">
            <v>2.0291299999999999</v>
          </cell>
          <cell r="H239">
            <v>100</v>
          </cell>
          <cell r="I239">
            <v>20</v>
          </cell>
          <cell r="K239">
            <v>1.511E-3</v>
          </cell>
          <cell r="L239">
            <v>3</v>
          </cell>
          <cell r="M239">
            <v>100</v>
          </cell>
          <cell r="N239">
            <v>20</v>
          </cell>
          <cell r="R239">
            <v>0</v>
          </cell>
          <cell r="S239">
            <v>0</v>
          </cell>
        </row>
        <row r="240">
          <cell r="A240">
            <v>240</v>
          </cell>
          <cell r="C240" t="str">
            <v>STO rot</v>
          </cell>
          <cell r="D240">
            <v>2.7</v>
          </cell>
          <cell r="E240">
            <v>2.6</v>
          </cell>
          <cell r="F240">
            <v>0</v>
          </cell>
          <cell r="G240">
            <v>0</v>
          </cell>
          <cell r="H240">
            <v>100</v>
          </cell>
          <cell r="I240">
            <v>20</v>
          </cell>
          <cell r="K240">
            <v>1.5679999999999999E-3</v>
          </cell>
          <cell r="L240">
            <v>2.7922359999999999</v>
          </cell>
          <cell r="M240">
            <v>100</v>
          </cell>
          <cell r="N240">
            <v>25</v>
          </cell>
          <cell r="R240">
            <v>0</v>
          </cell>
          <cell r="S240">
            <v>0</v>
          </cell>
        </row>
        <row r="241">
          <cell r="A241">
            <v>241</v>
          </cell>
          <cell r="C241" t="str">
            <v>Graupner Nylon</v>
          </cell>
          <cell r="D241">
            <v>5</v>
          </cell>
          <cell r="E241">
            <v>2</v>
          </cell>
          <cell r="F241">
            <v>0.25071329999999997</v>
          </cell>
          <cell r="G241">
            <v>1.8806689999999999</v>
          </cell>
          <cell r="H241">
            <v>100</v>
          </cell>
          <cell r="I241">
            <v>20</v>
          </cell>
          <cell r="K241">
            <v>5.8011E-3</v>
          </cell>
          <cell r="L241">
            <v>3.0412340000000002</v>
          </cell>
          <cell r="M241">
            <v>100</v>
          </cell>
          <cell r="N241">
            <v>25</v>
          </cell>
          <cell r="R241">
            <v>0</v>
          </cell>
          <cell r="S241">
            <v>0</v>
          </cell>
        </row>
        <row r="242">
          <cell r="A242">
            <v>242</v>
          </cell>
          <cell r="C242" t="str">
            <v>APC E</v>
          </cell>
          <cell r="D242">
            <v>5.0999999999999996</v>
          </cell>
          <cell r="E242">
            <v>4.5</v>
          </cell>
          <cell r="F242">
            <v>1.4728760000000001</v>
          </cell>
          <cell r="G242">
            <v>2.0746470000000001</v>
          </cell>
          <cell r="H242">
            <v>200</v>
          </cell>
          <cell r="I242">
            <v>20</v>
          </cell>
          <cell r="K242">
            <v>2.7141200000000001E-2</v>
          </cell>
          <cell r="L242">
            <v>2.9751210000000001</v>
          </cell>
          <cell r="M242">
            <v>100</v>
          </cell>
          <cell r="N242">
            <v>20</v>
          </cell>
          <cell r="R242">
            <v>0</v>
          </cell>
          <cell r="S242">
            <v>0</v>
          </cell>
        </row>
        <row r="243">
          <cell r="A243">
            <v>243</v>
          </cell>
          <cell r="C243" t="str">
            <v>Biela CFK 3-Blade</v>
          </cell>
          <cell r="D243">
            <v>17</v>
          </cell>
          <cell r="E243">
            <v>10</v>
          </cell>
          <cell r="F243">
            <v>164.18940000000001</v>
          </cell>
          <cell r="G243">
            <v>2.0753439999999999</v>
          </cell>
          <cell r="H243">
            <v>0</v>
          </cell>
          <cell r="I243">
            <v>15</v>
          </cell>
          <cell r="K243">
            <v>7.0265129999999996</v>
          </cell>
          <cell r="L243">
            <v>3.0441760000000002</v>
          </cell>
          <cell r="M243">
            <v>0</v>
          </cell>
          <cell r="N243">
            <v>15</v>
          </cell>
          <cell r="R243">
            <v>0</v>
          </cell>
          <cell r="S243">
            <v>0</v>
          </cell>
        </row>
        <row r="244">
          <cell r="A244">
            <v>244</v>
          </cell>
          <cell r="C244" t="str">
            <v>GWS</v>
          </cell>
          <cell r="D244">
            <v>2.5</v>
          </cell>
          <cell r="E244">
            <v>0.8</v>
          </cell>
          <cell r="F244">
            <v>3.9223599999999997E-2</v>
          </cell>
          <cell r="G244">
            <v>2.001538</v>
          </cell>
          <cell r="H244">
            <v>100</v>
          </cell>
          <cell r="I244">
            <v>20</v>
          </cell>
          <cell r="K244">
            <v>6.246E-4</v>
          </cell>
          <cell r="L244">
            <v>2.6103939999999999</v>
          </cell>
          <cell r="M244">
            <v>100</v>
          </cell>
          <cell r="N244">
            <v>24</v>
          </cell>
          <cell r="R244">
            <v>0</v>
          </cell>
          <cell r="S244">
            <v>0</v>
          </cell>
        </row>
        <row r="245">
          <cell r="A245">
            <v>245</v>
          </cell>
          <cell r="C245" t="str">
            <v>GWS</v>
          </cell>
          <cell r="D245">
            <v>2.5</v>
          </cell>
          <cell r="E245">
            <v>1</v>
          </cell>
          <cell r="F245">
            <v>6.4096799999999995E-2</v>
          </cell>
          <cell r="G245">
            <v>1.8879060000000001</v>
          </cell>
          <cell r="H245">
            <v>100</v>
          </cell>
          <cell r="I245">
            <v>20</v>
          </cell>
          <cell r="K245">
            <v>9.5620000000000004E-4</v>
          </cell>
          <cell r="L245">
            <v>2.6043759999999998</v>
          </cell>
          <cell r="M245">
            <v>100</v>
          </cell>
          <cell r="N245">
            <v>24</v>
          </cell>
          <cell r="R245">
            <v>0</v>
          </cell>
          <cell r="S245">
            <v>0</v>
          </cell>
        </row>
        <row r="246">
          <cell r="A246">
            <v>246</v>
          </cell>
          <cell r="C246" t="str">
            <v>Mejzlik Carbon</v>
          </cell>
          <cell r="D246">
            <v>16</v>
          </cell>
          <cell r="E246">
            <v>8</v>
          </cell>
          <cell r="F246">
            <v>0</v>
          </cell>
          <cell r="G246">
            <v>0</v>
          </cell>
          <cell r="H246">
            <v>0</v>
          </cell>
          <cell r="I246">
            <v>15</v>
          </cell>
          <cell r="K246">
            <v>2.1433469999999999</v>
          </cell>
          <cell r="L246">
            <v>3</v>
          </cell>
          <cell r="M246">
            <v>0</v>
          </cell>
          <cell r="N246">
            <v>15</v>
          </cell>
          <cell r="R246">
            <v>0</v>
          </cell>
          <cell r="S246">
            <v>0</v>
          </cell>
        </row>
        <row r="247">
          <cell r="A247">
            <v>247</v>
          </cell>
          <cell r="C247" t="str">
            <v>Mejzlik Carbon</v>
          </cell>
          <cell r="D247">
            <v>19</v>
          </cell>
          <cell r="E247">
            <v>8</v>
          </cell>
          <cell r="F247">
            <v>0</v>
          </cell>
          <cell r="G247">
            <v>0</v>
          </cell>
          <cell r="H247">
            <v>0</v>
          </cell>
          <cell r="I247">
            <v>15</v>
          </cell>
          <cell r="K247">
            <v>4.3198179999999997</v>
          </cell>
          <cell r="L247">
            <v>3</v>
          </cell>
          <cell r="M247">
            <v>0</v>
          </cell>
          <cell r="N247">
            <v>15</v>
          </cell>
          <cell r="R247">
            <v>0</v>
          </cell>
          <cell r="S247">
            <v>0</v>
          </cell>
        </row>
        <row r="248">
          <cell r="A248">
            <v>248</v>
          </cell>
          <cell r="C248" t="str">
            <v>Mejzlik Carbon</v>
          </cell>
          <cell r="D248">
            <v>22</v>
          </cell>
          <cell r="E248">
            <v>8</v>
          </cell>
          <cell r="F248">
            <v>0</v>
          </cell>
          <cell r="G248">
            <v>0</v>
          </cell>
          <cell r="H248">
            <v>0</v>
          </cell>
          <cell r="I248">
            <v>15</v>
          </cell>
          <cell r="K248">
            <v>7.2337959999999999</v>
          </cell>
          <cell r="L248">
            <v>3</v>
          </cell>
          <cell r="M248">
            <v>0</v>
          </cell>
          <cell r="N248">
            <v>15</v>
          </cell>
          <cell r="R248">
            <v>0</v>
          </cell>
          <cell r="S248">
            <v>0</v>
          </cell>
        </row>
        <row r="249">
          <cell r="A249">
            <v>249</v>
          </cell>
          <cell r="C249" t="str">
            <v>APC E</v>
          </cell>
          <cell r="D249">
            <v>22</v>
          </cell>
          <cell r="E249">
            <v>10</v>
          </cell>
          <cell r="F249">
            <v>230.03880000000001</v>
          </cell>
          <cell r="G249">
            <v>2.1230959999999999</v>
          </cell>
          <cell r="H249">
            <v>60</v>
          </cell>
          <cell r="I249">
            <v>18</v>
          </cell>
          <cell r="K249">
            <v>8.9616399999999992</v>
          </cell>
          <cell r="L249">
            <v>2.9469560000000001</v>
          </cell>
          <cell r="M249">
            <v>60</v>
          </cell>
          <cell r="N249">
            <v>18</v>
          </cell>
          <cell r="R249">
            <v>0</v>
          </cell>
          <cell r="S249">
            <v>0</v>
          </cell>
        </row>
        <row r="250">
          <cell r="A250">
            <v>250</v>
          </cell>
          <cell r="C250" t="str">
            <v>AeroCAM 3-Blade</v>
          </cell>
          <cell r="D250">
            <v>15</v>
          </cell>
          <cell r="E250">
            <v>8</v>
          </cell>
          <cell r="F250">
            <v>95.6</v>
          </cell>
          <cell r="G250">
            <v>2</v>
          </cell>
          <cell r="H250">
            <v>0</v>
          </cell>
          <cell r="I250">
            <v>15</v>
          </cell>
          <cell r="K250">
            <v>1.817364</v>
          </cell>
          <cell r="L250">
            <v>3</v>
          </cell>
          <cell r="M250">
            <v>52</v>
          </cell>
          <cell r="N250">
            <v>18</v>
          </cell>
          <cell r="R250">
            <v>1</v>
          </cell>
          <cell r="S250">
            <v>47</v>
          </cell>
        </row>
        <row r="251">
          <cell r="A251">
            <v>251</v>
          </cell>
          <cell r="C251" t="str">
            <v>APC E</v>
          </cell>
          <cell r="D251">
            <v>14</v>
          </cell>
          <cell r="E251">
            <v>8.5</v>
          </cell>
          <cell r="F251">
            <v>53.661459999999998</v>
          </cell>
          <cell r="G251">
            <v>1.995673</v>
          </cell>
          <cell r="H251">
            <v>224</v>
          </cell>
          <cell r="I251">
            <v>17</v>
          </cell>
          <cell r="K251">
            <v>0.98880789999999996</v>
          </cell>
          <cell r="L251">
            <v>3.0746250000000002</v>
          </cell>
          <cell r="M251">
            <v>287</v>
          </cell>
          <cell r="N251">
            <v>17</v>
          </cell>
          <cell r="R251">
            <v>0</v>
          </cell>
          <cell r="S251">
            <v>0</v>
          </cell>
        </row>
        <row r="252">
          <cell r="A252">
            <v>252</v>
          </cell>
          <cell r="C252" t="str">
            <v>APC Pattern</v>
          </cell>
          <cell r="D252">
            <v>13</v>
          </cell>
          <cell r="E252">
            <v>9</v>
          </cell>
          <cell r="F252">
            <v>0</v>
          </cell>
          <cell r="G252">
            <v>0</v>
          </cell>
          <cell r="H252">
            <v>287</v>
          </cell>
          <cell r="I252">
            <v>17</v>
          </cell>
          <cell r="K252">
            <v>0.97</v>
          </cell>
          <cell r="L252">
            <v>3</v>
          </cell>
          <cell r="M252">
            <v>287</v>
          </cell>
          <cell r="N252">
            <v>17</v>
          </cell>
          <cell r="R252">
            <v>0</v>
          </cell>
          <cell r="S252">
            <v>0</v>
          </cell>
        </row>
        <row r="253">
          <cell r="A253">
            <v>253</v>
          </cell>
          <cell r="C253" t="str">
            <v>APC E v2</v>
          </cell>
          <cell r="D253">
            <v>12</v>
          </cell>
          <cell r="E253">
            <v>10</v>
          </cell>
          <cell r="F253">
            <v>22.889140000000001</v>
          </cell>
          <cell r="G253">
            <v>2.1061000000000001</v>
          </cell>
          <cell r="H253">
            <v>120</v>
          </cell>
          <cell r="I253">
            <v>18</v>
          </cell>
          <cell r="K253">
            <v>0.83</v>
          </cell>
          <cell r="L253">
            <v>3.05</v>
          </cell>
          <cell r="M253">
            <v>120</v>
          </cell>
          <cell r="N253">
            <v>18</v>
          </cell>
          <cell r="R253">
            <v>0</v>
          </cell>
          <cell r="S253">
            <v>0</v>
          </cell>
        </row>
        <row r="254">
          <cell r="A254">
            <v>255</v>
          </cell>
          <cell r="C254" t="str">
            <v>AeroCarbon</v>
          </cell>
          <cell r="D254">
            <v>13</v>
          </cell>
          <cell r="E254">
            <v>6.5</v>
          </cell>
          <cell r="F254">
            <v>0</v>
          </cell>
          <cell r="G254">
            <v>0</v>
          </cell>
          <cell r="H254">
            <v>530</v>
          </cell>
          <cell r="I254">
            <v>15</v>
          </cell>
          <cell r="K254">
            <v>0.60566520000000001</v>
          </cell>
          <cell r="L254">
            <v>3</v>
          </cell>
          <cell r="M254">
            <v>530</v>
          </cell>
          <cell r="N254">
            <v>15</v>
          </cell>
          <cell r="R254">
            <v>1</v>
          </cell>
          <cell r="S254">
            <v>55</v>
          </cell>
        </row>
        <row r="255">
          <cell r="A255">
            <v>256</v>
          </cell>
          <cell r="C255" t="str">
            <v>EPP1045</v>
          </cell>
          <cell r="D255">
            <v>10</v>
          </cell>
          <cell r="E255">
            <v>4.5</v>
          </cell>
          <cell r="F255">
            <v>14.49676</v>
          </cell>
          <cell r="G255">
            <v>2.0981030000000001</v>
          </cell>
          <cell r="H255">
            <v>250</v>
          </cell>
          <cell r="I255">
            <v>15</v>
          </cell>
          <cell r="K255">
            <v>0.41214669999999998</v>
          </cell>
          <cell r="L255">
            <v>3.0171519999999998</v>
          </cell>
          <cell r="M255">
            <v>250</v>
          </cell>
          <cell r="N255">
            <v>15</v>
          </cell>
          <cell r="R255">
            <v>0</v>
          </cell>
          <cell r="S255">
            <v>0</v>
          </cell>
        </row>
        <row r="256">
          <cell r="A256">
            <v>257</v>
          </cell>
          <cell r="C256" t="str">
            <v>Master Airscrew std. wood</v>
          </cell>
          <cell r="D256">
            <v>10</v>
          </cell>
          <cell r="E256">
            <v>7</v>
          </cell>
          <cell r="F256">
            <v>0</v>
          </cell>
          <cell r="G256">
            <v>0</v>
          </cell>
          <cell r="H256">
            <v>287</v>
          </cell>
          <cell r="I256">
            <v>20</v>
          </cell>
          <cell r="K256">
            <v>0.3755</v>
          </cell>
          <cell r="L256">
            <v>3</v>
          </cell>
          <cell r="M256">
            <v>287</v>
          </cell>
          <cell r="N256">
            <v>20</v>
          </cell>
          <cell r="R256">
            <v>0</v>
          </cell>
          <cell r="S256">
            <v>0</v>
          </cell>
        </row>
        <row r="257">
          <cell r="A257">
            <v>258</v>
          </cell>
          <cell r="C257" t="str">
            <v>Master Airscrew std. wood</v>
          </cell>
          <cell r="D257">
            <v>10</v>
          </cell>
          <cell r="E257">
            <v>8</v>
          </cell>
          <cell r="F257">
            <v>0</v>
          </cell>
          <cell r="G257">
            <v>0</v>
          </cell>
          <cell r="H257">
            <v>287</v>
          </cell>
          <cell r="I257">
            <v>20</v>
          </cell>
          <cell r="K257">
            <v>0.435</v>
          </cell>
          <cell r="L257">
            <v>3</v>
          </cell>
          <cell r="M257">
            <v>287</v>
          </cell>
          <cell r="N257">
            <v>20</v>
          </cell>
          <cell r="R257">
            <v>0</v>
          </cell>
          <cell r="S257">
            <v>0</v>
          </cell>
        </row>
        <row r="258">
          <cell r="A258">
            <v>259</v>
          </cell>
          <cell r="C258" t="str">
            <v>Master Airscrew std. wood</v>
          </cell>
          <cell r="D258">
            <v>11</v>
          </cell>
          <cell r="E258">
            <v>7</v>
          </cell>
          <cell r="F258">
            <v>0</v>
          </cell>
          <cell r="G258">
            <v>0</v>
          </cell>
          <cell r="H258">
            <v>287</v>
          </cell>
          <cell r="I258">
            <v>20</v>
          </cell>
          <cell r="K258">
            <v>0.51500000000000001</v>
          </cell>
          <cell r="L258">
            <v>3</v>
          </cell>
          <cell r="M258">
            <v>287</v>
          </cell>
          <cell r="N258">
            <v>20</v>
          </cell>
          <cell r="R258">
            <v>0</v>
          </cell>
          <cell r="S258">
            <v>0</v>
          </cell>
        </row>
        <row r="259">
          <cell r="A259">
            <v>260</v>
          </cell>
          <cell r="C259" t="str">
            <v>RFM</v>
          </cell>
          <cell r="D259">
            <v>20</v>
          </cell>
          <cell r="E259">
            <v>13</v>
          </cell>
          <cell r="F259">
            <v>0</v>
          </cell>
          <cell r="G259">
            <v>0</v>
          </cell>
          <cell r="H259">
            <v>57</v>
          </cell>
          <cell r="I259">
            <v>14</v>
          </cell>
          <cell r="K259">
            <v>8.3721829999999997</v>
          </cell>
          <cell r="L259">
            <v>3</v>
          </cell>
          <cell r="M259">
            <v>160</v>
          </cell>
          <cell r="N259">
            <v>20</v>
          </cell>
          <cell r="R259">
            <v>1</v>
          </cell>
          <cell r="S259">
            <v>42</v>
          </cell>
        </row>
        <row r="260">
          <cell r="A260">
            <v>261</v>
          </cell>
          <cell r="C260" t="str">
            <v>APC E</v>
          </cell>
          <cell r="D260">
            <v>15</v>
          </cell>
          <cell r="E260">
            <v>8</v>
          </cell>
          <cell r="F260">
            <v>44.215609999999998</v>
          </cell>
          <cell r="G260">
            <v>2.2879239999999998</v>
          </cell>
          <cell r="H260">
            <v>0</v>
          </cell>
          <cell r="I260">
            <v>15</v>
          </cell>
          <cell r="K260">
            <v>1.789113</v>
          </cell>
          <cell r="L260">
            <v>3</v>
          </cell>
          <cell r="M260">
            <v>155</v>
          </cell>
          <cell r="N260">
            <v>20</v>
          </cell>
          <cell r="R260">
            <v>0</v>
          </cell>
          <cell r="S260">
            <v>0</v>
          </cell>
        </row>
        <row r="261">
          <cell r="A261">
            <v>262</v>
          </cell>
          <cell r="C261" t="str">
            <v>APC E</v>
          </cell>
          <cell r="D261">
            <v>16</v>
          </cell>
          <cell r="E261">
            <v>8</v>
          </cell>
          <cell r="F261">
            <v>62.980809999999998</v>
          </cell>
          <cell r="G261">
            <v>2.2697590000000001</v>
          </cell>
          <cell r="H261">
            <v>0</v>
          </cell>
          <cell r="I261">
            <v>15</v>
          </cell>
          <cell r="K261">
            <v>1.5368219999999999</v>
          </cell>
          <cell r="L261">
            <v>3.1989299999999998</v>
          </cell>
          <cell r="M261">
            <v>155</v>
          </cell>
          <cell r="N261">
            <v>20</v>
          </cell>
          <cell r="R261">
            <v>0</v>
          </cell>
          <cell r="S261">
            <v>0</v>
          </cell>
        </row>
        <row r="262">
          <cell r="A262">
            <v>263</v>
          </cell>
          <cell r="C262" t="str">
            <v>RFM CFK</v>
          </cell>
          <cell r="D262">
            <v>16</v>
          </cell>
          <cell r="E262">
            <v>16</v>
          </cell>
          <cell r="F262">
            <v>0</v>
          </cell>
          <cell r="G262">
            <v>0</v>
          </cell>
          <cell r="H262">
            <v>0</v>
          </cell>
          <cell r="I262">
            <v>15</v>
          </cell>
          <cell r="K262">
            <v>7.85</v>
          </cell>
          <cell r="L262">
            <v>2.85</v>
          </cell>
          <cell r="M262">
            <v>0</v>
          </cell>
          <cell r="N262">
            <v>15</v>
          </cell>
          <cell r="R262">
            <v>1</v>
          </cell>
          <cell r="S262">
            <v>47</v>
          </cell>
        </row>
        <row r="263">
          <cell r="A263">
            <v>264</v>
          </cell>
          <cell r="C263" t="str">
            <v>APC E</v>
          </cell>
          <cell r="D263">
            <v>17</v>
          </cell>
          <cell r="E263">
            <v>8</v>
          </cell>
          <cell r="F263">
            <v>0</v>
          </cell>
          <cell r="G263">
            <v>0</v>
          </cell>
          <cell r="H263">
            <v>0</v>
          </cell>
          <cell r="I263">
            <v>15</v>
          </cell>
          <cell r="K263">
            <v>1.40916</v>
          </cell>
          <cell r="L263">
            <v>3.3264999999999998</v>
          </cell>
          <cell r="M263">
            <v>0</v>
          </cell>
          <cell r="N263">
            <v>15</v>
          </cell>
          <cell r="R263">
            <v>0</v>
          </cell>
          <cell r="S263">
            <v>0</v>
          </cell>
        </row>
        <row r="264">
          <cell r="A264">
            <v>265</v>
          </cell>
          <cell r="C264" t="str">
            <v>APC E</v>
          </cell>
          <cell r="D264">
            <v>20</v>
          </cell>
          <cell r="E264">
            <v>10</v>
          </cell>
          <cell r="F264">
            <v>139.5779</v>
          </cell>
          <cell r="G264">
            <v>2.2717239999999999</v>
          </cell>
          <cell r="H264">
            <v>0</v>
          </cell>
          <cell r="I264">
            <v>15</v>
          </cell>
          <cell r="K264">
            <v>6.2266709999999996</v>
          </cell>
          <cell r="L264">
            <v>3</v>
          </cell>
          <cell r="M264">
            <v>0</v>
          </cell>
          <cell r="N264">
            <v>15</v>
          </cell>
          <cell r="R264">
            <v>0</v>
          </cell>
          <cell r="S264">
            <v>0</v>
          </cell>
        </row>
        <row r="265">
          <cell r="A265">
            <v>266</v>
          </cell>
          <cell r="C265" t="str">
            <v>APC E</v>
          </cell>
          <cell r="D265">
            <v>17</v>
          </cell>
          <cell r="E265">
            <v>10</v>
          </cell>
          <cell r="F265">
            <v>0</v>
          </cell>
          <cell r="G265">
            <v>0</v>
          </cell>
          <cell r="H265">
            <v>0</v>
          </cell>
          <cell r="I265">
            <v>15</v>
          </cell>
          <cell r="K265">
            <v>2.205101</v>
          </cell>
          <cell r="L265">
            <v>3.2270910000000002</v>
          </cell>
          <cell r="M265">
            <v>0</v>
          </cell>
          <cell r="N265">
            <v>15</v>
          </cell>
          <cell r="R265">
            <v>0</v>
          </cell>
          <cell r="S265">
            <v>0</v>
          </cell>
        </row>
        <row r="266">
          <cell r="A266">
            <v>268</v>
          </cell>
          <cell r="C266" t="str">
            <v>CFK Folder</v>
          </cell>
          <cell r="D266">
            <v>17</v>
          </cell>
          <cell r="E266">
            <v>10</v>
          </cell>
          <cell r="F266">
            <v>94.932959999999994</v>
          </cell>
          <cell r="G266">
            <v>2.1126529999999999</v>
          </cell>
          <cell r="H266">
            <v>0</v>
          </cell>
          <cell r="I266">
            <v>15</v>
          </cell>
          <cell r="K266">
            <v>3.7314400000000001</v>
          </cell>
          <cell r="L266">
            <v>2.96</v>
          </cell>
          <cell r="M266">
            <v>0</v>
          </cell>
          <cell r="N266">
            <v>15</v>
          </cell>
          <cell r="R266">
            <v>1</v>
          </cell>
          <cell r="S266">
            <v>42</v>
          </cell>
        </row>
        <row r="267">
          <cell r="A267">
            <v>269</v>
          </cell>
          <cell r="C267" t="str">
            <v>AeroCarbon</v>
          </cell>
          <cell r="D267">
            <v>9.5</v>
          </cell>
          <cell r="E267">
            <v>5</v>
          </cell>
          <cell r="F267">
            <v>0</v>
          </cell>
          <cell r="G267">
            <v>0</v>
          </cell>
          <cell r="H267">
            <v>0</v>
          </cell>
          <cell r="I267">
            <v>15</v>
          </cell>
          <cell r="K267">
            <v>0.16538839999999999</v>
          </cell>
          <cell r="L267">
            <v>3</v>
          </cell>
          <cell r="M267">
            <v>0</v>
          </cell>
          <cell r="N267">
            <v>15</v>
          </cell>
          <cell r="R267">
            <v>1</v>
          </cell>
          <cell r="S267">
            <v>45</v>
          </cell>
        </row>
        <row r="268">
          <cell r="A268">
            <v>270</v>
          </cell>
          <cell r="C268" t="str">
            <v>APC E</v>
          </cell>
          <cell r="D268">
            <v>4.7</v>
          </cell>
          <cell r="E268">
            <v>4.25</v>
          </cell>
          <cell r="F268">
            <v>0.44038040000000001</v>
          </cell>
          <cell r="G268">
            <v>2.2523930000000001</v>
          </cell>
          <cell r="H268">
            <v>0</v>
          </cell>
          <cell r="I268">
            <v>15</v>
          </cell>
          <cell r="K268">
            <v>1.0091899999999999E-2</v>
          </cell>
          <cell r="L268">
            <v>3.0836320000000002</v>
          </cell>
          <cell r="M268">
            <v>455</v>
          </cell>
          <cell r="N268">
            <v>20</v>
          </cell>
          <cell r="R268">
            <v>0</v>
          </cell>
          <cell r="S268">
            <v>0</v>
          </cell>
        </row>
        <row r="269">
          <cell r="A269">
            <v>272</v>
          </cell>
          <cell r="C269" t="str">
            <v>AeroCAM</v>
          </cell>
          <cell r="D269">
            <v>9</v>
          </cell>
          <cell r="E269">
            <v>7</v>
          </cell>
          <cell r="F269">
            <v>0</v>
          </cell>
          <cell r="G269">
            <v>0</v>
          </cell>
          <cell r="H269">
            <v>0</v>
          </cell>
          <cell r="I269">
            <v>15</v>
          </cell>
          <cell r="K269">
            <v>0.2251264</v>
          </cell>
          <cell r="L269">
            <v>3</v>
          </cell>
          <cell r="M269">
            <v>460</v>
          </cell>
          <cell r="N269">
            <v>20</v>
          </cell>
          <cell r="R269">
            <v>1</v>
          </cell>
          <cell r="S269">
            <v>38</v>
          </cell>
        </row>
        <row r="270">
          <cell r="A270">
            <v>273</v>
          </cell>
          <cell r="C270" t="str">
            <v>Graupner CAM Folder</v>
          </cell>
          <cell r="D270">
            <v>9</v>
          </cell>
          <cell r="E270">
            <v>6</v>
          </cell>
          <cell r="F270">
            <v>0</v>
          </cell>
          <cell r="G270">
            <v>0</v>
          </cell>
          <cell r="H270">
            <v>0</v>
          </cell>
          <cell r="I270">
            <v>15</v>
          </cell>
          <cell r="K270">
            <v>0.13935439999999999</v>
          </cell>
          <cell r="L270">
            <v>3</v>
          </cell>
          <cell r="M270">
            <v>460</v>
          </cell>
          <cell r="N270">
            <v>20</v>
          </cell>
          <cell r="R270">
            <v>1</v>
          </cell>
          <cell r="S270">
            <v>38</v>
          </cell>
        </row>
        <row r="271">
          <cell r="A271">
            <v>274</v>
          </cell>
          <cell r="C271" t="str">
            <v>APC E</v>
          </cell>
          <cell r="D271">
            <v>13</v>
          </cell>
          <cell r="E271">
            <v>6</v>
          </cell>
          <cell r="F271">
            <v>0</v>
          </cell>
          <cell r="G271">
            <v>0</v>
          </cell>
          <cell r="H271">
            <v>0</v>
          </cell>
          <cell r="I271">
            <v>15</v>
          </cell>
          <cell r="K271">
            <v>0.66516120000000001</v>
          </cell>
          <cell r="L271">
            <v>3</v>
          </cell>
          <cell r="M271">
            <v>0</v>
          </cell>
          <cell r="N271">
            <v>0</v>
          </cell>
          <cell r="R271">
            <v>0</v>
          </cell>
          <cell r="S271">
            <v>0</v>
          </cell>
        </row>
        <row r="272">
          <cell r="A272">
            <v>275</v>
          </cell>
          <cell r="C272" t="str">
            <v>CAM Folder</v>
          </cell>
          <cell r="D272">
            <v>18</v>
          </cell>
          <cell r="E272">
            <v>10</v>
          </cell>
          <cell r="F272">
            <v>80.796580000000006</v>
          </cell>
          <cell r="G272">
            <v>2.159627</v>
          </cell>
          <cell r="H272">
            <v>15</v>
          </cell>
          <cell r="I272">
            <v>18</v>
          </cell>
          <cell r="K272">
            <v>2.7946140000000002</v>
          </cell>
          <cell r="L272">
            <v>3.05</v>
          </cell>
          <cell r="M272">
            <v>15</v>
          </cell>
          <cell r="N272">
            <v>18</v>
          </cell>
          <cell r="R272">
            <v>1</v>
          </cell>
          <cell r="S272">
            <v>40</v>
          </cell>
        </row>
        <row r="273">
          <cell r="A273">
            <v>276</v>
          </cell>
          <cell r="C273" t="str">
            <v>GrpCamSpeed</v>
          </cell>
          <cell r="D273">
            <v>5.2</v>
          </cell>
          <cell r="E273">
            <v>5.2</v>
          </cell>
          <cell r="F273">
            <v>0</v>
          </cell>
          <cell r="G273">
            <v>0</v>
          </cell>
          <cell r="H273">
            <v>455</v>
          </cell>
          <cell r="I273">
            <v>18</v>
          </cell>
          <cell r="K273">
            <v>2.3761600000000001E-2</v>
          </cell>
          <cell r="L273">
            <v>3</v>
          </cell>
          <cell r="M273">
            <v>455</v>
          </cell>
          <cell r="N273">
            <v>18</v>
          </cell>
          <cell r="R273">
            <v>0</v>
          </cell>
          <cell r="S273">
            <v>0</v>
          </cell>
        </row>
        <row r="274">
          <cell r="A274">
            <v>277</v>
          </cell>
          <cell r="C274" t="str">
            <v>parkzone T-28</v>
          </cell>
          <cell r="D274">
            <v>9.5</v>
          </cell>
          <cell r="E274">
            <v>7.5</v>
          </cell>
          <cell r="F274">
            <v>0</v>
          </cell>
          <cell r="G274">
            <v>0</v>
          </cell>
          <cell r="H274">
            <v>287</v>
          </cell>
          <cell r="I274">
            <v>20</v>
          </cell>
          <cell r="K274">
            <v>0.21</v>
          </cell>
          <cell r="L274">
            <v>3.2</v>
          </cell>
          <cell r="M274">
            <v>287</v>
          </cell>
          <cell r="N274">
            <v>20</v>
          </cell>
          <cell r="R274">
            <v>0</v>
          </cell>
          <cell r="S274">
            <v>0</v>
          </cell>
        </row>
        <row r="275">
          <cell r="A275">
            <v>278</v>
          </cell>
          <cell r="C275" t="str">
            <v>RFM</v>
          </cell>
          <cell r="D275">
            <v>20</v>
          </cell>
          <cell r="E275">
            <v>13</v>
          </cell>
          <cell r="F275">
            <v>0</v>
          </cell>
          <cell r="G275">
            <v>0</v>
          </cell>
          <cell r="H275">
            <v>57</v>
          </cell>
          <cell r="I275">
            <v>14</v>
          </cell>
          <cell r="K275">
            <v>8.7872547670000003</v>
          </cell>
          <cell r="L275">
            <v>3</v>
          </cell>
          <cell r="M275">
            <v>160</v>
          </cell>
          <cell r="N275">
            <v>20</v>
          </cell>
          <cell r="R275">
            <v>1</v>
          </cell>
          <cell r="S275">
            <v>48</v>
          </cell>
        </row>
        <row r="276">
          <cell r="A276">
            <v>279</v>
          </cell>
          <cell r="C276" t="str">
            <v>Zagi Carbon</v>
          </cell>
          <cell r="D276">
            <v>5.0999999999999996</v>
          </cell>
          <cell r="E276">
            <v>4.9000000000000004</v>
          </cell>
          <cell r="F276">
            <v>1.1211370000000001</v>
          </cell>
          <cell r="G276">
            <v>2.0829059999999999</v>
          </cell>
          <cell r="H276">
            <v>200</v>
          </cell>
          <cell r="I276">
            <v>20</v>
          </cell>
          <cell r="K276">
            <v>9.7234999999999995E-3</v>
          </cell>
          <cell r="L276">
            <v>3.2950979999999999</v>
          </cell>
          <cell r="M276">
            <v>200</v>
          </cell>
          <cell r="N276">
            <v>22</v>
          </cell>
          <cell r="R276">
            <v>0</v>
          </cell>
          <cell r="S276">
            <v>0</v>
          </cell>
        </row>
        <row r="277">
          <cell r="A277">
            <v>280</v>
          </cell>
          <cell r="C277" t="str">
            <v>APC C-2</v>
          </cell>
          <cell r="D277">
            <v>6</v>
          </cell>
          <cell r="E277">
            <v>2</v>
          </cell>
          <cell r="F277">
            <v>1.075604</v>
          </cell>
          <cell r="G277">
            <v>2</v>
          </cell>
          <cell r="H277">
            <v>800</v>
          </cell>
          <cell r="I277">
            <v>0</v>
          </cell>
          <cell r="K277">
            <v>1.20687E-2</v>
          </cell>
          <cell r="L277">
            <v>3</v>
          </cell>
          <cell r="M277">
            <v>800</v>
          </cell>
          <cell r="N277">
            <v>0</v>
          </cell>
          <cell r="R277">
            <v>0</v>
          </cell>
          <cell r="S277">
            <v>0</v>
          </cell>
        </row>
        <row r="278">
          <cell r="A278">
            <v>281</v>
          </cell>
          <cell r="C278" t="str">
            <v>Graupner CAM SlimProp</v>
          </cell>
          <cell r="D278">
            <v>10</v>
          </cell>
          <cell r="E278">
            <v>6</v>
          </cell>
          <cell r="F278">
            <v>0</v>
          </cell>
          <cell r="G278">
            <v>0</v>
          </cell>
          <cell r="H278">
            <v>100</v>
          </cell>
          <cell r="I278">
            <v>0</v>
          </cell>
          <cell r="K278">
            <v>0.31579940000000001</v>
          </cell>
          <cell r="L278">
            <v>3</v>
          </cell>
          <cell r="M278">
            <v>100</v>
          </cell>
          <cell r="N278">
            <v>20</v>
          </cell>
          <cell r="R278">
            <v>0</v>
          </cell>
          <cell r="S278">
            <v>0</v>
          </cell>
        </row>
        <row r="279">
          <cell r="A279">
            <v>283</v>
          </cell>
          <cell r="C279" t="str">
            <v>Mejzlik Carbon WE</v>
          </cell>
          <cell r="D279">
            <v>22</v>
          </cell>
          <cell r="E279">
            <v>12</v>
          </cell>
          <cell r="F279">
            <v>0</v>
          </cell>
          <cell r="G279">
            <v>0</v>
          </cell>
          <cell r="H279">
            <v>0</v>
          </cell>
          <cell r="I279">
            <v>15</v>
          </cell>
          <cell r="K279">
            <v>8.9448450000000008</v>
          </cell>
          <cell r="L279">
            <v>3.0997189999999999</v>
          </cell>
          <cell r="M279">
            <v>0</v>
          </cell>
          <cell r="N279">
            <v>15</v>
          </cell>
          <cell r="R279">
            <v>0</v>
          </cell>
          <cell r="S279">
            <v>0</v>
          </cell>
        </row>
        <row r="280">
          <cell r="A280">
            <v>284</v>
          </cell>
          <cell r="C280" t="str">
            <v>Mejzlik Carbon</v>
          </cell>
          <cell r="D280">
            <v>22</v>
          </cell>
          <cell r="E280">
            <v>12</v>
          </cell>
          <cell r="F280">
            <v>0</v>
          </cell>
          <cell r="G280">
            <v>0</v>
          </cell>
          <cell r="H280">
            <v>0</v>
          </cell>
          <cell r="I280">
            <v>15</v>
          </cell>
          <cell r="K280">
            <v>7.6069969999999998</v>
          </cell>
          <cell r="L280">
            <v>3.0790280000000001</v>
          </cell>
          <cell r="M280">
            <v>0</v>
          </cell>
          <cell r="N280">
            <v>15</v>
          </cell>
          <cell r="R280">
            <v>0</v>
          </cell>
          <cell r="S280">
            <v>0</v>
          </cell>
        </row>
        <row r="281">
          <cell r="A281">
            <v>285</v>
          </cell>
          <cell r="C281" t="str">
            <v>Cox Gray</v>
          </cell>
          <cell r="D281">
            <v>6</v>
          </cell>
          <cell r="E281">
            <v>4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K281">
            <v>2.5639499999999999E-2</v>
          </cell>
          <cell r="L281">
            <v>3</v>
          </cell>
          <cell r="M281">
            <v>287</v>
          </cell>
          <cell r="N281">
            <v>20</v>
          </cell>
          <cell r="R281">
            <v>0</v>
          </cell>
          <cell r="S281">
            <v>0</v>
          </cell>
        </row>
        <row r="282">
          <cell r="A282">
            <v>286</v>
          </cell>
          <cell r="C282" t="str">
            <v>APC E V2</v>
          </cell>
          <cell r="D282">
            <v>6</v>
          </cell>
          <cell r="E282">
            <v>5.5</v>
          </cell>
          <cell r="F282">
            <v>1.6921299999999999</v>
          </cell>
          <cell r="G282">
            <v>2.121302</v>
          </cell>
          <cell r="H282">
            <v>200</v>
          </cell>
          <cell r="I282">
            <v>20</v>
          </cell>
          <cell r="K282">
            <v>3.3547686E-2</v>
          </cell>
          <cell r="L282">
            <v>3</v>
          </cell>
          <cell r="M282">
            <v>287</v>
          </cell>
          <cell r="N282">
            <v>20</v>
          </cell>
          <cell r="R282">
            <v>0</v>
          </cell>
          <cell r="S282">
            <v>0</v>
          </cell>
        </row>
        <row r="283">
          <cell r="A283">
            <v>287</v>
          </cell>
          <cell r="C283" t="str">
            <v>EM E-Prop (Metts)</v>
          </cell>
          <cell r="D283">
            <v>14</v>
          </cell>
          <cell r="E283">
            <v>7</v>
          </cell>
          <cell r="F283">
            <v>36.990519999999997</v>
          </cell>
          <cell r="G283">
            <v>2.120762</v>
          </cell>
          <cell r="H283">
            <v>0</v>
          </cell>
          <cell r="I283">
            <v>15</v>
          </cell>
          <cell r="K283">
            <v>1.3972739999999999</v>
          </cell>
          <cell r="L283">
            <v>2.9155639999999998</v>
          </cell>
          <cell r="M283">
            <v>0</v>
          </cell>
          <cell r="N283">
            <v>15</v>
          </cell>
          <cell r="R283">
            <v>0</v>
          </cell>
          <cell r="S283">
            <v>0</v>
          </cell>
        </row>
        <row r="284">
          <cell r="A284">
            <v>288</v>
          </cell>
          <cell r="C284" t="str">
            <v>EM E-Prop (Metts)</v>
          </cell>
          <cell r="D284">
            <v>14</v>
          </cell>
          <cell r="E284">
            <v>8</v>
          </cell>
          <cell r="F284">
            <v>43.283619999999999</v>
          </cell>
          <cell r="G284">
            <v>2.0834060000000001</v>
          </cell>
          <cell r="H284">
            <v>0</v>
          </cell>
          <cell r="I284">
            <v>15</v>
          </cell>
          <cell r="K284">
            <v>0.94241710000000001</v>
          </cell>
          <cell r="L284">
            <v>3.2184870000000001</v>
          </cell>
          <cell r="M284">
            <v>0</v>
          </cell>
          <cell r="N284">
            <v>15</v>
          </cell>
          <cell r="R284">
            <v>0</v>
          </cell>
          <cell r="S284">
            <v>0</v>
          </cell>
        </row>
        <row r="285">
          <cell r="A285">
            <v>289</v>
          </cell>
          <cell r="C285" t="str">
            <v>EM E-Prop (Metts)</v>
          </cell>
          <cell r="D285">
            <v>15</v>
          </cell>
          <cell r="E285">
            <v>7</v>
          </cell>
          <cell r="F285">
            <v>50.622160000000001</v>
          </cell>
          <cell r="G285">
            <v>2.1268899999999999</v>
          </cell>
          <cell r="H285">
            <v>0</v>
          </cell>
          <cell r="I285">
            <v>15</v>
          </cell>
          <cell r="K285">
            <v>1.204537</v>
          </cell>
          <cell r="L285">
            <v>3.0289380000000001</v>
          </cell>
          <cell r="M285">
            <v>0</v>
          </cell>
          <cell r="N285">
            <v>15</v>
          </cell>
          <cell r="R285">
            <v>0</v>
          </cell>
          <cell r="S285">
            <v>0</v>
          </cell>
        </row>
        <row r="286">
          <cell r="A286">
            <v>290</v>
          </cell>
          <cell r="C286" t="str">
            <v>EM E-Prop (Metts)</v>
          </cell>
          <cell r="D286">
            <v>15</v>
          </cell>
          <cell r="E286">
            <v>8</v>
          </cell>
          <cell r="F286">
            <v>69.812619999999995</v>
          </cell>
          <cell r="G286">
            <v>1.982189</v>
          </cell>
          <cell r="H286">
            <v>0</v>
          </cell>
          <cell r="I286">
            <v>15</v>
          </cell>
          <cell r="K286">
            <v>1.9578040000000001</v>
          </cell>
          <cell r="L286">
            <v>2.86</v>
          </cell>
          <cell r="M286">
            <v>0</v>
          </cell>
          <cell r="N286">
            <v>15</v>
          </cell>
          <cell r="R286">
            <v>0</v>
          </cell>
          <cell r="S286">
            <v>0</v>
          </cell>
        </row>
        <row r="287">
          <cell r="A287">
            <v>291</v>
          </cell>
          <cell r="C287" t="str">
            <v>EM E-Prop (Metts)</v>
          </cell>
          <cell r="D287">
            <v>16</v>
          </cell>
          <cell r="E287">
            <v>7</v>
          </cell>
          <cell r="F287">
            <v>61.423189999999998</v>
          </cell>
          <cell r="G287">
            <v>2.1203509999999999</v>
          </cell>
          <cell r="H287">
            <v>0</v>
          </cell>
          <cell r="I287">
            <v>15</v>
          </cell>
          <cell r="K287">
            <v>1.798724</v>
          </cell>
          <cell r="L287">
            <v>2.9729999999999999</v>
          </cell>
          <cell r="M287">
            <v>0</v>
          </cell>
          <cell r="N287">
            <v>15</v>
          </cell>
          <cell r="R287">
            <v>0</v>
          </cell>
          <cell r="S287">
            <v>0</v>
          </cell>
        </row>
        <row r="288">
          <cell r="A288">
            <v>292</v>
          </cell>
          <cell r="C288" t="str">
            <v>EM E-Prop (Metts)</v>
          </cell>
          <cell r="D288">
            <v>16</v>
          </cell>
          <cell r="E288">
            <v>8</v>
          </cell>
          <cell r="F288">
            <v>77.930220000000006</v>
          </cell>
          <cell r="G288">
            <v>2.0726819999999999</v>
          </cell>
          <cell r="H288">
            <v>0</v>
          </cell>
          <cell r="I288">
            <v>15</v>
          </cell>
          <cell r="K288">
            <v>1.9304779999999999</v>
          </cell>
          <cell r="L288">
            <v>3.0169999999999999</v>
          </cell>
          <cell r="M288">
            <v>0</v>
          </cell>
          <cell r="N288">
            <v>15</v>
          </cell>
          <cell r="R288">
            <v>0</v>
          </cell>
          <cell r="S288">
            <v>0</v>
          </cell>
        </row>
        <row r="289">
          <cell r="A289">
            <v>293</v>
          </cell>
          <cell r="C289" t="str">
            <v>EM E-Prop (Metts)</v>
          </cell>
          <cell r="D289">
            <v>17</v>
          </cell>
          <cell r="E289">
            <v>8</v>
          </cell>
          <cell r="F289">
            <v>85.074449999999999</v>
          </cell>
          <cell r="G289">
            <v>2.1200839999999999</v>
          </cell>
          <cell r="H289">
            <v>0</v>
          </cell>
          <cell r="I289">
            <v>15</v>
          </cell>
          <cell r="K289">
            <v>2.8141639999999999</v>
          </cell>
          <cell r="L289">
            <v>2.95</v>
          </cell>
          <cell r="M289">
            <v>0</v>
          </cell>
          <cell r="N289">
            <v>15</v>
          </cell>
          <cell r="R289">
            <v>0</v>
          </cell>
          <cell r="S289">
            <v>0</v>
          </cell>
        </row>
        <row r="290">
          <cell r="A290">
            <v>294</v>
          </cell>
          <cell r="C290" t="str">
            <v>EM E-Prop (Metts)</v>
          </cell>
          <cell r="D290">
            <v>18</v>
          </cell>
          <cell r="E290">
            <v>8</v>
          </cell>
          <cell r="F290">
            <v>106.6294</v>
          </cell>
          <cell r="G290">
            <v>2.10107</v>
          </cell>
          <cell r="H290">
            <v>0</v>
          </cell>
          <cell r="I290">
            <v>15</v>
          </cell>
          <cell r="K290">
            <v>3.0049700000000001</v>
          </cell>
          <cell r="L290">
            <v>2.99</v>
          </cell>
          <cell r="M290">
            <v>0</v>
          </cell>
          <cell r="N290">
            <v>15</v>
          </cell>
          <cell r="R290">
            <v>0</v>
          </cell>
          <cell r="S290">
            <v>0</v>
          </cell>
        </row>
        <row r="291">
          <cell r="A291">
            <v>295</v>
          </cell>
          <cell r="C291" t="str">
            <v>EM E-Prop (Metts)</v>
          </cell>
          <cell r="D291">
            <v>18</v>
          </cell>
          <cell r="E291">
            <v>10</v>
          </cell>
          <cell r="F291">
            <v>139.5711</v>
          </cell>
          <cell r="G291">
            <v>2.0242610000000001</v>
          </cell>
          <cell r="H291">
            <v>0</v>
          </cell>
          <cell r="I291">
            <v>15</v>
          </cell>
          <cell r="K291">
            <v>5.1717209999999998</v>
          </cell>
          <cell r="L291">
            <v>2.81</v>
          </cell>
          <cell r="M291">
            <v>0</v>
          </cell>
          <cell r="N291">
            <v>15</v>
          </cell>
          <cell r="R291">
            <v>0</v>
          </cell>
          <cell r="S291">
            <v>0</v>
          </cell>
        </row>
        <row r="292">
          <cell r="A292">
            <v>296</v>
          </cell>
          <cell r="C292" t="str">
            <v>EM E-Prop (Metts)</v>
          </cell>
          <cell r="D292">
            <v>19</v>
          </cell>
          <cell r="E292">
            <v>8</v>
          </cell>
          <cell r="F292">
            <v>118.6998</v>
          </cell>
          <cell r="G292">
            <v>2.1525639999999999</v>
          </cell>
          <cell r="H292">
            <v>0</v>
          </cell>
          <cell r="I292">
            <v>15</v>
          </cell>
          <cell r="K292">
            <v>3.2935430000000001</v>
          </cell>
          <cell r="L292">
            <v>3.09</v>
          </cell>
          <cell r="M292">
            <v>0</v>
          </cell>
          <cell r="N292">
            <v>15</v>
          </cell>
          <cell r="R292">
            <v>0</v>
          </cell>
          <cell r="S292">
            <v>0</v>
          </cell>
        </row>
        <row r="293">
          <cell r="A293">
            <v>297</v>
          </cell>
          <cell r="C293" t="str">
            <v>EM E-Prop (Metts)</v>
          </cell>
          <cell r="D293">
            <v>19</v>
          </cell>
          <cell r="E293">
            <v>9</v>
          </cell>
          <cell r="F293">
            <v>141.30879999999999</v>
          </cell>
          <cell r="G293">
            <v>2.0762649999999998</v>
          </cell>
          <cell r="H293">
            <v>0</v>
          </cell>
          <cell r="I293">
            <v>15</v>
          </cell>
          <cell r="K293">
            <v>3.878145</v>
          </cell>
          <cell r="L293">
            <v>3.03</v>
          </cell>
          <cell r="M293">
            <v>0</v>
          </cell>
          <cell r="N293">
            <v>15</v>
          </cell>
          <cell r="R293">
            <v>0</v>
          </cell>
          <cell r="S293">
            <v>0</v>
          </cell>
        </row>
        <row r="294">
          <cell r="A294">
            <v>298</v>
          </cell>
          <cell r="C294" t="str">
            <v>EM E-Prop (Metts)</v>
          </cell>
          <cell r="D294">
            <v>20</v>
          </cell>
          <cell r="E294">
            <v>8</v>
          </cell>
          <cell r="F294">
            <v>157.5361</v>
          </cell>
          <cell r="G294">
            <v>2.111885</v>
          </cell>
          <cell r="H294">
            <v>0</v>
          </cell>
          <cell r="I294">
            <v>15</v>
          </cell>
          <cell r="K294">
            <v>4.2048940000000004</v>
          </cell>
          <cell r="L294">
            <v>3.07</v>
          </cell>
          <cell r="M294">
            <v>0</v>
          </cell>
          <cell r="N294">
            <v>15</v>
          </cell>
          <cell r="R294">
            <v>0</v>
          </cell>
          <cell r="S294">
            <v>0</v>
          </cell>
        </row>
        <row r="295">
          <cell r="A295">
            <v>299</v>
          </cell>
          <cell r="C295" t="str">
            <v>EM E-Prop (Metts)</v>
          </cell>
          <cell r="D295">
            <v>20</v>
          </cell>
          <cell r="E295">
            <v>10</v>
          </cell>
          <cell r="F295">
            <v>186.62299999999999</v>
          </cell>
          <cell r="G295">
            <v>2.0760040000000002</v>
          </cell>
          <cell r="H295">
            <v>0</v>
          </cell>
          <cell r="I295">
            <v>15</v>
          </cell>
          <cell r="K295">
            <v>4.95634</v>
          </cell>
          <cell r="L295">
            <v>3.1</v>
          </cell>
          <cell r="M295">
            <v>0</v>
          </cell>
          <cell r="N295">
            <v>15</v>
          </cell>
          <cell r="R295">
            <v>0</v>
          </cell>
          <cell r="S295">
            <v>0</v>
          </cell>
        </row>
        <row r="296">
          <cell r="A296">
            <v>300</v>
          </cell>
          <cell r="C296" t="str">
            <v>EM E-Prop (Metts)</v>
          </cell>
          <cell r="D296">
            <v>21</v>
          </cell>
          <cell r="E296">
            <v>10</v>
          </cell>
          <cell r="F296">
            <v>209.30439999999999</v>
          </cell>
          <cell r="G296">
            <v>2.1223450000000001</v>
          </cell>
          <cell r="H296">
            <v>0</v>
          </cell>
          <cell r="I296">
            <v>15</v>
          </cell>
          <cell r="K296">
            <v>6.4512749999999999</v>
          </cell>
          <cell r="L296">
            <v>3.04</v>
          </cell>
          <cell r="M296">
            <v>0</v>
          </cell>
          <cell r="N296">
            <v>15</v>
          </cell>
          <cell r="R296">
            <v>0</v>
          </cell>
          <cell r="S296">
            <v>0</v>
          </cell>
        </row>
        <row r="297">
          <cell r="A297">
            <v>301</v>
          </cell>
          <cell r="C297" t="str">
            <v>EM E-Prop (Metts)</v>
          </cell>
          <cell r="D297">
            <v>22</v>
          </cell>
          <cell r="E297">
            <v>10</v>
          </cell>
          <cell r="F297">
            <v>268.42290000000003</v>
          </cell>
          <cell r="G297">
            <v>2.1013220000000001</v>
          </cell>
          <cell r="H297">
            <v>0</v>
          </cell>
          <cell r="I297">
            <v>15</v>
          </cell>
          <cell r="K297">
            <v>7.098846</v>
          </cell>
          <cell r="L297">
            <v>3.17</v>
          </cell>
          <cell r="M297">
            <v>0</v>
          </cell>
          <cell r="N297">
            <v>15</v>
          </cell>
          <cell r="R297">
            <v>0</v>
          </cell>
          <cell r="S297">
            <v>0</v>
          </cell>
        </row>
        <row r="298">
          <cell r="A298">
            <v>302</v>
          </cell>
          <cell r="C298" t="str">
            <v>EM E-Prop (Metts)</v>
          </cell>
          <cell r="D298">
            <v>23</v>
          </cell>
          <cell r="E298">
            <v>8</v>
          </cell>
          <cell r="F298">
            <v>281.7346</v>
          </cell>
          <cell r="G298">
            <v>2.0688029999999999</v>
          </cell>
          <cell r="H298">
            <v>0</v>
          </cell>
          <cell r="I298">
            <v>15</v>
          </cell>
          <cell r="K298">
            <v>8.1594619999999995</v>
          </cell>
          <cell r="L298">
            <v>3.05</v>
          </cell>
          <cell r="M298">
            <v>0</v>
          </cell>
          <cell r="N298">
            <v>15</v>
          </cell>
          <cell r="R298">
            <v>0</v>
          </cell>
          <cell r="S298">
            <v>0</v>
          </cell>
        </row>
        <row r="299">
          <cell r="A299">
            <v>303</v>
          </cell>
          <cell r="C299" t="str">
            <v>EM E-Prop (Metts)</v>
          </cell>
          <cell r="D299">
            <v>23</v>
          </cell>
          <cell r="E299">
            <v>10</v>
          </cell>
          <cell r="F299">
            <v>289.14850000000001</v>
          </cell>
          <cell r="G299">
            <v>2.107497</v>
          </cell>
          <cell r="H299">
            <v>0</v>
          </cell>
          <cell r="I299">
            <v>15</v>
          </cell>
          <cell r="K299">
            <v>9.1652070000000005</v>
          </cell>
          <cell r="L299">
            <v>3.07</v>
          </cell>
          <cell r="M299">
            <v>0</v>
          </cell>
          <cell r="N299">
            <v>15</v>
          </cell>
          <cell r="R299">
            <v>0</v>
          </cell>
          <cell r="S299">
            <v>0</v>
          </cell>
        </row>
        <row r="300">
          <cell r="A300">
            <v>304</v>
          </cell>
          <cell r="C300" t="str">
            <v>EM E-Prop (Metts)</v>
          </cell>
          <cell r="D300">
            <v>24</v>
          </cell>
          <cell r="E300">
            <v>10</v>
          </cell>
          <cell r="F300">
            <v>332.48559999999998</v>
          </cell>
          <cell r="G300">
            <v>2.1112929999999999</v>
          </cell>
          <cell r="H300">
            <v>0</v>
          </cell>
          <cell r="I300">
            <v>15</v>
          </cell>
          <cell r="K300">
            <v>10.636990000000001</v>
          </cell>
          <cell r="L300">
            <v>3.0649999999999999</v>
          </cell>
          <cell r="M300">
            <v>0</v>
          </cell>
          <cell r="N300">
            <v>15</v>
          </cell>
          <cell r="R300">
            <v>0</v>
          </cell>
          <cell r="S300">
            <v>0</v>
          </cell>
        </row>
        <row r="301">
          <cell r="A301">
            <v>305</v>
          </cell>
          <cell r="C301" t="str">
            <v>Graupner Holz</v>
          </cell>
          <cell r="D301">
            <v>18</v>
          </cell>
          <cell r="E301">
            <v>8</v>
          </cell>
          <cell r="F301">
            <v>149.90280000000001</v>
          </cell>
          <cell r="G301">
            <v>2.0408140000000001</v>
          </cell>
          <cell r="H301">
            <v>0</v>
          </cell>
          <cell r="I301">
            <v>15</v>
          </cell>
          <cell r="K301">
            <v>3.8804310000000002</v>
          </cell>
          <cell r="L301">
            <v>3.048</v>
          </cell>
          <cell r="M301">
            <v>0</v>
          </cell>
          <cell r="N301">
            <v>15</v>
          </cell>
          <cell r="R301">
            <v>0</v>
          </cell>
          <cell r="S301">
            <v>0</v>
          </cell>
        </row>
        <row r="302">
          <cell r="A302">
            <v>306</v>
          </cell>
          <cell r="C302" t="str">
            <v>CFK-KD</v>
          </cell>
          <cell r="D302">
            <v>18</v>
          </cell>
          <cell r="E302">
            <v>10</v>
          </cell>
          <cell r="F302">
            <v>160.3622</v>
          </cell>
          <cell r="G302">
            <v>2.0410780000000002</v>
          </cell>
          <cell r="H302">
            <v>0</v>
          </cell>
          <cell r="I302">
            <v>15</v>
          </cell>
          <cell r="K302">
            <v>5.1632660000000001</v>
          </cell>
          <cell r="L302">
            <v>2.96</v>
          </cell>
          <cell r="M302">
            <v>0</v>
          </cell>
          <cell r="N302">
            <v>15</v>
          </cell>
          <cell r="R302">
            <v>0</v>
          </cell>
          <cell r="S302">
            <v>0</v>
          </cell>
        </row>
        <row r="303">
          <cell r="A303">
            <v>307</v>
          </cell>
          <cell r="C303" t="str">
            <v>Maro Holz</v>
          </cell>
          <cell r="D303">
            <v>17</v>
          </cell>
          <cell r="E303">
            <v>8</v>
          </cell>
          <cell r="F303">
            <v>93.762609999999995</v>
          </cell>
          <cell r="G303">
            <v>2.01146</v>
          </cell>
          <cell r="H303">
            <v>0</v>
          </cell>
          <cell r="I303">
            <v>15</v>
          </cell>
          <cell r="K303">
            <v>2.9317090000000001</v>
          </cell>
          <cell r="L303">
            <v>2.85</v>
          </cell>
          <cell r="M303">
            <v>0</v>
          </cell>
          <cell r="N303">
            <v>15</v>
          </cell>
          <cell r="R303">
            <v>0</v>
          </cell>
          <cell r="S303">
            <v>0</v>
          </cell>
        </row>
        <row r="304">
          <cell r="A304">
            <v>308</v>
          </cell>
          <cell r="C304" t="str">
            <v>Menz-S</v>
          </cell>
          <cell r="D304">
            <v>17</v>
          </cell>
          <cell r="E304">
            <v>10</v>
          </cell>
          <cell r="F304">
            <v>128.1138</v>
          </cell>
          <cell r="G304">
            <v>2.045725</v>
          </cell>
          <cell r="H304">
            <v>0</v>
          </cell>
          <cell r="I304">
            <v>15</v>
          </cell>
          <cell r="K304">
            <v>4.370698</v>
          </cell>
          <cell r="L304">
            <v>2.93</v>
          </cell>
          <cell r="M304">
            <v>0</v>
          </cell>
          <cell r="N304">
            <v>15</v>
          </cell>
          <cell r="R304">
            <v>0</v>
          </cell>
          <cell r="S304">
            <v>0</v>
          </cell>
        </row>
        <row r="305">
          <cell r="A305">
            <v>309</v>
          </cell>
          <cell r="C305" t="str">
            <v>Menz-S</v>
          </cell>
          <cell r="D305">
            <v>17</v>
          </cell>
          <cell r="E305">
            <v>12</v>
          </cell>
          <cell r="F305">
            <v>146.5744</v>
          </cell>
          <cell r="G305">
            <v>2.014529</v>
          </cell>
          <cell r="H305">
            <v>0</v>
          </cell>
          <cell r="I305">
            <v>15</v>
          </cell>
          <cell r="K305">
            <v>5.1568839999999998</v>
          </cell>
          <cell r="L305">
            <v>2.92</v>
          </cell>
          <cell r="M305">
            <v>0</v>
          </cell>
          <cell r="N305">
            <v>15</v>
          </cell>
          <cell r="R305">
            <v>0</v>
          </cell>
          <cell r="S305">
            <v>0</v>
          </cell>
        </row>
        <row r="306">
          <cell r="A306">
            <v>310</v>
          </cell>
          <cell r="C306" t="str">
            <v>Dymond E</v>
          </cell>
          <cell r="D306">
            <v>15</v>
          </cell>
          <cell r="E306">
            <v>8</v>
          </cell>
          <cell r="F306">
            <v>58.126480000000001</v>
          </cell>
          <cell r="G306">
            <v>2.1134029999999999</v>
          </cell>
          <cell r="H306">
            <v>0</v>
          </cell>
          <cell r="I306">
            <v>15</v>
          </cell>
          <cell r="K306">
            <v>1.8077859999999999</v>
          </cell>
          <cell r="L306">
            <v>3.02</v>
          </cell>
          <cell r="M306">
            <v>0</v>
          </cell>
          <cell r="N306">
            <v>15</v>
          </cell>
          <cell r="R306">
            <v>0</v>
          </cell>
          <cell r="S306">
            <v>0</v>
          </cell>
        </row>
        <row r="307">
          <cell r="A307">
            <v>311</v>
          </cell>
          <cell r="C307" t="str">
            <v>Dymond E</v>
          </cell>
          <cell r="D307">
            <v>10</v>
          </cell>
          <cell r="E307">
            <v>6</v>
          </cell>
          <cell r="F307">
            <v>12.905849999999999</v>
          </cell>
          <cell r="G307">
            <v>2.0735359999999998</v>
          </cell>
          <cell r="H307">
            <v>0</v>
          </cell>
          <cell r="I307">
            <v>15</v>
          </cell>
          <cell r="K307">
            <v>0.55432009999999998</v>
          </cell>
          <cell r="L307">
            <v>2.74</v>
          </cell>
          <cell r="M307">
            <v>0</v>
          </cell>
          <cell r="N307">
            <v>15</v>
          </cell>
          <cell r="R307">
            <v>0</v>
          </cell>
          <cell r="S307">
            <v>0</v>
          </cell>
        </row>
        <row r="308">
          <cell r="A308">
            <v>312</v>
          </cell>
          <cell r="C308" t="str">
            <v>Aero-Cam PP</v>
          </cell>
          <cell r="D308">
            <v>14</v>
          </cell>
          <cell r="E308">
            <v>8</v>
          </cell>
          <cell r="F308">
            <v>31.229410000000001</v>
          </cell>
          <cell r="G308">
            <v>2.2617620000000001</v>
          </cell>
          <cell r="H308">
            <v>0</v>
          </cell>
          <cell r="I308">
            <v>15</v>
          </cell>
          <cell r="K308">
            <v>1.676112</v>
          </cell>
          <cell r="L308">
            <v>2.8</v>
          </cell>
          <cell r="M308">
            <v>0</v>
          </cell>
          <cell r="N308">
            <v>15</v>
          </cell>
          <cell r="R308">
            <v>0</v>
          </cell>
          <cell r="S308">
            <v>0</v>
          </cell>
        </row>
        <row r="309">
          <cell r="A309">
            <v>313</v>
          </cell>
          <cell r="C309" t="str">
            <v>Parkzone P51 BL</v>
          </cell>
          <cell r="D309">
            <v>9</v>
          </cell>
          <cell r="E309">
            <v>6</v>
          </cell>
          <cell r="F309">
            <v>0</v>
          </cell>
          <cell r="G309">
            <v>0</v>
          </cell>
          <cell r="H309">
            <v>540</v>
          </cell>
          <cell r="I309">
            <v>25</v>
          </cell>
          <cell r="K309">
            <v>9.6209100000000006E-2</v>
          </cell>
          <cell r="L309">
            <v>3</v>
          </cell>
          <cell r="M309">
            <v>540</v>
          </cell>
          <cell r="N309">
            <v>25</v>
          </cell>
          <cell r="R309">
            <v>0</v>
          </cell>
          <cell r="S309">
            <v>0</v>
          </cell>
        </row>
        <row r="310">
          <cell r="A310">
            <v>314</v>
          </cell>
          <cell r="C310" t="str">
            <v>Master Airscrew</v>
          </cell>
          <cell r="D310">
            <v>6</v>
          </cell>
          <cell r="E310">
            <v>3</v>
          </cell>
          <cell r="F310">
            <v>0</v>
          </cell>
          <cell r="G310">
            <v>0</v>
          </cell>
          <cell r="H310">
            <v>390</v>
          </cell>
          <cell r="I310">
            <v>25</v>
          </cell>
          <cell r="K310">
            <v>1.75061E-2</v>
          </cell>
          <cell r="L310">
            <v>3</v>
          </cell>
          <cell r="M310">
            <v>390</v>
          </cell>
          <cell r="N310">
            <v>25</v>
          </cell>
          <cell r="R310">
            <v>0</v>
          </cell>
          <cell r="S310">
            <v>0</v>
          </cell>
        </row>
        <row r="311">
          <cell r="A311">
            <v>315</v>
          </cell>
          <cell r="C311" t="str">
            <v>EM E-Prop (Metts)</v>
          </cell>
          <cell r="D311">
            <v>10</v>
          </cell>
          <cell r="E311">
            <v>5</v>
          </cell>
          <cell r="F311">
            <v>10.464169999999999</v>
          </cell>
          <cell r="G311">
            <v>2.1038950000000001</v>
          </cell>
          <cell r="H311">
            <v>0</v>
          </cell>
          <cell r="I311">
            <v>15</v>
          </cell>
          <cell r="K311">
            <v>0.23163130000000001</v>
          </cell>
          <cell r="L311">
            <v>2.9901759999999999</v>
          </cell>
          <cell r="M311">
            <v>0</v>
          </cell>
          <cell r="N311">
            <v>15</v>
          </cell>
          <cell r="R311">
            <v>0</v>
          </cell>
          <cell r="S311">
            <v>0</v>
          </cell>
        </row>
        <row r="312">
          <cell r="A312">
            <v>316</v>
          </cell>
          <cell r="C312" t="str">
            <v>EM E-Prop (Metts)</v>
          </cell>
          <cell r="D312">
            <v>11</v>
          </cell>
          <cell r="E312">
            <v>5</v>
          </cell>
          <cell r="F312">
            <v>9.27928</v>
          </cell>
          <cell r="G312">
            <v>2.2761089999999999</v>
          </cell>
          <cell r="H312">
            <v>0</v>
          </cell>
          <cell r="I312">
            <v>15</v>
          </cell>
          <cell r="K312">
            <v>0.27562429999999999</v>
          </cell>
          <cell r="L312">
            <v>3.0295489999999998</v>
          </cell>
          <cell r="M312">
            <v>0</v>
          </cell>
          <cell r="N312">
            <v>15</v>
          </cell>
          <cell r="R312">
            <v>0</v>
          </cell>
          <cell r="S312">
            <v>0</v>
          </cell>
        </row>
        <row r="313">
          <cell r="A313">
            <v>317</v>
          </cell>
          <cell r="C313" t="str">
            <v>EM E-Prop (Metts)</v>
          </cell>
          <cell r="D313">
            <v>12</v>
          </cell>
          <cell r="E313">
            <v>7</v>
          </cell>
          <cell r="F313">
            <v>32.190190000000001</v>
          </cell>
          <cell r="G313">
            <v>1.9387129999999999</v>
          </cell>
          <cell r="H313">
            <v>0</v>
          </cell>
          <cell r="I313">
            <v>15</v>
          </cell>
          <cell r="K313">
            <v>0.30612929999999999</v>
          </cell>
          <cell r="L313">
            <v>3.2692809999999999</v>
          </cell>
          <cell r="M313">
            <v>0</v>
          </cell>
          <cell r="N313">
            <v>15</v>
          </cell>
          <cell r="R313">
            <v>0</v>
          </cell>
          <cell r="S313">
            <v>0</v>
          </cell>
        </row>
        <row r="314">
          <cell r="A314">
            <v>318</v>
          </cell>
          <cell r="C314" t="str">
            <v>PP-RC E 3Blatt</v>
          </cell>
          <cell r="D314">
            <v>18</v>
          </cell>
          <cell r="E314">
            <v>10</v>
          </cell>
          <cell r="F314">
            <v>242.54</v>
          </cell>
          <cell r="G314">
            <v>1.97793</v>
          </cell>
          <cell r="H314">
            <v>0</v>
          </cell>
          <cell r="I314">
            <v>15</v>
          </cell>
          <cell r="K314">
            <v>8.1936160000000005</v>
          </cell>
          <cell r="L314">
            <v>2.9330029999999998</v>
          </cell>
          <cell r="M314">
            <v>0</v>
          </cell>
          <cell r="N314">
            <v>15</v>
          </cell>
          <cell r="R314">
            <v>0</v>
          </cell>
          <cell r="S314">
            <v>0</v>
          </cell>
        </row>
        <row r="315">
          <cell r="A315">
            <v>320</v>
          </cell>
          <cell r="C315" t="str">
            <v>EM E-Prop (Metts)</v>
          </cell>
          <cell r="D315">
            <v>13</v>
          </cell>
          <cell r="E315">
            <v>7</v>
          </cell>
          <cell r="F315">
            <v>29.186019999999999</v>
          </cell>
          <cell r="G315">
            <v>2.1634549999999999</v>
          </cell>
          <cell r="H315">
            <v>0</v>
          </cell>
          <cell r="I315">
            <v>15</v>
          </cell>
          <cell r="K315">
            <v>0.67468349999999999</v>
          </cell>
          <cell r="L315">
            <v>3.0979239999999999</v>
          </cell>
          <cell r="M315">
            <v>0</v>
          </cell>
          <cell r="N315">
            <v>15</v>
          </cell>
          <cell r="R315">
            <v>0</v>
          </cell>
          <cell r="S315">
            <v>0</v>
          </cell>
        </row>
        <row r="316">
          <cell r="A316">
            <v>321</v>
          </cell>
          <cell r="C316" t="str">
            <v>EMP</v>
          </cell>
          <cell r="D316">
            <v>6</v>
          </cell>
          <cell r="E316">
            <v>4</v>
          </cell>
          <cell r="F316">
            <v>2.28437</v>
          </cell>
          <cell r="G316">
            <v>2.0470329999999999</v>
          </cell>
          <cell r="H316">
            <v>55</v>
          </cell>
          <cell r="I316">
            <v>30</v>
          </cell>
          <cell r="K316">
            <v>2.4381300000000002E-2</v>
          </cell>
          <cell r="L316">
            <v>3.1917230000000001</v>
          </cell>
          <cell r="M316">
            <v>55</v>
          </cell>
          <cell r="N316">
            <v>30</v>
          </cell>
          <cell r="R316">
            <v>0</v>
          </cell>
          <cell r="S316">
            <v>0</v>
          </cell>
        </row>
        <row r="317">
          <cell r="A317">
            <v>323</v>
          </cell>
          <cell r="C317" t="str">
            <v>APC Sport</v>
          </cell>
          <cell r="D317">
            <v>7</v>
          </cell>
          <cell r="E317">
            <v>7</v>
          </cell>
          <cell r="F317">
            <v>3.7780559999999999</v>
          </cell>
          <cell r="G317">
            <v>2.0594540000000001</v>
          </cell>
          <cell r="H317">
            <v>200</v>
          </cell>
          <cell r="I317">
            <v>22</v>
          </cell>
          <cell r="K317">
            <v>6.6210599999999994E-2</v>
          </cell>
          <cell r="L317">
            <v>3.188958</v>
          </cell>
          <cell r="M317">
            <v>200</v>
          </cell>
          <cell r="N317">
            <v>22</v>
          </cell>
          <cell r="R317">
            <v>0</v>
          </cell>
          <cell r="S317">
            <v>0</v>
          </cell>
        </row>
        <row r="318">
          <cell r="A318">
            <v>324</v>
          </cell>
          <cell r="C318" t="str">
            <v>EMP</v>
          </cell>
          <cell r="D318">
            <v>4.0999999999999996</v>
          </cell>
          <cell r="E318">
            <v>4.0999999999999996</v>
          </cell>
          <cell r="F318">
            <v>0.62178319999999998</v>
          </cell>
          <cell r="G318">
            <v>2.027698</v>
          </cell>
          <cell r="H318">
            <v>200</v>
          </cell>
          <cell r="I318">
            <v>22</v>
          </cell>
          <cell r="K318">
            <v>2.3410299999999998E-2</v>
          </cell>
          <cell r="L318">
            <v>2.79521</v>
          </cell>
          <cell r="M318">
            <v>200</v>
          </cell>
          <cell r="N318">
            <v>22</v>
          </cell>
          <cell r="R318">
            <v>0</v>
          </cell>
          <cell r="S318">
            <v>0</v>
          </cell>
        </row>
        <row r="319">
          <cell r="A319">
            <v>325</v>
          </cell>
          <cell r="C319" t="str">
            <v>EMP</v>
          </cell>
          <cell r="D319">
            <v>5</v>
          </cell>
          <cell r="E319">
            <v>5</v>
          </cell>
          <cell r="F319">
            <v>1.492316</v>
          </cell>
          <cell r="G319">
            <v>2.009039</v>
          </cell>
          <cell r="H319">
            <v>200</v>
          </cell>
          <cell r="I319">
            <v>22</v>
          </cell>
          <cell r="K319">
            <v>2.1927200000000001E-2</v>
          </cell>
          <cell r="L319">
            <v>3.0653069999999998</v>
          </cell>
          <cell r="M319">
            <v>200</v>
          </cell>
          <cell r="N319">
            <v>22</v>
          </cell>
          <cell r="R319">
            <v>0</v>
          </cell>
          <cell r="S319">
            <v>0</v>
          </cell>
        </row>
        <row r="320">
          <cell r="A320">
            <v>326</v>
          </cell>
          <cell r="C320" t="str">
            <v>Maxx</v>
          </cell>
          <cell r="D320">
            <v>5</v>
          </cell>
          <cell r="E320">
            <v>5</v>
          </cell>
          <cell r="F320">
            <v>1.3278909999999999</v>
          </cell>
          <cell r="G320">
            <v>2.0445890000000002</v>
          </cell>
          <cell r="H320">
            <v>200</v>
          </cell>
          <cell r="I320">
            <v>22</v>
          </cell>
          <cell r="K320">
            <v>2.2076999999999999E-2</v>
          </cell>
          <cell r="L320">
            <v>3.0906899999999999</v>
          </cell>
          <cell r="M320">
            <v>200</v>
          </cell>
          <cell r="N320">
            <v>22</v>
          </cell>
          <cell r="R320">
            <v>0</v>
          </cell>
          <cell r="S320">
            <v>0</v>
          </cell>
        </row>
        <row r="321">
          <cell r="A321">
            <v>327</v>
          </cell>
          <cell r="C321" t="str">
            <v>EMP</v>
          </cell>
          <cell r="D321">
            <v>6</v>
          </cell>
          <cell r="E321">
            <v>5</v>
          </cell>
          <cell r="F321">
            <v>1.093629</v>
          </cell>
          <cell r="G321">
            <v>2.2468870000000001</v>
          </cell>
          <cell r="H321">
            <v>200</v>
          </cell>
          <cell r="I321">
            <v>22</v>
          </cell>
          <cell r="K321">
            <v>2.28779E-2</v>
          </cell>
          <cell r="L321">
            <v>3.1002510000000001</v>
          </cell>
          <cell r="M321">
            <v>200</v>
          </cell>
          <cell r="N321">
            <v>22</v>
          </cell>
          <cell r="R321">
            <v>0</v>
          </cell>
          <cell r="S321">
            <v>0</v>
          </cell>
        </row>
        <row r="322">
          <cell r="A322">
            <v>328</v>
          </cell>
          <cell r="C322" t="str">
            <v>PP-RC E</v>
          </cell>
          <cell r="D322">
            <v>19</v>
          </cell>
          <cell r="E322">
            <v>10</v>
          </cell>
          <cell r="F322">
            <v>184.08369999999999</v>
          </cell>
          <cell r="G322">
            <v>2.066586</v>
          </cell>
          <cell r="H322">
            <v>0</v>
          </cell>
          <cell r="I322">
            <v>15</v>
          </cell>
          <cell r="K322">
            <v>4.0756769999999998</v>
          </cell>
          <cell r="L322">
            <v>3.2716240000000001</v>
          </cell>
          <cell r="M322">
            <v>0</v>
          </cell>
          <cell r="N322">
            <v>15</v>
          </cell>
          <cell r="R322">
            <v>0</v>
          </cell>
          <cell r="S322">
            <v>0</v>
          </cell>
        </row>
        <row r="323">
          <cell r="A323">
            <v>329</v>
          </cell>
          <cell r="C323" t="str">
            <v>APC WSF</v>
          </cell>
          <cell r="D323">
            <v>7</v>
          </cell>
          <cell r="E323">
            <v>3.8</v>
          </cell>
          <cell r="F323">
            <v>3.2158380000000002</v>
          </cell>
          <cell r="G323">
            <v>2.2303709999999999</v>
          </cell>
          <cell r="H323">
            <v>200</v>
          </cell>
          <cell r="I323">
            <v>22</v>
          </cell>
          <cell r="K323">
            <v>3.4843600000000002E-2</v>
          </cell>
          <cell r="L323">
            <v>3.4327770000000002</v>
          </cell>
          <cell r="M323">
            <v>200</v>
          </cell>
          <cell r="N323">
            <v>22</v>
          </cell>
          <cell r="R323">
            <v>0</v>
          </cell>
          <cell r="S323">
            <v>0</v>
          </cell>
        </row>
        <row r="324">
          <cell r="A324">
            <v>331</v>
          </cell>
          <cell r="C324" t="str">
            <v>Master Airscrew GF/3</v>
          </cell>
          <cell r="D324">
            <v>7</v>
          </cell>
          <cell r="E324">
            <v>3</v>
          </cell>
          <cell r="F324">
            <v>2.1890130000000001</v>
          </cell>
          <cell r="G324">
            <v>2.1175799999999998</v>
          </cell>
          <cell r="H324">
            <v>200</v>
          </cell>
          <cell r="I324">
            <v>22</v>
          </cell>
          <cell r="K324">
            <v>2.9214299999999999E-2</v>
          </cell>
          <cell r="L324">
            <v>3.1278160000000002</v>
          </cell>
          <cell r="M324">
            <v>200</v>
          </cell>
          <cell r="N324">
            <v>22</v>
          </cell>
          <cell r="R324">
            <v>0</v>
          </cell>
          <cell r="S324">
            <v>0</v>
          </cell>
        </row>
        <row r="325">
          <cell r="A325">
            <v>332</v>
          </cell>
          <cell r="C325" t="str">
            <v>GWS HD</v>
          </cell>
          <cell r="D325">
            <v>10</v>
          </cell>
          <cell r="E325">
            <v>8</v>
          </cell>
          <cell r="F325">
            <v>14.942830000000001</v>
          </cell>
          <cell r="G325">
            <v>2.0868540000000002</v>
          </cell>
          <cell r="H325">
            <v>200</v>
          </cell>
          <cell r="I325">
            <v>22</v>
          </cell>
          <cell r="K325">
            <v>0.31248680000000001</v>
          </cell>
          <cell r="L325">
            <v>3</v>
          </cell>
          <cell r="M325">
            <v>200</v>
          </cell>
          <cell r="N325">
            <v>22</v>
          </cell>
          <cell r="R325">
            <v>0</v>
          </cell>
          <cell r="S325">
            <v>0</v>
          </cell>
        </row>
        <row r="326">
          <cell r="A326">
            <v>333</v>
          </cell>
          <cell r="C326" t="str">
            <v>EMP</v>
          </cell>
          <cell r="D326">
            <v>7</v>
          </cell>
          <cell r="E326">
            <v>4.5</v>
          </cell>
          <cell r="F326">
            <v>5.7669459999999999</v>
          </cell>
          <cell r="G326">
            <v>2.0284650000000002</v>
          </cell>
          <cell r="H326">
            <v>200</v>
          </cell>
          <cell r="I326">
            <v>22</v>
          </cell>
          <cell r="K326">
            <v>0.1550947</v>
          </cell>
          <cell r="L326">
            <v>3.0042529999999998</v>
          </cell>
          <cell r="M326">
            <v>200</v>
          </cell>
          <cell r="N326">
            <v>22</v>
          </cell>
          <cell r="R326">
            <v>0</v>
          </cell>
          <cell r="S326">
            <v>0</v>
          </cell>
        </row>
        <row r="327">
          <cell r="A327">
            <v>334</v>
          </cell>
          <cell r="C327" t="str">
            <v>APC E</v>
          </cell>
          <cell r="D327">
            <v>18</v>
          </cell>
          <cell r="E327">
            <v>8</v>
          </cell>
          <cell r="F327">
            <v>0</v>
          </cell>
          <cell r="G327">
            <v>0</v>
          </cell>
          <cell r="H327">
            <v>680</v>
          </cell>
          <cell r="I327">
            <v>18</v>
          </cell>
          <cell r="K327">
            <v>3.6129600000000002</v>
          </cell>
          <cell r="L327">
            <v>3</v>
          </cell>
          <cell r="M327">
            <v>680</v>
          </cell>
          <cell r="N327">
            <v>15</v>
          </cell>
          <cell r="R327">
            <v>0</v>
          </cell>
          <cell r="S327">
            <v>0</v>
          </cell>
        </row>
        <row r="328">
          <cell r="A328">
            <v>335</v>
          </cell>
          <cell r="C328" t="str">
            <v>GrpCamSpeed</v>
          </cell>
          <cell r="D328">
            <v>4</v>
          </cell>
          <cell r="E328">
            <v>3</v>
          </cell>
          <cell r="F328">
            <v>0.42750949999999999</v>
          </cell>
          <cell r="G328">
            <v>2.0805500000000001</v>
          </cell>
          <cell r="H328">
            <v>200</v>
          </cell>
          <cell r="I328">
            <v>22</v>
          </cell>
          <cell r="K328">
            <v>1.5327199999999999E-2</v>
          </cell>
          <cell r="L328">
            <v>2.9502229999999998</v>
          </cell>
          <cell r="M328">
            <v>200</v>
          </cell>
          <cell r="N328">
            <v>22</v>
          </cell>
          <cell r="R328">
            <v>0</v>
          </cell>
          <cell r="S328">
            <v>0</v>
          </cell>
        </row>
        <row r="329">
          <cell r="A329">
            <v>336</v>
          </cell>
          <cell r="C329" t="str">
            <v>GWS HD</v>
          </cell>
          <cell r="D329">
            <v>12</v>
          </cell>
          <cell r="E329">
            <v>6</v>
          </cell>
          <cell r="F329">
            <v>24.483809999999998</v>
          </cell>
          <cell r="G329">
            <v>2.0492750000000002</v>
          </cell>
          <cell r="H329">
            <v>200</v>
          </cell>
          <cell r="I329">
            <v>20</v>
          </cell>
          <cell r="K329">
            <v>0.47451729999999998</v>
          </cell>
          <cell r="L329">
            <v>3</v>
          </cell>
          <cell r="M329">
            <v>120</v>
          </cell>
          <cell r="N329">
            <v>18</v>
          </cell>
          <cell r="R329">
            <v>0</v>
          </cell>
          <cell r="S329">
            <v>0</v>
          </cell>
        </row>
        <row r="330">
          <cell r="A330">
            <v>337</v>
          </cell>
          <cell r="C330" t="str">
            <v>XOAR PJA sport</v>
          </cell>
          <cell r="D330">
            <v>13</v>
          </cell>
          <cell r="E330">
            <v>6</v>
          </cell>
          <cell r="F330">
            <v>0</v>
          </cell>
          <cell r="G330">
            <v>0</v>
          </cell>
          <cell r="H330">
            <v>218</v>
          </cell>
          <cell r="I330">
            <v>17</v>
          </cell>
          <cell r="K330">
            <v>0.73299999999999998</v>
          </cell>
          <cell r="L330">
            <v>3</v>
          </cell>
          <cell r="M330">
            <v>287</v>
          </cell>
          <cell r="N330">
            <v>15</v>
          </cell>
          <cell r="R330">
            <v>0</v>
          </cell>
          <cell r="S330">
            <v>0</v>
          </cell>
        </row>
        <row r="331">
          <cell r="A331">
            <v>338</v>
          </cell>
          <cell r="C331" t="str">
            <v>XOAR PJA sport</v>
          </cell>
          <cell r="D331">
            <v>13</v>
          </cell>
          <cell r="E331">
            <v>7</v>
          </cell>
          <cell r="F331">
            <v>0</v>
          </cell>
          <cell r="G331">
            <v>0</v>
          </cell>
          <cell r="H331">
            <v>218</v>
          </cell>
          <cell r="I331">
            <v>17</v>
          </cell>
          <cell r="K331">
            <v>0.86750000000000005</v>
          </cell>
          <cell r="L331">
            <v>3</v>
          </cell>
          <cell r="M331">
            <v>287</v>
          </cell>
          <cell r="N331">
            <v>15</v>
          </cell>
          <cell r="R331">
            <v>0</v>
          </cell>
          <cell r="S331">
            <v>0</v>
          </cell>
        </row>
        <row r="332">
          <cell r="A332">
            <v>339</v>
          </cell>
          <cell r="C332" t="str">
            <v>Master Airscrew Beachwood</v>
          </cell>
          <cell r="D332">
            <v>13</v>
          </cell>
          <cell r="E332">
            <v>6</v>
          </cell>
          <cell r="F332">
            <v>0</v>
          </cell>
          <cell r="G332">
            <v>0</v>
          </cell>
          <cell r="H332">
            <v>218</v>
          </cell>
          <cell r="I332">
            <v>17</v>
          </cell>
          <cell r="K332">
            <v>0.89990000000000003</v>
          </cell>
          <cell r="L332">
            <v>3</v>
          </cell>
          <cell r="M332">
            <v>287</v>
          </cell>
          <cell r="N332">
            <v>15</v>
          </cell>
          <cell r="R332">
            <v>0</v>
          </cell>
          <cell r="S332">
            <v>0</v>
          </cell>
        </row>
        <row r="333">
          <cell r="A333">
            <v>340</v>
          </cell>
          <cell r="C333" t="str">
            <v>APC SF</v>
          </cell>
          <cell r="D333">
            <v>7</v>
          </cell>
          <cell r="E333">
            <v>3.8</v>
          </cell>
          <cell r="F333">
            <v>3.2158380000000002</v>
          </cell>
          <cell r="G333">
            <v>2.2303709999999999</v>
          </cell>
          <cell r="H333">
            <v>200</v>
          </cell>
          <cell r="I333">
            <v>22</v>
          </cell>
          <cell r="K333">
            <v>3.4843600000000002E-2</v>
          </cell>
          <cell r="L333">
            <v>3.4327770000000002</v>
          </cell>
          <cell r="M333">
            <v>200</v>
          </cell>
          <cell r="N333">
            <v>22</v>
          </cell>
          <cell r="R333">
            <v>0</v>
          </cell>
          <cell r="S333">
            <v>0</v>
          </cell>
        </row>
        <row r="334">
          <cell r="A334">
            <v>341</v>
          </cell>
          <cell r="C334" t="str">
            <v>AeroCAM</v>
          </cell>
          <cell r="D334">
            <v>12.5</v>
          </cell>
          <cell r="E334">
            <v>6</v>
          </cell>
          <cell r="F334">
            <v>24.564599999999999</v>
          </cell>
          <cell r="G334">
            <v>2.0991550000000001</v>
          </cell>
          <cell r="H334">
            <v>0</v>
          </cell>
          <cell r="I334">
            <v>15</v>
          </cell>
          <cell r="K334">
            <v>0.51199629999999996</v>
          </cell>
          <cell r="L334">
            <v>3</v>
          </cell>
          <cell r="M334">
            <v>0</v>
          </cell>
          <cell r="N334">
            <v>15</v>
          </cell>
          <cell r="R334">
            <v>1</v>
          </cell>
          <cell r="S334">
            <v>42</v>
          </cell>
        </row>
        <row r="335">
          <cell r="A335">
            <v>342</v>
          </cell>
          <cell r="C335" t="str">
            <v>Graupner CAM</v>
          </cell>
          <cell r="D335">
            <v>8</v>
          </cell>
          <cell r="E335">
            <v>6</v>
          </cell>
          <cell r="F335">
            <v>4.7392799999999999</v>
          </cell>
          <cell r="G335">
            <v>2.0761189999999998</v>
          </cell>
          <cell r="H335">
            <v>0</v>
          </cell>
          <cell r="I335">
            <v>15</v>
          </cell>
          <cell r="K335">
            <v>0.1162675</v>
          </cell>
          <cell r="L335">
            <v>3</v>
          </cell>
          <cell r="M335">
            <v>0</v>
          </cell>
          <cell r="N335">
            <v>15</v>
          </cell>
          <cell r="R335">
            <v>0</v>
          </cell>
          <cell r="S335">
            <v>0</v>
          </cell>
        </row>
        <row r="336">
          <cell r="A336">
            <v>343</v>
          </cell>
          <cell r="C336" t="str">
            <v>Graupner CAM</v>
          </cell>
          <cell r="D336">
            <v>9</v>
          </cell>
          <cell r="E336">
            <v>4</v>
          </cell>
          <cell r="F336">
            <v>10.421620000000001</v>
          </cell>
          <cell r="G336">
            <v>1.8620479999999999</v>
          </cell>
          <cell r="H336">
            <v>0</v>
          </cell>
          <cell r="I336">
            <v>15</v>
          </cell>
          <cell r="K336">
            <v>9.1514200000000004E-2</v>
          </cell>
          <cell r="L336">
            <v>3</v>
          </cell>
          <cell r="M336">
            <v>0</v>
          </cell>
          <cell r="N336">
            <v>15</v>
          </cell>
          <cell r="R336">
            <v>0</v>
          </cell>
          <cell r="S336">
            <v>0</v>
          </cell>
        </row>
        <row r="337">
          <cell r="A337">
            <v>344</v>
          </cell>
          <cell r="C337" t="str">
            <v>AeroCAM</v>
          </cell>
          <cell r="D337">
            <v>9</v>
          </cell>
          <cell r="E337">
            <v>7</v>
          </cell>
          <cell r="F337">
            <v>7.6750629999999997</v>
          </cell>
          <cell r="G337">
            <v>2.0981030000000001</v>
          </cell>
          <cell r="H337">
            <v>0</v>
          </cell>
          <cell r="I337">
            <v>15</v>
          </cell>
          <cell r="K337">
            <v>0.24281820000000001</v>
          </cell>
          <cell r="L337">
            <v>3</v>
          </cell>
          <cell r="M337">
            <v>0</v>
          </cell>
          <cell r="N337">
            <v>15</v>
          </cell>
          <cell r="R337">
            <v>1</v>
          </cell>
          <cell r="S337">
            <v>42</v>
          </cell>
        </row>
        <row r="338">
          <cell r="A338">
            <v>345</v>
          </cell>
          <cell r="C338" t="str">
            <v>Graupner CAM</v>
          </cell>
          <cell r="D338">
            <v>10</v>
          </cell>
          <cell r="E338">
            <v>6</v>
          </cell>
          <cell r="F338">
            <v>13.421749999999999</v>
          </cell>
          <cell r="G338">
            <v>2.0329769999999998</v>
          </cell>
          <cell r="H338">
            <v>0</v>
          </cell>
          <cell r="I338">
            <v>15</v>
          </cell>
          <cell r="K338">
            <v>0.226906</v>
          </cell>
          <cell r="L338">
            <v>3</v>
          </cell>
          <cell r="M338">
            <v>0</v>
          </cell>
          <cell r="N338">
            <v>15</v>
          </cell>
          <cell r="R338">
            <v>0</v>
          </cell>
          <cell r="S338">
            <v>0</v>
          </cell>
        </row>
        <row r="339">
          <cell r="A339">
            <v>346</v>
          </cell>
          <cell r="C339" t="str">
            <v>Graupner CAM</v>
          </cell>
          <cell r="D339">
            <v>11</v>
          </cell>
          <cell r="E339">
            <v>6</v>
          </cell>
          <cell r="F339">
            <v>18.49896</v>
          </cell>
          <cell r="G339">
            <v>2.049112</v>
          </cell>
          <cell r="H339">
            <v>0</v>
          </cell>
          <cell r="I339">
            <v>15</v>
          </cell>
          <cell r="K339">
            <v>0.36379699999999998</v>
          </cell>
          <cell r="L339">
            <v>3</v>
          </cell>
          <cell r="M339">
            <v>0</v>
          </cell>
          <cell r="N339">
            <v>15</v>
          </cell>
          <cell r="R339">
            <v>0</v>
          </cell>
          <cell r="S339">
            <v>0</v>
          </cell>
        </row>
        <row r="340">
          <cell r="A340">
            <v>347</v>
          </cell>
          <cell r="C340" t="str">
            <v>Graupner CAM</v>
          </cell>
          <cell r="D340">
            <v>10</v>
          </cell>
          <cell r="E340">
            <v>8</v>
          </cell>
          <cell r="F340">
            <v>17.469149999999999</v>
          </cell>
          <cell r="G340">
            <v>1.947381</v>
          </cell>
          <cell r="H340">
            <v>0</v>
          </cell>
          <cell r="I340">
            <v>15</v>
          </cell>
          <cell r="K340">
            <v>0.32660309999999998</v>
          </cell>
          <cell r="L340">
            <v>3</v>
          </cell>
          <cell r="M340">
            <v>0</v>
          </cell>
          <cell r="N340">
            <v>15</v>
          </cell>
          <cell r="R340">
            <v>0</v>
          </cell>
          <cell r="S340">
            <v>0</v>
          </cell>
        </row>
        <row r="341">
          <cell r="A341">
            <v>348</v>
          </cell>
          <cell r="C341" t="str">
            <v>Graupner CAM</v>
          </cell>
          <cell r="D341">
            <v>11</v>
          </cell>
          <cell r="E341">
            <v>8</v>
          </cell>
          <cell r="F341">
            <v>18.346779999999999</v>
          </cell>
          <cell r="G341">
            <v>2.11612</v>
          </cell>
          <cell r="H341">
            <v>0</v>
          </cell>
          <cell r="I341">
            <v>15</v>
          </cell>
          <cell r="K341">
            <v>0.48640990000000001</v>
          </cell>
          <cell r="L341">
            <v>3</v>
          </cell>
          <cell r="M341">
            <v>0</v>
          </cell>
          <cell r="N341">
            <v>15</v>
          </cell>
          <cell r="R341">
            <v>0</v>
          </cell>
          <cell r="S341">
            <v>0</v>
          </cell>
        </row>
        <row r="342">
          <cell r="A342">
            <v>349</v>
          </cell>
          <cell r="C342" t="str">
            <v>Graupner CAM</v>
          </cell>
          <cell r="D342">
            <v>12</v>
          </cell>
          <cell r="E342">
            <v>6</v>
          </cell>
          <cell r="F342">
            <v>23.28614</v>
          </cell>
          <cell r="G342">
            <v>2.0486460000000002</v>
          </cell>
          <cell r="H342">
            <v>0</v>
          </cell>
          <cell r="I342">
            <v>15</v>
          </cell>
          <cell r="K342">
            <v>0.38688479999999997</v>
          </cell>
          <cell r="L342">
            <v>3</v>
          </cell>
          <cell r="M342">
            <v>0</v>
          </cell>
          <cell r="N342">
            <v>15</v>
          </cell>
          <cell r="R342">
            <v>0</v>
          </cell>
          <cell r="S342">
            <v>0</v>
          </cell>
        </row>
        <row r="343">
          <cell r="A343">
            <v>350</v>
          </cell>
          <cell r="C343" t="str">
            <v>EMP</v>
          </cell>
          <cell r="D343">
            <v>4.5</v>
          </cell>
          <cell r="E343">
            <v>4.5</v>
          </cell>
          <cell r="F343">
            <v>0.86344880000000002</v>
          </cell>
          <cell r="G343">
            <v>2.0742219999999998</v>
          </cell>
          <cell r="H343">
            <v>200</v>
          </cell>
          <cell r="I343">
            <v>22</v>
          </cell>
          <cell r="K343">
            <v>2.2922999999999999E-2</v>
          </cell>
          <cell r="L343">
            <v>2.881316</v>
          </cell>
          <cell r="M343">
            <v>200</v>
          </cell>
          <cell r="N343">
            <v>22</v>
          </cell>
          <cell r="R343">
            <v>0</v>
          </cell>
          <cell r="S343">
            <v>0</v>
          </cell>
        </row>
        <row r="344">
          <cell r="A344">
            <v>351</v>
          </cell>
          <cell r="C344" t="str">
            <v>GWS HD 3-blade</v>
          </cell>
          <cell r="D344">
            <v>6</v>
          </cell>
          <cell r="E344">
            <v>3</v>
          </cell>
          <cell r="F344">
            <v>1.532708</v>
          </cell>
          <cell r="G344">
            <v>2.0740609999999999</v>
          </cell>
          <cell r="H344">
            <v>200</v>
          </cell>
          <cell r="I344">
            <v>22</v>
          </cell>
          <cell r="K344">
            <v>2.6053300000000001E-2</v>
          </cell>
          <cell r="L344">
            <v>2.9852439999999998</v>
          </cell>
          <cell r="M344">
            <v>200</v>
          </cell>
          <cell r="N344">
            <v>22</v>
          </cell>
          <cell r="R344">
            <v>0</v>
          </cell>
          <cell r="S344">
            <v>0</v>
          </cell>
        </row>
        <row r="345">
          <cell r="A345">
            <v>352</v>
          </cell>
          <cell r="C345" t="str">
            <v>GWS HD 3-blade</v>
          </cell>
          <cell r="D345">
            <v>7</v>
          </cell>
          <cell r="E345">
            <v>3.5</v>
          </cell>
          <cell r="F345">
            <v>1.7920780000000001</v>
          </cell>
          <cell r="G345">
            <v>2.2198560000000001</v>
          </cell>
          <cell r="H345">
            <v>200</v>
          </cell>
          <cell r="I345">
            <v>22</v>
          </cell>
          <cell r="K345">
            <v>1.7792200000000001E-2</v>
          </cell>
          <cell r="L345">
            <v>3.368668</v>
          </cell>
          <cell r="M345">
            <v>200</v>
          </cell>
          <cell r="N345">
            <v>22</v>
          </cell>
          <cell r="R345">
            <v>0</v>
          </cell>
          <cell r="S345">
            <v>0</v>
          </cell>
        </row>
        <row r="346">
          <cell r="A346">
            <v>353</v>
          </cell>
          <cell r="C346" t="str">
            <v>XFAN56</v>
          </cell>
          <cell r="D346">
            <v>2.2000000000000002</v>
          </cell>
          <cell r="E346">
            <v>3.69</v>
          </cell>
          <cell r="F346">
            <v>0</v>
          </cell>
          <cell r="G346">
            <v>0</v>
          </cell>
          <cell r="H346">
            <v>390</v>
          </cell>
          <cell r="I346">
            <v>20</v>
          </cell>
          <cell r="K346">
            <v>2.8492000000000001E-3</v>
          </cell>
          <cell r="L346">
            <v>3</v>
          </cell>
          <cell r="M346">
            <v>390</v>
          </cell>
          <cell r="N346">
            <v>20</v>
          </cell>
          <cell r="R346">
            <v>0</v>
          </cell>
          <cell r="S346">
            <v>0</v>
          </cell>
        </row>
        <row r="347">
          <cell r="A347">
            <v>354</v>
          </cell>
          <cell r="C347" t="str">
            <v>Master Airscrew Electric only 3-blade</v>
          </cell>
          <cell r="D347">
            <v>6</v>
          </cell>
          <cell r="E347">
            <v>4</v>
          </cell>
          <cell r="F347">
            <v>1.340368</v>
          </cell>
          <cell r="G347">
            <v>2.2028919999999999</v>
          </cell>
          <cell r="H347">
            <v>200</v>
          </cell>
          <cell r="I347">
            <v>22</v>
          </cell>
          <cell r="K347">
            <v>6.5660200000000002E-2</v>
          </cell>
          <cell r="L347">
            <v>2.8894950000000001</v>
          </cell>
          <cell r="M347">
            <v>200</v>
          </cell>
          <cell r="N347">
            <v>22</v>
          </cell>
          <cell r="R347">
            <v>0</v>
          </cell>
          <cell r="S347">
            <v>0</v>
          </cell>
        </row>
        <row r="348">
          <cell r="A348">
            <v>355</v>
          </cell>
          <cell r="C348" t="str">
            <v>Master Airscrew Electric only 3-blade</v>
          </cell>
          <cell r="D348">
            <v>7</v>
          </cell>
          <cell r="E348">
            <v>4</v>
          </cell>
          <cell r="F348">
            <v>3.9233030000000002</v>
          </cell>
          <cell r="G348">
            <v>2</v>
          </cell>
          <cell r="H348">
            <v>200</v>
          </cell>
          <cell r="I348">
            <v>22</v>
          </cell>
          <cell r="K348">
            <v>9.4308199999999995E-2</v>
          </cell>
          <cell r="L348">
            <v>2.9466990000000002</v>
          </cell>
          <cell r="M348">
            <v>200</v>
          </cell>
          <cell r="N348">
            <v>22</v>
          </cell>
          <cell r="R348">
            <v>0</v>
          </cell>
          <cell r="S348">
            <v>0</v>
          </cell>
        </row>
        <row r="349">
          <cell r="A349">
            <v>356</v>
          </cell>
          <cell r="C349" t="str">
            <v>Graupner Slowfly</v>
          </cell>
          <cell r="D349">
            <v>6.7</v>
          </cell>
          <cell r="E349">
            <v>3.5</v>
          </cell>
          <cell r="F349">
            <v>2.996537</v>
          </cell>
          <cell r="G349">
            <v>2</v>
          </cell>
          <cell r="H349">
            <v>100</v>
          </cell>
          <cell r="I349">
            <v>20</v>
          </cell>
          <cell r="K349">
            <v>3.2341200000000001E-2</v>
          </cell>
          <cell r="L349">
            <v>3.082023</v>
          </cell>
          <cell r="M349">
            <v>100</v>
          </cell>
          <cell r="N349">
            <v>20</v>
          </cell>
          <cell r="R349">
            <v>0</v>
          </cell>
          <cell r="S349">
            <v>0</v>
          </cell>
        </row>
        <row r="350">
          <cell r="A350">
            <v>357</v>
          </cell>
          <cell r="C350" t="str">
            <v>Graupner Slowfly</v>
          </cell>
          <cell r="D350">
            <v>7</v>
          </cell>
          <cell r="E350">
            <v>4</v>
          </cell>
          <cell r="F350">
            <v>3.9485769999999998</v>
          </cell>
          <cell r="G350">
            <v>2</v>
          </cell>
          <cell r="H350">
            <v>100</v>
          </cell>
          <cell r="I350">
            <v>20</v>
          </cell>
          <cell r="K350">
            <v>9.4667600000000005E-2</v>
          </cell>
          <cell r="L350">
            <v>2.8158430000000001</v>
          </cell>
          <cell r="M350">
            <v>100</v>
          </cell>
          <cell r="N350">
            <v>20</v>
          </cell>
          <cell r="R350">
            <v>0</v>
          </cell>
          <cell r="S350">
            <v>0</v>
          </cell>
        </row>
        <row r="351">
          <cell r="A351">
            <v>358</v>
          </cell>
          <cell r="C351" t="str">
            <v>Graupner Slim</v>
          </cell>
          <cell r="D351">
            <v>6.6</v>
          </cell>
          <cell r="E351">
            <v>3</v>
          </cell>
          <cell r="F351">
            <v>2.259897</v>
          </cell>
          <cell r="G351">
            <v>2</v>
          </cell>
          <cell r="H351">
            <v>0</v>
          </cell>
          <cell r="I351">
            <v>15</v>
          </cell>
          <cell r="K351">
            <v>2.8940799999999999E-2</v>
          </cell>
          <cell r="L351">
            <v>3</v>
          </cell>
          <cell r="M351">
            <v>100</v>
          </cell>
          <cell r="N351">
            <v>20</v>
          </cell>
          <cell r="R351">
            <v>0</v>
          </cell>
          <cell r="S351">
            <v>0</v>
          </cell>
        </row>
        <row r="352">
          <cell r="A352">
            <v>359</v>
          </cell>
          <cell r="C352" t="str">
            <v>Graupner Slowfly</v>
          </cell>
          <cell r="D352">
            <v>8</v>
          </cell>
          <cell r="E352">
            <v>4.5</v>
          </cell>
          <cell r="F352">
            <v>6.774813</v>
          </cell>
          <cell r="G352">
            <v>2</v>
          </cell>
          <cell r="H352">
            <v>100</v>
          </cell>
          <cell r="I352">
            <v>20</v>
          </cell>
          <cell r="K352">
            <v>0.12622269999999999</v>
          </cell>
          <cell r="L352">
            <v>3</v>
          </cell>
          <cell r="M352">
            <v>100</v>
          </cell>
          <cell r="N352">
            <v>18</v>
          </cell>
          <cell r="R352">
            <v>0</v>
          </cell>
          <cell r="S352">
            <v>0</v>
          </cell>
        </row>
        <row r="353">
          <cell r="A353">
            <v>360</v>
          </cell>
          <cell r="C353" t="str">
            <v>Graupner Slowfly</v>
          </cell>
          <cell r="D353">
            <v>9</v>
          </cell>
          <cell r="E353">
            <v>5</v>
          </cell>
          <cell r="F353">
            <v>10.701879999999999</v>
          </cell>
          <cell r="G353">
            <v>2</v>
          </cell>
          <cell r="H353">
            <v>100</v>
          </cell>
          <cell r="I353">
            <v>20</v>
          </cell>
          <cell r="K353">
            <v>0.20504929999999999</v>
          </cell>
          <cell r="L353">
            <v>3</v>
          </cell>
          <cell r="M353">
            <v>100</v>
          </cell>
          <cell r="N353">
            <v>18</v>
          </cell>
          <cell r="R353">
            <v>0</v>
          </cell>
          <cell r="S353">
            <v>0</v>
          </cell>
        </row>
        <row r="354">
          <cell r="A354">
            <v>361</v>
          </cell>
          <cell r="C354" t="str">
            <v>AeroCarbon</v>
          </cell>
          <cell r="D354">
            <v>18</v>
          </cell>
          <cell r="E354">
            <v>9</v>
          </cell>
          <cell r="F354">
            <v>95.980649999999997</v>
          </cell>
          <cell r="G354">
            <v>2.1204909999999999</v>
          </cell>
          <cell r="H354">
            <v>15</v>
          </cell>
          <cell r="I354">
            <v>20</v>
          </cell>
          <cell r="K354">
            <v>3.2070820000000002</v>
          </cell>
          <cell r="L354">
            <v>3</v>
          </cell>
          <cell r="M354">
            <v>0</v>
          </cell>
          <cell r="N354">
            <v>15</v>
          </cell>
          <cell r="R354">
            <v>1</v>
          </cell>
          <cell r="S354">
            <v>45</v>
          </cell>
        </row>
        <row r="355">
          <cell r="A355">
            <v>362</v>
          </cell>
          <cell r="C355" t="str">
            <v>AeroCarbon</v>
          </cell>
          <cell r="D355">
            <v>18.5</v>
          </cell>
          <cell r="E355">
            <v>10</v>
          </cell>
          <cell r="F355">
            <v>114.2891</v>
          </cell>
          <cell r="G355">
            <v>2.0428199999999999</v>
          </cell>
          <cell r="H355">
            <v>15</v>
          </cell>
          <cell r="I355">
            <v>20</v>
          </cell>
          <cell r="K355">
            <v>3.6080230000000002</v>
          </cell>
          <cell r="L355">
            <v>3</v>
          </cell>
          <cell r="M355">
            <v>0</v>
          </cell>
          <cell r="N355">
            <v>15</v>
          </cell>
          <cell r="R355">
            <v>1</v>
          </cell>
          <cell r="S355">
            <v>45</v>
          </cell>
        </row>
        <row r="356">
          <cell r="A356">
            <v>363</v>
          </cell>
          <cell r="C356" t="str">
            <v>Fiala E-Holz</v>
          </cell>
          <cell r="D356">
            <v>15</v>
          </cell>
          <cell r="E356">
            <v>8</v>
          </cell>
          <cell r="F356">
            <v>46.410330000000002</v>
          </cell>
          <cell r="G356">
            <v>2.1771189999999998</v>
          </cell>
          <cell r="H356">
            <v>0</v>
          </cell>
          <cell r="I356">
            <v>15</v>
          </cell>
          <cell r="K356">
            <v>1.483374</v>
          </cell>
          <cell r="L356">
            <v>3</v>
          </cell>
          <cell r="M356">
            <v>0</v>
          </cell>
          <cell r="N356">
            <v>15</v>
          </cell>
          <cell r="R356">
            <v>0</v>
          </cell>
          <cell r="S356">
            <v>0</v>
          </cell>
        </row>
        <row r="357">
          <cell r="A357">
            <v>364</v>
          </cell>
          <cell r="C357" t="str">
            <v>Fiala E-Holz</v>
          </cell>
          <cell r="D357">
            <v>15</v>
          </cell>
          <cell r="E357">
            <v>10</v>
          </cell>
          <cell r="F357">
            <v>64.525120000000001</v>
          </cell>
          <cell r="G357">
            <v>2.0382410000000002</v>
          </cell>
          <cell r="H357">
            <v>0</v>
          </cell>
          <cell r="I357">
            <v>15</v>
          </cell>
          <cell r="K357">
            <v>1.21095</v>
          </cell>
          <cell r="L357">
            <v>3.1447820000000002</v>
          </cell>
          <cell r="M357">
            <v>0</v>
          </cell>
          <cell r="N357">
            <v>15</v>
          </cell>
          <cell r="R357">
            <v>0</v>
          </cell>
          <cell r="S357">
            <v>0</v>
          </cell>
        </row>
        <row r="358">
          <cell r="A358">
            <v>365</v>
          </cell>
          <cell r="C358" t="str">
            <v>Fiala E-Holz</v>
          </cell>
          <cell r="D358">
            <v>16</v>
          </cell>
          <cell r="E358">
            <v>8</v>
          </cell>
          <cell r="F358">
            <v>42.307780000000001</v>
          </cell>
          <cell r="G358">
            <v>2.218655</v>
          </cell>
          <cell r="H358">
            <v>0</v>
          </cell>
          <cell r="I358">
            <v>15</v>
          </cell>
          <cell r="K358">
            <v>0.68209470000000005</v>
          </cell>
          <cell r="L358">
            <v>3.301218</v>
          </cell>
          <cell r="M358">
            <v>0</v>
          </cell>
          <cell r="N358">
            <v>15</v>
          </cell>
          <cell r="R358">
            <v>0</v>
          </cell>
          <cell r="S358">
            <v>0</v>
          </cell>
        </row>
        <row r="359">
          <cell r="A359">
            <v>366</v>
          </cell>
          <cell r="C359" t="str">
            <v>Fiala E-Holz</v>
          </cell>
          <cell r="D359">
            <v>20</v>
          </cell>
          <cell r="E359">
            <v>18</v>
          </cell>
          <cell r="F359">
            <v>218.04470000000001</v>
          </cell>
          <cell r="G359">
            <v>2</v>
          </cell>
          <cell r="H359">
            <v>0</v>
          </cell>
          <cell r="I359">
            <v>15</v>
          </cell>
          <cell r="K359">
            <v>10.7</v>
          </cell>
          <cell r="L359">
            <v>3</v>
          </cell>
          <cell r="M359">
            <v>0</v>
          </cell>
          <cell r="N359">
            <v>15</v>
          </cell>
          <cell r="R359">
            <v>0</v>
          </cell>
          <cell r="S359">
            <v>0</v>
          </cell>
        </row>
        <row r="360">
          <cell r="A360">
            <v>367</v>
          </cell>
          <cell r="C360" t="str">
            <v>Parkzone 3 Blatt Bf-109</v>
          </cell>
          <cell r="D360">
            <v>10.6</v>
          </cell>
          <cell r="E360">
            <v>7.8</v>
          </cell>
          <cell r="F360">
            <v>29.273129999999998</v>
          </cell>
          <cell r="G360">
            <v>2</v>
          </cell>
          <cell r="H360">
            <v>100</v>
          </cell>
          <cell r="I360">
            <v>27</v>
          </cell>
          <cell r="K360">
            <v>0.84091059999999995</v>
          </cell>
          <cell r="L360">
            <v>3</v>
          </cell>
          <cell r="M360">
            <v>100</v>
          </cell>
          <cell r="N360">
            <v>27</v>
          </cell>
          <cell r="R360">
            <v>0</v>
          </cell>
          <cell r="S360">
            <v>0</v>
          </cell>
        </row>
        <row r="361">
          <cell r="A361">
            <v>368</v>
          </cell>
          <cell r="C361" t="str">
            <v>Xoar PJN Electric</v>
          </cell>
          <cell r="D361">
            <v>14</v>
          </cell>
          <cell r="E361">
            <v>6</v>
          </cell>
          <cell r="F361">
            <v>28.365279999999998</v>
          </cell>
          <cell r="G361">
            <v>2.2119939999999998</v>
          </cell>
          <cell r="H361">
            <v>0</v>
          </cell>
          <cell r="I361">
            <v>21</v>
          </cell>
          <cell r="K361">
            <v>0.43566949999999999</v>
          </cell>
          <cell r="L361">
            <v>3.313672</v>
          </cell>
          <cell r="M361">
            <v>0</v>
          </cell>
          <cell r="N361">
            <v>21</v>
          </cell>
          <cell r="R361">
            <v>0</v>
          </cell>
          <cell r="S361">
            <v>0</v>
          </cell>
        </row>
        <row r="362">
          <cell r="A362">
            <v>369</v>
          </cell>
          <cell r="C362" t="str">
            <v>Xoar PJN Electric</v>
          </cell>
          <cell r="D362">
            <v>13</v>
          </cell>
          <cell r="E362">
            <v>6.5</v>
          </cell>
          <cell r="F362">
            <v>28.819659999999999</v>
          </cell>
          <cell r="G362">
            <v>2.091348</v>
          </cell>
          <cell r="H362">
            <v>0</v>
          </cell>
          <cell r="I362">
            <v>21</v>
          </cell>
          <cell r="K362">
            <v>0.56818329999999995</v>
          </cell>
          <cell r="L362">
            <v>3.0855619999999999</v>
          </cell>
          <cell r="M362">
            <v>0</v>
          </cell>
          <cell r="N362">
            <v>21</v>
          </cell>
          <cell r="R362">
            <v>0</v>
          </cell>
          <cell r="S362">
            <v>0</v>
          </cell>
        </row>
        <row r="363">
          <cell r="A363">
            <v>370</v>
          </cell>
          <cell r="C363" t="str">
            <v>Xoar PJN Electric</v>
          </cell>
          <cell r="D363">
            <v>12</v>
          </cell>
          <cell r="E363">
            <v>8</v>
          </cell>
          <cell r="F363">
            <v>30.840779999999999</v>
          </cell>
          <cell r="G363">
            <v>2.0299749999999999</v>
          </cell>
          <cell r="H363">
            <v>0</v>
          </cell>
          <cell r="I363">
            <v>21</v>
          </cell>
          <cell r="K363">
            <v>0.56117450000000002</v>
          </cell>
          <cell r="L363">
            <v>3.0998299999999999</v>
          </cell>
          <cell r="M363">
            <v>0</v>
          </cell>
          <cell r="N363">
            <v>21</v>
          </cell>
          <cell r="R363">
            <v>0</v>
          </cell>
          <cell r="S363">
            <v>0</v>
          </cell>
        </row>
        <row r="364">
          <cell r="A364">
            <v>371</v>
          </cell>
          <cell r="C364" t="str">
            <v>APC</v>
          </cell>
          <cell r="D364">
            <v>7</v>
          </cell>
          <cell r="E364">
            <v>10</v>
          </cell>
          <cell r="F364">
            <v>4.1812459999999998</v>
          </cell>
          <cell r="G364">
            <v>2.0115729999999998</v>
          </cell>
          <cell r="H364">
            <v>0</v>
          </cell>
          <cell r="I364">
            <v>15</v>
          </cell>
          <cell r="K364">
            <v>9.5586500000000005E-2</v>
          </cell>
          <cell r="L364">
            <v>3</v>
          </cell>
          <cell r="M364">
            <v>0</v>
          </cell>
          <cell r="N364">
            <v>15</v>
          </cell>
          <cell r="R364">
            <v>0</v>
          </cell>
          <cell r="S364">
            <v>0</v>
          </cell>
        </row>
        <row r="365">
          <cell r="A365">
            <v>372</v>
          </cell>
          <cell r="C365" t="str">
            <v>Fiala E-Holz</v>
          </cell>
          <cell r="D365">
            <v>16</v>
          </cell>
          <cell r="E365">
            <v>10</v>
          </cell>
          <cell r="F365">
            <v>80.614050000000006</v>
          </cell>
          <cell r="G365">
            <v>2.0625580000000001</v>
          </cell>
          <cell r="H365">
            <v>0</v>
          </cell>
          <cell r="I365">
            <v>15</v>
          </cell>
          <cell r="K365">
            <v>1.015066</v>
          </cell>
          <cell r="L365">
            <v>3.4316550000000001</v>
          </cell>
          <cell r="M365">
            <v>0</v>
          </cell>
          <cell r="N365">
            <v>15</v>
          </cell>
          <cell r="R365">
            <v>0</v>
          </cell>
          <cell r="S365">
            <v>0</v>
          </cell>
        </row>
        <row r="366">
          <cell r="A366">
            <v>373</v>
          </cell>
          <cell r="C366" t="str">
            <v>APC E</v>
          </cell>
          <cell r="D366">
            <v>4.2</v>
          </cell>
          <cell r="E366">
            <v>4</v>
          </cell>
          <cell r="F366">
            <v>0.50279439999999997</v>
          </cell>
          <cell r="G366">
            <v>2.045547</v>
          </cell>
          <cell r="H366">
            <v>200</v>
          </cell>
          <cell r="I366">
            <v>22</v>
          </cell>
          <cell r="K366">
            <v>9.7908000000000005E-3</v>
          </cell>
          <cell r="L366">
            <v>3.0261909999999999</v>
          </cell>
          <cell r="M366">
            <v>200</v>
          </cell>
          <cell r="N366">
            <v>22</v>
          </cell>
          <cell r="R366">
            <v>0</v>
          </cell>
          <cell r="S366">
            <v>0</v>
          </cell>
        </row>
        <row r="367">
          <cell r="A367">
            <v>374</v>
          </cell>
          <cell r="C367" t="str">
            <v>Fiala Holz E Prop</v>
          </cell>
          <cell r="D367">
            <v>28</v>
          </cell>
          <cell r="E367">
            <v>28</v>
          </cell>
          <cell r="F367">
            <v>850.45450000000005</v>
          </cell>
          <cell r="G367">
            <v>2</v>
          </cell>
          <cell r="H367">
            <v>600</v>
          </cell>
          <cell r="I367">
            <v>20</v>
          </cell>
          <cell r="K367">
            <v>36.443150000000003</v>
          </cell>
          <cell r="L367">
            <v>3</v>
          </cell>
          <cell r="M367">
            <v>600</v>
          </cell>
          <cell r="N367">
            <v>20</v>
          </cell>
          <cell r="R367">
            <v>0</v>
          </cell>
          <cell r="S367">
            <v>0</v>
          </cell>
        </row>
        <row r="368">
          <cell r="A368">
            <v>375</v>
          </cell>
          <cell r="C368" t="str">
            <v>Fiala Holz E Prop</v>
          </cell>
          <cell r="D368">
            <v>28</v>
          </cell>
          <cell r="E368">
            <v>14</v>
          </cell>
          <cell r="F368">
            <v>691.89779999999996</v>
          </cell>
          <cell r="G368">
            <v>2</v>
          </cell>
          <cell r="H368">
            <v>600</v>
          </cell>
          <cell r="I368">
            <v>20</v>
          </cell>
          <cell r="K368">
            <v>29.452559999999998</v>
          </cell>
          <cell r="L368">
            <v>3</v>
          </cell>
          <cell r="M368">
            <v>600</v>
          </cell>
          <cell r="N368">
            <v>20</v>
          </cell>
          <cell r="R368">
            <v>0</v>
          </cell>
          <cell r="S368">
            <v>0</v>
          </cell>
        </row>
        <row r="369">
          <cell r="A369">
            <v>376</v>
          </cell>
          <cell r="C369" t="str">
            <v>EMP</v>
          </cell>
          <cell r="D369">
            <v>4.75</v>
          </cell>
          <cell r="E369">
            <v>4.75</v>
          </cell>
          <cell r="F369">
            <v>1.097302</v>
          </cell>
          <cell r="G369">
            <v>2.0114350000000001</v>
          </cell>
          <cell r="H369">
            <v>200</v>
          </cell>
          <cell r="I369">
            <v>22</v>
          </cell>
          <cell r="K369">
            <v>1.79151E-2</v>
          </cell>
          <cell r="L369">
            <v>3.05437</v>
          </cell>
          <cell r="M369">
            <v>200</v>
          </cell>
          <cell r="N369">
            <v>22</v>
          </cell>
          <cell r="R369">
            <v>0</v>
          </cell>
          <cell r="S369">
            <v>0</v>
          </cell>
        </row>
        <row r="370">
          <cell r="A370">
            <v>377</v>
          </cell>
          <cell r="C370" t="str">
            <v>Graupner CAM</v>
          </cell>
          <cell r="D370">
            <v>3</v>
          </cell>
          <cell r="E370">
            <v>3</v>
          </cell>
          <cell r="F370">
            <v>0.1908484</v>
          </cell>
          <cell r="G370">
            <v>2.0965220000000002</v>
          </cell>
          <cell r="H370">
            <v>200</v>
          </cell>
          <cell r="I370">
            <v>22</v>
          </cell>
          <cell r="K370">
            <v>1.42842E-2</v>
          </cell>
          <cell r="L370">
            <v>2.588654</v>
          </cell>
          <cell r="M370">
            <v>200</v>
          </cell>
          <cell r="N370">
            <v>22</v>
          </cell>
          <cell r="R370">
            <v>0</v>
          </cell>
          <cell r="S370">
            <v>0</v>
          </cell>
        </row>
        <row r="371">
          <cell r="A371">
            <v>378</v>
          </cell>
          <cell r="C371" t="str">
            <v>GWS EDF55 fan</v>
          </cell>
          <cell r="D371">
            <v>2.6</v>
          </cell>
          <cell r="E371">
            <v>3.7</v>
          </cell>
          <cell r="F371">
            <v>0.37509320000000002</v>
          </cell>
          <cell r="G371">
            <v>1.971306</v>
          </cell>
          <cell r="H371">
            <v>200</v>
          </cell>
          <cell r="I371">
            <v>22</v>
          </cell>
          <cell r="K371">
            <v>4.1025000000000002E-3</v>
          </cell>
          <cell r="L371">
            <v>3.0381399999999998</v>
          </cell>
          <cell r="M371">
            <v>200</v>
          </cell>
          <cell r="N371">
            <v>22</v>
          </cell>
          <cell r="R371">
            <v>0</v>
          </cell>
          <cell r="S371">
            <v>0</v>
          </cell>
        </row>
        <row r="372">
          <cell r="A372">
            <v>379</v>
          </cell>
          <cell r="C372" t="str">
            <v>Wemotech Micro EDF 50mm fan</v>
          </cell>
          <cell r="D372">
            <v>1.89</v>
          </cell>
          <cell r="E372">
            <v>3.3</v>
          </cell>
          <cell r="F372">
            <v>5.25288E-2</v>
          </cell>
          <cell r="G372">
            <v>2.258642</v>
          </cell>
          <cell r="H372">
            <v>200</v>
          </cell>
          <cell r="I372">
            <v>22</v>
          </cell>
          <cell r="K372">
            <v>3.4867000000000001E-3</v>
          </cell>
          <cell r="L372">
            <v>2.8037160000000001</v>
          </cell>
          <cell r="M372">
            <v>200</v>
          </cell>
          <cell r="N372">
            <v>22</v>
          </cell>
          <cell r="R372">
            <v>0</v>
          </cell>
          <cell r="S372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5:AY120" totalsRowShown="0" headerRowDxfId="66" dataDxfId="64" headerRowBorderDxfId="65" tableBorderDxfId="63">
  <autoFilter ref="A5:AY120">
    <filterColumn colId="8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  <filterColumn colId="41"/>
    <filterColumn colId="42"/>
    <filterColumn colId="43"/>
    <filterColumn colId="44"/>
    <filterColumn colId="45"/>
    <filterColumn colId="46"/>
    <filterColumn colId="47"/>
    <filterColumn colId="48"/>
    <filterColumn colId="49"/>
    <filterColumn colId="50"/>
  </autoFilter>
  <sortState ref="A6:AY120">
    <sortCondition ref="M5:M120"/>
  </sortState>
  <tableColumns count="51">
    <tableColumn id="1" name="Variant" dataDxfId="62"/>
    <tableColumn id="2" name="ID" dataDxfId="61"/>
    <tableColumn id="3" name="Phys. Turns" dataDxfId="60"/>
    <tableColumn id="4" name="Wire" dataDxfId="59"/>
    <tableColumn id="5" name="Parallel" dataDxfId="58"/>
    <tableColumn id="6" name="&quot;T&quot;" dataDxfId="57">
      <calculatedColumnFormula>IF(E6="","",C6/E6)</calculatedColumnFormula>
    </tableColumn>
    <tableColumn id="7" name="Term." dataDxfId="56"/>
    <tableColumn id="8" name="Wire [in]" dataDxfId="55"/>
    <tableColumn id="36" name="Cu Area [mm^2]" dataDxfId="54">
      <calculatedColumnFormula>IF(OR(Table1[[#This Row],[Phys. Turns]]="",Table1[[#This Row],[Wire]]="",Table1[[#This Row],[Parallel]]=""),"",Table1[[#This Row],[Phys. Turns]]*VLOOKUP(Table1[[#This Row],[Wire]],wirelist,4,FALSE))</calculatedColumnFormula>
    </tableColumn>
    <tableColumn id="9" name="Kv" dataDxfId="53"/>
    <tableColumn id="10" name="Io" dataDxfId="52"/>
    <tableColumn id="11" name="Rm" dataDxfId="51"/>
    <tableColumn id="12" name="Prop." dataDxfId="50"/>
    <tableColumn id="13" name="Temp [C]" dataDxfId="49"/>
    <tableColumn id="14" name="Alt [m]" dataDxfId="48"/>
    <tableColumn id="15" name="RPM" dataDxfId="47"/>
    <tableColumn id="16" name="V" dataDxfId="46"/>
    <tableColumn id="17" name="A" dataDxfId="45"/>
    <tableColumn id="18" name="+Thrust [oz]" dataDxfId="44"/>
    <tableColumn id="19" name="+gm/W" dataDxfId="43">
      <calculatedColumnFormula>IF(S6="","",S6*28.3/AB6)</calculatedColumnFormula>
    </tableColumn>
    <tableColumn id="20" name="Note" dataDxfId="42" dataCellStyle="Percent"/>
    <tableColumn id="21" name="Battery" dataDxfId="41" dataCellStyle="Percent"/>
    <tableColumn id="22" name="*Thrust [oz]" dataDxfId="40">
      <calculatedColumnFormula>IF(OR(P6="",Table1[[#This Row],[Prop.]]="No Load"),"",(Tests!AC6/VLOOKUP(Table1[[#This Row],[Prop.]],proplist,6,FALSE))*VLOOKUP(Table1[[#This Row],[Prop.]],proplist,4,FALSE)/28.3*(Table1[[#This Row],[RPM]]/1000)^VLOOKUP(Table1[[#This Row],[Prop.]],proplist,5,FALSE))</calculatedColumnFormula>
    </tableColumn>
    <tableColumn id="23" name="*Effy" dataDxfId="39" dataCellStyle="Percent">
      <calculatedColumnFormula>IF(OR(P6="",Table1[[#This Row],[Prop.]]="No Load"),"",(AC6/VLOOKUP(Table1[[#This Row],[Prop.]],proplist,9,FALSE))*VLOOKUP(Table1[[#This Row],[Prop.]],proplist,7,FALSE)*(Table1[[#This Row],[RPM]]/1000)^(VLOOKUP(Table1[[#This Row],[Prop.]],proplist,8,FALSE))/Table1[[#This Row],[Pin '[W']]])</calculatedColumnFormula>
    </tableColumn>
    <tableColumn id="24" name="Ptch Spd [mph]" dataDxfId="38">
      <calculatedColumnFormula>IF(OR(P6="",Table1[[#This Row],[Prop.]]="No Load"),"",P6*VLOOKUP(Table1[[#This Row],[Prop.]],proplist,3,FALSE)/1056)</calculatedColumnFormula>
    </tableColumn>
    <tableColumn id="25" name="gm/W*" dataDxfId="37">
      <calculatedColumnFormula>IF(W6="","",W6*28.37/AB6)</calculatedColumnFormula>
    </tableColumn>
    <tableColumn id="26" name="Heat* [W]" dataDxfId="36">
      <calculatedColumnFormula>IF(OR(AB6="",Table1[[#This Row],[Prop.]]="No Load"),"",AB6*(1-X6))</calculatedColumnFormula>
    </tableColumn>
    <tableColumn id="27" name="Pin [W]" dataDxfId="35">
      <calculatedColumnFormula>IF(Q6="","",Q6*R6)</calculatedColumnFormula>
    </tableColumn>
    <tableColumn id="54" name="Test Density" dataDxfId="34">
      <calculatedColumnFormula>IF(A6="","",IF(OR(N6="",O6=""),1.2041,352.98/(N6+273.15)*(1-0.0000225577*O6)^5.25578))</calculatedColumnFormula>
    </tableColumn>
    <tableColumn id="28" name="Kv*T" dataDxfId="33">
      <calculatedColumnFormula>IF(Table1[[#This Row],[Prop.]]="No Load",Table1[[#This Row],["T"]]*Table1[[#This Row],[RPM]]/Table1[[#This Row],[V]],"")</calculatedColumnFormula>
    </tableColumn>
    <tableColumn id="46" name="Std Inch per turn" dataDxfId="32">
      <calculatedColumnFormula>IF(OR(C6="",E6="",H6=""),"",IF(Table1[[#This Row],[Prop.]]="No Load",IF(E6=1,(H6-10)/C6,IF(E6=2,2*(H6-10)/C6,4*(H6-10))),""))</calculatedColumnFormula>
    </tableColumn>
    <tableColumn id="29" name="Kv*T &quot;D&quot;" dataDxfId="31">
      <calculatedColumnFormula>IF(AND(Table1[[#This Row],[Variant]]=$AF$4,Table1[[#This Row],[Kv*T]]&gt;0,Table1[[#This Row],[Term.]]="D"),Table1[[#This Row],[Kv*T]],"")</calculatedColumnFormula>
    </tableColumn>
    <tableColumn id="30" name="Kv*T &quot;Y&quot;" dataDxfId="30">
      <calculatedColumnFormula>IF(AND(Table1[[#This Row],[Variant]]=$AF$4,Table1[[#This Row],[Kv*T]]&gt;0,Table1[[#This Row],[Term.]]="Y"),Table1[[#This Row],[Kv*T]],"")</calculatedColumnFormula>
    </tableColumn>
    <tableColumn id="31" name="Convert to Delta" dataDxfId="29">
      <calculatedColumnFormula>IF(AND(Table1[[#This Row],[Kv*T "D"]]="",Table1[[#This Row],[Kv*T "Y"]]=""),"",IF(Table1[[#This Row],[Kv*T "D"]]="",Table1[[#This Row],[Kv*T "Y"]]*3^0.5,Table1[[#This Row],[Kv*T "D"]]))</calculatedColumnFormula>
    </tableColumn>
    <tableColumn id="49" name="in per turn" dataDxfId="28">
      <calculatedColumnFormula>IF(Table1[[#This Row],[Std Inch per turn]]="","",Table1[[#This Row],[Std Inch per turn]])</calculatedColumnFormula>
    </tableColumn>
    <tableColumn id="32" name="Kv*T &quot;D&quot;2" dataDxfId="27">
      <calculatedColumnFormula>IF(AND(Table1[[#This Row],[Variant]]=$AJ$4,Table1[[#This Row],[Kv*T]]&gt;0,Table1[[#This Row],[Term.]]="D"),Table1[[#This Row],[Kv*T]],"")</calculatedColumnFormula>
    </tableColumn>
    <tableColumn id="33" name="Kv*T &quot;Y&quot;2" dataDxfId="26">
      <calculatedColumnFormula>IF(AND(Table1[[#This Row],[Variant]]=$AJ$4,Table1[[#This Row],[Kv*T]]&gt;0,Table1[[#This Row],[Term.]]="Y"),Table1[[#This Row],[Kv*T]],"")</calculatedColumnFormula>
    </tableColumn>
    <tableColumn id="34" name="Convert to Delta2" dataDxfId="25">
      <calculatedColumnFormula>IF(AND(Table1[[#This Row],[Kv*T "D"2]]="",Table1[[#This Row],[Kv*T "Y"2]]=""),"",IF(Table1[[#This Row],[Kv*T "D"2]]="",Table1[[#This Row],[Kv*T "Y"2]]*3^0.5,Table1[[#This Row],[Kv*T "D"2]]))</calculatedColumnFormula>
    </tableColumn>
    <tableColumn id="50" name="in/turn" dataDxfId="24">
      <calculatedColumnFormula>IF(Table1[[#This Row],[Std Inch per turn]]="","",Table1[[#This Row],[Std Inch per turn]])</calculatedColumnFormula>
    </tableColumn>
    <tableColumn id="45" name="Kv*T &quot;D&quot;3" dataDxfId="23">
      <calculatedColumnFormula>IF(AND(Table1[[#This Row],[Variant]]=$AN$4,Table1[[#This Row],[Kv*T]]&gt;0,Table1[[#This Row],[Term.]]="D"),Table1[[#This Row],[Kv*T]],"")</calculatedColumnFormula>
    </tableColumn>
    <tableColumn id="41" name="Kv*T &quot;Y&quot;3" dataDxfId="22">
      <calculatedColumnFormula>IF(AND(Table1[[#This Row],[Variant]]=$AN$4,Table1[[#This Row],[Kv*T]]&gt;0,Table1[[#This Row],[Term.]]="Y"),Table1[[#This Row],[Kv*T]],"")</calculatedColumnFormula>
    </tableColumn>
    <tableColumn id="42" name="Convert to Delta3" dataDxfId="21">
      <calculatedColumnFormula>IF(AND(Table1[[#This Row],[Kv*T "D"3]]="",Table1[[#This Row],[Kv*T "Y"3]]=""),"",IF(Table1[[#This Row],[Kv*T "D"3]]="",Table1[[#This Row],[Kv*T "Y"3]]*3^0.5,Table1[[#This Row],[Kv*T "D"3]]))</calculatedColumnFormula>
    </tableColumn>
    <tableColumn id="51" name="in per turn2" dataDxfId="20"/>
    <tableColumn id="43" name="Kv*T &quot;D&quot;4" dataDxfId="19">
      <calculatedColumnFormula>IF(AND(Table1[[#This Row],[Variant]]=$AR$4,Table1[[#This Row],[Kv*T]]&gt;0,Table1[[#This Row],[Term.]]="D"),Table1[[#This Row],[Kv*T]],"")</calculatedColumnFormula>
    </tableColumn>
    <tableColumn id="44" name="Kv*T &quot;Y&quot;4" dataDxfId="18">
      <calculatedColumnFormula>IF(AND(Table1[[#This Row],[Variant]]=$AR$4,Table1[[#This Row],[Kv*T]]&gt;0,Table1[[#This Row],[Term.]]="Y"),Table1[[#This Row],[Kv*T]],"")</calculatedColumnFormula>
    </tableColumn>
    <tableColumn id="39" name="Convert to Delta4" dataDxfId="17">
      <calculatedColumnFormula>IF(AND(Table1[[#This Row],[Kv*T "D"4]]="",Table1[[#This Row],[Kv*T "Y"4]]=""),"",IF(Table1[[#This Row],[Kv*T "D"4]]="",Table1[[#This Row],[Kv*T "Y"4]]*3^0.5,Table1[[#This Row],[Kv*T "D"4]]))</calculatedColumnFormula>
    </tableColumn>
    <tableColumn id="52" name="in per turn3" dataDxfId="16"/>
    <tableColumn id="40" name="Kv*T &quot;D&quot;5" dataDxfId="15">
      <calculatedColumnFormula>IF(AND(Table1[[#This Row],[Variant]]=$AV$4,Table1[[#This Row],[Kv*T]]&gt;0,Table1[[#This Row],[Term.]]="D"),Table1[[#This Row],[Kv*T]],"")</calculatedColumnFormula>
    </tableColumn>
    <tableColumn id="38" name="Kv*T &quot;Y&quot;5" dataDxfId="14">
      <calculatedColumnFormula>IF(AND(Table1[[#This Row],[Variant]]=$AV$4,Table1[[#This Row],[Kv*T]]&gt;0,Table1[[#This Row],[Term.]]="Y"),Table1[[#This Row],[Kv*T]],"")</calculatedColumnFormula>
    </tableColumn>
    <tableColumn id="37" name="Convert to Delta5" dataDxfId="13">
      <calculatedColumnFormula>IF(AND(Table1[[#This Row],[Kv*T "D"5]]="",Table1[[#This Row],[Kv*T "Y"5]]=""),"",IF(Table1[[#This Row],[Kv*T "D"5]]="",Table1[[#This Row],[Kv*T "Y"5]]*3^0.5,Table1[[#This Row],[Kv*T "D"5]]))</calculatedColumnFormula>
    </tableColumn>
    <tableColumn id="53" name="in per turn4" dataDxfId="12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4:D132" totalsRowShown="0">
  <autoFilter ref="A4:D132"/>
  <tableColumns count="4">
    <tableColumn id="1" name="Name"/>
    <tableColumn id="2" name="in "/>
    <tableColumn id="3" name="mm "/>
    <tableColumn id="4" name="mm² 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2" name="propInventory" displayName="propInventory" ref="A6:K378" totalsRowShown="0">
  <autoFilter ref="A6:K378">
    <filterColumn colId="0"/>
    <filterColumn colId="1"/>
    <filterColumn colId="2"/>
  </autoFilter>
  <sortState ref="A7:K378">
    <sortCondition ref="B6:B378"/>
  </sortState>
  <tableColumns count="11">
    <tableColumn id="10" name="Stock" dataDxfId="10" dataCellStyle="Normal 3"/>
    <tableColumn id="11" name="myid" dataDxfId="9" dataCellStyle="Normal 3">
      <calculatedColumnFormula>[3]DCBase!$A2</calculatedColumnFormula>
    </tableColumn>
    <tableColumn id="1" name="Prop Name" dataDxfId="8" dataCellStyle="Normal 3">
      <calculatedColumnFormula>IF([3]DCBase!A2="","",IF([3]DCBase!R2=0,[3]DCBase!D2&amp;"x"&amp;[3]DCBase!E2&amp;" "&amp;[3]DCBase!C2,[3]DCBase!D2&amp;"x"&amp;[3]DCBase!E2&amp;" "&amp;[3]DCBase!C2&amp;" "&amp;[3]DCBase!S2&amp;"mm"))</calculatedColumnFormula>
    </tableColumn>
    <tableColumn id="8" name="Diam." dataDxfId="7" dataCellStyle="Normal 3">
      <calculatedColumnFormula>[3]DCBase!D2</calculatedColumnFormula>
    </tableColumn>
    <tableColumn id="9" name="Pitch" dataDxfId="6" dataCellStyle="Normal 3">
      <calculatedColumnFormula>[3]DCBase!E2</calculatedColumnFormula>
    </tableColumn>
    <tableColumn id="2" name="a" dataDxfId="5" dataCellStyle="Normal 3">
      <calculatedColumnFormula>[3]DCBase!F2</calculatedColumnFormula>
    </tableColumn>
    <tableColumn id="3" name="b" dataDxfId="4" dataCellStyle="Normal 3">
      <calculatedColumnFormula>[3]DCBase!G2</calculatedColumnFormula>
    </tableColumn>
    <tableColumn id="4" name="DensityThrust" dataDxfId="3" dataCellStyle="Normal 3">
      <calculatedColumnFormula>352.98/([3]DCBase!I2+273.15)*(1-0.0000225577*[3]DCBase!H2)^5.25578</calculatedColumnFormula>
    </tableColumn>
    <tableColumn id="5" name="c" dataDxfId="2">
      <calculatedColumnFormula>[3]DCBase!K2</calculatedColumnFormula>
    </tableColumn>
    <tableColumn id="6" name="d" dataDxfId="1">
      <calculatedColumnFormula>[3]DCBase!L2</calculatedColumnFormula>
    </tableColumn>
    <tableColumn id="7" name="DensityPower" dataDxfId="0" dataCellStyle="Normal 3">
      <calculatedColumnFormula>352.98/([3]DCBase!N2+273.15)*(1-0.0000225577*[3]DCBase!M2)^5.25578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Y120"/>
  <sheetViews>
    <sheetView tabSelected="1" zoomScaleNormal="100" workbookViewId="0">
      <pane ySplit="5" topLeftCell="A9" activePane="bottomLeft" state="frozen"/>
      <selection pane="bottomLeft" activeCell="V19" sqref="V19"/>
    </sheetView>
  </sheetViews>
  <sheetFormatPr defaultColWidth="11.42578125" defaultRowHeight="12.75"/>
  <cols>
    <col min="1" max="1" width="12.5703125" style="2" customWidth="1"/>
    <col min="2" max="2" width="7.140625" style="2" bestFit="1" customWidth="1"/>
    <col min="3" max="3" width="8" style="2" customWidth="1"/>
    <col min="4" max="4" width="8.85546875" style="2" customWidth="1"/>
    <col min="5" max="5" width="7.42578125" style="2" customWidth="1"/>
    <col min="6" max="6" width="6.85546875" style="2" customWidth="1"/>
    <col min="7" max="7" width="7.85546875" style="2" customWidth="1"/>
    <col min="8" max="8" width="8.7109375" style="2" customWidth="1"/>
    <col min="9" max="9" width="10" style="2" customWidth="1"/>
    <col min="10" max="10" width="8.7109375" style="2" bestFit="1" customWidth="1"/>
    <col min="11" max="11" width="6.85546875" style="2" bestFit="1" customWidth="1"/>
    <col min="12" max="12" width="9.140625" style="2" bestFit="1" customWidth="1"/>
    <col min="13" max="13" width="16.140625" style="2" customWidth="1"/>
    <col min="14" max="14" width="8.140625" style="2" customWidth="1"/>
    <col min="15" max="15" width="6.85546875" style="2" customWidth="1"/>
    <col min="16" max="16" width="10.140625" style="2" bestFit="1" customWidth="1"/>
    <col min="17" max="17" width="7" style="2" customWidth="1"/>
    <col min="18" max="18" width="8.5703125" style="2" bestFit="1" customWidth="1"/>
    <col min="19" max="19" width="9.140625" style="3" customWidth="1"/>
    <col min="20" max="20" width="7" style="3" customWidth="1"/>
    <col min="21" max="21" width="11.28515625" style="3" customWidth="1"/>
    <col min="22" max="22" width="18.28515625" style="2" customWidth="1"/>
    <col min="23" max="23" width="9.28515625" style="2" customWidth="1"/>
    <col min="24" max="24" width="9.7109375" style="2" bestFit="1" customWidth="1"/>
    <col min="25" max="25" width="8.5703125" style="2" customWidth="1"/>
    <col min="26" max="26" width="7.42578125" style="2" customWidth="1"/>
    <col min="27" max="27" width="9" style="2" customWidth="1"/>
    <col min="28" max="28" width="8.28515625" style="2" customWidth="1"/>
    <col min="29" max="29" width="11.5703125" style="2" customWidth="1"/>
    <col min="30" max="30" width="13.28515625" style="2" customWidth="1"/>
    <col min="31" max="31" width="12.5703125" style="2" customWidth="1"/>
    <col min="32" max="32" width="7.5703125" style="2" customWidth="1"/>
    <col min="33" max="33" width="13.28515625" style="2" customWidth="1"/>
    <col min="34" max="51" width="11.42578125" style="1" customWidth="1"/>
    <col min="52" max="16384" width="11.42578125" style="1"/>
  </cols>
  <sheetData>
    <row r="1" spans="1:51" ht="21" thickBot="1">
      <c r="A1" s="169" t="s">
        <v>242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1"/>
      <c r="AD1" s="2" t="s">
        <v>221</v>
      </c>
      <c r="AH1" s="2"/>
    </row>
    <row r="2" spans="1:51" ht="15.75" customHeight="1" thickBot="1">
      <c r="A2" s="92" t="s">
        <v>44</v>
      </c>
      <c r="B2" s="93">
        <v>25</v>
      </c>
      <c r="C2" s="94" t="s">
        <v>48</v>
      </c>
      <c r="D2" s="76"/>
      <c r="E2" s="95" t="s">
        <v>52</v>
      </c>
      <c r="F2" s="96" t="s">
        <v>224</v>
      </c>
      <c r="G2" s="96" t="s">
        <v>225</v>
      </c>
      <c r="H2" s="96" t="s">
        <v>249</v>
      </c>
      <c r="I2" s="96" t="s">
        <v>217</v>
      </c>
      <c r="J2" s="96" t="s">
        <v>218</v>
      </c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Y2"/>
      <c r="Z2" s="114"/>
      <c r="AA2" s="167" t="s">
        <v>26</v>
      </c>
      <c r="AB2" s="172" t="s">
        <v>79</v>
      </c>
      <c r="AD2" s="2" t="s">
        <v>11</v>
      </c>
      <c r="AH2" s="2"/>
    </row>
    <row r="3" spans="1:51" ht="15.75" customHeight="1" thickBot="1">
      <c r="A3" s="99"/>
      <c r="B3" s="100"/>
      <c r="C3" s="100"/>
      <c r="D3" s="100"/>
      <c r="E3" s="77" t="s">
        <v>63</v>
      </c>
      <c r="F3" s="78">
        <f>AVERAGE(Table1[Convert to Delta])</f>
        <v>31360.465246933472</v>
      </c>
      <c r="G3" s="78">
        <f>AVERAGE(Table1[Convert to Delta2])</f>
        <v>32119.36139040711</v>
      </c>
      <c r="H3" s="78" t="e">
        <f>AVERAGE(Table1[Convert to Delta3])</f>
        <v>#DIV/0!</v>
      </c>
      <c r="I3" s="78" t="e">
        <f>AVERAGE(Table1[Convert to Delta4])</f>
        <v>#DIV/0!</v>
      </c>
      <c r="J3" s="79" t="e">
        <f>AVERAGE(Table1[Convert to Delta5])</f>
        <v>#DIV/0!</v>
      </c>
      <c r="K3" s="5"/>
      <c r="M3" s="5"/>
      <c r="N3" s="5"/>
      <c r="O3" s="5"/>
      <c r="P3" s="86" t="s">
        <v>80</v>
      </c>
      <c r="Q3" s="53" t="s">
        <v>12</v>
      </c>
      <c r="T3" s="32"/>
      <c r="U3" s="32"/>
      <c r="V3" s="32"/>
      <c r="W3" s="32"/>
      <c r="Y3"/>
      <c r="Z3" s="116" t="s">
        <v>41</v>
      </c>
      <c r="AA3" s="168"/>
      <c r="AB3" s="173"/>
      <c r="AD3" s="2" t="s">
        <v>21</v>
      </c>
      <c r="AH3" s="2"/>
    </row>
    <row r="4" spans="1:51" ht="15.75" customHeight="1" thickBot="1">
      <c r="A4" s="52" t="s">
        <v>3</v>
      </c>
      <c r="B4" s="100"/>
      <c r="C4" s="100"/>
      <c r="D4" s="100"/>
      <c r="E4" s="100" t="s">
        <v>66</v>
      </c>
      <c r="F4" s="19">
        <f>AVERAGE(Table1[in per turn])</f>
        <v>2.2924175048599009</v>
      </c>
      <c r="G4" s="19">
        <f>AVERAGE(Table1[in/turn])</f>
        <v>2.2924175048599009</v>
      </c>
      <c r="H4" s="19" t="e">
        <f>AVERAGE(Table1[in per turn2])</f>
        <v>#DIV/0!</v>
      </c>
      <c r="I4" s="19" t="e">
        <f>AVERAGE(Table1[in per turn3])</f>
        <v>#DIV/0!</v>
      </c>
      <c r="J4" s="19" t="e">
        <f>AVERAGE(Table1[in per turn4])</f>
        <v>#DIV/0!</v>
      </c>
      <c r="K4" s="5"/>
      <c r="M4" s="5"/>
      <c r="N4" s="166"/>
      <c r="O4" s="166"/>
      <c r="P4" s="54" t="s">
        <v>226</v>
      </c>
      <c r="Q4" s="55" t="s">
        <v>9</v>
      </c>
      <c r="R4" s="5"/>
      <c r="S4" s="101" t="s">
        <v>49</v>
      </c>
      <c r="T4" s="32"/>
      <c r="U4" s="102"/>
      <c r="V4" s="5"/>
      <c r="W4" s="51" t="s">
        <v>46</v>
      </c>
      <c r="Y4"/>
      <c r="Z4" s="115"/>
      <c r="AA4" s="105">
        <v>1</v>
      </c>
      <c r="AB4" s="123">
        <v>3</v>
      </c>
      <c r="AF4" s="89" t="str">
        <f>F2</f>
        <v>14p dLRK</v>
      </c>
      <c r="AG4" s="90"/>
      <c r="AH4" s="90"/>
      <c r="AI4" s="91"/>
      <c r="AJ4" s="89" t="str">
        <f>G2</f>
        <v>16p ABCx4</v>
      </c>
      <c r="AK4" s="90"/>
      <c r="AL4" s="90"/>
      <c r="AM4" s="91"/>
      <c r="AN4" s="89" t="str">
        <f>H2</f>
        <v>10p dLRK</v>
      </c>
      <c r="AO4" s="90"/>
      <c r="AP4" s="90"/>
      <c r="AQ4" s="91"/>
      <c r="AR4" s="89" t="str">
        <f>I2</f>
        <v>Variant 4</v>
      </c>
      <c r="AS4" s="90"/>
      <c r="AT4" s="90"/>
      <c r="AU4" s="91"/>
      <c r="AV4" s="89" t="str">
        <f>J2</f>
        <v>Variant 5</v>
      </c>
      <c r="AW4" s="90"/>
      <c r="AX4" s="90"/>
      <c r="AY4" s="91"/>
    </row>
    <row r="5" spans="1:51" s="122" customFormat="1" ht="25.5" customHeight="1">
      <c r="A5" s="117" t="s">
        <v>52</v>
      </c>
      <c r="B5" s="118" t="s">
        <v>69</v>
      </c>
      <c r="C5" s="119" t="s">
        <v>82</v>
      </c>
      <c r="D5" s="118" t="s">
        <v>68</v>
      </c>
      <c r="E5" s="118" t="s">
        <v>35</v>
      </c>
      <c r="F5" s="119" t="s">
        <v>81</v>
      </c>
      <c r="G5" s="118" t="s">
        <v>20</v>
      </c>
      <c r="H5" s="118" t="s">
        <v>28</v>
      </c>
      <c r="I5" s="119" t="s">
        <v>222</v>
      </c>
      <c r="J5" s="118" t="s">
        <v>13</v>
      </c>
      <c r="K5" s="118" t="s">
        <v>67</v>
      </c>
      <c r="L5" s="119" t="s">
        <v>223</v>
      </c>
      <c r="M5" s="118" t="s">
        <v>1</v>
      </c>
      <c r="N5" s="118" t="s">
        <v>22</v>
      </c>
      <c r="O5" s="118" t="s">
        <v>23</v>
      </c>
      <c r="P5" s="118" t="s">
        <v>4</v>
      </c>
      <c r="Q5" s="118" t="s">
        <v>5</v>
      </c>
      <c r="R5" s="118" t="s">
        <v>6</v>
      </c>
      <c r="S5" s="120" t="s">
        <v>214</v>
      </c>
      <c r="T5" s="120" t="s">
        <v>215</v>
      </c>
      <c r="U5" s="118" t="s">
        <v>7</v>
      </c>
      <c r="V5" s="118" t="s">
        <v>2</v>
      </c>
      <c r="W5" s="120" t="s">
        <v>219</v>
      </c>
      <c r="X5" s="120" t="s">
        <v>216</v>
      </c>
      <c r="Y5" s="118" t="s">
        <v>34</v>
      </c>
      <c r="Z5" s="118" t="s">
        <v>45</v>
      </c>
      <c r="AA5" s="118" t="s">
        <v>47</v>
      </c>
      <c r="AB5" s="121" t="s">
        <v>8</v>
      </c>
      <c r="AC5" s="122" t="s">
        <v>39</v>
      </c>
      <c r="AD5" s="122" t="s">
        <v>10</v>
      </c>
      <c r="AE5" s="122" t="s">
        <v>73</v>
      </c>
      <c r="AF5" s="122" t="s">
        <v>24</v>
      </c>
      <c r="AG5" s="122" t="s">
        <v>25</v>
      </c>
      <c r="AH5" s="122" t="s">
        <v>40</v>
      </c>
      <c r="AI5" s="122" t="s">
        <v>75</v>
      </c>
      <c r="AJ5" s="122" t="s">
        <v>53</v>
      </c>
      <c r="AK5" s="122" t="s">
        <v>59</v>
      </c>
      <c r="AL5" s="122" t="s">
        <v>64</v>
      </c>
      <c r="AM5" s="122" t="s">
        <v>74</v>
      </c>
      <c r="AN5" s="122" t="s">
        <v>57</v>
      </c>
      <c r="AO5" s="122" t="s">
        <v>54</v>
      </c>
      <c r="AP5" s="122" t="s">
        <v>65</v>
      </c>
      <c r="AQ5" s="122" t="s">
        <v>76</v>
      </c>
      <c r="AR5" s="122" t="s">
        <v>60</v>
      </c>
      <c r="AS5" s="122" t="s">
        <v>58</v>
      </c>
      <c r="AT5" s="122" t="s">
        <v>55</v>
      </c>
      <c r="AU5" s="122" t="s">
        <v>77</v>
      </c>
      <c r="AV5" s="122" t="s">
        <v>61</v>
      </c>
      <c r="AW5" s="122" t="s">
        <v>62</v>
      </c>
      <c r="AX5" s="122" t="s">
        <v>56</v>
      </c>
      <c r="AY5" s="122" t="s">
        <v>78</v>
      </c>
    </row>
    <row r="6" spans="1:51">
      <c r="A6" s="163" t="s">
        <v>224</v>
      </c>
      <c r="B6" s="5">
        <v>90</v>
      </c>
      <c r="C6" s="5">
        <v>10</v>
      </c>
      <c r="D6" s="163" t="s">
        <v>166</v>
      </c>
      <c r="E6" s="5">
        <v>1</v>
      </c>
      <c r="F6" s="86">
        <f t="shared" ref="F6:F37" si="0">IF(E6="","",C6/E6)</f>
        <v>10</v>
      </c>
      <c r="G6" s="163" t="s">
        <v>21</v>
      </c>
      <c r="H6" s="5">
        <v>31</v>
      </c>
      <c r="I6" s="97">
        <f>IF(OR(Table1[[#This Row],[Phys. Turns]]="",Table1[[#This Row],[Wire]]="",Table1[[#This Row],[Parallel]]=""),"",Table1[[#This Row],[Phys. Turns]]*VLOOKUP(Table1[[#This Row],[Wire]],wirelist,4,FALSE))</f>
        <v>2.5499999999999998</v>
      </c>
      <c r="J6" s="18">
        <v>1816.6666666666667</v>
      </c>
      <c r="K6" s="19">
        <v>0.6</v>
      </c>
      <c r="L6" s="20"/>
      <c r="M6" s="146" t="s">
        <v>246</v>
      </c>
      <c r="N6" s="49">
        <v>19.399999999999999</v>
      </c>
      <c r="O6" s="5">
        <v>29</v>
      </c>
      <c r="P6" s="5">
        <v>17139</v>
      </c>
      <c r="Q6" s="19">
        <v>11.22</v>
      </c>
      <c r="R6" s="19">
        <v>7.5</v>
      </c>
      <c r="S6" s="49">
        <v>7.75</v>
      </c>
      <c r="T6" s="43">
        <f t="shared" ref="T6:T37" si="1">IF(S6="","",S6*28.3/AB6)</f>
        <v>2.6063576945929889</v>
      </c>
      <c r="U6" s="133" t="s">
        <v>27</v>
      </c>
      <c r="V6" s="141" t="s">
        <v>237</v>
      </c>
      <c r="W6" s="46"/>
      <c r="X6" s="47"/>
      <c r="Y6" s="43"/>
      <c r="Z6" s="43" t="str">
        <f>IF(W6="","",W6*28.37/AB6)</f>
        <v/>
      </c>
      <c r="AA6" s="152">
        <f>IF(OR(AB6="",Table1[[#This Row],[Prop.]]="No Load"),"",AB6*(1-X6))</f>
        <v>84.15</v>
      </c>
      <c r="AB6" s="164">
        <f t="shared" ref="AB6:AB37" si="2">IF(Q6="","",Q6*R6)</f>
        <v>84.15</v>
      </c>
      <c r="AC6" s="152">
        <f t="shared" ref="AC6:AC37" si="3">IF(A6="","",IF(OR(N6="",O6=""),1.2041,352.98/(N6+273.15)*(1-0.0000225577*O6)^5.25578))</f>
        <v>1.2024203572730525</v>
      </c>
      <c r="AD6" s="152" t="str">
        <f>IF(Table1[[#This Row],[Prop.]]="No Load",Table1[[#This Row],["T"]]*Table1[[#This Row],[RPM]]/Table1[[#This Row],[V]],"")</f>
        <v/>
      </c>
      <c r="AE6" s="153" t="str">
        <f>IF(OR(C6="",E6="",H6=""),"",IF(Table1[[#This Row],[Prop.]]="No Load",IF(E6=1,(H6-10)/C6,IF(E6=2,2*(H6-10)/C6,4*(H6-10))),""))</f>
        <v/>
      </c>
      <c r="AF6" s="150" t="str">
        <f>IF(AND(Table1[[#This Row],[Variant]]=$AF$4,Table1[[#This Row],[Kv*T]]&gt;0,Table1[[#This Row],[Term.]]="D"),Table1[[#This Row],[Kv*T]],"")</f>
        <v/>
      </c>
      <c r="AG6" s="150" t="str">
        <f>IF(AND(Table1[[#This Row],[Variant]]=$AF$4,Table1[[#This Row],[Kv*T]]&gt;0,Table1[[#This Row],[Term.]]="Y"),Table1[[#This Row],[Kv*T]],"")</f>
        <v/>
      </c>
      <c r="AH6" s="152" t="str">
        <f>IF(AND(Table1[[#This Row],[Kv*T "D"]]="",Table1[[#This Row],[Kv*T "Y"]]=""),"",IF(Table1[[#This Row],[Kv*T "D"]]="",Table1[[#This Row],[Kv*T "Y"]]*3^0.5,Table1[[#This Row],[Kv*T "D"]]))</f>
        <v/>
      </c>
      <c r="AI6" s="151" t="str">
        <f>IF(Table1[[#This Row],[Std Inch per turn]]="","",Table1[[#This Row],[Std Inch per turn]])</f>
        <v/>
      </c>
      <c r="AJ6" s="154" t="str">
        <f>IF(AND(Table1[[#This Row],[Variant]]=$AJ$4,Table1[[#This Row],[Kv*T]]&gt;0,Table1[[#This Row],[Term.]]="D"),Table1[[#This Row],[Kv*T]],"")</f>
        <v/>
      </c>
      <c r="AK6" s="154" t="str">
        <f>IF(AND(Table1[[#This Row],[Variant]]=$AJ$4,Table1[[#This Row],[Kv*T]]&gt;0,Table1[[#This Row],[Term.]]="Y"),Table1[[#This Row],[Kv*T]],"")</f>
        <v/>
      </c>
      <c r="AL6" s="152" t="str">
        <f>IF(AND(Table1[[#This Row],[Kv*T "D"2]]="",Table1[[#This Row],[Kv*T "Y"2]]=""),"",IF(Table1[[#This Row],[Kv*T "D"2]]="",Table1[[#This Row],[Kv*T "Y"2]]*3^0.5,Table1[[#This Row],[Kv*T "D"2]]))</f>
        <v/>
      </c>
      <c r="AM6" s="151" t="str">
        <f>IF(Table1[[#This Row],[Std Inch per turn]]="","",Table1[[#This Row],[Std Inch per turn]])</f>
        <v/>
      </c>
      <c r="AN6" s="154" t="str">
        <f>IF(AND(Table1[[#This Row],[Variant]]=$AN$4,Table1[[#This Row],[Kv*T]]&gt;0,Table1[[#This Row],[Term.]]="D"),Table1[[#This Row],[Kv*T]],"")</f>
        <v/>
      </c>
      <c r="AO6" s="154" t="str">
        <f>IF(AND(Table1[[#This Row],[Variant]]=$AN$4,Table1[[#This Row],[Kv*T]]&gt;0,Table1[[#This Row],[Term.]]="Y"),Table1[[#This Row],[Kv*T]],"")</f>
        <v/>
      </c>
      <c r="AP6" s="152" t="str">
        <f>IF(AND(Table1[[#This Row],[Kv*T "D"3]]="",Table1[[#This Row],[Kv*T "Y"3]]=""),"",IF(Table1[[#This Row],[Kv*T "D"3]]="",Table1[[#This Row],[Kv*T "Y"3]]*3^0.5,Table1[[#This Row],[Kv*T "D"3]]))</f>
        <v/>
      </c>
      <c r="AQ6" s="152"/>
      <c r="AR6" s="154" t="str">
        <f>IF(AND(Table1[[#This Row],[Variant]]=$AR$4,Table1[[#This Row],[Kv*T]]&gt;0,Table1[[#This Row],[Term.]]="D"),Table1[[#This Row],[Kv*T]],"")</f>
        <v/>
      </c>
      <c r="AS6" s="154" t="str">
        <f>IF(AND(Table1[[#This Row],[Variant]]=$AR$4,Table1[[#This Row],[Kv*T]]&gt;0,Table1[[#This Row],[Term.]]="Y"),Table1[[#This Row],[Kv*T]],"")</f>
        <v/>
      </c>
      <c r="AT6" s="152" t="str">
        <f>IF(AND(Table1[[#This Row],[Kv*T "D"4]]="",Table1[[#This Row],[Kv*T "Y"4]]=""),"",IF(Table1[[#This Row],[Kv*T "D"4]]="",Table1[[#This Row],[Kv*T "Y"4]]*3^0.5,Table1[[#This Row],[Kv*T "D"4]]))</f>
        <v/>
      </c>
      <c r="AU6" s="152"/>
      <c r="AV6" s="154" t="str">
        <f>IF(AND(Table1[[#This Row],[Variant]]=$AV$4,Table1[[#This Row],[Kv*T]]&gt;0,Table1[[#This Row],[Term.]]="D"),Table1[[#This Row],[Kv*T]],"")</f>
        <v/>
      </c>
      <c r="AW6" s="154" t="str">
        <f>IF(AND(Table1[[#This Row],[Variant]]=$AV$4,Table1[[#This Row],[Kv*T]]&gt;0,Table1[[#This Row],[Term.]]="Y"),Table1[[#This Row],[Kv*T]],"")</f>
        <v/>
      </c>
      <c r="AX6" s="152" t="str">
        <f>IF(AND(Table1[[#This Row],[Kv*T "D"5]]="",Table1[[#This Row],[Kv*T "Y"5]]=""),"",IF(Table1[[#This Row],[Kv*T "D"5]]="",Table1[[#This Row],[Kv*T "Y"5]]*3^0.5,Table1[[#This Row],[Kv*T "D"5]]))</f>
        <v/>
      </c>
      <c r="AY6" s="152"/>
    </row>
    <row r="7" spans="1:51" s="100" customFormat="1">
      <c r="A7" s="163" t="s">
        <v>224</v>
      </c>
      <c r="B7" s="165">
        <v>104</v>
      </c>
      <c r="C7" s="165">
        <v>12</v>
      </c>
      <c r="D7" s="163" t="s">
        <v>42</v>
      </c>
      <c r="E7" s="165">
        <v>1</v>
      </c>
      <c r="F7" s="86">
        <f t="shared" si="0"/>
        <v>12</v>
      </c>
      <c r="G7" s="163" t="s">
        <v>11</v>
      </c>
      <c r="H7" s="165">
        <v>38</v>
      </c>
      <c r="I7" s="97">
        <f>IF(OR(Table1[[#This Row],[Phys. Turns]]="",Table1[[#This Row],[Wire]]="",Table1[[#This Row],[Parallel]]=""),"",Table1[[#This Row],[Phys. Turns]]*VLOOKUP(Table1[[#This Row],[Wire]],wirelist,4,FALSE))</f>
        <v>2.448</v>
      </c>
      <c r="J7" s="11">
        <v>2695.7465277777778</v>
      </c>
      <c r="K7" s="12">
        <v>0.79</v>
      </c>
      <c r="L7" s="13"/>
      <c r="M7" s="5" t="s">
        <v>246</v>
      </c>
      <c r="N7" s="48">
        <v>18.5</v>
      </c>
      <c r="O7" s="165">
        <v>29</v>
      </c>
      <c r="P7" s="165">
        <v>21872</v>
      </c>
      <c r="Q7" s="12">
        <v>10.55</v>
      </c>
      <c r="R7" s="12">
        <v>17.5</v>
      </c>
      <c r="S7" s="48">
        <v>13.4</v>
      </c>
      <c r="T7" s="139">
        <f t="shared" si="1"/>
        <v>2.0540013540961408</v>
      </c>
      <c r="U7" s="133" t="s">
        <v>27</v>
      </c>
      <c r="V7" s="141" t="s">
        <v>237</v>
      </c>
      <c r="W7" s="46"/>
      <c r="X7" s="47"/>
      <c r="Y7" s="43"/>
      <c r="Z7" s="43"/>
      <c r="AA7" s="135"/>
      <c r="AB7" s="135">
        <f t="shared" si="2"/>
        <v>184.625</v>
      </c>
      <c r="AC7" s="152">
        <f t="shared" si="3"/>
        <v>1.2061308949776492</v>
      </c>
      <c r="AD7" s="152" t="str">
        <f>IF(Table1[[#This Row],[Prop.]]="No Load",Table1[[#This Row],["T"]]*Table1[[#This Row],[RPM]]/Table1[[#This Row],[V]],"")</f>
        <v/>
      </c>
      <c r="AE7" s="153" t="str">
        <f>IF(OR(C7="",E7="",H7=""),"",IF(Table1[[#This Row],[Prop.]]="No Load",IF(E7=1,(H7-10)/C7,IF(E7=2,2*(H7-10)/C7,4*(H7-10))),""))</f>
        <v/>
      </c>
      <c r="AF7" s="150" t="str">
        <f>IF(AND(Table1[[#This Row],[Variant]]=$AF$4,Table1[[#This Row],[Kv*T]]&gt;0,Table1[[#This Row],[Term.]]="D"),Table1[[#This Row],[Kv*T]],"")</f>
        <v/>
      </c>
      <c r="AG7" s="150" t="str">
        <f>IF(AND(Table1[[#This Row],[Variant]]=$AF$4,Table1[[#This Row],[Kv*T]]&gt;0,Table1[[#This Row],[Term.]]="Y"),Table1[[#This Row],[Kv*T]],"")</f>
        <v/>
      </c>
      <c r="AH7" s="152" t="str">
        <f>IF(AND(Table1[[#This Row],[Kv*T "D"]]="",Table1[[#This Row],[Kv*T "Y"]]=""),"",IF(Table1[[#This Row],[Kv*T "D"]]="",Table1[[#This Row],[Kv*T "Y"]]*3^0.5,Table1[[#This Row],[Kv*T "D"]]))</f>
        <v/>
      </c>
      <c r="AI7" s="151" t="str">
        <f>IF(Table1[[#This Row],[Std Inch per turn]]="","",Table1[[#This Row],[Std Inch per turn]])</f>
        <v/>
      </c>
      <c r="AJ7" s="154" t="str">
        <f>IF(AND(Table1[[#This Row],[Variant]]=$AJ$4,Table1[[#This Row],[Kv*T]]&gt;0,Table1[[#This Row],[Term.]]="D"),Table1[[#This Row],[Kv*T]],"")</f>
        <v/>
      </c>
      <c r="AK7" s="154" t="str">
        <f>IF(AND(Table1[[#This Row],[Variant]]=$AJ$4,Table1[[#This Row],[Kv*T]]&gt;0,Table1[[#This Row],[Term.]]="Y"),Table1[[#This Row],[Kv*T]],"")</f>
        <v/>
      </c>
      <c r="AL7" s="152" t="str">
        <f>IF(AND(Table1[[#This Row],[Kv*T "D"2]]="",Table1[[#This Row],[Kv*T "Y"2]]=""),"",IF(Table1[[#This Row],[Kv*T "D"2]]="",Table1[[#This Row],[Kv*T "Y"2]]*3^0.5,Table1[[#This Row],[Kv*T "D"2]]))</f>
        <v/>
      </c>
      <c r="AM7" s="151" t="str">
        <f>IF(Table1[[#This Row],[Std Inch per turn]]="","",Table1[[#This Row],[Std Inch per turn]])</f>
        <v/>
      </c>
      <c r="AN7" s="154" t="str">
        <f>IF(AND(Table1[[#This Row],[Variant]]=$AN$4,Table1[[#This Row],[Kv*T]]&gt;0,Table1[[#This Row],[Term.]]="D"),Table1[[#This Row],[Kv*T]],"")</f>
        <v/>
      </c>
      <c r="AO7" s="154" t="str">
        <f>IF(AND(Table1[[#This Row],[Variant]]=$AN$4,Table1[[#This Row],[Kv*T]]&gt;0,Table1[[#This Row],[Term.]]="Y"),Table1[[#This Row],[Kv*T]],"")</f>
        <v/>
      </c>
      <c r="AP7" s="152" t="str">
        <f>IF(AND(Table1[[#This Row],[Kv*T "D"3]]="",Table1[[#This Row],[Kv*T "Y"3]]=""),"",IF(Table1[[#This Row],[Kv*T "D"3]]="",Table1[[#This Row],[Kv*T "Y"3]]*3^0.5,Table1[[#This Row],[Kv*T "D"3]]))</f>
        <v/>
      </c>
      <c r="AQ7" s="152"/>
      <c r="AR7" s="154" t="str">
        <f>IF(AND(Table1[[#This Row],[Variant]]=$AR$4,Table1[[#This Row],[Kv*T]]&gt;0,Table1[[#This Row],[Term.]]="D"),Table1[[#This Row],[Kv*T]],"")</f>
        <v/>
      </c>
      <c r="AS7" s="154" t="str">
        <f>IF(AND(Table1[[#This Row],[Variant]]=$AR$4,Table1[[#This Row],[Kv*T]]&gt;0,Table1[[#This Row],[Term.]]="Y"),Table1[[#This Row],[Kv*T]],"")</f>
        <v/>
      </c>
      <c r="AT7" s="152" t="str">
        <f>IF(AND(Table1[[#This Row],[Kv*T "D"4]]="",Table1[[#This Row],[Kv*T "Y"4]]=""),"",IF(Table1[[#This Row],[Kv*T "D"4]]="",Table1[[#This Row],[Kv*T "Y"4]]*3^0.5,Table1[[#This Row],[Kv*T "D"4]]))</f>
        <v/>
      </c>
      <c r="AU7" s="152"/>
      <c r="AV7" s="154" t="str">
        <f>IF(AND(Table1[[#This Row],[Variant]]=$AV$4,Table1[[#This Row],[Kv*T]]&gt;0,Table1[[#This Row],[Term.]]="D"),Table1[[#This Row],[Kv*T]],"")</f>
        <v/>
      </c>
      <c r="AW7" s="154" t="str">
        <f>IF(AND(Table1[[#This Row],[Variant]]=$AV$4,Table1[[#This Row],[Kv*T]]&gt;0,Table1[[#This Row],[Term.]]="Y"),Table1[[#This Row],[Kv*T]],"")</f>
        <v/>
      </c>
      <c r="AX7" s="152" t="str">
        <f>IF(AND(Table1[[#This Row],[Kv*T "D"5]]="",Table1[[#This Row],[Kv*T "Y"5]]=""),"",IF(Table1[[#This Row],[Kv*T "D"5]]="",Table1[[#This Row],[Kv*T "Y"5]]*3^0.5,Table1[[#This Row],[Kv*T "D"5]]))</f>
        <v/>
      </c>
      <c r="AY7" s="152"/>
    </row>
    <row r="8" spans="1:51" s="100" customFormat="1">
      <c r="A8" s="146" t="s">
        <v>224</v>
      </c>
      <c r="B8" s="5">
        <v>90</v>
      </c>
      <c r="C8" s="5">
        <v>10</v>
      </c>
      <c r="D8" s="146" t="s">
        <v>166</v>
      </c>
      <c r="E8" s="5">
        <v>1</v>
      </c>
      <c r="F8" s="86">
        <f t="shared" si="0"/>
        <v>10</v>
      </c>
      <c r="G8" s="146" t="s">
        <v>21</v>
      </c>
      <c r="H8" s="5">
        <v>31</v>
      </c>
      <c r="I8" s="97">
        <f>IF(OR(Table1[[#This Row],[Phys. Turns]]="",Table1[[#This Row],[Wire]]="",Table1[[#This Row],[Parallel]]=""),"",Table1[[#This Row],[Phys. Turns]]*VLOOKUP(Table1[[#This Row],[Wire]],wirelist,4,FALSE))</f>
        <v>2.5499999999999998</v>
      </c>
      <c r="J8" s="18">
        <v>1816.6666666666667</v>
      </c>
      <c r="K8" s="19">
        <v>0.6</v>
      </c>
      <c r="L8" s="20"/>
      <c r="M8" s="146" t="s">
        <v>245</v>
      </c>
      <c r="N8" s="49">
        <v>19.3</v>
      </c>
      <c r="O8" s="5">
        <v>29</v>
      </c>
      <c r="P8" s="5">
        <v>16730</v>
      </c>
      <c r="Q8" s="19">
        <v>11.16</v>
      </c>
      <c r="R8" s="19">
        <v>8.0500000000000007</v>
      </c>
      <c r="S8" s="49">
        <v>9</v>
      </c>
      <c r="T8" s="43">
        <f t="shared" si="1"/>
        <v>2.8351031857343219</v>
      </c>
      <c r="U8" s="133" t="s">
        <v>27</v>
      </c>
      <c r="V8" s="141" t="s">
        <v>237</v>
      </c>
      <c r="W8" s="46"/>
      <c r="X8" s="47"/>
      <c r="Y8" s="43"/>
      <c r="Z8" s="43" t="str">
        <f>IF(W8="","",W8*28.37/AB8)</f>
        <v/>
      </c>
      <c r="AA8" s="11">
        <f>IF(OR(AB8="",Table1[[#This Row],[Prop.]]="No Load"),"",AB8*(1-X8))</f>
        <v>89.838000000000008</v>
      </c>
      <c r="AB8" s="11">
        <f t="shared" si="2"/>
        <v>89.838000000000008</v>
      </c>
      <c r="AC8" s="163">
        <f t="shared" si="3"/>
        <v>1.2028315114386441</v>
      </c>
      <c r="AD8" s="11" t="str">
        <f>IF(Table1[[#This Row],[Prop.]]="No Load",Table1[[#This Row],["T"]]*Table1[[#This Row],[RPM]]/Table1[[#This Row],[V]],"")</f>
        <v/>
      </c>
      <c r="AE8" s="12" t="str">
        <f>IF(OR(C8="",E8="",H8=""),"",IF(Table1[[#This Row],[Prop.]]="No Load",IF(E8=1,(H8-10)/C8,IF(E8=2,2*(H8-10)/C8,4*(H8-10))),""))</f>
        <v/>
      </c>
      <c r="AF8" s="163" t="str">
        <f>IF(AND(Table1[[#This Row],[Variant]]=$AF$4,Table1[[#This Row],[Kv*T]]&gt;0,Table1[[#This Row],[Term.]]="D"),Table1[[#This Row],[Kv*T]],"")</f>
        <v/>
      </c>
      <c r="AG8" s="163" t="str">
        <f>IF(AND(Table1[[#This Row],[Variant]]=$AF$4,Table1[[#This Row],[Kv*T]]&gt;0,Table1[[#This Row],[Term.]]="Y"),Table1[[#This Row],[Kv*T]],"")</f>
        <v/>
      </c>
      <c r="AH8" s="11" t="str">
        <f>IF(AND(Table1[[#This Row],[Kv*T "D"]]="",Table1[[#This Row],[Kv*T "Y"]]=""),"",IF(Table1[[#This Row],[Kv*T "D"]]="",Table1[[#This Row],[Kv*T "Y"]]*3^0.5,Table1[[#This Row],[Kv*T "D"]]))</f>
        <v/>
      </c>
      <c r="AI8" s="48" t="str">
        <f>IF(Table1[[#This Row],[Std Inch per turn]]="","",Table1[[#This Row],[Std Inch per turn]])</f>
        <v/>
      </c>
      <c r="AJ8" s="155" t="str">
        <f>IF(AND(Table1[[#This Row],[Variant]]=$AJ$4,Table1[[#This Row],[Kv*T]]&gt;0,Table1[[#This Row],[Term.]]="D"),Table1[[#This Row],[Kv*T]],"")</f>
        <v/>
      </c>
      <c r="AK8" s="155" t="str">
        <f>IF(AND(Table1[[#This Row],[Variant]]=$AJ$4,Table1[[#This Row],[Kv*T]]&gt;0,Table1[[#This Row],[Term.]]="Y"),Table1[[#This Row],[Kv*T]],"")</f>
        <v/>
      </c>
      <c r="AL8" s="11" t="str">
        <f>IF(AND(Table1[[#This Row],[Kv*T "D"2]]="",Table1[[#This Row],[Kv*T "Y"2]]=""),"",IF(Table1[[#This Row],[Kv*T "D"2]]="",Table1[[#This Row],[Kv*T "Y"2]]*3^0.5,Table1[[#This Row],[Kv*T "D"2]]))</f>
        <v/>
      </c>
      <c r="AM8" s="48" t="str">
        <f>IF(Table1[[#This Row],[Std Inch per turn]]="","",Table1[[#This Row],[Std Inch per turn]])</f>
        <v/>
      </c>
      <c r="AN8" s="155" t="str">
        <f>IF(AND(Table1[[#This Row],[Variant]]=$AN$4,Table1[[#This Row],[Kv*T]]&gt;0,Table1[[#This Row],[Term.]]="D"),Table1[[#This Row],[Kv*T]],"")</f>
        <v/>
      </c>
      <c r="AO8" s="155" t="str">
        <f>IF(AND(Table1[[#This Row],[Variant]]=$AN$4,Table1[[#This Row],[Kv*T]]&gt;0,Table1[[#This Row],[Term.]]="Y"),Table1[[#This Row],[Kv*T]],"")</f>
        <v/>
      </c>
      <c r="AP8" s="11" t="str">
        <f>IF(AND(Table1[[#This Row],[Kv*T "D"3]]="",Table1[[#This Row],[Kv*T "Y"3]]=""),"",IF(Table1[[#This Row],[Kv*T "D"3]]="",Table1[[#This Row],[Kv*T "Y"3]]*3^0.5,Table1[[#This Row],[Kv*T "D"3]]))</f>
        <v/>
      </c>
      <c r="AQ8" s="11"/>
      <c r="AR8" s="155" t="str">
        <f>IF(AND(Table1[[#This Row],[Variant]]=$AR$4,Table1[[#This Row],[Kv*T]]&gt;0,Table1[[#This Row],[Term.]]="D"),Table1[[#This Row],[Kv*T]],"")</f>
        <v/>
      </c>
      <c r="AS8" s="155" t="str">
        <f>IF(AND(Table1[[#This Row],[Variant]]=$AR$4,Table1[[#This Row],[Kv*T]]&gt;0,Table1[[#This Row],[Term.]]="Y"),Table1[[#This Row],[Kv*T]],"")</f>
        <v/>
      </c>
      <c r="AT8" s="11" t="str">
        <f>IF(AND(Table1[[#This Row],[Kv*T "D"4]]="",Table1[[#This Row],[Kv*T "Y"4]]=""),"",IF(Table1[[#This Row],[Kv*T "D"4]]="",Table1[[#This Row],[Kv*T "Y"4]]*3^0.5,Table1[[#This Row],[Kv*T "D"4]]))</f>
        <v/>
      </c>
      <c r="AU8" s="11"/>
      <c r="AV8" s="155" t="str">
        <f>IF(AND(Table1[[#This Row],[Variant]]=$AV$4,Table1[[#This Row],[Kv*T]]&gt;0,Table1[[#This Row],[Term.]]="D"),Table1[[#This Row],[Kv*T]],"")</f>
        <v/>
      </c>
      <c r="AW8" s="155" t="str">
        <f>IF(AND(Table1[[#This Row],[Variant]]=$AV$4,Table1[[#This Row],[Kv*T]]&gt;0,Table1[[#This Row],[Term.]]="Y"),Table1[[#This Row],[Kv*T]],"")</f>
        <v/>
      </c>
      <c r="AX8" s="11" t="str">
        <f>IF(AND(Table1[[#This Row],[Kv*T "D"5]]="",Table1[[#This Row],[Kv*T "Y"5]]=""),"",IF(Table1[[#This Row],[Kv*T "D"5]]="",Table1[[#This Row],[Kv*T "Y"5]]*3^0.5,Table1[[#This Row],[Kv*T "D"5]]))</f>
        <v/>
      </c>
      <c r="AY8" s="11"/>
    </row>
    <row r="9" spans="1:51" s="100" customFormat="1">
      <c r="A9" s="146" t="s">
        <v>224</v>
      </c>
      <c r="B9" s="165">
        <v>104</v>
      </c>
      <c r="C9" s="165">
        <v>12</v>
      </c>
      <c r="D9" s="146" t="s">
        <v>42</v>
      </c>
      <c r="E9" s="165">
        <v>1</v>
      </c>
      <c r="F9" s="86">
        <f t="shared" si="0"/>
        <v>12</v>
      </c>
      <c r="G9" s="146" t="s">
        <v>11</v>
      </c>
      <c r="H9" s="165">
        <v>38</v>
      </c>
      <c r="I9" s="97">
        <f>IF(OR(Table1[[#This Row],[Phys. Turns]]="",Table1[[#This Row],[Wire]]="",Table1[[#This Row],[Parallel]]=""),"",Table1[[#This Row],[Phys. Turns]]*VLOOKUP(Table1[[#This Row],[Wire]],wirelist,4,FALSE))</f>
        <v>2.448</v>
      </c>
      <c r="J9" s="11">
        <v>2695.7465277777778</v>
      </c>
      <c r="K9" s="12">
        <v>0.79</v>
      </c>
      <c r="L9" s="13"/>
      <c r="M9" s="146" t="s">
        <v>245</v>
      </c>
      <c r="N9" s="48">
        <v>18.5</v>
      </c>
      <c r="O9" s="165">
        <v>29</v>
      </c>
      <c r="P9" s="165">
        <v>21130</v>
      </c>
      <c r="Q9" s="12">
        <v>10.47</v>
      </c>
      <c r="R9" s="12">
        <v>19.21</v>
      </c>
      <c r="S9" s="48">
        <v>15</v>
      </c>
      <c r="T9" s="43">
        <f t="shared" si="1"/>
        <v>2.1105888915903099</v>
      </c>
      <c r="U9" s="133" t="s">
        <v>27</v>
      </c>
      <c r="V9" s="141" t="s">
        <v>237</v>
      </c>
      <c r="W9" s="46"/>
      <c r="X9" s="47"/>
      <c r="Y9" s="43"/>
      <c r="Z9" s="43"/>
      <c r="AA9" s="44"/>
      <c r="AB9" s="44">
        <f t="shared" si="2"/>
        <v>201.12870000000001</v>
      </c>
      <c r="AC9" s="163">
        <f t="shared" si="3"/>
        <v>1.2061308949776492</v>
      </c>
      <c r="AD9" s="11" t="str">
        <f>IF(Table1[[#This Row],[Prop.]]="No Load",Table1[[#This Row],["T"]]*Table1[[#This Row],[RPM]]/Table1[[#This Row],[V]],"")</f>
        <v/>
      </c>
      <c r="AE9" s="12" t="str">
        <f>IF(OR(C9="",E9="",H9=""),"",IF(Table1[[#This Row],[Prop.]]="No Load",IF(E9=1,(H9-10)/C9,IF(E9=2,2*(H9-10)/C9,4*(H9-10))),""))</f>
        <v/>
      </c>
      <c r="AF9" s="163" t="str">
        <f>IF(AND(Table1[[#This Row],[Variant]]=$AF$4,Table1[[#This Row],[Kv*T]]&gt;0,Table1[[#This Row],[Term.]]="D"),Table1[[#This Row],[Kv*T]],"")</f>
        <v/>
      </c>
      <c r="AG9" s="163" t="str">
        <f>IF(AND(Table1[[#This Row],[Variant]]=$AF$4,Table1[[#This Row],[Kv*T]]&gt;0,Table1[[#This Row],[Term.]]="Y"),Table1[[#This Row],[Kv*T]],"")</f>
        <v/>
      </c>
      <c r="AH9" s="11" t="str">
        <f>IF(AND(Table1[[#This Row],[Kv*T "D"]]="",Table1[[#This Row],[Kv*T "Y"]]=""),"",IF(Table1[[#This Row],[Kv*T "D"]]="",Table1[[#This Row],[Kv*T "Y"]]*3^0.5,Table1[[#This Row],[Kv*T "D"]]))</f>
        <v/>
      </c>
      <c r="AI9" s="48" t="str">
        <f>IF(Table1[[#This Row],[Std Inch per turn]]="","",Table1[[#This Row],[Std Inch per turn]])</f>
        <v/>
      </c>
      <c r="AJ9" s="155" t="str">
        <f>IF(AND(Table1[[#This Row],[Variant]]=$AJ$4,Table1[[#This Row],[Kv*T]]&gt;0,Table1[[#This Row],[Term.]]="D"),Table1[[#This Row],[Kv*T]],"")</f>
        <v/>
      </c>
      <c r="AK9" s="155" t="str">
        <f>IF(AND(Table1[[#This Row],[Variant]]=$AJ$4,Table1[[#This Row],[Kv*T]]&gt;0,Table1[[#This Row],[Term.]]="Y"),Table1[[#This Row],[Kv*T]],"")</f>
        <v/>
      </c>
      <c r="AL9" s="11" t="str">
        <f>IF(AND(Table1[[#This Row],[Kv*T "D"2]]="",Table1[[#This Row],[Kv*T "Y"2]]=""),"",IF(Table1[[#This Row],[Kv*T "D"2]]="",Table1[[#This Row],[Kv*T "Y"2]]*3^0.5,Table1[[#This Row],[Kv*T "D"2]]))</f>
        <v/>
      </c>
      <c r="AM9" s="48" t="str">
        <f>IF(Table1[[#This Row],[Std Inch per turn]]="","",Table1[[#This Row],[Std Inch per turn]])</f>
        <v/>
      </c>
      <c r="AN9" s="155" t="str">
        <f>IF(AND(Table1[[#This Row],[Variant]]=$AN$4,Table1[[#This Row],[Kv*T]]&gt;0,Table1[[#This Row],[Term.]]="D"),Table1[[#This Row],[Kv*T]],"")</f>
        <v/>
      </c>
      <c r="AO9" s="155" t="str">
        <f>IF(AND(Table1[[#This Row],[Variant]]=$AN$4,Table1[[#This Row],[Kv*T]]&gt;0,Table1[[#This Row],[Term.]]="Y"),Table1[[#This Row],[Kv*T]],"")</f>
        <v/>
      </c>
      <c r="AP9" s="11" t="str">
        <f>IF(AND(Table1[[#This Row],[Kv*T "D"3]]="",Table1[[#This Row],[Kv*T "Y"3]]=""),"",IF(Table1[[#This Row],[Kv*T "D"3]]="",Table1[[#This Row],[Kv*T "Y"3]]*3^0.5,Table1[[#This Row],[Kv*T "D"3]]))</f>
        <v/>
      </c>
      <c r="AQ9" s="11"/>
      <c r="AR9" s="155" t="str">
        <f>IF(AND(Table1[[#This Row],[Variant]]=$AR$4,Table1[[#This Row],[Kv*T]]&gt;0,Table1[[#This Row],[Term.]]="D"),Table1[[#This Row],[Kv*T]],"")</f>
        <v/>
      </c>
      <c r="AS9" s="155" t="str">
        <f>IF(AND(Table1[[#This Row],[Variant]]=$AR$4,Table1[[#This Row],[Kv*T]]&gt;0,Table1[[#This Row],[Term.]]="Y"),Table1[[#This Row],[Kv*T]],"")</f>
        <v/>
      </c>
      <c r="AT9" s="11" t="str">
        <f>IF(AND(Table1[[#This Row],[Kv*T "D"4]]="",Table1[[#This Row],[Kv*T "Y"4]]=""),"",IF(Table1[[#This Row],[Kv*T "D"4]]="",Table1[[#This Row],[Kv*T "Y"4]]*3^0.5,Table1[[#This Row],[Kv*T "D"4]]))</f>
        <v/>
      </c>
      <c r="AU9" s="11"/>
      <c r="AV9" s="155" t="str">
        <f>IF(AND(Table1[[#This Row],[Variant]]=$AV$4,Table1[[#This Row],[Kv*T]]&gt;0,Table1[[#This Row],[Term.]]="D"),Table1[[#This Row],[Kv*T]],"")</f>
        <v/>
      </c>
      <c r="AW9" s="155" t="str">
        <f>IF(AND(Table1[[#This Row],[Variant]]=$AV$4,Table1[[#This Row],[Kv*T]]&gt;0,Table1[[#This Row],[Term.]]="Y"),Table1[[#This Row],[Kv*T]],"")</f>
        <v/>
      </c>
      <c r="AX9" s="11" t="str">
        <f>IF(AND(Table1[[#This Row],[Kv*T "D"5]]="",Table1[[#This Row],[Kv*T "Y"5]]=""),"",IF(Table1[[#This Row],[Kv*T "D"5]]="",Table1[[#This Row],[Kv*T "Y"5]]*3^0.5,Table1[[#This Row],[Kv*T "D"5]]))</f>
        <v/>
      </c>
      <c r="AY9" s="11"/>
    </row>
    <row r="10" spans="1:51" s="100" customFormat="1">
      <c r="A10" s="146" t="s">
        <v>224</v>
      </c>
      <c r="B10" s="165">
        <v>104</v>
      </c>
      <c r="C10" s="165">
        <v>12</v>
      </c>
      <c r="D10" s="163" t="s">
        <v>42</v>
      </c>
      <c r="E10" s="165">
        <v>1</v>
      </c>
      <c r="F10" s="86">
        <f t="shared" si="0"/>
        <v>12</v>
      </c>
      <c r="G10" s="163" t="s">
        <v>11</v>
      </c>
      <c r="H10" s="165">
        <v>38</v>
      </c>
      <c r="I10" s="97">
        <f>IF(OR(Table1[[#This Row],[Phys. Turns]]="",Table1[[#This Row],[Wire]]="",Table1[[#This Row],[Parallel]]=""),"",Table1[[#This Row],[Phys. Turns]]*VLOOKUP(Table1[[#This Row],[Wire]],wirelist,4,FALSE))</f>
        <v>2.448</v>
      </c>
      <c r="J10" s="11">
        <v>2695.7465277777778</v>
      </c>
      <c r="K10" s="12">
        <v>0.79</v>
      </c>
      <c r="L10" s="13"/>
      <c r="M10" s="146" t="s">
        <v>243</v>
      </c>
      <c r="N10" s="48">
        <v>18.5</v>
      </c>
      <c r="O10" s="165">
        <v>29</v>
      </c>
      <c r="P10" s="165">
        <v>23923</v>
      </c>
      <c r="Q10" s="12">
        <v>10.77</v>
      </c>
      <c r="R10" s="12">
        <v>12.72</v>
      </c>
      <c r="S10" s="48">
        <v>11.6</v>
      </c>
      <c r="T10" s="43">
        <f t="shared" si="1"/>
        <v>2.3963023306062143</v>
      </c>
      <c r="U10" s="133" t="s">
        <v>27</v>
      </c>
      <c r="V10" s="141" t="s">
        <v>241</v>
      </c>
      <c r="W10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12.135130953696761</v>
      </c>
      <c r="X10" s="47">
        <f>IF(OR(P10="",Table1[[#This Row],[Prop.]]="No Load"),"",(AC10/VLOOKUP(Table1[[#This Row],[Prop.]],proplist,9,FALSE))*VLOOKUP(Table1[[#This Row],[Prop.]],proplist,7,FALSE)*(Table1[[#This Row],[RPM]]/1000)^(VLOOKUP(Table1[[#This Row],[Prop.]],proplist,8,FALSE))/Table1[[#This Row],[Pin '[W']]])</f>
        <v>1.0982042501724454</v>
      </c>
      <c r="Y10" s="43">
        <f>IF(OR(P10="",Table1[[#This Row],[Prop.]]="No Load"),"",P10*VLOOKUP(Table1[[#This Row],[Prop.]],proplist,3,FALSE)/1056)</f>
        <v>90.617424242424249</v>
      </c>
      <c r="Z10" s="43">
        <f>IF(W10="","",W10*28.37/AB10)</f>
        <v>2.5130491841737843</v>
      </c>
      <c r="AA10" s="44">
        <f>IF(OR(AB10="",Table1[[#This Row],[Prop.]]="No Load"),"",AB10*(1-X10))</f>
        <v>-13.453432329824054</v>
      </c>
      <c r="AB10" s="44">
        <f t="shared" si="2"/>
        <v>136.99440000000001</v>
      </c>
      <c r="AC10" s="165">
        <f t="shared" si="3"/>
        <v>1.2061308949776492</v>
      </c>
      <c r="AD10" s="11" t="str">
        <f>IF(Table1[[#This Row],[Prop.]]="No Load",Table1[[#This Row],["T"]]*Table1[[#This Row],[RPM]]/Table1[[#This Row],[V]],"")</f>
        <v/>
      </c>
      <c r="AE10" s="12" t="str">
        <f>IF(OR(C10="",E10="",H10=""),"",IF(Table1[[#This Row],[Prop.]]="No Load",IF(E10=1,(H10-10)/C10,IF(E10=2,2*(H10-10)/C10,4*(H10-10))),""))</f>
        <v/>
      </c>
      <c r="AF10" s="165" t="str">
        <f>IF(AND(Table1[[#This Row],[Variant]]=$AF$4,Table1[[#This Row],[Kv*T]]&gt;0,Table1[[#This Row],[Term.]]="D"),Table1[[#This Row],[Kv*T]],"")</f>
        <v/>
      </c>
      <c r="AG10" s="165" t="str">
        <f>IF(AND(Table1[[#This Row],[Variant]]=$AF$4,Table1[[#This Row],[Kv*T]]&gt;0,Table1[[#This Row],[Term.]]="Y"),Table1[[#This Row],[Kv*T]],"")</f>
        <v/>
      </c>
      <c r="AH10" s="11" t="str">
        <f>IF(AND(Table1[[#This Row],[Kv*T "D"]]="",Table1[[#This Row],[Kv*T "Y"]]=""),"",IF(Table1[[#This Row],[Kv*T "D"]]="",Table1[[#This Row],[Kv*T "Y"]]*3^0.5,Table1[[#This Row],[Kv*T "D"]]))</f>
        <v/>
      </c>
      <c r="AI10" s="48" t="str">
        <f>IF(Table1[[#This Row],[Std Inch per turn]]="","",Table1[[#This Row],[Std Inch per turn]])</f>
        <v/>
      </c>
      <c r="AJ10" s="155" t="str">
        <f>IF(AND(Table1[[#This Row],[Variant]]=$AJ$4,Table1[[#This Row],[Kv*T]]&gt;0,Table1[[#This Row],[Term.]]="D"),Table1[[#This Row],[Kv*T]],"")</f>
        <v/>
      </c>
      <c r="AK10" s="155" t="str">
        <f>IF(AND(Table1[[#This Row],[Variant]]=$AJ$4,Table1[[#This Row],[Kv*T]]&gt;0,Table1[[#This Row],[Term.]]="Y"),Table1[[#This Row],[Kv*T]],"")</f>
        <v/>
      </c>
      <c r="AL10" s="11" t="str">
        <f>IF(AND(Table1[[#This Row],[Kv*T "D"2]]="",Table1[[#This Row],[Kv*T "Y"2]]=""),"",IF(Table1[[#This Row],[Kv*T "D"2]]="",Table1[[#This Row],[Kv*T "Y"2]]*3^0.5,Table1[[#This Row],[Kv*T "D"2]]))</f>
        <v/>
      </c>
      <c r="AM10" s="48" t="str">
        <f>IF(Table1[[#This Row],[Std Inch per turn]]="","",Table1[[#This Row],[Std Inch per turn]])</f>
        <v/>
      </c>
      <c r="AN10" s="155" t="str">
        <f>IF(AND(Table1[[#This Row],[Variant]]=$AN$4,Table1[[#This Row],[Kv*T]]&gt;0,Table1[[#This Row],[Term.]]="D"),Table1[[#This Row],[Kv*T]],"")</f>
        <v/>
      </c>
      <c r="AO10" s="155" t="str">
        <f>IF(AND(Table1[[#This Row],[Variant]]=$AN$4,Table1[[#This Row],[Kv*T]]&gt;0,Table1[[#This Row],[Term.]]="Y"),Table1[[#This Row],[Kv*T]],"")</f>
        <v/>
      </c>
      <c r="AP10" s="11" t="str">
        <f>IF(AND(Table1[[#This Row],[Kv*T "D"3]]="",Table1[[#This Row],[Kv*T "Y"3]]=""),"",IF(Table1[[#This Row],[Kv*T "D"3]]="",Table1[[#This Row],[Kv*T "Y"3]]*3^0.5,Table1[[#This Row],[Kv*T "D"3]]))</f>
        <v/>
      </c>
      <c r="AQ10" s="11"/>
      <c r="AR10" s="155" t="str">
        <f>IF(AND(Table1[[#This Row],[Variant]]=$AR$4,Table1[[#This Row],[Kv*T]]&gt;0,Table1[[#This Row],[Term.]]="D"),Table1[[#This Row],[Kv*T]],"")</f>
        <v/>
      </c>
      <c r="AS10" s="155" t="str">
        <f>IF(AND(Table1[[#This Row],[Variant]]=$AR$4,Table1[[#This Row],[Kv*T]]&gt;0,Table1[[#This Row],[Term.]]="Y"),Table1[[#This Row],[Kv*T]],"")</f>
        <v/>
      </c>
      <c r="AT10" s="11" t="str">
        <f>IF(AND(Table1[[#This Row],[Kv*T "D"4]]="",Table1[[#This Row],[Kv*T "Y"4]]=""),"",IF(Table1[[#This Row],[Kv*T "D"4]]="",Table1[[#This Row],[Kv*T "Y"4]]*3^0.5,Table1[[#This Row],[Kv*T "D"4]]))</f>
        <v/>
      </c>
      <c r="AU10" s="11"/>
      <c r="AV10" s="155" t="str">
        <f>IF(AND(Table1[[#This Row],[Variant]]=$AV$4,Table1[[#This Row],[Kv*T]]&gt;0,Table1[[#This Row],[Term.]]="D"),Table1[[#This Row],[Kv*T]],"")</f>
        <v/>
      </c>
      <c r="AW10" s="155" t="str">
        <f>IF(AND(Table1[[#This Row],[Variant]]=$AV$4,Table1[[#This Row],[Kv*T]]&gt;0,Table1[[#This Row],[Term.]]="Y"),Table1[[#This Row],[Kv*T]],"")</f>
        <v/>
      </c>
      <c r="AX10" s="11" t="str">
        <f>IF(AND(Table1[[#This Row],[Kv*T "D"5]]="",Table1[[#This Row],[Kv*T "Y"5]]=""),"",IF(Table1[[#This Row],[Kv*T "D"5]]="",Table1[[#This Row],[Kv*T "Y"5]]*3^0.5,Table1[[#This Row],[Kv*T "D"5]]))</f>
        <v/>
      </c>
      <c r="AY10" s="11"/>
    </row>
    <row r="11" spans="1:51" s="100" customFormat="1">
      <c r="A11" s="146" t="s">
        <v>224</v>
      </c>
      <c r="B11" s="5">
        <v>90</v>
      </c>
      <c r="C11" s="5">
        <v>10</v>
      </c>
      <c r="D11" s="163" t="s">
        <v>166</v>
      </c>
      <c r="E11" s="5">
        <v>1</v>
      </c>
      <c r="F11" s="86">
        <f t="shared" si="0"/>
        <v>10</v>
      </c>
      <c r="G11" s="163" t="s">
        <v>21</v>
      </c>
      <c r="H11" s="5">
        <v>31</v>
      </c>
      <c r="I11" s="97">
        <f>IF(OR(Table1[[#This Row],[Phys. Turns]]="",Table1[[#This Row],[Wire]]="",Table1[[#This Row],[Parallel]]=""),"",Table1[[#This Row],[Phys. Turns]]*VLOOKUP(Table1[[#This Row],[Wire]],wirelist,4,FALSE))</f>
        <v>2.5499999999999998</v>
      </c>
      <c r="J11" s="18">
        <v>1816.6666666666667</v>
      </c>
      <c r="K11" s="19">
        <v>0.6</v>
      </c>
      <c r="L11" s="20"/>
      <c r="M11" s="146" t="s">
        <v>244</v>
      </c>
      <c r="N11" s="49">
        <v>19.5</v>
      </c>
      <c r="O11" s="5">
        <v>29</v>
      </c>
      <c r="P11" s="5">
        <v>16373</v>
      </c>
      <c r="Q11" s="19">
        <v>11.08</v>
      </c>
      <c r="R11" s="19">
        <v>8.67</v>
      </c>
      <c r="S11" s="49">
        <v>10.199999999999999</v>
      </c>
      <c r="T11" s="43">
        <f t="shared" si="1"/>
        <v>3.0048842641749838</v>
      </c>
      <c r="U11" s="133" t="s">
        <v>27</v>
      </c>
      <c r="V11" s="141" t="s">
        <v>237</v>
      </c>
      <c r="W11" s="46"/>
      <c r="X11" s="47"/>
      <c r="Y11" s="43"/>
      <c r="Z11" s="43" t="str">
        <f>IF(W11="","",W11*28.37/AB11)</f>
        <v/>
      </c>
      <c r="AA11" s="11">
        <f>IF(OR(AB11="",Table1[[#This Row],[Prop.]]="No Load"),"",AB11*(1-X11))</f>
        <v>96.063599999999994</v>
      </c>
      <c r="AB11" s="11">
        <f t="shared" si="2"/>
        <v>96.063599999999994</v>
      </c>
      <c r="AC11" s="165">
        <f t="shared" si="3"/>
        <v>1.202009484094418</v>
      </c>
      <c r="AD11" s="11" t="str">
        <f>IF(Table1[[#This Row],[Prop.]]="No Load",Table1[[#This Row],["T"]]*Table1[[#This Row],[RPM]]/Table1[[#This Row],[V]],"")</f>
        <v/>
      </c>
      <c r="AE11" s="12" t="str">
        <f>IF(OR(C11="",E11="",H11=""),"",IF(Table1[[#This Row],[Prop.]]="No Load",IF(E11=1,(H11-10)/C11,IF(E11=2,2*(H11-10)/C11,4*(H11-10))),""))</f>
        <v/>
      </c>
      <c r="AF11" s="163" t="str">
        <f>IF(AND(Table1[[#This Row],[Variant]]=$AF$4,Table1[[#This Row],[Kv*T]]&gt;0,Table1[[#This Row],[Term.]]="D"),Table1[[#This Row],[Kv*T]],"")</f>
        <v/>
      </c>
      <c r="AG11" s="163" t="str">
        <f>IF(AND(Table1[[#This Row],[Variant]]=$AF$4,Table1[[#This Row],[Kv*T]]&gt;0,Table1[[#This Row],[Term.]]="Y"),Table1[[#This Row],[Kv*T]],"")</f>
        <v/>
      </c>
      <c r="AH11" s="11" t="str">
        <f>IF(AND(Table1[[#This Row],[Kv*T "D"]]="",Table1[[#This Row],[Kv*T "Y"]]=""),"",IF(Table1[[#This Row],[Kv*T "D"]]="",Table1[[#This Row],[Kv*T "Y"]]*3^0.5,Table1[[#This Row],[Kv*T "D"]]))</f>
        <v/>
      </c>
      <c r="AI11" s="48" t="str">
        <f>IF(Table1[[#This Row],[Std Inch per turn]]="","",Table1[[#This Row],[Std Inch per turn]])</f>
        <v/>
      </c>
      <c r="AJ11" s="155" t="str">
        <f>IF(AND(Table1[[#This Row],[Variant]]=$AJ$4,Table1[[#This Row],[Kv*T]]&gt;0,Table1[[#This Row],[Term.]]="D"),Table1[[#This Row],[Kv*T]],"")</f>
        <v/>
      </c>
      <c r="AK11" s="155" t="str">
        <f>IF(AND(Table1[[#This Row],[Variant]]=$AJ$4,Table1[[#This Row],[Kv*T]]&gt;0,Table1[[#This Row],[Term.]]="Y"),Table1[[#This Row],[Kv*T]],"")</f>
        <v/>
      </c>
      <c r="AL11" s="11" t="str">
        <f>IF(AND(Table1[[#This Row],[Kv*T "D"2]]="",Table1[[#This Row],[Kv*T "Y"2]]=""),"",IF(Table1[[#This Row],[Kv*T "D"2]]="",Table1[[#This Row],[Kv*T "Y"2]]*3^0.5,Table1[[#This Row],[Kv*T "D"2]]))</f>
        <v/>
      </c>
      <c r="AM11" s="48" t="str">
        <f>IF(Table1[[#This Row],[Std Inch per turn]]="","",Table1[[#This Row],[Std Inch per turn]])</f>
        <v/>
      </c>
      <c r="AN11" s="155" t="str">
        <f>IF(AND(Table1[[#This Row],[Variant]]=$AN$4,Table1[[#This Row],[Kv*T]]&gt;0,Table1[[#This Row],[Term.]]="D"),Table1[[#This Row],[Kv*T]],"")</f>
        <v/>
      </c>
      <c r="AO11" s="155" t="str">
        <f>IF(AND(Table1[[#This Row],[Variant]]=$AN$4,Table1[[#This Row],[Kv*T]]&gt;0,Table1[[#This Row],[Term.]]="Y"),Table1[[#This Row],[Kv*T]],"")</f>
        <v/>
      </c>
      <c r="AP11" s="11" t="str">
        <f>IF(AND(Table1[[#This Row],[Kv*T "D"3]]="",Table1[[#This Row],[Kv*T "Y"3]]=""),"",IF(Table1[[#This Row],[Kv*T "D"3]]="",Table1[[#This Row],[Kv*T "Y"3]]*3^0.5,Table1[[#This Row],[Kv*T "D"3]]))</f>
        <v/>
      </c>
      <c r="AQ11" s="11"/>
      <c r="AR11" s="155" t="str">
        <f>IF(AND(Table1[[#This Row],[Variant]]=$AR$4,Table1[[#This Row],[Kv*T]]&gt;0,Table1[[#This Row],[Term.]]="D"),Table1[[#This Row],[Kv*T]],"")</f>
        <v/>
      </c>
      <c r="AS11" s="155" t="str">
        <f>IF(AND(Table1[[#This Row],[Variant]]=$AR$4,Table1[[#This Row],[Kv*T]]&gt;0,Table1[[#This Row],[Term.]]="Y"),Table1[[#This Row],[Kv*T]],"")</f>
        <v/>
      </c>
      <c r="AT11" s="11" t="str">
        <f>IF(AND(Table1[[#This Row],[Kv*T "D"4]]="",Table1[[#This Row],[Kv*T "Y"4]]=""),"",IF(Table1[[#This Row],[Kv*T "D"4]]="",Table1[[#This Row],[Kv*T "Y"4]]*3^0.5,Table1[[#This Row],[Kv*T "D"4]]))</f>
        <v/>
      </c>
      <c r="AU11" s="11"/>
      <c r="AV11" s="155" t="str">
        <f>IF(AND(Table1[[#This Row],[Variant]]=$AV$4,Table1[[#This Row],[Kv*T]]&gt;0,Table1[[#This Row],[Term.]]="D"),Table1[[#This Row],[Kv*T]],"")</f>
        <v/>
      </c>
      <c r="AW11" s="155" t="str">
        <f>IF(AND(Table1[[#This Row],[Variant]]=$AV$4,Table1[[#This Row],[Kv*T]]&gt;0,Table1[[#This Row],[Term.]]="Y"),Table1[[#This Row],[Kv*T]],"")</f>
        <v/>
      </c>
      <c r="AX11" s="11" t="str">
        <f>IF(AND(Table1[[#This Row],[Kv*T "D"5]]="",Table1[[#This Row],[Kv*T "Y"5]]=""),"",IF(Table1[[#This Row],[Kv*T "D"5]]="",Table1[[#This Row],[Kv*T "Y"5]]*3^0.5,Table1[[#This Row],[Kv*T "D"5]]))</f>
        <v/>
      </c>
      <c r="AY11" s="11"/>
    </row>
    <row r="12" spans="1:51" s="100" customFormat="1">
      <c r="A12" s="146" t="s">
        <v>224</v>
      </c>
      <c r="B12" s="165">
        <v>104</v>
      </c>
      <c r="C12" s="165">
        <v>12</v>
      </c>
      <c r="D12" s="163" t="s">
        <v>42</v>
      </c>
      <c r="E12" s="165">
        <v>1</v>
      </c>
      <c r="F12" s="86">
        <f t="shared" si="0"/>
        <v>12</v>
      </c>
      <c r="G12" s="163" t="s">
        <v>11</v>
      </c>
      <c r="H12" s="165">
        <v>38</v>
      </c>
      <c r="I12" s="97">
        <f>IF(OR(Table1[[#This Row],[Phys. Turns]]="",Table1[[#This Row],[Wire]]="",Table1[[#This Row],[Parallel]]=""),"",Table1[[#This Row],[Phys. Turns]]*VLOOKUP(Table1[[#This Row],[Wire]],wirelist,4,FALSE))</f>
        <v>2.448</v>
      </c>
      <c r="J12" s="11">
        <v>2695.7465277777778</v>
      </c>
      <c r="K12" s="12">
        <v>0.79</v>
      </c>
      <c r="L12" s="13"/>
      <c r="M12" s="5" t="s">
        <v>244</v>
      </c>
      <c r="N12" s="48">
        <v>18.5</v>
      </c>
      <c r="O12" s="165">
        <v>29</v>
      </c>
      <c r="P12" s="165">
        <v>20789</v>
      </c>
      <c r="Q12" s="12">
        <v>10.41</v>
      </c>
      <c r="R12" s="12">
        <v>20</v>
      </c>
      <c r="S12" s="48">
        <v>16.899999999999999</v>
      </c>
      <c r="T12" s="139">
        <f t="shared" si="1"/>
        <v>2.2971661863592701</v>
      </c>
      <c r="U12" s="133" t="s">
        <v>27</v>
      </c>
      <c r="V12" s="141" t="s">
        <v>237</v>
      </c>
      <c r="W12" s="46"/>
      <c r="X12" s="47"/>
      <c r="Y12" s="43"/>
      <c r="Z12" s="43"/>
      <c r="AA12" s="135"/>
      <c r="AB12" s="135">
        <f t="shared" si="2"/>
        <v>208.2</v>
      </c>
      <c r="AC12" s="152">
        <f t="shared" si="3"/>
        <v>1.2061308949776492</v>
      </c>
      <c r="AD12" s="152" t="str">
        <f>IF(Table1[[#This Row],[Prop.]]="No Load",Table1[[#This Row],["T"]]*Table1[[#This Row],[RPM]]/Table1[[#This Row],[V]],"")</f>
        <v/>
      </c>
      <c r="AE12" s="153" t="str">
        <f>IF(OR(C12="",E12="",H12=""),"",IF(Table1[[#This Row],[Prop.]]="No Load",IF(E12=1,(H12-10)/C12,IF(E12=2,2*(H12-10)/C12,4*(H12-10))),""))</f>
        <v/>
      </c>
      <c r="AF12" s="150" t="str">
        <f>IF(AND(Table1[[#This Row],[Variant]]=$AF$4,Table1[[#This Row],[Kv*T]]&gt;0,Table1[[#This Row],[Term.]]="D"),Table1[[#This Row],[Kv*T]],"")</f>
        <v/>
      </c>
      <c r="AG12" s="150" t="str">
        <f>IF(AND(Table1[[#This Row],[Variant]]=$AF$4,Table1[[#This Row],[Kv*T]]&gt;0,Table1[[#This Row],[Term.]]="Y"),Table1[[#This Row],[Kv*T]],"")</f>
        <v/>
      </c>
      <c r="AH12" s="152" t="str">
        <f>IF(AND(Table1[[#This Row],[Kv*T "D"]]="",Table1[[#This Row],[Kv*T "Y"]]=""),"",IF(Table1[[#This Row],[Kv*T "D"]]="",Table1[[#This Row],[Kv*T "Y"]]*3^0.5,Table1[[#This Row],[Kv*T "D"]]))</f>
        <v/>
      </c>
      <c r="AI12" s="151" t="str">
        <f>IF(Table1[[#This Row],[Std Inch per turn]]="","",Table1[[#This Row],[Std Inch per turn]])</f>
        <v/>
      </c>
      <c r="AJ12" s="154" t="str">
        <f>IF(AND(Table1[[#This Row],[Variant]]=$AJ$4,Table1[[#This Row],[Kv*T]]&gt;0,Table1[[#This Row],[Term.]]="D"),Table1[[#This Row],[Kv*T]],"")</f>
        <v/>
      </c>
      <c r="AK12" s="154" t="str">
        <f>IF(AND(Table1[[#This Row],[Variant]]=$AJ$4,Table1[[#This Row],[Kv*T]]&gt;0,Table1[[#This Row],[Term.]]="Y"),Table1[[#This Row],[Kv*T]],"")</f>
        <v/>
      </c>
      <c r="AL12" s="152" t="str">
        <f>IF(AND(Table1[[#This Row],[Kv*T "D"2]]="",Table1[[#This Row],[Kv*T "Y"2]]=""),"",IF(Table1[[#This Row],[Kv*T "D"2]]="",Table1[[#This Row],[Kv*T "Y"2]]*3^0.5,Table1[[#This Row],[Kv*T "D"2]]))</f>
        <v/>
      </c>
      <c r="AM12" s="151" t="str">
        <f>IF(Table1[[#This Row],[Std Inch per turn]]="","",Table1[[#This Row],[Std Inch per turn]])</f>
        <v/>
      </c>
      <c r="AN12" s="154" t="str">
        <f>IF(AND(Table1[[#This Row],[Variant]]=$AN$4,Table1[[#This Row],[Kv*T]]&gt;0,Table1[[#This Row],[Term.]]="D"),Table1[[#This Row],[Kv*T]],"")</f>
        <v/>
      </c>
      <c r="AO12" s="154" t="str">
        <f>IF(AND(Table1[[#This Row],[Variant]]=$AN$4,Table1[[#This Row],[Kv*T]]&gt;0,Table1[[#This Row],[Term.]]="Y"),Table1[[#This Row],[Kv*T]],"")</f>
        <v/>
      </c>
      <c r="AP12" s="152" t="str">
        <f>IF(AND(Table1[[#This Row],[Kv*T "D"3]]="",Table1[[#This Row],[Kv*T "Y"3]]=""),"",IF(Table1[[#This Row],[Kv*T "D"3]]="",Table1[[#This Row],[Kv*T "Y"3]]*3^0.5,Table1[[#This Row],[Kv*T "D"3]]))</f>
        <v/>
      </c>
      <c r="AQ12" s="152"/>
      <c r="AR12" s="154" t="str">
        <f>IF(AND(Table1[[#This Row],[Variant]]=$AR$4,Table1[[#This Row],[Kv*T]]&gt;0,Table1[[#This Row],[Term.]]="D"),Table1[[#This Row],[Kv*T]],"")</f>
        <v/>
      </c>
      <c r="AS12" s="154" t="str">
        <f>IF(AND(Table1[[#This Row],[Variant]]=$AR$4,Table1[[#This Row],[Kv*T]]&gt;0,Table1[[#This Row],[Term.]]="Y"),Table1[[#This Row],[Kv*T]],"")</f>
        <v/>
      </c>
      <c r="AT12" s="152" t="str">
        <f>IF(AND(Table1[[#This Row],[Kv*T "D"4]]="",Table1[[#This Row],[Kv*T "Y"4]]=""),"",IF(Table1[[#This Row],[Kv*T "D"4]]="",Table1[[#This Row],[Kv*T "Y"4]]*3^0.5,Table1[[#This Row],[Kv*T "D"4]]))</f>
        <v/>
      </c>
      <c r="AU12" s="152"/>
      <c r="AV12" s="154" t="str">
        <f>IF(AND(Table1[[#This Row],[Variant]]=$AV$4,Table1[[#This Row],[Kv*T]]&gt;0,Table1[[#This Row],[Term.]]="D"),Table1[[#This Row],[Kv*T]],"")</f>
        <v/>
      </c>
      <c r="AW12" s="154" t="str">
        <f>IF(AND(Table1[[#This Row],[Variant]]=$AV$4,Table1[[#This Row],[Kv*T]]&gt;0,Table1[[#This Row],[Term.]]="Y"),Table1[[#This Row],[Kv*T]],"")</f>
        <v/>
      </c>
      <c r="AX12" s="152" t="str">
        <f>IF(AND(Table1[[#This Row],[Kv*T "D"5]]="",Table1[[#This Row],[Kv*T "Y"5]]=""),"",IF(Table1[[#This Row],[Kv*T "D"5]]="",Table1[[#This Row],[Kv*T "Y"5]]*3^0.5,Table1[[#This Row],[Kv*T "D"5]]))</f>
        <v/>
      </c>
      <c r="AY12" s="152"/>
    </row>
    <row r="13" spans="1:51" s="100" customFormat="1">
      <c r="A13" s="163" t="s">
        <v>224</v>
      </c>
      <c r="B13" s="165">
        <v>91</v>
      </c>
      <c r="C13" s="165">
        <v>12</v>
      </c>
      <c r="D13" s="163" t="s">
        <v>42</v>
      </c>
      <c r="E13" s="165">
        <v>1</v>
      </c>
      <c r="F13" s="86">
        <f t="shared" si="0"/>
        <v>12</v>
      </c>
      <c r="G13" s="163" t="s">
        <v>11</v>
      </c>
      <c r="H13" s="165">
        <v>38</v>
      </c>
      <c r="I13" s="97">
        <f>IF(OR(Table1[[#This Row],[Phys. Turns]]="",Table1[[#This Row],[Wire]]="",Table1[[#This Row],[Parallel]]=""),"",Table1[[#This Row],[Phys. Turns]]*VLOOKUP(Table1[[#This Row],[Wire]],wirelist,4,FALSE))</f>
        <v>2.448</v>
      </c>
      <c r="J13" s="165">
        <v>2583</v>
      </c>
      <c r="K13" s="12">
        <v>0.93</v>
      </c>
      <c r="L13" s="13">
        <v>5.0999999999999997E-2</v>
      </c>
      <c r="M13" s="146" t="s">
        <v>229</v>
      </c>
      <c r="N13" s="48">
        <v>24.6</v>
      </c>
      <c r="O13" s="165">
        <v>29</v>
      </c>
      <c r="P13" s="165">
        <v>24046</v>
      </c>
      <c r="Q13" s="12">
        <v>11.85</v>
      </c>
      <c r="R13" s="12">
        <v>17.760000000000002</v>
      </c>
      <c r="S13" s="48">
        <v>22</v>
      </c>
      <c r="T13" s="43">
        <f t="shared" si="1"/>
        <v>2.9583380849203631</v>
      </c>
      <c r="U13" s="133" t="s">
        <v>27</v>
      </c>
      <c r="V13" s="141" t="s">
        <v>237</v>
      </c>
      <c r="W13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22.597379910823978</v>
      </c>
      <c r="X13" s="47">
        <f>IF(OR(P13="",Table1[[#This Row],[Prop.]]="No Load"),"",(AC13/VLOOKUP(Table1[[#This Row],[Prop.]],proplist,9,FALSE))*VLOOKUP(Table1[[#This Row],[Prop.]],proplist,7,FALSE)*(Table1[[#This Row],[RPM]]/1000)^(VLOOKUP(Table1[[#This Row],[Prop.]],proplist,8,FALSE))/Table1[[#This Row],[Pin '[W']]])</f>
        <v>1.0503873119981897</v>
      </c>
      <c r="Y13" s="43">
        <f>IF(OR(P13="",Table1[[#This Row],[Prop.]]="No Load"),"",P13*VLOOKUP(Table1[[#This Row],[Prop.]],proplist,3,FALSE)/1056)</f>
        <v>102.46875</v>
      </c>
      <c r="Z13" s="43">
        <f>IF(W13="","",W13*28.37/AB13)</f>
        <v>3.0461838487383406</v>
      </c>
      <c r="AA13" s="44">
        <f>IF(OR(AB13="",Table1[[#This Row],[Prop.]]="No Load"),"",AB13*(1-X13))</f>
        <v>-10.60431213389101</v>
      </c>
      <c r="AB13" s="44">
        <f t="shared" si="2"/>
        <v>210.45600000000002</v>
      </c>
      <c r="AC13" s="86">
        <f t="shared" si="3"/>
        <v>1.1814209085482164</v>
      </c>
      <c r="AD13" s="44" t="str">
        <f>IF(Table1[[#This Row],[Prop.]]="No Load",Table1[[#This Row],["T"]]*Table1[[#This Row],[RPM]]/Table1[[#This Row],[V]],"")</f>
        <v/>
      </c>
      <c r="AE13" s="97" t="str">
        <f>IF(OR(C13="",E13="",H13=""),"",IF(Table1[[#This Row],[Prop.]]="No Load",IF(E13=1,(H13-10)/C13,IF(E13=2,2*(H13-10)/C13,4*(H13-10))),""))</f>
        <v/>
      </c>
      <c r="AF13" s="86" t="str">
        <f>IF(AND(Table1[[#This Row],[Variant]]=$AF$4,Table1[[#This Row],[Kv*T]]&gt;0,Table1[[#This Row],[Term.]]="D"),Table1[[#This Row],[Kv*T]],"")</f>
        <v/>
      </c>
      <c r="AG13" s="86" t="str">
        <f>IF(AND(Table1[[#This Row],[Variant]]=$AF$4,Table1[[#This Row],[Kv*T]]&gt;0,Table1[[#This Row],[Term.]]="Y"),Table1[[#This Row],[Kv*T]],"")</f>
        <v/>
      </c>
      <c r="AH13" s="44" t="str">
        <f>IF(AND(Table1[[#This Row],[Kv*T "D"]]="",Table1[[#This Row],[Kv*T "Y"]]=""),"",IF(Table1[[#This Row],[Kv*T "D"]]="",Table1[[#This Row],[Kv*T "Y"]]*3^0.5,Table1[[#This Row],[Kv*T "D"]]))</f>
        <v/>
      </c>
      <c r="AI13" s="43" t="str">
        <f>IF(Table1[[#This Row],[Std Inch per turn]]="","",Table1[[#This Row],[Std Inch per turn]])</f>
        <v/>
      </c>
      <c r="AJ13" s="134" t="str">
        <f>IF(AND(Table1[[#This Row],[Variant]]=$AJ$4,Table1[[#This Row],[Kv*T]]&gt;0,Table1[[#This Row],[Term.]]="D"),Table1[[#This Row],[Kv*T]],"")</f>
        <v/>
      </c>
      <c r="AK13" s="134" t="str">
        <f>IF(AND(Table1[[#This Row],[Variant]]=$AJ$4,Table1[[#This Row],[Kv*T]]&gt;0,Table1[[#This Row],[Term.]]="Y"),Table1[[#This Row],[Kv*T]],"")</f>
        <v/>
      </c>
      <c r="AL13" s="44" t="str">
        <f>IF(AND(Table1[[#This Row],[Kv*T "D"2]]="",Table1[[#This Row],[Kv*T "Y"2]]=""),"",IF(Table1[[#This Row],[Kv*T "D"2]]="",Table1[[#This Row],[Kv*T "Y"2]]*3^0.5,Table1[[#This Row],[Kv*T "D"2]]))</f>
        <v/>
      </c>
      <c r="AM13" s="43" t="str">
        <f>IF(Table1[[#This Row],[Std Inch per turn]]="","",Table1[[#This Row],[Std Inch per turn]])</f>
        <v/>
      </c>
      <c r="AN13" s="134" t="str">
        <f>IF(AND(Table1[[#This Row],[Variant]]=$AN$4,Table1[[#This Row],[Kv*T]]&gt;0,Table1[[#This Row],[Term.]]="D"),Table1[[#This Row],[Kv*T]],"")</f>
        <v/>
      </c>
      <c r="AO13" s="134" t="str">
        <f>IF(AND(Table1[[#This Row],[Variant]]=$AN$4,Table1[[#This Row],[Kv*T]]&gt;0,Table1[[#This Row],[Term.]]="Y"),Table1[[#This Row],[Kv*T]],"")</f>
        <v/>
      </c>
      <c r="AP13" s="44" t="str">
        <f>IF(AND(Table1[[#This Row],[Kv*T "D"3]]="",Table1[[#This Row],[Kv*T "Y"3]]=""),"",IF(Table1[[#This Row],[Kv*T "D"3]]="",Table1[[#This Row],[Kv*T "Y"3]]*3^0.5,Table1[[#This Row],[Kv*T "D"3]]))</f>
        <v/>
      </c>
      <c r="AQ13" s="44"/>
      <c r="AR13" s="134" t="str">
        <f>IF(AND(Table1[[#This Row],[Variant]]=$AR$4,Table1[[#This Row],[Kv*T]]&gt;0,Table1[[#This Row],[Term.]]="D"),Table1[[#This Row],[Kv*T]],"")</f>
        <v/>
      </c>
      <c r="AS13" s="134" t="str">
        <f>IF(AND(Table1[[#This Row],[Variant]]=$AR$4,Table1[[#This Row],[Kv*T]]&gt;0,Table1[[#This Row],[Term.]]="Y"),Table1[[#This Row],[Kv*T]],"")</f>
        <v/>
      </c>
      <c r="AT13" s="44" t="str">
        <f>IF(AND(Table1[[#This Row],[Kv*T "D"4]]="",Table1[[#This Row],[Kv*T "Y"4]]=""),"",IF(Table1[[#This Row],[Kv*T "D"4]]="",Table1[[#This Row],[Kv*T "Y"4]]*3^0.5,Table1[[#This Row],[Kv*T "D"4]]))</f>
        <v/>
      </c>
      <c r="AU13" s="44"/>
      <c r="AV13" s="134" t="str">
        <f>IF(AND(Table1[[#This Row],[Variant]]=$AV$4,Table1[[#This Row],[Kv*T]]&gt;0,Table1[[#This Row],[Term.]]="D"),Table1[[#This Row],[Kv*T]],"")</f>
        <v/>
      </c>
      <c r="AW13" s="134" t="str">
        <f>IF(AND(Table1[[#This Row],[Variant]]=$AV$4,Table1[[#This Row],[Kv*T]]&gt;0,Table1[[#This Row],[Term.]]="Y"),Table1[[#This Row],[Kv*T]],"")</f>
        <v/>
      </c>
      <c r="AX13" s="44" t="str">
        <f>IF(AND(Table1[[#This Row],[Kv*T "D"5]]="",Table1[[#This Row],[Kv*T "Y"5]]=""),"",IF(Table1[[#This Row],[Kv*T "D"5]]="",Table1[[#This Row],[Kv*T "Y"5]]*3^0.5,Table1[[#This Row],[Kv*T "D"5]]))</f>
        <v/>
      </c>
      <c r="AY13" s="44"/>
    </row>
    <row r="14" spans="1:51" s="100" customFormat="1">
      <c r="A14" s="146" t="s">
        <v>224</v>
      </c>
      <c r="B14" s="5">
        <v>90</v>
      </c>
      <c r="C14" s="5">
        <v>10</v>
      </c>
      <c r="D14" s="146" t="s">
        <v>166</v>
      </c>
      <c r="E14" s="5">
        <v>1</v>
      </c>
      <c r="F14" s="86">
        <f t="shared" si="0"/>
        <v>10</v>
      </c>
      <c r="G14" s="146" t="s">
        <v>21</v>
      </c>
      <c r="H14" s="5">
        <v>31</v>
      </c>
      <c r="I14" s="97">
        <f>IF(OR(Table1[[#This Row],[Phys. Turns]]="",Table1[[#This Row],[Wire]]="",Table1[[#This Row],[Parallel]]=""),"",Table1[[#This Row],[Phys. Turns]]*VLOOKUP(Table1[[#This Row],[Wire]],wirelist,4,FALSE))</f>
        <v>2.5499999999999998</v>
      </c>
      <c r="J14" s="18">
        <v>1816.6666666666667</v>
      </c>
      <c r="K14" s="19">
        <v>0.6</v>
      </c>
      <c r="L14" s="20"/>
      <c r="M14" s="146" t="s">
        <v>230</v>
      </c>
      <c r="N14" s="49">
        <v>19.3</v>
      </c>
      <c r="O14" s="5">
        <v>29</v>
      </c>
      <c r="P14" s="5">
        <v>16722</v>
      </c>
      <c r="Q14" s="19">
        <v>11.1</v>
      </c>
      <c r="R14" s="19">
        <v>8.11</v>
      </c>
      <c r="S14" s="49">
        <v>9</v>
      </c>
      <c r="T14" s="43">
        <f t="shared" si="1"/>
        <v>2.8293398207085021</v>
      </c>
      <c r="U14" s="133" t="s">
        <v>27</v>
      </c>
      <c r="V14" s="141" t="s">
        <v>237</v>
      </c>
      <c r="W14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9.1937421211820318</v>
      </c>
      <c r="X14" s="47">
        <f>IF(OR(P14="",Table1[[#This Row],[Prop.]]="No Load"),"",(AC14/VLOOKUP(Table1[[#This Row],[Prop.]],proplist,9,FALSE))*VLOOKUP(Table1[[#This Row],[Prop.]],proplist,7,FALSE)*(Table1[[#This Row],[RPM]]/1000)^(VLOOKUP(Table1[[#This Row],[Prop.]],proplist,8,FALSE))/Table1[[#This Row],[Pin '[W']]])</f>
        <v>0.84196555816301977</v>
      </c>
      <c r="Y14" s="43">
        <f>IF(OR(P14="",Table1[[#This Row],[Prop.]]="No Load"),"",P14*VLOOKUP(Table1[[#This Row],[Prop.]],proplist,3,FALSE)/1056)</f>
        <v>75.217329545454547</v>
      </c>
      <c r="Z14" s="43">
        <f>IF(W14="","",W14*28.37/AB14)</f>
        <v>2.8973957629656888</v>
      </c>
      <c r="AA14" s="11">
        <f>IF(OR(AB14="",Table1[[#This Row],[Prop.]]="No Load"),"",AB14*(1-X14))</f>
        <v>14.226418488606795</v>
      </c>
      <c r="AB14" s="11">
        <f t="shared" si="2"/>
        <v>90.020999999999987</v>
      </c>
      <c r="AC14" s="163">
        <f t="shared" si="3"/>
        <v>1.2028315114386441</v>
      </c>
      <c r="AD14" s="11" t="str">
        <f>IF(Table1[[#This Row],[Prop.]]="No Load",Table1[[#This Row],["T"]]*Table1[[#This Row],[RPM]]/Table1[[#This Row],[V]],"")</f>
        <v/>
      </c>
      <c r="AE14" s="12" t="str">
        <f>IF(OR(C14="",E14="",H14=""),"",IF(Table1[[#This Row],[Prop.]]="No Load",IF(E14=1,(H14-10)/C14,IF(E14=2,2*(H14-10)/C14,4*(H14-10))),""))</f>
        <v/>
      </c>
      <c r="AF14" s="163" t="str">
        <f>IF(AND(Table1[[#This Row],[Variant]]=$AF$4,Table1[[#This Row],[Kv*T]]&gt;0,Table1[[#This Row],[Term.]]="D"),Table1[[#This Row],[Kv*T]],"")</f>
        <v/>
      </c>
      <c r="AG14" s="163" t="str">
        <f>IF(AND(Table1[[#This Row],[Variant]]=$AF$4,Table1[[#This Row],[Kv*T]]&gt;0,Table1[[#This Row],[Term.]]="Y"),Table1[[#This Row],[Kv*T]],"")</f>
        <v/>
      </c>
      <c r="AH14" s="11" t="str">
        <f>IF(AND(Table1[[#This Row],[Kv*T "D"]]="",Table1[[#This Row],[Kv*T "Y"]]=""),"",IF(Table1[[#This Row],[Kv*T "D"]]="",Table1[[#This Row],[Kv*T "Y"]]*3^0.5,Table1[[#This Row],[Kv*T "D"]]))</f>
        <v/>
      </c>
      <c r="AI14" s="48" t="str">
        <f>IF(Table1[[#This Row],[Std Inch per turn]]="","",Table1[[#This Row],[Std Inch per turn]])</f>
        <v/>
      </c>
      <c r="AJ14" s="155" t="str">
        <f>IF(AND(Table1[[#This Row],[Variant]]=$AJ$4,Table1[[#This Row],[Kv*T]]&gt;0,Table1[[#This Row],[Term.]]="D"),Table1[[#This Row],[Kv*T]],"")</f>
        <v/>
      </c>
      <c r="AK14" s="155" t="str">
        <f>IF(AND(Table1[[#This Row],[Variant]]=$AJ$4,Table1[[#This Row],[Kv*T]]&gt;0,Table1[[#This Row],[Term.]]="Y"),Table1[[#This Row],[Kv*T]],"")</f>
        <v/>
      </c>
      <c r="AL14" s="11" t="str">
        <f>IF(AND(Table1[[#This Row],[Kv*T "D"2]]="",Table1[[#This Row],[Kv*T "Y"2]]=""),"",IF(Table1[[#This Row],[Kv*T "D"2]]="",Table1[[#This Row],[Kv*T "Y"2]]*3^0.5,Table1[[#This Row],[Kv*T "D"2]]))</f>
        <v/>
      </c>
      <c r="AM14" s="48" t="str">
        <f>IF(Table1[[#This Row],[Std Inch per turn]]="","",Table1[[#This Row],[Std Inch per turn]])</f>
        <v/>
      </c>
      <c r="AN14" s="155" t="str">
        <f>IF(AND(Table1[[#This Row],[Variant]]=$AN$4,Table1[[#This Row],[Kv*T]]&gt;0,Table1[[#This Row],[Term.]]="D"),Table1[[#This Row],[Kv*T]],"")</f>
        <v/>
      </c>
      <c r="AO14" s="155" t="str">
        <f>IF(AND(Table1[[#This Row],[Variant]]=$AN$4,Table1[[#This Row],[Kv*T]]&gt;0,Table1[[#This Row],[Term.]]="Y"),Table1[[#This Row],[Kv*T]],"")</f>
        <v/>
      </c>
      <c r="AP14" s="11" t="str">
        <f>IF(AND(Table1[[#This Row],[Kv*T "D"3]]="",Table1[[#This Row],[Kv*T "Y"3]]=""),"",IF(Table1[[#This Row],[Kv*T "D"3]]="",Table1[[#This Row],[Kv*T "Y"3]]*3^0.5,Table1[[#This Row],[Kv*T "D"3]]))</f>
        <v/>
      </c>
      <c r="AQ14" s="11"/>
      <c r="AR14" s="155" t="str">
        <f>IF(AND(Table1[[#This Row],[Variant]]=$AR$4,Table1[[#This Row],[Kv*T]]&gt;0,Table1[[#This Row],[Term.]]="D"),Table1[[#This Row],[Kv*T]],"")</f>
        <v/>
      </c>
      <c r="AS14" s="155" t="str">
        <f>IF(AND(Table1[[#This Row],[Variant]]=$AR$4,Table1[[#This Row],[Kv*T]]&gt;0,Table1[[#This Row],[Term.]]="Y"),Table1[[#This Row],[Kv*T]],"")</f>
        <v/>
      </c>
      <c r="AT14" s="11" t="str">
        <f>IF(AND(Table1[[#This Row],[Kv*T "D"4]]="",Table1[[#This Row],[Kv*T "Y"4]]=""),"",IF(Table1[[#This Row],[Kv*T "D"4]]="",Table1[[#This Row],[Kv*T "Y"4]]*3^0.5,Table1[[#This Row],[Kv*T "D"4]]))</f>
        <v/>
      </c>
      <c r="AU14" s="11"/>
      <c r="AV14" s="155" t="str">
        <f>IF(AND(Table1[[#This Row],[Variant]]=$AV$4,Table1[[#This Row],[Kv*T]]&gt;0,Table1[[#This Row],[Term.]]="D"),Table1[[#This Row],[Kv*T]],"")</f>
        <v/>
      </c>
      <c r="AW14" s="155" t="str">
        <f>IF(AND(Table1[[#This Row],[Variant]]=$AV$4,Table1[[#This Row],[Kv*T]]&gt;0,Table1[[#This Row],[Term.]]="Y"),Table1[[#This Row],[Kv*T]],"")</f>
        <v/>
      </c>
      <c r="AX14" s="11" t="str">
        <f>IF(AND(Table1[[#This Row],[Kv*T "D"5]]="",Table1[[#This Row],[Kv*T "Y"5]]=""),"",IF(Table1[[#This Row],[Kv*T "D"5]]="",Table1[[#This Row],[Kv*T "Y"5]]*3^0.5,Table1[[#This Row],[Kv*T "D"5]]))</f>
        <v/>
      </c>
      <c r="AY14" s="11"/>
    </row>
    <row r="15" spans="1:51" s="100" customFormat="1">
      <c r="A15" s="146" t="s">
        <v>224</v>
      </c>
      <c r="B15" s="163">
        <v>91</v>
      </c>
      <c r="C15" s="163">
        <v>12</v>
      </c>
      <c r="D15" s="146" t="s">
        <v>42</v>
      </c>
      <c r="E15" s="163">
        <v>1</v>
      </c>
      <c r="F15" s="86">
        <f t="shared" si="0"/>
        <v>12</v>
      </c>
      <c r="G15" s="146" t="s">
        <v>11</v>
      </c>
      <c r="H15" s="163">
        <v>38</v>
      </c>
      <c r="I15" s="97">
        <f>IF(OR(Table1[[#This Row],[Phys. Turns]]="",Table1[[#This Row],[Wire]]="",Table1[[#This Row],[Parallel]]=""),"",Table1[[#This Row],[Phys. Turns]]*VLOOKUP(Table1[[#This Row],[Wire]],wirelist,4,FALSE))</f>
        <v>2.448</v>
      </c>
      <c r="J15" s="165">
        <v>2583</v>
      </c>
      <c r="K15" s="12">
        <v>0.93</v>
      </c>
      <c r="L15" s="13">
        <v>5.0999999999999997E-2</v>
      </c>
      <c r="M15" s="165" t="s">
        <v>230</v>
      </c>
      <c r="N15" s="48">
        <v>24.6</v>
      </c>
      <c r="O15" s="163">
        <v>29</v>
      </c>
      <c r="P15" s="163">
        <v>22323</v>
      </c>
      <c r="Q15" s="12">
        <v>11.44</v>
      </c>
      <c r="R15" s="12">
        <v>20.190000000000001</v>
      </c>
      <c r="S15" s="48">
        <v>17.5</v>
      </c>
      <c r="T15" s="43">
        <f t="shared" si="1"/>
        <v>2.1441844435900901</v>
      </c>
      <c r="U15" s="133" t="s">
        <v>27</v>
      </c>
      <c r="V15" s="141" t="s">
        <v>237</v>
      </c>
      <c r="W15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16.504800351831168</v>
      </c>
      <c r="X15" s="47">
        <f>IF(OR(P15="",Table1[[#This Row],[Prop.]]="No Load"),"",(AC15/VLOOKUP(Table1[[#This Row],[Prop.]],proplist,9,FALSE))*VLOOKUP(Table1[[#This Row],[Prop.]],proplist,7,FALSE)*(Table1[[#This Row],[RPM]]/1000)^(VLOOKUP(Table1[[#This Row],[Prop.]],proplist,8,FALSE))/Table1[[#This Row],[Pin '[W']]])</f>
        <v>0.75624010106376549</v>
      </c>
      <c r="Y15" s="43">
        <f>IF(OR(P15="",Table1[[#This Row],[Prop.]]="No Load"),"",P15*VLOOKUP(Table1[[#This Row],[Prop.]],proplist,3,FALSE)/1056)</f>
        <v>100.41122159090909</v>
      </c>
      <c r="Z15" s="43">
        <f>IF(W15="","",W15*28.37/AB15)</f>
        <v>2.0272498068240279</v>
      </c>
      <c r="AA15" s="44">
        <f>IF(OR(AB15="",Table1[[#This Row],[Prop.]]="No Load"),"",AB15*(1-X15))</f>
        <v>56.302101392938255</v>
      </c>
      <c r="AB15" s="44">
        <f t="shared" si="2"/>
        <v>230.9736</v>
      </c>
      <c r="AC15" s="86">
        <f t="shared" si="3"/>
        <v>1.1814209085482164</v>
      </c>
      <c r="AD15" s="44" t="str">
        <f>IF(Table1[[#This Row],[Prop.]]="No Load",Table1[[#This Row],["T"]]*Table1[[#This Row],[RPM]]/Table1[[#This Row],[V]],"")</f>
        <v/>
      </c>
      <c r="AE15" s="97" t="str">
        <f>IF(OR(C15="",E15="",H15=""),"",IF(Table1[[#This Row],[Prop.]]="No Load",IF(E15=1,(H15-10)/C15,IF(E15=2,2*(H15-10)/C15,4*(H15-10))),""))</f>
        <v/>
      </c>
      <c r="AF15" s="86" t="str">
        <f>IF(AND(Table1[[#This Row],[Variant]]=$AF$4,Table1[[#This Row],[Kv*T]]&gt;0,Table1[[#This Row],[Term.]]="D"),Table1[[#This Row],[Kv*T]],"")</f>
        <v/>
      </c>
      <c r="AG15" s="86" t="str">
        <f>IF(AND(Table1[[#This Row],[Variant]]=$AF$4,Table1[[#This Row],[Kv*T]]&gt;0,Table1[[#This Row],[Term.]]="Y"),Table1[[#This Row],[Kv*T]],"")</f>
        <v/>
      </c>
      <c r="AH15" s="44" t="str">
        <f>IF(AND(Table1[[#This Row],[Kv*T "D"]]="",Table1[[#This Row],[Kv*T "Y"]]=""),"",IF(Table1[[#This Row],[Kv*T "D"]]="",Table1[[#This Row],[Kv*T "Y"]]*3^0.5,Table1[[#This Row],[Kv*T "D"]]))</f>
        <v/>
      </c>
      <c r="AI15" s="43" t="str">
        <f>IF(Table1[[#This Row],[Std Inch per turn]]="","",Table1[[#This Row],[Std Inch per turn]])</f>
        <v/>
      </c>
      <c r="AJ15" s="134" t="str">
        <f>IF(AND(Table1[[#This Row],[Variant]]=$AJ$4,Table1[[#This Row],[Kv*T]]&gt;0,Table1[[#This Row],[Term.]]="D"),Table1[[#This Row],[Kv*T]],"")</f>
        <v/>
      </c>
      <c r="AK15" s="134" t="str">
        <f>IF(AND(Table1[[#This Row],[Variant]]=$AJ$4,Table1[[#This Row],[Kv*T]]&gt;0,Table1[[#This Row],[Term.]]="Y"),Table1[[#This Row],[Kv*T]],"")</f>
        <v/>
      </c>
      <c r="AL15" s="44" t="str">
        <f>IF(AND(Table1[[#This Row],[Kv*T "D"2]]="",Table1[[#This Row],[Kv*T "Y"2]]=""),"",IF(Table1[[#This Row],[Kv*T "D"2]]="",Table1[[#This Row],[Kv*T "Y"2]]*3^0.5,Table1[[#This Row],[Kv*T "D"2]]))</f>
        <v/>
      </c>
      <c r="AM15" s="43" t="str">
        <f>IF(Table1[[#This Row],[Std Inch per turn]]="","",Table1[[#This Row],[Std Inch per turn]])</f>
        <v/>
      </c>
      <c r="AN15" s="134" t="str">
        <f>IF(AND(Table1[[#This Row],[Variant]]=$AN$4,Table1[[#This Row],[Kv*T]]&gt;0,Table1[[#This Row],[Term.]]="D"),Table1[[#This Row],[Kv*T]],"")</f>
        <v/>
      </c>
      <c r="AO15" s="134" t="str">
        <f>IF(AND(Table1[[#This Row],[Variant]]=$AN$4,Table1[[#This Row],[Kv*T]]&gt;0,Table1[[#This Row],[Term.]]="Y"),Table1[[#This Row],[Kv*T]],"")</f>
        <v/>
      </c>
      <c r="AP15" s="44" t="str">
        <f>IF(AND(Table1[[#This Row],[Kv*T "D"3]]="",Table1[[#This Row],[Kv*T "Y"3]]=""),"",IF(Table1[[#This Row],[Kv*T "D"3]]="",Table1[[#This Row],[Kv*T "Y"3]]*3^0.5,Table1[[#This Row],[Kv*T "D"3]]))</f>
        <v/>
      </c>
      <c r="AQ15" s="44"/>
      <c r="AR15" s="134" t="str">
        <f>IF(AND(Table1[[#This Row],[Variant]]=$AR$4,Table1[[#This Row],[Kv*T]]&gt;0,Table1[[#This Row],[Term.]]="D"),Table1[[#This Row],[Kv*T]],"")</f>
        <v/>
      </c>
      <c r="AS15" s="134" t="str">
        <f>IF(AND(Table1[[#This Row],[Variant]]=$AR$4,Table1[[#This Row],[Kv*T]]&gt;0,Table1[[#This Row],[Term.]]="Y"),Table1[[#This Row],[Kv*T]],"")</f>
        <v/>
      </c>
      <c r="AT15" s="44" t="str">
        <f>IF(AND(Table1[[#This Row],[Kv*T "D"4]]="",Table1[[#This Row],[Kv*T "Y"4]]=""),"",IF(Table1[[#This Row],[Kv*T "D"4]]="",Table1[[#This Row],[Kv*T "Y"4]]*3^0.5,Table1[[#This Row],[Kv*T "D"4]]))</f>
        <v/>
      </c>
      <c r="AU15" s="44"/>
      <c r="AV15" s="134" t="str">
        <f>IF(AND(Table1[[#This Row],[Variant]]=$AV$4,Table1[[#This Row],[Kv*T]]&gt;0,Table1[[#This Row],[Term.]]="D"),Table1[[#This Row],[Kv*T]],"")</f>
        <v/>
      </c>
      <c r="AW15" s="134" t="str">
        <f>IF(AND(Table1[[#This Row],[Variant]]=$AV$4,Table1[[#This Row],[Kv*T]]&gt;0,Table1[[#This Row],[Term.]]="Y"),Table1[[#This Row],[Kv*T]],"")</f>
        <v/>
      </c>
      <c r="AX15" s="44" t="str">
        <f>IF(AND(Table1[[#This Row],[Kv*T "D"5]]="",Table1[[#This Row],[Kv*T "Y"5]]=""),"",IF(Table1[[#This Row],[Kv*T "D"5]]="",Table1[[#This Row],[Kv*T "Y"5]]*3^0.5,Table1[[#This Row],[Kv*T "D"5]]))</f>
        <v/>
      </c>
      <c r="AY15" s="44"/>
    </row>
    <row r="16" spans="1:51" s="148" customFormat="1">
      <c r="A16" s="146" t="s">
        <v>224</v>
      </c>
      <c r="B16" s="163">
        <v>104</v>
      </c>
      <c r="C16" s="163">
        <v>12</v>
      </c>
      <c r="D16" s="146" t="s">
        <v>42</v>
      </c>
      <c r="E16" s="163">
        <v>1</v>
      </c>
      <c r="F16" s="86">
        <f t="shared" si="0"/>
        <v>12</v>
      </c>
      <c r="G16" s="146" t="s">
        <v>11</v>
      </c>
      <c r="H16" s="163">
        <v>38</v>
      </c>
      <c r="I16" s="97">
        <f>IF(OR(Table1[[#This Row],[Phys. Turns]]="",Table1[[#This Row],[Wire]]="",Table1[[#This Row],[Parallel]]=""),"",Table1[[#This Row],[Phys. Turns]]*VLOOKUP(Table1[[#This Row],[Wire]],wirelist,4,FALSE))</f>
        <v>2.448</v>
      </c>
      <c r="J16" s="11">
        <v>2695.7465277777778</v>
      </c>
      <c r="K16" s="12">
        <v>0.79</v>
      </c>
      <c r="L16" s="13"/>
      <c r="M16" s="146" t="s">
        <v>230</v>
      </c>
      <c r="N16" s="48">
        <v>18.5</v>
      </c>
      <c r="O16" s="163">
        <v>29</v>
      </c>
      <c r="P16" s="163">
        <v>21279</v>
      </c>
      <c r="Q16" s="12">
        <v>10.46</v>
      </c>
      <c r="R16" s="12">
        <v>19.100000000000001</v>
      </c>
      <c r="S16" s="48">
        <v>15</v>
      </c>
      <c r="T16" s="43">
        <f t="shared" si="1"/>
        <v>2.1247735076531886</v>
      </c>
      <c r="U16" s="133" t="s">
        <v>27</v>
      </c>
      <c r="V16" s="141" t="s">
        <v>237</v>
      </c>
      <c r="W16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15.246683517556534</v>
      </c>
      <c r="X16" s="47">
        <f>IF(OR(P16="",Table1[[#This Row],[Prop.]]="No Load"),"",(AC16/VLOOKUP(Table1[[#This Row],[Prop.]],proplist,9,FALSE))*VLOOKUP(Table1[[#This Row],[Prop.]],proplist,7,FALSE)*(Table1[[#This Row],[RPM]]/1000)^(VLOOKUP(Table1[[#This Row],[Prop.]],proplist,8,FALSE))/Table1[[#This Row],[Pin '[W']]])</f>
        <v>0.77488813213615948</v>
      </c>
      <c r="Y16" s="43">
        <f>IF(OR(P16="",Table1[[#This Row],[Prop.]]="No Load"),"",P16*VLOOKUP(Table1[[#This Row],[Prop.]],proplist,3,FALSE)/1056)</f>
        <v>95.71519886363636</v>
      </c>
      <c r="Z16" s="43">
        <f>IF(W16="","",W16*28.37/AB16)</f>
        <v>2.165058669742018</v>
      </c>
      <c r="AA16" s="44">
        <f>IF(OR(AB16="",Table1[[#This Row],[Prop.]]="No Load"),"",AB16*(1-X16))</f>
        <v>44.974199633045252</v>
      </c>
      <c r="AB16" s="44">
        <f t="shared" si="2"/>
        <v>199.78600000000003</v>
      </c>
      <c r="AC16" s="163">
        <f t="shared" si="3"/>
        <v>1.2061308949776492</v>
      </c>
      <c r="AD16" s="11" t="str">
        <f>IF(Table1[[#This Row],[Prop.]]="No Load",Table1[[#This Row],["T"]]*Table1[[#This Row],[RPM]]/Table1[[#This Row],[V]],"")</f>
        <v/>
      </c>
      <c r="AE16" s="12" t="str">
        <f>IF(OR(C16="",E16="",H16=""),"",IF(Table1[[#This Row],[Prop.]]="No Load",IF(E16=1,(H16-10)/C16,IF(E16=2,2*(H16-10)/C16,4*(H16-10))),""))</f>
        <v/>
      </c>
      <c r="AF16" s="163" t="str">
        <f>IF(AND(Table1[[#This Row],[Variant]]=$AF$4,Table1[[#This Row],[Kv*T]]&gt;0,Table1[[#This Row],[Term.]]="D"),Table1[[#This Row],[Kv*T]],"")</f>
        <v/>
      </c>
      <c r="AG16" s="163" t="str">
        <f>IF(AND(Table1[[#This Row],[Variant]]=$AF$4,Table1[[#This Row],[Kv*T]]&gt;0,Table1[[#This Row],[Term.]]="Y"),Table1[[#This Row],[Kv*T]],"")</f>
        <v/>
      </c>
      <c r="AH16" s="11" t="str">
        <f>IF(AND(Table1[[#This Row],[Kv*T "D"]]="",Table1[[#This Row],[Kv*T "Y"]]=""),"",IF(Table1[[#This Row],[Kv*T "D"]]="",Table1[[#This Row],[Kv*T "Y"]]*3^0.5,Table1[[#This Row],[Kv*T "D"]]))</f>
        <v/>
      </c>
      <c r="AI16" s="48" t="str">
        <f>IF(Table1[[#This Row],[Std Inch per turn]]="","",Table1[[#This Row],[Std Inch per turn]])</f>
        <v/>
      </c>
      <c r="AJ16" s="155" t="str">
        <f>IF(AND(Table1[[#This Row],[Variant]]=$AJ$4,Table1[[#This Row],[Kv*T]]&gt;0,Table1[[#This Row],[Term.]]="D"),Table1[[#This Row],[Kv*T]],"")</f>
        <v/>
      </c>
      <c r="AK16" s="155" t="str">
        <f>IF(AND(Table1[[#This Row],[Variant]]=$AJ$4,Table1[[#This Row],[Kv*T]]&gt;0,Table1[[#This Row],[Term.]]="Y"),Table1[[#This Row],[Kv*T]],"")</f>
        <v/>
      </c>
      <c r="AL16" s="11" t="str">
        <f>IF(AND(Table1[[#This Row],[Kv*T "D"2]]="",Table1[[#This Row],[Kv*T "Y"2]]=""),"",IF(Table1[[#This Row],[Kv*T "D"2]]="",Table1[[#This Row],[Kv*T "Y"2]]*3^0.5,Table1[[#This Row],[Kv*T "D"2]]))</f>
        <v/>
      </c>
      <c r="AM16" s="48" t="str">
        <f>IF(Table1[[#This Row],[Std Inch per turn]]="","",Table1[[#This Row],[Std Inch per turn]])</f>
        <v/>
      </c>
      <c r="AN16" s="155" t="str">
        <f>IF(AND(Table1[[#This Row],[Variant]]=$AN$4,Table1[[#This Row],[Kv*T]]&gt;0,Table1[[#This Row],[Term.]]="D"),Table1[[#This Row],[Kv*T]],"")</f>
        <v/>
      </c>
      <c r="AO16" s="155" t="str">
        <f>IF(AND(Table1[[#This Row],[Variant]]=$AN$4,Table1[[#This Row],[Kv*T]]&gt;0,Table1[[#This Row],[Term.]]="Y"),Table1[[#This Row],[Kv*T]],"")</f>
        <v/>
      </c>
      <c r="AP16" s="11" t="str">
        <f>IF(AND(Table1[[#This Row],[Kv*T "D"3]]="",Table1[[#This Row],[Kv*T "Y"3]]=""),"",IF(Table1[[#This Row],[Kv*T "D"3]]="",Table1[[#This Row],[Kv*T "Y"3]]*3^0.5,Table1[[#This Row],[Kv*T "D"3]]))</f>
        <v/>
      </c>
      <c r="AQ16" s="11"/>
      <c r="AR16" s="155" t="str">
        <f>IF(AND(Table1[[#This Row],[Variant]]=$AR$4,Table1[[#This Row],[Kv*T]]&gt;0,Table1[[#This Row],[Term.]]="D"),Table1[[#This Row],[Kv*T]],"")</f>
        <v/>
      </c>
      <c r="AS16" s="155" t="str">
        <f>IF(AND(Table1[[#This Row],[Variant]]=$AR$4,Table1[[#This Row],[Kv*T]]&gt;0,Table1[[#This Row],[Term.]]="Y"),Table1[[#This Row],[Kv*T]],"")</f>
        <v/>
      </c>
      <c r="AT16" s="11" t="str">
        <f>IF(AND(Table1[[#This Row],[Kv*T "D"4]]="",Table1[[#This Row],[Kv*T "Y"4]]=""),"",IF(Table1[[#This Row],[Kv*T "D"4]]="",Table1[[#This Row],[Kv*T "Y"4]]*3^0.5,Table1[[#This Row],[Kv*T "D"4]]))</f>
        <v/>
      </c>
      <c r="AU16" s="11"/>
      <c r="AV16" s="155" t="str">
        <f>IF(AND(Table1[[#This Row],[Variant]]=$AV$4,Table1[[#This Row],[Kv*T]]&gt;0,Table1[[#This Row],[Term.]]="D"),Table1[[#This Row],[Kv*T]],"")</f>
        <v/>
      </c>
      <c r="AW16" s="155" t="str">
        <f>IF(AND(Table1[[#This Row],[Variant]]=$AV$4,Table1[[#This Row],[Kv*T]]&gt;0,Table1[[#This Row],[Term.]]="Y"),Table1[[#This Row],[Kv*T]],"")</f>
        <v/>
      </c>
      <c r="AX16" s="11" t="str">
        <f>IF(AND(Table1[[#This Row],[Kv*T "D"5]]="",Table1[[#This Row],[Kv*T "Y"5]]=""),"",IF(Table1[[#This Row],[Kv*T "D"5]]="",Table1[[#This Row],[Kv*T "Y"5]]*3^0.5,Table1[[#This Row],[Kv*T "D"5]]))</f>
        <v/>
      </c>
      <c r="AY16" s="11"/>
    </row>
    <row r="17" spans="1:51" s="100" customFormat="1">
      <c r="A17" s="146" t="s">
        <v>224</v>
      </c>
      <c r="B17" s="5">
        <v>96</v>
      </c>
      <c r="C17" s="5">
        <v>13</v>
      </c>
      <c r="D17" s="146" t="s">
        <v>42</v>
      </c>
      <c r="E17" s="5">
        <v>1</v>
      </c>
      <c r="F17" s="86">
        <f t="shared" si="0"/>
        <v>13</v>
      </c>
      <c r="G17" s="146" t="s">
        <v>11</v>
      </c>
      <c r="H17" s="5">
        <v>38</v>
      </c>
      <c r="I17" s="97">
        <f>IF(OR(Table1[[#This Row],[Phys. Turns]]="",Table1[[#This Row],[Wire]]="",Table1[[#This Row],[Parallel]]=""),"",Table1[[#This Row],[Phys. Turns]]*VLOOKUP(Table1[[#This Row],[Wire]],wirelist,4,FALSE))</f>
        <v>2.6519999999999997</v>
      </c>
      <c r="J17" s="5">
        <v>2366</v>
      </c>
      <c r="K17" s="19">
        <v>0.87</v>
      </c>
      <c r="L17" s="20"/>
      <c r="M17" s="146" t="s">
        <v>230</v>
      </c>
      <c r="N17" s="49">
        <v>24.42</v>
      </c>
      <c r="O17" s="5">
        <v>29</v>
      </c>
      <c r="P17" s="5">
        <v>20214</v>
      </c>
      <c r="Q17" s="19">
        <v>10.62</v>
      </c>
      <c r="R17" s="19">
        <v>15.1</v>
      </c>
      <c r="S17" s="49">
        <v>13.9</v>
      </c>
      <c r="T17" s="43">
        <f t="shared" si="1"/>
        <v>2.45301255908507</v>
      </c>
      <c r="U17" s="133" t="s">
        <v>27</v>
      </c>
      <c r="V17" s="141" t="s">
        <v>238</v>
      </c>
      <c r="W17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13.424470028003048</v>
      </c>
      <c r="X17" s="47">
        <f>IF(OR(P17="",Table1[[#This Row],[Prop.]]="No Load"),"",(AC17/VLOOKUP(Table1[[#This Row],[Prop.]],proplist,9,FALSE))*VLOOKUP(Table1[[#This Row],[Prop.]],proplist,7,FALSE)*(Table1[[#This Row],[RPM]]/1000)^(VLOOKUP(Table1[[#This Row],[Prop.]],proplist,8,FALSE))/Table1[[#This Row],[Pin '[W']]])</f>
        <v>0.81310486479484401</v>
      </c>
      <c r="Y17" s="43">
        <f>IF(OR(P17="",Table1[[#This Row],[Prop.]]="No Load"),"",P17*VLOOKUP(Table1[[#This Row],[Prop.]],proplist,3,FALSE)/1056)</f>
        <v>90.924715909090907</v>
      </c>
      <c r="Z17" s="43">
        <f>IF(W17="","",W17*28.37/AB17)</f>
        <v>2.3749530106536869</v>
      </c>
      <c r="AA17" s="44">
        <f>IF(OR(AB17="",Table1[[#This Row],[Prop.]]="No Load"),"",AB17*(1-X17))</f>
        <v>29.970877671769223</v>
      </c>
      <c r="AB17" s="44">
        <f t="shared" si="2"/>
        <v>160.36199999999999</v>
      </c>
      <c r="AC17" s="86">
        <f t="shared" si="3"/>
        <v>1.182135549686566</v>
      </c>
      <c r="AD17" s="44" t="str">
        <f>IF(Table1[[#This Row],[Prop.]]="No Load",Table1[[#This Row],["T"]]*Table1[[#This Row],[RPM]]/Table1[[#This Row],[V]],"")</f>
        <v/>
      </c>
      <c r="AE17" s="97" t="str">
        <f>IF(OR(C17="",E17="",H17=""),"",IF(Table1[[#This Row],[Prop.]]="No Load",IF(E17=1,(H17-10)/C17,IF(E17=2,2*(H17-10)/C17,4*(H17-10))),""))</f>
        <v/>
      </c>
      <c r="AF17" s="86" t="str">
        <f>IF(AND(Table1[[#This Row],[Variant]]=$AF$4,Table1[[#This Row],[Kv*T]]&gt;0,Table1[[#This Row],[Term.]]="D"),Table1[[#This Row],[Kv*T]],"")</f>
        <v/>
      </c>
      <c r="AG17" s="86" t="str">
        <f>IF(AND(Table1[[#This Row],[Variant]]=$AF$4,Table1[[#This Row],[Kv*T]]&gt;0,Table1[[#This Row],[Term.]]="Y"),Table1[[#This Row],[Kv*T]],"")</f>
        <v/>
      </c>
      <c r="AH17" s="44" t="str">
        <f>IF(AND(Table1[[#This Row],[Kv*T "D"]]="",Table1[[#This Row],[Kv*T "Y"]]=""),"",IF(Table1[[#This Row],[Kv*T "D"]]="",Table1[[#This Row],[Kv*T "Y"]]*3^0.5,Table1[[#This Row],[Kv*T "D"]]))</f>
        <v/>
      </c>
      <c r="AI17" s="43" t="str">
        <f>IF(Table1[[#This Row],[Std Inch per turn]]="","",Table1[[#This Row],[Std Inch per turn]])</f>
        <v/>
      </c>
      <c r="AJ17" s="134" t="str">
        <f>IF(AND(Table1[[#This Row],[Variant]]=$AJ$4,Table1[[#This Row],[Kv*T]]&gt;0,Table1[[#This Row],[Term.]]="D"),Table1[[#This Row],[Kv*T]],"")</f>
        <v/>
      </c>
      <c r="AK17" s="134" t="str">
        <f>IF(AND(Table1[[#This Row],[Variant]]=$AJ$4,Table1[[#This Row],[Kv*T]]&gt;0,Table1[[#This Row],[Term.]]="Y"),Table1[[#This Row],[Kv*T]],"")</f>
        <v/>
      </c>
      <c r="AL17" s="44" t="str">
        <f>IF(AND(Table1[[#This Row],[Kv*T "D"2]]="",Table1[[#This Row],[Kv*T "Y"2]]=""),"",IF(Table1[[#This Row],[Kv*T "D"2]]="",Table1[[#This Row],[Kv*T "Y"2]]*3^0.5,Table1[[#This Row],[Kv*T "D"2]]))</f>
        <v/>
      </c>
      <c r="AM17" s="43" t="str">
        <f>IF(Table1[[#This Row],[Std Inch per turn]]="","",Table1[[#This Row],[Std Inch per turn]])</f>
        <v/>
      </c>
      <c r="AN17" s="134" t="str">
        <f>IF(AND(Table1[[#This Row],[Variant]]=$AN$4,Table1[[#This Row],[Kv*T]]&gt;0,Table1[[#This Row],[Term.]]="D"),Table1[[#This Row],[Kv*T]],"")</f>
        <v/>
      </c>
      <c r="AO17" s="134" t="str">
        <f>IF(AND(Table1[[#This Row],[Variant]]=$AN$4,Table1[[#This Row],[Kv*T]]&gt;0,Table1[[#This Row],[Term.]]="Y"),Table1[[#This Row],[Kv*T]],"")</f>
        <v/>
      </c>
      <c r="AP17" s="44" t="str">
        <f>IF(AND(Table1[[#This Row],[Kv*T "D"3]]="",Table1[[#This Row],[Kv*T "Y"3]]=""),"",IF(Table1[[#This Row],[Kv*T "D"3]]="",Table1[[#This Row],[Kv*T "Y"3]]*3^0.5,Table1[[#This Row],[Kv*T "D"3]]))</f>
        <v/>
      </c>
      <c r="AQ17" s="44"/>
      <c r="AR17" s="134" t="str">
        <f>IF(AND(Table1[[#This Row],[Variant]]=$AR$4,Table1[[#This Row],[Kv*T]]&gt;0,Table1[[#This Row],[Term.]]="D"),Table1[[#This Row],[Kv*T]],"")</f>
        <v/>
      </c>
      <c r="AS17" s="134" t="str">
        <f>IF(AND(Table1[[#This Row],[Variant]]=$AR$4,Table1[[#This Row],[Kv*T]]&gt;0,Table1[[#This Row],[Term.]]="Y"),Table1[[#This Row],[Kv*T]],"")</f>
        <v/>
      </c>
      <c r="AT17" s="44" t="str">
        <f>IF(AND(Table1[[#This Row],[Kv*T "D"4]]="",Table1[[#This Row],[Kv*T "Y"4]]=""),"",IF(Table1[[#This Row],[Kv*T "D"4]]="",Table1[[#This Row],[Kv*T "Y"4]]*3^0.5,Table1[[#This Row],[Kv*T "D"4]]))</f>
        <v/>
      </c>
      <c r="AU17" s="44"/>
      <c r="AV17" s="134" t="str">
        <f>IF(AND(Table1[[#This Row],[Variant]]=$AV$4,Table1[[#This Row],[Kv*T]]&gt;0,Table1[[#This Row],[Term.]]="D"),Table1[[#This Row],[Kv*T]],"")</f>
        <v/>
      </c>
      <c r="AW17" s="134" t="str">
        <f>IF(AND(Table1[[#This Row],[Variant]]=$AV$4,Table1[[#This Row],[Kv*T]]&gt;0,Table1[[#This Row],[Term.]]="Y"),Table1[[#This Row],[Kv*T]],"")</f>
        <v/>
      </c>
      <c r="AX17" s="44" t="str">
        <f>IF(AND(Table1[[#This Row],[Kv*T "D"5]]="",Table1[[#This Row],[Kv*T "Y"5]]=""),"",IF(Table1[[#This Row],[Kv*T "D"5]]="",Table1[[#This Row],[Kv*T "Y"5]]*3^0.5,Table1[[#This Row],[Kv*T "D"5]]))</f>
        <v/>
      </c>
      <c r="AY17" s="44"/>
    </row>
    <row r="18" spans="1:51" s="100" customFormat="1">
      <c r="A18" s="146" t="s">
        <v>224</v>
      </c>
      <c r="B18" s="5">
        <v>90</v>
      </c>
      <c r="C18" s="5">
        <v>10</v>
      </c>
      <c r="D18" s="146" t="s">
        <v>166</v>
      </c>
      <c r="E18" s="5">
        <v>1</v>
      </c>
      <c r="F18" s="86">
        <f t="shared" si="0"/>
        <v>10</v>
      </c>
      <c r="G18" s="146" t="s">
        <v>21</v>
      </c>
      <c r="H18" s="5">
        <v>31</v>
      </c>
      <c r="I18" s="97">
        <f>IF(OR(Table1[[#This Row],[Phys. Turns]]="",Table1[[#This Row],[Wire]]="",Table1[[#This Row],[Parallel]]=""),"",Table1[[#This Row],[Phys. Turns]]*VLOOKUP(Table1[[#This Row],[Wire]],wirelist,4,FALSE))</f>
        <v>2.5499999999999998</v>
      </c>
      <c r="J18" s="18">
        <v>1816.6666666666667</v>
      </c>
      <c r="K18" s="19">
        <v>0.6</v>
      </c>
      <c r="L18" s="20"/>
      <c r="M18" s="165" t="s">
        <v>248</v>
      </c>
      <c r="N18" s="49">
        <v>19.399999999999999</v>
      </c>
      <c r="O18" s="5">
        <v>29</v>
      </c>
      <c r="P18" s="5">
        <v>17328</v>
      </c>
      <c r="Q18" s="19">
        <v>11.18</v>
      </c>
      <c r="R18" s="19">
        <v>7.02</v>
      </c>
      <c r="S18" s="49">
        <v>11.4</v>
      </c>
      <c r="T18" s="43">
        <f t="shared" si="1"/>
        <v>4.1106677063743255</v>
      </c>
      <c r="U18" s="133" t="s">
        <v>27</v>
      </c>
      <c r="V18" s="141" t="s">
        <v>237</v>
      </c>
      <c r="W18" s="46"/>
      <c r="X18" s="47"/>
      <c r="Y18" s="43"/>
      <c r="Z18" s="43"/>
      <c r="AA18" s="152">
        <f>IF(OR(AB18="",Table1[[#This Row],[Prop.]]="No Load"),"",AB18*(1-X18))</f>
        <v>78.483599999999996</v>
      </c>
      <c r="AB18" s="152">
        <f t="shared" si="2"/>
        <v>78.483599999999996</v>
      </c>
      <c r="AC18" s="152">
        <f t="shared" si="3"/>
        <v>1.2024203572730525</v>
      </c>
      <c r="AD18" s="152" t="str">
        <f>IF(Table1[[#This Row],[Prop.]]="No Load",Table1[[#This Row],["T"]]*Table1[[#This Row],[RPM]]/Table1[[#This Row],[V]],"")</f>
        <v/>
      </c>
      <c r="AE18" s="153" t="str">
        <f>IF(OR(C18="",E18="",H18=""),"",IF(Table1[[#This Row],[Prop.]]="No Load",IF(E18=1,(H18-10)/C18,IF(E18=2,2*(H18-10)/C18,4*(H18-10))),""))</f>
        <v/>
      </c>
      <c r="AF18" s="150" t="str">
        <f>IF(AND(Table1[[#This Row],[Variant]]=$AF$4,Table1[[#This Row],[Kv*T]]&gt;0,Table1[[#This Row],[Term.]]="D"),Table1[[#This Row],[Kv*T]],"")</f>
        <v/>
      </c>
      <c r="AG18" s="150" t="str">
        <f>IF(AND(Table1[[#This Row],[Variant]]=$AF$4,Table1[[#This Row],[Kv*T]]&gt;0,Table1[[#This Row],[Term.]]="Y"),Table1[[#This Row],[Kv*T]],"")</f>
        <v/>
      </c>
      <c r="AH18" s="152" t="str">
        <f>IF(AND(Table1[[#This Row],[Kv*T "D"]]="",Table1[[#This Row],[Kv*T "Y"]]=""),"",IF(Table1[[#This Row],[Kv*T "D"]]="",Table1[[#This Row],[Kv*T "Y"]]*3^0.5,Table1[[#This Row],[Kv*T "D"]]))</f>
        <v/>
      </c>
      <c r="AI18" s="151" t="str">
        <f>IF(Table1[[#This Row],[Std Inch per turn]]="","",Table1[[#This Row],[Std Inch per turn]])</f>
        <v/>
      </c>
      <c r="AJ18" s="154" t="str">
        <f>IF(AND(Table1[[#This Row],[Variant]]=$AJ$4,Table1[[#This Row],[Kv*T]]&gt;0,Table1[[#This Row],[Term.]]="D"),Table1[[#This Row],[Kv*T]],"")</f>
        <v/>
      </c>
      <c r="AK18" s="154" t="str">
        <f>IF(AND(Table1[[#This Row],[Variant]]=$AJ$4,Table1[[#This Row],[Kv*T]]&gt;0,Table1[[#This Row],[Term.]]="Y"),Table1[[#This Row],[Kv*T]],"")</f>
        <v/>
      </c>
      <c r="AL18" s="152" t="str">
        <f>IF(AND(Table1[[#This Row],[Kv*T "D"2]]="",Table1[[#This Row],[Kv*T "Y"2]]=""),"",IF(Table1[[#This Row],[Kv*T "D"2]]="",Table1[[#This Row],[Kv*T "Y"2]]*3^0.5,Table1[[#This Row],[Kv*T "D"2]]))</f>
        <v/>
      </c>
      <c r="AM18" s="151" t="str">
        <f>IF(Table1[[#This Row],[Std Inch per turn]]="","",Table1[[#This Row],[Std Inch per turn]])</f>
        <v/>
      </c>
      <c r="AN18" s="154" t="str">
        <f>IF(AND(Table1[[#This Row],[Variant]]=$AN$4,Table1[[#This Row],[Kv*T]]&gt;0,Table1[[#This Row],[Term.]]="D"),Table1[[#This Row],[Kv*T]],"")</f>
        <v/>
      </c>
      <c r="AO18" s="154" t="str">
        <f>IF(AND(Table1[[#This Row],[Variant]]=$AN$4,Table1[[#This Row],[Kv*T]]&gt;0,Table1[[#This Row],[Term.]]="Y"),Table1[[#This Row],[Kv*T]],"")</f>
        <v/>
      </c>
      <c r="AP18" s="152" t="str">
        <f>IF(AND(Table1[[#This Row],[Kv*T "D"3]]="",Table1[[#This Row],[Kv*T "Y"3]]=""),"",IF(Table1[[#This Row],[Kv*T "D"3]]="",Table1[[#This Row],[Kv*T "Y"3]]*3^0.5,Table1[[#This Row],[Kv*T "D"3]]))</f>
        <v/>
      </c>
      <c r="AQ18" s="152"/>
      <c r="AR18" s="154" t="str">
        <f>IF(AND(Table1[[#This Row],[Variant]]=$AR$4,Table1[[#This Row],[Kv*T]]&gt;0,Table1[[#This Row],[Term.]]="D"),Table1[[#This Row],[Kv*T]],"")</f>
        <v/>
      </c>
      <c r="AS18" s="154" t="str">
        <f>IF(AND(Table1[[#This Row],[Variant]]=$AR$4,Table1[[#This Row],[Kv*T]]&gt;0,Table1[[#This Row],[Term.]]="Y"),Table1[[#This Row],[Kv*T]],"")</f>
        <v/>
      </c>
      <c r="AT18" s="152" t="str">
        <f>IF(AND(Table1[[#This Row],[Kv*T "D"4]]="",Table1[[#This Row],[Kv*T "Y"4]]=""),"",IF(Table1[[#This Row],[Kv*T "D"4]]="",Table1[[#This Row],[Kv*T "Y"4]]*3^0.5,Table1[[#This Row],[Kv*T "D"4]]))</f>
        <v/>
      </c>
      <c r="AU18" s="152"/>
      <c r="AV18" s="154" t="str">
        <f>IF(AND(Table1[[#This Row],[Variant]]=$AV$4,Table1[[#This Row],[Kv*T]]&gt;0,Table1[[#This Row],[Term.]]="D"),Table1[[#This Row],[Kv*T]],"")</f>
        <v/>
      </c>
      <c r="AW18" s="154" t="str">
        <f>IF(AND(Table1[[#This Row],[Variant]]=$AV$4,Table1[[#This Row],[Kv*T]]&gt;0,Table1[[#This Row],[Term.]]="Y"),Table1[[#This Row],[Kv*T]],"")</f>
        <v/>
      </c>
      <c r="AX18" s="152" t="str">
        <f>IF(AND(Table1[[#This Row],[Kv*T "D"5]]="",Table1[[#This Row],[Kv*T "Y"5]]=""),"",IF(Table1[[#This Row],[Kv*T "D"5]]="",Table1[[#This Row],[Kv*T "Y"5]]*3^0.5,Table1[[#This Row],[Kv*T "D"5]]))</f>
        <v/>
      </c>
      <c r="AY18" s="152"/>
    </row>
    <row r="19" spans="1:51" s="100" customFormat="1">
      <c r="A19" s="146" t="s">
        <v>224</v>
      </c>
      <c r="B19" s="146">
        <v>104</v>
      </c>
      <c r="C19" s="163">
        <v>12</v>
      </c>
      <c r="D19" s="146" t="s">
        <v>42</v>
      </c>
      <c r="E19" s="146">
        <v>1</v>
      </c>
      <c r="F19" s="86">
        <f t="shared" si="0"/>
        <v>12</v>
      </c>
      <c r="G19" s="146" t="s">
        <v>11</v>
      </c>
      <c r="H19" s="146">
        <v>38</v>
      </c>
      <c r="I19" s="97">
        <f>IF(OR(Table1[[#This Row],[Phys. Turns]]="",Table1[[#This Row],[Wire]]="",Table1[[#This Row],[Parallel]]=""),"",Table1[[#This Row],[Phys. Turns]]*VLOOKUP(Table1[[#This Row],[Wire]],wirelist,4,FALSE))</f>
        <v>2.448</v>
      </c>
      <c r="J19" s="11">
        <v>2695.7465277777778</v>
      </c>
      <c r="K19" s="12">
        <v>0.79</v>
      </c>
      <c r="L19" s="13"/>
      <c r="M19" s="146" t="s">
        <v>248</v>
      </c>
      <c r="N19" s="48">
        <v>18.5</v>
      </c>
      <c r="O19" s="146">
        <v>29</v>
      </c>
      <c r="P19" s="146">
        <v>22171</v>
      </c>
      <c r="Q19" s="12">
        <v>10.56</v>
      </c>
      <c r="R19" s="12">
        <v>16.62</v>
      </c>
      <c r="S19" s="48">
        <v>19</v>
      </c>
      <c r="T19" s="139">
        <f t="shared" si="1"/>
        <v>3.0636919738905299</v>
      </c>
      <c r="U19" s="133" t="s">
        <v>27</v>
      </c>
      <c r="V19" s="141" t="s">
        <v>241</v>
      </c>
      <c r="W19" s="46"/>
      <c r="X19" s="47"/>
      <c r="Y19" s="43"/>
      <c r="Z19" s="43"/>
      <c r="AA19" s="135"/>
      <c r="AB19" s="135">
        <f t="shared" si="2"/>
        <v>175.50720000000001</v>
      </c>
      <c r="AC19" s="152">
        <f t="shared" si="3"/>
        <v>1.2061308949776492</v>
      </c>
      <c r="AD19" s="152" t="str">
        <f>IF(Table1[[#This Row],[Prop.]]="No Load",Table1[[#This Row],["T"]]*Table1[[#This Row],[RPM]]/Table1[[#This Row],[V]],"")</f>
        <v/>
      </c>
      <c r="AE19" s="153" t="str">
        <f>IF(OR(C19="",E19="",H19=""),"",IF(Table1[[#This Row],[Prop.]]="No Load",IF(E19=1,(H19-10)/C19,IF(E19=2,2*(H19-10)/C19,4*(H19-10))),""))</f>
        <v/>
      </c>
      <c r="AF19" s="150" t="str">
        <f>IF(AND(Table1[[#This Row],[Variant]]=$AF$4,Table1[[#This Row],[Kv*T]]&gt;0,Table1[[#This Row],[Term.]]="D"),Table1[[#This Row],[Kv*T]],"")</f>
        <v/>
      </c>
      <c r="AG19" s="150" t="str">
        <f>IF(AND(Table1[[#This Row],[Variant]]=$AF$4,Table1[[#This Row],[Kv*T]]&gt;0,Table1[[#This Row],[Term.]]="Y"),Table1[[#This Row],[Kv*T]],"")</f>
        <v/>
      </c>
      <c r="AH19" s="152" t="str">
        <f>IF(AND(Table1[[#This Row],[Kv*T "D"]]="",Table1[[#This Row],[Kv*T "Y"]]=""),"",IF(Table1[[#This Row],[Kv*T "D"]]="",Table1[[#This Row],[Kv*T "Y"]]*3^0.5,Table1[[#This Row],[Kv*T "D"]]))</f>
        <v/>
      </c>
      <c r="AI19" s="151" t="str">
        <f>IF(Table1[[#This Row],[Std Inch per turn]]="","",Table1[[#This Row],[Std Inch per turn]])</f>
        <v/>
      </c>
      <c r="AJ19" s="154" t="str">
        <f>IF(AND(Table1[[#This Row],[Variant]]=$AJ$4,Table1[[#This Row],[Kv*T]]&gt;0,Table1[[#This Row],[Term.]]="D"),Table1[[#This Row],[Kv*T]],"")</f>
        <v/>
      </c>
      <c r="AK19" s="154" t="str">
        <f>IF(AND(Table1[[#This Row],[Variant]]=$AJ$4,Table1[[#This Row],[Kv*T]]&gt;0,Table1[[#This Row],[Term.]]="Y"),Table1[[#This Row],[Kv*T]],"")</f>
        <v/>
      </c>
      <c r="AL19" s="152" t="str">
        <f>IF(AND(Table1[[#This Row],[Kv*T "D"2]]="",Table1[[#This Row],[Kv*T "Y"2]]=""),"",IF(Table1[[#This Row],[Kv*T "D"2]]="",Table1[[#This Row],[Kv*T "Y"2]]*3^0.5,Table1[[#This Row],[Kv*T "D"2]]))</f>
        <v/>
      </c>
      <c r="AM19" s="151" t="str">
        <f>IF(Table1[[#This Row],[Std Inch per turn]]="","",Table1[[#This Row],[Std Inch per turn]])</f>
        <v/>
      </c>
      <c r="AN19" s="154" t="str">
        <f>IF(AND(Table1[[#This Row],[Variant]]=$AN$4,Table1[[#This Row],[Kv*T]]&gt;0,Table1[[#This Row],[Term.]]="D"),Table1[[#This Row],[Kv*T]],"")</f>
        <v/>
      </c>
      <c r="AO19" s="154" t="str">
        <f>IF(AND(Table1[[#This Row],[Variant]]=$AN$4,Table1[[#This Row],[Kv*T]]&gt;0,Table1[[#This Row],[Term.]]="Y"),Table1[[#This Row],[Kv*T]],"")</f>
        <v/>
      </c>
      <c r="AP19" s="152" t="str">
        <f>IF(AND(Table1[[#This Row],[Kv*T "D"3]]="",Table1[[#This Row],[Kv*T "Y"3]]=""),"",IF(Table1[[#This Row],[Kv*T "D"3]]="",Table1[[#This Row],[Kv*T "Y"3]]*3^0.5,Table1[[#This Row],[Kv*T "D"3]]))</f>
        <v/>
      </c>
      <c r="AQ19" s="152"/>
      <c r="AR19" s="154" t="str">
        <f>IF(AND(Table1[[#This Row],[Variant]]=$AR$4,Table1[[#This Row],[Kv*T]]&gt;0,Table1[[#This Row],[Term.]]="D"),Table1[[#This Row],[Kv*T]],"")</f>
        <v/>
      </c>
      <c r="AS19" s="154" t="str">
        <f>IF(AND(Table1[[#This Row],[Variant]]=$AR$4,Table1[[#This Row],[Kv*T]]&gt;0,Table1[[#This Row],[Term.]]="Y"),Table1[[#This Row],[Kv*T]],"")</f>
        <v/>
      </c>
      <c r="AT19" s="152" t="str">
        <f>IF(AND(Table1[[#This Row],[Kv*T "D"4]]="",Table1[[#This Row],[Kv*T "Y"4]]=""),"",IF(Table1[[#This Row],[Kv*T "D"4]]="",Table1[[#This Row],[Kv*T "Y"4]]*3^0.5,Table1[[#This Row],[Kv*T "D"4]]))</f>
        <v/>
      </c>
      <c r="AU19" s="152"/>
      <c r="AV19" s="154" t="str">
        <f>IF(AND(Table1[[#This Row],[Variant]]=$AV$4,Table1[[#This Row],[Kv*T]]&gt;0,Table1[[#This Row],[Term.]]="D"),Table1[[#This Row],[Kv*T]],"")</f>
        <v/>
      </c>
      <c r="AW19" s="154" t="str">
        <f>IF(AND(Table1[[#This Row],[Variant]]=$AV$4,Table1[[#This Row],[Kv*T]]&gt;0,Table1[[#This Row],[Term.]]="Y"),Table1[[#This Row],[Kv*T]],"")</f>
        <v/>
      </c>
      <c r="AX19" s="152" t="str">
        <f>IF(AND(Table1[[#This Row],[Kv*T "D"5]]="",Table1[[#This Row],[Kv*T "Y"5]]=""),"",IF(Table1[[#This Row],[Kv*T "D"5]]="",Table1[[#This Row],[Kv*T "Y"5]]*3^0.5,Table1[[#This Row],[Kv*T "D"5]]))</f>
        <v/>
      </c>
      <c r="AY19" s="152"/>
    </row>
    <row r="20" spans="1:51" s="100" customFormat="1">
      <c r="A20" s="146" t="s">
        <v>224</v>
      </c>
      <c r="B20" s="146">
        <v>91</v>
      </c>
      <c r="C20" s="146">
        <v>12</v>
      </c>
      <c r="D20" s="146" t="s">
        <v>42</v>
      </c>
      <c r="E20" s="146">
        <v>1</v>
      </c>
      <c r="F20" s="86">
        <f t="shared" si="0"/>
        <v>12</v>
      </c>
      <c r="G20" s="146" t="s">
        <v>11</v>
      </c>
      <c r="H20" s="146">
        <v>38</v>
      </c>
      <c r="I20" s="97">
        <f>IF(OR(Table1[[#This Row],[Phys. Turns]]="",Table1[[#This Row],[Wire]]="",Table1[[#This Row],[Parallel]]=""),"",Table1[[#This Row],[Phys. Turns]]*VLOOKUP(Table1[[#This Row],[Wire]],wirelist,4,FALSE))</f>
        <v>2.448</v>
      </c>
      <c r="J20" s="146">
        <v>2583</v>
      </c>
      <c r="K20" s="12">
        <v>0.93</v>
      </c>
      <c r="L20" s="13">
        <v>5.0999999999999997E-2</v>
      </c>
      <c r="M20" s="146" t="s">
        <v>231</v>
      </c>
      <c r="N20" s="48">
        <v>24.6</v>
      </c>
      <c r="O20" s="146">
        <v>29</v>
      </c>
      <c r="P20" s="146">
        <v>21164</v>
      </c>
      <c r="Q20" s="12">
        <v>11.5</v>
      </c>
      <c r="R20" s="12">
        <v>26.07</v>
      </c>
      <c r="S20" s="48">
        <v>25</v>
      </c>
      <c r="T20" s="43">
        <f t="shared" si="1"/>
        <v>2.3598672470439119</v>
      </c>
      <c r="U20" s="133" t="s">
        <v>27</v>
      </c>
      <c r="V20" s="141" t="s">
        <v>237</v>
      </c>
      <c r="W20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24.518551894967977</v>
      </c>
      <c r="X20" s="47">
        <f>IF(OR(P20="",Table1[[#This Row],[Prop.]]="No Load"),"",(AC20/VLOOKUP(Table1[[#This Row],[Prop.]],proplist,9,FALSE))*VLOOKUP(Table1[[#This Row],[Prop.]],proplist,7,FALSE)*(Table1[[#This Row],[RPM]]/1000)^(VLOOKUP(Table1[[#This Row],[Prop.]],proplist,8,FALSE))/Table1[[#This Row],[Pin '[W']]])</f>
        <v>0.59086549528511934</v>
      </c>
      <c r="Y20" s="43">
        <f>IF(OR(P20="",Table1[[#This Row],[Prop.]]="No Load"),"",P20*VLOOKUP(Table1[[#This Row],[Prop.]],proplist,3,FALSE)/1056)</f>
        <v>90.1875</v>
      </c>
      <c r="Z20" s="43">
        <f t="shared" ref="Z20:Z51" si="4">IF(W20="","",W20*28.37/AB20)</f>
        <v>2.3201458189831441</v>
      </c>
      <c r="AA20" s="44">
        <f>IF(OR(AB20="",Table1[[#This Row],[Prop.]]="No Load"),"",AB20*(1-X20))</f>
        <v>122.66057018604479</v>
      </c>
      <c r="AB20" s="44">
        <f t="shared" si="2"/>
        <v>299.80500000000001</v>
      </c>
      <c r="AC20" s="86">
        <f t="shared" si="3"/>
        <v>1.1814209085482164</v>
      </c>
      <c r="AD20" s="44" t="str">
        <f>IF(Table1[[#This Row],[Prop.]]="No Load",Table1[[#This Row],["T"]]*Table1[[#This Row],[RPM]]/Table1[[#This Row],[V]],"")</f>
        <v/>
      </c>
      <c r="AE20" s="97" t="str">
        <f>IF(OR(C20="",E20="",H20=""),"",IF(Table1[[#This Row],[Prop.]]="No Load",IF(E20=1,(H20-10)/C20,IF(E20=2,2*(H20-10)/C20,4*(H20-10))),""))</f>
        <v/>
      </c>
      <c r="AF20" s="86" t="str">
        <f>IF(AND(Table1[[#This Row],[Variant]]=$AF$4,Table1[[#This Row],[Kv*T]]&gt;0,Table1[[#This Row],[Term.]]="D"),Table1[[#This Row],[Kv*T]],"")</f>
        <v/>
      </c>
      <c r="AG20" s="86" t="str">
        <f>IF(AND(Table1[[#This Row],[Variant]]=$AF$4,Table1[[#This Row],[Kv*T]]&gt;0,Table1[[#This Row],[Term.]]="Y"),Table1[[#This Row],[Kv*T]],"")</f>
        <v/>
      </c>
      <c r="AH20" s="44" t="str">
        <f>IF(AND(Table1[[#This Row],[Kv*T "D"]]="",Table1[[#This Row],[Kv*T "Y"]]=""),"",IF(Table1[[#This Row],[Kv*T "D"]]="",Table1[[#This Row],[Kv*T "Y"]]*3^0.5,Table1[[#This Row],[Kv*T "D"]]))</f>
        <v/>
      </c>
      <c r="AI20" s="43" t="str">
        <f>IF(Table1[[#This Row],[Std Inch per turn]]="","",Table1[[#This Row],[Std Inch per turn]])</f>
        <v/>
      </c>
      <c r="AJ20" s="134" t="str">
        <f>IF(AND(Table1[[#This Row],[Variant]]=$AJ$4,Table1[[#This Row],[Kv*T]]&gt;0,Table1[[#This Row],[Term.]]="D"),Table1[[#This Row],[Kv*T]],"")</f>
        <v/>
      </c>
      <c r="AK20" s="134" t="str">
        <f>IF(AND(Table1[[#This Row],[Variant]]=$AJ$4,Table1[[#This Row],[Kv*T]]&gt;0,Table1[[#This Row],[Term.]]="Y"),Table1[[#This Row],[Kv*T]],"")</f>
        <v/>
      </c>
      <c r="AL20" s="44" t="str">
        <f>IF(AND(Table1[[#This Row],[Kv*T "D"2]]="",Table1[[#This Row],[Kv*T "Y"2]]=""),"",IF(Table1[[#This Row],[Kv*T "D"2]]="",Table1[[#This Row],[Kv*T "Y"2]]*3^0.5,Table1[[#This Row],[Kv*T "D"2]]))</f>
        <v/>
      </c>
      <c r="AM20" s="43" t="str">
        <f>IF(Table1[[#This Row],[Std Inch per turn]]="","",Table1[[#This Row],[Std Inch per turn]])</f>
        <v/>
      </c>
      <c r="AN20" s="134" t="str">
        <f>IF(AND(Table1[[#This Row],[Variant]]=$AN$4,Table1[[#This Row],[Kv*T]]&gt;0,Table1[[#This Row],[Term.]]="D"),Table1[[#This Row],[Kv*T]],"")</f>
        <v/>
      </c>
      <c r="AO20" s="134" t="str">
        <f>IF(AND(Table1[[#This Row],[Variant]]=$AN$4,Table1[[#This Row],[Kv*T]]&gt;0,Table1[[#This Row],[Term.]]="Y"),Table1[[#This Row],[Kv*T]],"")</f>
        <v/>
      </c>
      <c r="AP20" s="44" t="str">
        <f>IF(AND(Table1[[#This Row],[Kv*T "D"3]]="",Table1[[#This Row],[Kv*T "Y"3]]=""),"",IF(Table1[[#This Row],[Kv*T "D"3]]="",Table1[[#This Row],[Kv*T "Y"3]]*3^0.5,Table1[[#This Row],[Kv*T "D"3]]))</f>
        <v/>
      </c>
      <c r="AQ20" s="44"/>
      <c r="AR20" s="134" t="str">
        <f>IF(AND(Table1[[#This Row],[Variant]]=$AR$4,Table1[[#This Row],[Kv*T]]&gt;0,Table1[[#This Row],[Term.]]="D"),Table1[[#This Row],[Kv*T]],"")</f>
        <v/>
      </c>
      <c r="AS20" s="134" t="str">
        <f>IF(AND(Table1[[#This Row],[Variant]]=$AR$4,Table1[[#This Row],[Kv*T]]&gt;0,Table1[[#This Row],[Term.]]="Y"),Table1[[#This Row],[Kv*T]],"")</f>
        <v/>
      </c>
      <c r="AT20" s="44" t="str">
        <f>IF(AND(Table1[[#This Row],[Kv*T "D"4]]="",Table1[[#This Row],[Kv*T "Y"4]]=""),"",IF(Table1[[#This Row],[Kv*T "D"4]]="",Table1[[#This Row],[Kv*T "Y"4]]*3^0.5,Table1[[#This Row],[Kv*T "D"4]]))</f>
        <v/>
      </c>
      <c r="AU20" s="44"/>
      <c r="AV20" s="134" t="str">
        <f>IF(AND(Table1[[#This Row],[Variant]]=$AV$4,Table1[[#This Row],[Kv*T]]&gt;0,Table1[[#This Row],[Term.]]="D"),Table1[[#This Row],[Kv*T]],"")</f>
        <v/>
      </c>
      <c r="AW20" s="134" t="str">
        <f>IF(AND(Table1[[#This Row],[Variant]]=$AV$4,Table1[[#This Row],[Kv*T]]&gt;0,Table1[[#This Row],[Term.]]="Y"),Table1[[#This Row],[Kv*T]],"")</f>
        <v/>
      </c>
      <c r="AX20" s="44" t="str">
        <f>IF(AND(Table1[[#This Row],[Kv*T "D"5]]="",Table1[[#This Row],[Kv*T "Y"5]]=""),"",IF(Table1[[#This Row],[Kv*T "D"5]]="",Table1[[#This Row],[Kv*T "Y"5]]*3^0.5,Table1[[#This Row],[Kv*T "D"5]]))</f>
        <v/>
      </c>
      <c r="AY20" s="44"/>
    </row>
    <row r="21" spans="1:51" s="100" customFormat="1">
      <c r="A21" s="146" t="s">
        <v>224</v>
      </c>
      <c r="B21" s="5">
        <v>90</v>
      </c>
      <c r="C21" s="5">
        <v>10</v>
      </c>
      <c r="D21" s="146" t="s">
        <v>166</v>
      </c>
      <c r="E21" s="5">
        <v>1</v>
      </c>
      <c r="F21" s="86">
        <f t="shared" si="0"/>
        <v>10</v>
      </c>
      <c r="G21" s="146" t="s">
        <v>21</v>
      </c>
      <c r="H21" s="5">
        <v>31</v>
      </c>
      <c r="I21" s="97">
        <f>IF(OR(Table1[[#This Row],[Phys. Turns]]="",Table1[[#This Row],[Wire]]="",Table1[[#This Row],[Parallel]]=""),"",Table1[[#This Row],[Phys. Turns]]*VLOOKUP(Table1[[#This Row],[Wire]],wirelist,4,FALSE))</f>
        <v>2.5499999999999998</v>
      </c>
      <c r="J21" s="18">
        <v>1816.6666666666667</v>
      </c>
      <c r="K21" s="19">
        <v>0.6</v>
      </c>
      <c r="L21" s="20"/>
      <c r="M21" s="146" t="s">
        <v>247</v>
      </c>
      <c r="N21" s="49">
        <v>19.399999999999999</v>
      </c>
      <c r="O21" s="5">
        <v>29</v>
      </c>
      <c r="P21" s="5">
        <v>17327</v>
      </c>
      <c r="Q21" s="19">
        <v>11.17</v>
      </c>
      <c r="R21" s="19">
        <v>6.9</v>
      </c>
      <c r="S21" s="49">
        <v>12.9</v>
      </c>
      <c r="T21" s="43">
        <f t="shared" si="1"/>
        <v>4.7366782141606008</v>
      </c>
      <c r="U21" s="133" t="s">
        <v>27</v>
      </c>
      <c r="V21" s="141" t="s">
        <v>237</v>
      </c>
      <c r="W21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14.891772346726265</v>
      </c>
      <c r="X21" s="47">
        <f>IF(OR(P21="",Table1[[#This Row],[Prop.]]="No Load"),"",(AC21/VLOOKUP(Table1[[#This Row],[Prop.]],proplist,9,FALSE))*VLOOKUP(Table1[[#This Row],[Prop.]],proplist,7,FALSE)*(Table1[[#This Row],[RPM]]/1000)^(VLOOKUP(Table1[[#This Row],[Prop.]],proplist,8,FALSE))/Table1[[#This Row],[Pin '[W']]])</f>
        <v>0.82283711018406902</v>
      </c>
      <c r="Y21" s="43">
        <f>IF(OR(P21="",Table1[[#This Row],[Prop.]]="No Load"),"",P21*VLOOKUP(Table1[[#This Row],[Prop.]],proplist,3,FALSE)/1056)</f>
        <v>70.555018939393932</v>
      </c>
      <c r="Z21" s="43">
        <f t="shared" si="4"/>
        <v>5.4815510162654126</v>
      </c>
      <c r="AA21" s="11">
        <f>IF(OR(AB21="",Table1[[#This Row],[Prop.]]="No Load"),"",AB21*(1-X21))</f>
        <v>13.65447540678325</v>
      </c>
      <c r="AB21" s="11">
        <f t="shared" si="2"/>
        <v>77.073000000000008</v>
      </c>
      <c r="AC21" s="11">
        <f t="shared" si="3"/>
        <v>1.2024203572730525</v>
      </c>
      <c r="AD21" s="11" t="str">
        <f>IF(Table1[[#This Row],[Prop.]]="No Load",Table1[[#This Row],["T"]]*Table1[[#This Row],[RPM]]/Table1[[#This Row],[V]],"")</f>
        <v/>
      </c>
      <c r="AE21" s="12" t="str">
        <f>IF(OR(C21="",E21="",H21=""),"",IF(Table1[[#This Row],[Prop.]]="No Load",IF(E21=1,(H21-10)/C21,IF(E21=2,2*(H21-10)/C21,4*(H21-10))),""))</f>
        <v/>
      </c>
      <c r="AF21" s="163" t="str">
        <f>IF(AND(Table1[[#This Row],[Variant]]=$AF$4,Table1[[#This Row],[Kv*T]]&gt;0,Table1[[#This Row],[Term.]]="D"),Table1[[#This Row],[Kv*T]],"")</f>
        <v/>
      </c>
      <c r="AG21" s="163" t="str">
        <f>IF(AND(Table1[[#This Row],[Variant]]=$AF$4,Table1[[#This Row],[Kv*T]]&gt;0,Table1[[#This Row],[Term.]]="Y"),Table1[[#This Row],[Kv*T]],"")</f>
        <v/>
      </c>
      <c r="AH21" s="11" t="str">
        <f>IF(AND(Table1[[#This Row],[Kv*T "D"]]="",Table1[[#This Row],[Kv*T "Y"]]=""),"",IF(Table1[[#This Row],[Kv*T "D"]]="",Table1[[#This Row],[Kv*T "Y"]]*3^0.5,Table1[[#This Row],[Kv*T "D"]]))</f>
        <v/>
      </c>
      <c r="AI21" s="48" t="str">
        <f>IF(Table1[[#This Row],[Std Inch per turn]]="","",Table1[[#This Row],[Std Inch per turn]])</f>
        <v/>
      </c>
      <c r="AJ21" s="155" t="str">
        <f>IF(AND(Table1[[#This Row],[Variant]]=$AJ$4,Table1[[#This Row],[Kv*T]]&gt;0,Table1[[#This Row],[Term.]]="D"),Table1[[#This Row],[Kv*T]],"")</f>
        <v/>
      </c>
      <c r="AK21" s="155" t="str">
        <f>IF(AND(Table1[[#This Row],[Variant]]=$AJ$4,Table1[[#This Row],[Kv*T]]&gt;0,Table1[[#This Row],[Term.]]="Y"),Table1[[#This Row],[Kv*T]],"")</f>
        <v/>
      </c>
      <c r="AL21" s="11" t="str">
        <f>IF(AND(Table1[[#This Row],[Kv*T "D"2]]="",Table1[[#This Row],[Kv*T "Y"2]]=""),"",IF(Table1[[#This Row],[Kv*T "D"2]]="",Table1[[#This Row],[Kv*T "Y"2]]*3^0.5,Table1[[#This Row],[Kv*T "D"2]]))</f>
        <v/>
      </c>
      <c r="AM21" s="48" t="str">
        <f>IF(Table1[[#This Row],[Std Inch per turn]]="","",Table1[[#This Row],[Std Inch per turn]])</f>
        <v/>
      </c>
      <c r="AN21" s="155" t="str">
        <f>IF(AND(Table1[[#This Row],[Variant]]=$AN$4,Table1[[#This Row],[Kv*T]]&gt;0,Table1[[#This Row],[Term.]]="D"),Table1[[#This Row],[Kv*T]],"")</f>
        <v/>
      </c>
      <c r="AO21" s="155" t="str">
        <f>IF(AND(Table1[[#This Row],[Variant]]=$AN$4,Table1[[#This Row],[Kv*T]]&gt;0,Table1[[#This Row],[Term.]]="Y"),Table1[[#This Row],[Kv*T]],"")</f>
        <v/>
      </c>
      <c r="AP21" s="11" t="str">
        <f>IF(AND(Table1[[#This Row],[Kv*T "D"3]]="",Table1[[#This Row],[Kv*T "Y"3]]=""),"",IF(Table1[[#This Row],[Kv*T "D"3]]="",Table1[[#This Row],[Kv*T "Y"3]]*3^0.5,Table1[[#This Row],[Kv*T "D"3]]))</f>
        <v/>
      </c>
      <c r="AQ21" s="11"/>
      <c r="AR21" s="155" t="str">
        <f>IF(AND(Table1[[#This Row],[Variant]]=$AR$4,Table1[[#This Row],[Kv*T]]&gt;0,Table1[[#This Row],[Term.]]="D"),Table1[[#This Row],[Kv*T]],"")</f>
        <v/>
      </c>
      <c r="AS21" s="155" t="str">
        <f>IF(AND(Table1[[#This Row],[Variant]]=$AR$4,Table1[[#This Row],[Kv*T]]&gt;0,Table1[[#This Row],[Term.]]="Y"),Table1[[#This Row],[Kv*T]],"")</f>
        <v/>
      </c>
      <c r="AT21" s="11" t="str">
        <f>IF(AND(Table1[[#This Row],[Kv*T "D"4]]="",Table1[[#This Row],[Kv*T "Y"4]]=""),"",IF(Table1[[#This Row],[Kv*T "D"4]]="",Table1[[#This Row],[Kv*T "Y"4]]*3^0.5,Table1[[#This Row],[Kv*T "D"4]]))</f>
        <v/>
      </c>
      <c r="AU21" s="11"/>
      <c r="AV21" s="155" t="str">
        <f>IF(AND(Table1[[#This Row],[Variant]]=$AV$4,Table1[[#This Row],[Kv*T]]&gt;0,Table1[[#This Row],[Term.]]="D"),Table1[[#This Row],[Kv*T]],"")</f>
        <v/>
      </c>
      <c r="AW21" s="155" t="str">
        <f>IF(AND(Table1[[#This Row],[Variant]]=$AV$4,Table1[[#This Row],[Kv*T]]&gt;0,Table1[[#This Row],[Term.]]="Y"),Table1[[#This Row],[Kv*T]],"")</f>
        <v/>
      </c>
      <c r="AX21" s="11" t="str">
        <f>IF(AND(Table1[[#This Row],[Kv*T "D"5]]="",Table1[[#This Row],[Kv*T "Y"5]]=""),"",IF(Table1[[#This Row],[Kv*T "D"5]]="",Table1[[#This Row],[Kv*T "Y"5]]*3^0.5,Table1[[#This Row],[Kv*T "D"5]]))</f>
        <v/>
      </c>
      <c r="AY21" s="11"/>
    </row>
    <row r="22" spans="1:51" s="100" customFormat="1">
      <c r="A22" s="146" t="s">
        <v>224</v>
      </c>
      <c r="B22" s="146">
        <v>104</v>
      </c>
      <c r="C22" s="146">
        <v>12</v>
      </c>
      <c r="D22" s="146" t="s">
        <v>42</v>
      </c>
      <c r="E22" s="146">
        <v>1</v>
      </c>
      <c r="F22" s="137">
        <f t="shared" si="0"/>
        <v>12</v>
      </c>
      <c r="G22" s="146" t="s">
        <v>11</v>
      </c>
      <c r="H22" s="146">
        <v>38</v>
      </c>
      <c r="I22" s="97">
        <f>IF(OR(Table1[[#This Row],[Phys. Turns]]="",Table1[[#This Row],[Wire]]="",Table1[[#This Row],[Parallel]]=""),"",Table1[[#This Row],[Phys. Turns]]*VLOOKUP(Table1[[#This Row],[Wire]],wirelist,4,FALSE))</f>
        <v>2.448</v>
      </c>
      <c r="J22" s="11">
        <v>2695.7465277777778</v>
      </c>
      <c r="K22" s="12">
        <v>0.79</v>
      </c>
      <c r="L22" s="13"/>
      <c r="M22" s="146" t="s">
        <v>236</v>
      </c>
      <c r="N22" s="48">
        <v>18.5</v>
      </c>
      <c r="O22" s="146">
        <v>29</v>
      </c>
      <c r="P22" s="146">
        <v>20732</v>
      </c>
      <c r="Q22" s="12">
        <v>10.38</v>
      </c>
      <c r="R22" s="12">
        <v>20.100000000000001</v>
      </c>
      <c r="S22" s="48">
        <v>17.5</v>
      </c>
      <c r="T22" s="139">
        <f t="shared" si="1"/>
        <v>2.3737286592087727</v>
      </c>
      <c r="U22" s="133" t="s">
        <v>27</v>
      </c>
      <c r="V22" s="141" t="s">
        <v>241</v>
      </c>
      <c r="W22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15.88034830794598</v>
      </c>
      <c r="X22" s="47">
        <f>IF(OR(P22="",Table1[[#This Row],[Prop.]]="No Load"),"",(AC22/VLOOKUP(Table1[[#This Row],[Prop.]],proplist,9,FALSE))*VLOOKUP(Table1[[#This Row],[Prop.]],proplist,7,FALSE)*(Table1[[#This Row],[RPM]]/1000)^(VLOOKUP(Table1[[#This Row],[Prop.]],proplist,8,FALSE))/Table1[[#This Row],[Pin '[W']]])</f>
        <v>0.81799240921737015</v>
      </c>
      <c r="Y22" s="43">
        <f>IF(OR(P22="",Table1[[#This Row],[Prop.]]="No Load"),"",P22*VLOOKUP(Table1[[#This Row],[Prop.]],proplist,3,FALSE)/1056)</f>
        <v>98.162878787878782</v>
      </c>
      <c r="Z22" s="43">
        <f t="shared" si="4"/>
        <v>2.1593644566015175</v>
      </c>
      <c r="AA22" s="135">
        <f>IF(OR(AB22="",Table1[[#This Row],[Prop.]]="No Load"),"",AB22*(1-X22))</f>
        <v>37.973699725706332</v>
      </c>
      <c r="AB22" s="135">
        <f t="shared" si="2"/>
        <v>208.63800000000003</v>
      </c>
      <c r="AC22" s="152">
        <f t="shared" si="3"/>
        <v>1.2061308949776492</v>
      </c>
      <c r="AD22" s="152" t="str">
        <f>IF(Table1[[#This Row],[Prop.]]="No Load",Table1[[#This Row],["T"]]*Table1[[#This Row],[RPM]]/Table1[[#This Row],[V]],"")</f>
        <v/>
      </c>
      <c r="AE22" s="153" t="str">
        <f>IF(OR(C22="",E22="",H22=""),"",IF(Table1[[#This Row],[Prop.]]="No Load",IF(E22=1,(H22-10)/C22,IF(E22=2,2*(H22-10)/C22,4*(H22-10))),""))</f>
        <v/>
      </c>
      <c r="AF22" s="150" t="str">
        <f>IF(AND(Table1[[#This Row],[Variant]]=$AF$4,Table1[[#This Row],[Kv*T]]&gt;0,Table1[[#This Row],[Term.]]="D"),Table1[[#This Row],[Kv*T]],"")</f>
        <v/>
      </c>
      <c r="AG22" s="150" t="str">
        <f>IF(AND(Table1[[#This Row],[Variant]]=$AF$4,Table1[[#This Row],[Kv*T]]&gt;0,Table1[[#This Row],[Term.]]="Y"),Table1[[#This Row],[Kv*T]],"")</f>
        <v/>
      </c>
      <c r="AH22" s="152" t="str">
        <f>IF(AND(Table1[[#This Row],[Kv*T "D"]]="",Table1[[#This Row],[Kv*T "Y"]]=""),"",IF(Table1[[#This Row],[Kv*T "D"]]="",Table1[[#This Row],[Kv*T "Y"]]*3^0.5,Table1[[#This Row],[Kv*T "D"]]))</f>
        <v/>
      </c>
      <c r="AI22" s="151" t="str">
        <f>IF(Table1[[#This Row],[Std Inch per turn]]="","",Table1[[#This Row],[Std Inch per turn]])</f>
        <v/>
      </c>
      <c r="AJ22" s="154" t="str">
        <f>IF(AND(Table1[[#This Row],[Variant]]=$AJ$4,Table1[[#This Row],[Kv*T]]&gt;0,Table1[[#This Row],[Term.]]="D"),Table1[[#This Row],[Kv*T]],"")</f>
        <v/>
      </c>
      <c r="AK22" s="154" t="str">
        <f>IF(AND(Table1[[#This Row],[Variant]]=$AJ$4,Table1[[#This Row],[Kv*T]]&gt;0,Table1[[#This Row],[Term.]]="Y"),Table1[[#This Row],[Kv*T]],"")</f>
        <v/>
      </c>
      <c r="AL22" s="152" t="str">
        <f>IF(AND(Table1[[#This Row],[Kv*T "D"2]]="",Table1[[#This Row],[Kv*T "Y"2]]=""),"",IF(Table1[[#This Row],[Kv*T "D"2]]="",Table1[[#This Row],[Kv*T "Y"2]]*3^0.5,Table1[[#This Row],[Kv*T "D"2]]))</f>
        <v/>
      </c>
      <c r="AM22" s="151" t="str">
        <f>IF(Table1[[#This Row],[Std Inch per turn]]="","",Table1[[#This Row],[Std Inch per turn]])</f>
        <v/>
      </c>
      <c r="AN22" s="154" t="str">
        <f>IF(AND(Table1[[#This Row],[Variant]]=$AN$4,Table1[[#This Row],[Kv*T]]&gt;0,Table1[[#This Row],[Term.]]="D"),Table1[[#This Row],[Kv*T]],"")</f>
        <v/>
      </c>
      <c r="AO22" s="154" t="str">
        <f>IF(AND(Table1[[#This Row],[Variant]]=$AN$4,Table1[[#This Row],[Kv*T]]&gt;0,Table1[[#This Row],[Term.]]="Y"),Table1[[#This Row],[Kv*T]],"")</f>
        <v/>
      </c>
      <c r="AP22" s="152" t="str">
        <f>IF(AND(Table1[[#This Row],[Kv*T "D"3]]="",Table1[[#This Row],[Kv*T "Y"3]]=""),"",IF(Table1[[#This Row],[Kv*T "D"3]]="",Table1[[#This Row],[Kv*T "Y"3]]*3^0.5,Table1[[#This Row],[Kv*T "D"3]]))</f>
        <v/>
      </c>
      <c r="AQ22" s="152"/>
      <c r="AR22" s="154" t="str">
        <f>IF(AND(Table1[[#This Row],[Variant]]=$AR$4,Table1[[#This Row],[Kv*T]]&gt;0,Table1[[#This Row],[Term.]]="D"),Table1[[#This Row],[Kv*T]],"")</f>
        <v/>
      </c>
      <c r="AS22" s="154" t="str">
        <f>IF(AND(Table1[[#This Row],[Variant]]=$AR$4,Table1[[#This Row],[Kv*T]]&gt;0,Table1[[#This Row],[Term.]]="Y"),Table1[[#This Row],[Kv*T]],"")</f>
        <v/>
      </c>
      <c r="AT22" s="152" t="str">
        <f>IF(AND(Table1[[#This Row],[Kv*T "D"4]]="",Table1[[#This Row],[Kv*T "Y"4]]=""),"",IF(Table1[[#This Row],[Kv*T "D"4]]="",Table1[[#This Row],[Kv*T "Y"4]]*3^0.5,Table1[[#This Row],[Kv*T "D"4]]))</f>
        <v/>
      </c>
      <c r="AU22" s="152"/>
      <c r="AV22" s="154" t="str">
        <f>IF(AND(Table1[[#This Row],[Variant]]=$AV$4,Table1[[#This Row],[Kv*T]]&gt;0,Table1[[#This Row],[Term.]]="D"),Table1[[#This Row],[Kv*T]],"")</f>
        <v/>
      </c>
      <c r="AW22" s="154" t="str">
        <f>IF(AND(Table1[[#This Row],[Variant]]=$AV$4,Table1[[#This Row],[Kv*T]]&gt;0,Table1[[#This Row],[Term.]]="Y"),Table1[[#This Row],[Kv*T]],"")</f>
        <v/>
      </c>
      <c r="AX22" s="152" t="str">
        <f>IF(AND(Table1[[#This Row],[Kv*T "D"5]]="",Table1[[#This Row],[Kv*T "Y"5]]=""),"",IF(Table1[[#This Row],[Kv*T "D"5]]="",Table1[[#This Row],[Kv*T "Y"5]]*3^0.5,Table1[[#This Row],[Kv*T "D"5]]))</f>
        <v/>
      </c>
      <c r="AY22" s="152"/>
    </row>
    <row r="23" spans="1:51" s="100" customFormat="1">
      <c r="A23" s="146" t="s">
        <v>224</v>
      </c>
      <c r="B23" s="5">
        <v>97</v>
      </c>
      <c r="C23" s="5">
        <v>15</v>
      </c>
      <c r="D23" s="163" t="s">
        <v>171</v>
      </c>
      <c r="E23" s="5">
        <v>1</v>
      </c>
      <c r="F23" s="86">
        <f t="shared" si="0"/>
        <v>15</v>
      </c>
      <c r="G23" s="163" t="s">
        <v>11</v>
      </c>
      <c r="H23" s="5">
        <v>45</v>
      </c>
      <c r="I23" s="97">
        <f>IF(OR(Table1[[#This Row],[Phys. Turns]]="",Table1[[#This Row],[Wire]]="",Table1[[#This Row],[Parallel]]=""),"",Table1[[#This Row],[Phys. Turns]]*VLOOKUP(Table1[[#This Row],[Wire]],wirelist,4,FALSE))</f>
        <v>2.3850000000000002</v>
      </c>
      <c r="J23" s="5">
        <v>2073</v>
      </c>
      <c r="K23" s="19">
        <v>0.67</v>
      </c>
      <c r="L23" s="20"/>
      <c r="M23" s="146" t="s">
        <v>232</v>
      </c>
      <c r="N23" s="49">
        <v>23.9</v>
      </c>
      <c r="O23" s="5">
        <v>29</v>
      </c>
      <c r="P23" s="5">
        <v>18120</v>
      </c>
      <c r="Q23" s="19">
        <v>11.78</v>
      </c>
      <c r="R23" s="19">
        <v>16.96</v>
      </c>
      <c r="S23" s="49">
        <v>26</v>
      </c>
      <c r="T23" s="43">
        <f t="shared" si="1"/>
        <v>3.6828891309222542</v>
      </c>
      <c r="U23" s="133" t="s">
        <v>27</v>
      </c>
      <c r="V23" s="141" t="s">
        <v>237</v>
      </c>
      <c r="W23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24.821488841538109</v>
      </c>
      <c r="X23" s="47">
        <f>IF(OR(P23="",Table1[[#This Row],[Prop.]]="No Load"),"",(AC23/VLOOKUP(Table1[[#This Row],[Prop.]],proplist,9,FALSE))*VLOOKUP(Table1[[#This Row],[Prop.]],proplist,7,FALSE)*(Table1[[#This Row],[RPM]]/1000)^(VLOOKUP(Table1[[#This Row],[Prop.]],proplist,8,FALSE))/Table1[[#This Row],[Pin '[W']]])</f>
        <v>0.71349040725240209</v>
      </c>
      <c r="Y23" s="43">
        <f>IF(OR(P23="",Table1[[#This Row],[Prop.]]="No Load"),"",P23*VLOOKUP(Table1[[#This Row],[Prop.]],proplist,3,FALSE)/1056)</f>
        <v>68.63636363636364</v>
      </c>
      <c r="Z23" s="43">
        <f t="shared" si="4"/>
        <v>3.5246502228074656</v>
      </c>
      <c r="AA23" s="44">
        <f>IF(OR(AB23="",Table1[[#This Row],[Prop.]]="No Load"),"",AB23*(1-X23))</f>
        <v>57.241407723531289</v>
      </c>
      <c r="AB23" s="44">
        <f t="shared" si="2"/>
        <v>199.78880000000001</v>
      </c>
      <c r="AC23" s="86">
        <f t="shared" si="3"/>
        <v>1.1842049335809848</v>
      </c>
      <c r="AD23" s="44" t="str">
        <f>IF(Table1[[#This Row],[Prop.]]="No Load",Table1[[#This Row],["T"]]*Table1[[#This Row],[RPM]]/Table1[[#This Row],[V]],"")</f>
        <v/>
      </c>
      <c r="AE23" s="97" t="str">
        <f>IF(OR(C23="",E23="",H23=""),"",IF(Table1[[#This Row],[Prop.]]="No Load",IF(E23=1,(H23-10)/C23,IF(E23=2,2*(H23-10)/C23,4*(H23-10))),""))</f>
        <v/>
      </c>
      <c r="AF23" s="86" t="str">
        <f>IF(AND(Table1[[#This Row],[Variant]]=$AF$4,Table1[[#This Row],[Kv*T]]&gt;0,Table1[[#This Row],[Term.]]="D"),Table1[[#This Row],[Kv*T]],"")</f>
        <v/>
      </c>
      <c r="AG23" s="86" t="str">
        <f>IF(AND(Table1[[#This Row],[Variant]]=$AF$4,Table1[[#This Row],[Kv*T]]&gt;0,Table1[[#This Row],[Term.]]="Y"),Table1[[#This Row],[Kv*T]],"")</f>
        <v/>
      </c>
      <c r="AH23" s="44" t="str">
        <f>IF(AND(Table1[[#This Row],[Kv*T "D"]]="",Table1[[#This Row],[Kv*T "Y"]]=""),"",IF(Table1[[#This Row],[Kv*T "D"]]="",Table1[[#This Row],[Kv*T "Y"]]*3^0.5,Table1[[#This Row],[Kv*T "D"]]))</f>
        <v/>
      </c>
      <c r="AI23" s="43" t="str">
        <f>IF(Table1[[#This Row],[Std Inch per turn]]="","",Table1[[#This Row],[Std Inch per turn]])</f>
        <v/>
      </c>
      <c r="AJ23" s="134" t="str">
        <f>IF(AND(Table1[[#This Row],[Variant]]=$AJ$4,Table1[[#This Row],[Kv*T]]&gt;0,Table1[[#This Row],[Term.]]="D"),Table1[[#This Row],[Kv*T]],"")</f>
        <v/>
      </c>
      <c r="AK23" s="134" t="str">
        <f>IF(AND(Table1[[#This Row],[Variant]]=$AJ$4,Table1[[#This Row],[Kv*T]]&gt;0,Table1[[#This Row],[Term.]]="Y"),Table1[[#This Row],[Kv*T]],"")</f>
        <v/>
      </c>
      <c r="AL23" s="44" t="str">
        <f>IF(AND(Table1[[#This Row],[Kv*T "D"2]]="",Table1[[#This Row],[Kv*T "Y"2]]=""),"",IF(Table1[[#This Row],[Kv*T "D"2]]="",Table1[[#This Row],[Kv*T "Y"2]]*3^0.5,Table1[[#This Row],[Kv*T "D"2]]))</f>
        <v/>
      </c>
      <c r="AM23" s="43" t="str">
        <f>IF(Table1[[#This Row],[Std Inch per turn]]="","",Table1[[#This Row],[Std Inch per turn]])</f>
        <v/>
      </c>
      <c r="AN23" s="134" t="str">
        <f>IF(AND(Table1[[#This Row],[Variant]]=$AN$4,Table1[[#This Row],[Kv*T]]&gt;0,Table1[[#This Row],[Term.]]="D"),Table1[[#This Row],[Kv*T]],"")</f>
        <v/>
      </c>
      <c r="AO23" s="134" t="str">
        <f>IF(AND(Table1[[#This Row],[Variant]]=$AN$4,Table1[[#This Row],[Kv*T]]&gt;0,Table1[[#This Row],[Term.]]="Y"),Table1[[#This Row],[Kv*T]],"")</f>
        <v/>
      </c>
      <c r="AP23" s="44" t="str">
        <f>IF(AND(Table1[[#This Row],[Kv*T "D"3]]="",Table1[[#This Row],[Kv*T "Y"3]]=""),"",IF(Table1[[#This Row],[Kv*T "D"3]]="",Table1[[#This Row],[Kv*T "Y"3]]*3^0.5,Table1[[#This Row],[Kv*T "D"3]]))</f>
        <v/>
      </c>
      <c r="AQ23" s="44"/>
      <c r="AR23" s="134" t="str">
        <f>IF(AND(Table1[[#This Row],[Variant]]=$AR$4,Table1[[#This Row],[Kv*T]]&gt;0,Table1[[#This Row],[Term.]]="D"),Table1[[#This Row],[Kv*T]],"")</f>
        <v/>
      </c>
      <c r="AS23" s="134" t="str">
        <f>IF(AND(Table1[[#This Row],[Variant]]=$AR$4,Table1[[#This Row],[Kv*T]]&gt;0,Table1[[#This Row],[Term.]]="Y"),Table1[[#This Row],[Kv*T]],"")</f>
        <v/>
      </c>
      <c r="AT23" s="44" t="str">
        <f>IF(AND(Table1[[#This Row],[Kv*T "D"4]]="",Table1[[#This Row],[Kv*T "Y"4]]=""),"",IF(Table1[[#This Row],[Kv*T "D"4]]="",Table1[[#This Row],[Kv*T "Y"4]]*3^0.5,Table1[[#This Row],[Kv*T "D"4]]))</f>
        <v/>
      </c>
      <c r="AU23" s="44"/>
      <c r="AV23" s="134" t="str">
        <f>IF(AND(Table1[[#This Row],[Variant]]=$AV$4,Table1[[#This Row],[Kv*T]]&gt;0,Table1[[#This Row],[Term.]]="D"),Table1[[#This Row],[Kv*T]],"")</f>
        <v/>
      </c>
      <c r="AW23" s="134" t="str">
        <f>IF(AND(Table1[[#This Row],[Variant]]=$AV$4,Table1[[#This Row],[Kv*T]]&gt;0,Table1[[#This Row],[Term.]]="Y"),Table1[[#This Row],[Kv*T]],"")</f>
        <v/>
      </c>
      <c r="AX23" s="44" t="str">
        <f>IF(AND(Table1[[#This Row],[Kv*T "D"5]]="",Table1[[#This Row],[Kv*T "Y"5]]=""),"",IF(Table1[[#This Row],[Kv*T "D"5]]="",Table1[[#This Row],[Kv*T "Y"5]]*3^0.5,Table1[[#This Row],[Kv*T "D"5]]))</f>
        <v/>
      </c>
      <c r="AY23" s="44"/>
    </row>
    <row r="24" spans="1:51" s="100" customFormat="1">
      <c r="A24" s="146" t="s">
        <v>224</v>
      </c>
      <c r="B24" s="2" t="s">
        <v>228</v>
      </c>
      <c r="C24" s="2">
        <v>15.5</v>
      </c>
      <c r="D24" s="2" t="s">
        <v>171</v>
      </c>
      <c r="E24" s="2">
        <v>1</v>
      </c>
      <c r="F24" s="86">
        <f t="shared" si="0"/>
        <v>15.5</v>
      </c>
      <c r="G24" s="127" t="s">
        <v>11</v>
      </c>
      <c r="H24" s="2">
        <v>45</v>
      </c>
      <c r="I24" s="97">
        <f>IF(OR(Table1[[#This Row],[Phys. Turns]]="",Table1[[#This Row],[Wire]]="",Table1[[#This Row],[Parallel]]=""),"",Table1[[#This Row],[Phys. Turns]]*VLOOKUP(Table1[[#This Row],[Wire]],wirelist,4,FALSE))</f>
        <v>2.4645000000000001</v>
      </c>
      <c r="J24" s="2">
        <v>1988</v>
      </c>
      <c r="K24" s="130">
        <v>0.65480000000000005</v>
      </c>
      <c r="L24" s="159"/>
      <c r="M24" s="146" t="s">
        <v>232</v>
      </c>
      <c r="N24" s="131">
        <v>27.1</v>
      </c>
      <c r="O24" s="2">
        <v>29</v>
      </c>
      <c r="P24" s="2">
        <v>17843</v>
      </c>
      <c r="Q24" s="130">
        <v>11.96</v>
      </c>
      <c r="R24" s="130">
        <v>15.87</v>
      </c>
      <c r="S24" s="131">
        <v>24.4</v>
      </c>
      <c r="T24" s="43">
        <f t="shared" si="1"/>
        <v>3.6380457437414777</v>
      </c>
      <c r="U24" s="3" t="s">
        <v>27</v>
      </c>
      <c r="V24" s="140" t="s">
        <v>237</v>
      </c>
      <c r="W24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23.769914397780049</v>
      </c>
      <c r="X24" s="47">
        <f>IF(OR(P24="",Table1[[#This Row],[Prop.]]="No Load"),"",(AC24/VLOOKUP(Table1[[#This Row],[Prop.]],proplist,9,FALSE))*VLOOKUP(Table1[[#This Row],[Prop.]],proplist,7,FALSE)*(Table1[[#This Row],[RPM]]/1000)^(VLOOKUP(Table1[[#This Row],[Prop.]],proplist,8,FALSE))/Table1[[#This Row],[Pin '[W']]])</f>
        <v>0.70784051945300663</v>
      </c>
      <c r="Y24" s="43">
        <f>IF(OR(P24="",Table1[[#This Row],[Prop.]]="No Load"),"",P24*VLOOKUP(Table1[[#This Row],[Prop.]],proplist,3,FALSE)/1056)</f>
        <v>67.587121212121218</v>
      </c>
      <c r="Z24" s="43">
        <f t="shared" si="4"/>
        <v>3.5528661568019211</v>
      </c>
      <c r="AA24" s="44">
        <f>IF(OR(AB24="",Table1[[#This Row],[Prop.]]="No Load"),"",AB24*(1-X24))</f>
        <v>55.453388637118188</v>
      </c>
      <c r="AB24" s="44">
        <f t="shared" si="2"/>
        <v>189.80520000000001</v>
      </c>
      <c r="AC24" s="45">
        <f t="shared" si="3"/>
        <v>1.1715839317909456</v>
      </c>
      <c r="AD24" s="73" t="str">
        <f>IF(Table1[[#This Row],[Prop.]]="No Load",Table1[[#This Row],["T"]]*Table1[[#This Row],[RPM]]/Table1[[#This Row],[V]],"")</f>
        <v/>
      </c>
      <c r="AE24" s="74" t="str">
        <f>IF(OR(C24="",E24="",H24=""),"",IF(Table1[[#This Row],[Prop.]]="No Load",IF(E24=1,(H24-10)/C24,IF(E24=2,2*(H24-10)/C24,4*(H24-10))),""))</f>
        <v/>
      </c>
      <c r="AF24" s="45" t="str">
        <f>IF(AND(Table1[[#This Row],[Variant]]=$AF$4,Table1[[#This Row],[Kv*T]]&gt;0,Table1[[#This Row],[Term.]]="D"),Table1[[#This Row],[Kv*T]],"")</f>
        <v/>
      </c>
      <c r="AG24" s="45" t="str">
        <f>IF(AND(Table1[[#This Row],[Variant]]=$AF$4,Table1[[#This Row],[Kv*T]]&gt;0,Table1[[#This Row],[Term.]]="Y"),Table1[[#This Row],[Kv*T]],"")</f>
        <v/>
      </c>
      <c r="AH24" s="73" t="str">
        <f>IF(AND(Table1[[#This Row],[Kv*T "D"]]="",Table1[[#This Row],[Kv*T "Y"]]=""),"",IF(Table1[[#This Row],[Kv*T "D"]]="",Table1[[#This Row],[Kv*T "Y"]]*3^0.5,Table1[[#This Row],[Kv*T "D"]]))</f>
        <v/>
      </c>
      <c r="AI24" s="147" t="str">
        <f>IF(Table1[[#This Row],[Std Inch per turn]]="","",Table1[[#This Row],[Std Inch per turn]])</f>
        <v/>
      </c>
      <c r="AJ24" s="75" t="str">
        <f>IF(AND(Table1[[#This Row],[Variant]]=$AJ$4,Table1[[#This Row],[Kv*T]]&gt;0,Table1[[#This Row],[Term.]]="D"),Table1[[#This Row],[Kv*T]],"")</f>
        <v/>
      </c>
      <c r="AK24" s="75" t="str">
        <f>IF(AND(Table1[[#This Row],[Variant]]=$AJ$4,Table1[[#This Row],[Kv*T]]&gt;0,Table1[[#This Row],[Term.]]="Y"),Table1[[#This Row],[Kv*T]],"")</f>
        <v/>
      </c>
      <c r="AL24" s="73" t="str">
        <f>IF(AND(Table1[[#This Row],[Kv*T "D"2]]="",Table1[[#This Row],[Kv*T "Y"2]]=""),"",IF(Table1[[#This Row],[Kv*T "D"2]]="",Table1[[#This Row],[Kv*T "Y"2]]*3^0.5,Table1[[#This Row],[Kv*T "D"2]]))</f>
        <v/>
      </c>
      <c r="AM24" s="147" t="str">
        <f>IF(Table1[[#This Row],[Std Inch per turn]]="","",Table1[[#This Row],[Std Inch per turn]])</f>
        <v/>
      </c>
      <c r="AN24" s="75" t="str">
        <f>IF(AND(Table1[[#This Row],[Variant]]=$AN$4,Table1[[#This Row],[Kv*T]]&gt;0,Table1[[#This Row],[Term.]]="D"),Table1[[#This Row],[Kv*T]],"")</f>
        <v/>
      </c>
      <c r="AO24" s="75" t="str">
        <f>IF(AND(Table1[[#This Row],[Variant]]=$AN$4,Table1[[#This Row],[Kv*T]]&gt;0,Table1[[#This Row],[Term.]]="Y"),Table1[[#This Row],[Kv*T]],"")</f>
        <v/>
      </c>
      <c r="AP24" s="73" t="str">
        <f>IF(AND(Table1[[#This Row],[Kv*T "D"3]]="",Table1[[#This Row],[Kv*T "Y"3]]=""),"",IF(Table1[[#This Row],[Kv*T "D"3]]="",Table1[[#This Row],[Kv*T "Y"3]]*3^0.5,Table1[[#This Row],[Kv*T "D"3]]))</f>
        <v/>
      </c>
      <c r="AQ24" s="73"/>
      <c r="AR24" s="75" t="str">
        <f>IF(AND(Table1[[#This Row],[Variant]]=$AR$4,Table1[[#This Row],[Kv*T]]&gt;0,Table1[[#This Row],[Term.]]="D"),Table1[[#This Row],[Kv*T]],"")</f>
        <v/>
      </c>
      <c r="AS24" s="75" t="str">
        <f>IF(AND(Table1[[#This Row],[Variant]]=$AR$4,Table1[[#This Row],[Kv*T]]&gt;0,Table1[[#This Row],[Term.]]="Y"),Table1[[#This Row],[Kv*T]],"")</f>
        <v/>
      </c>
      <c r="AT24" s="73" t="str">
        <f>IF(AND(Table1[[#This Row],[Kv*T "D"4]]="",Table1[[#This Row],[Kv*T "Y"4]]=""),"",IF(Table1[[#This Row],[Kv*T "D"4]]="",Table1[[#This Row],[Kv*T "Y"4]]*3^0.5,Table1[[#This Row],[Kv*T "D"4]]))</f>
        <v/>
      </c>
      <c r="AU24" s="73"/>
      <c r="AV24" s="75" t="str">
        <f>IF(AND(Table1[[#This Row],[Variant]]=$AV$4,Table1[[#This Row],[Kv*T]]&gt;0,Table1[[#This Row],[Term.]]="D"),Table1[[#This Row],[Kv*T]],"")</f>
        <v/>
      </c>
      <c r="AW24" s="75" t="str">
        <f>IF(AND(Table1[[#This Row],[Variant]]=$AV$4,Table1[[#This Row],[Kv*T]]&gt;0,Table1[[#This Row],[Term.]]="Y"),Table1[[#This Row],[Kv*T]],"")</f>
        <v/>
      </c>
      <c r="AX24" s="73" t="str">
        <f>IF(AND(Table1[[#This Row],[Kv*T "D"5]]="",Table1[[#This Row],[Kv*T "Y"5]]=""),"",IF(Table1[[#This Row],[Kv*T "D"5]]="",Table1[[#This Row],[Kv*T "Y"5]]*3^0.5,Table1[[#This Row],[Kv*T "D"5]]))</f>
        <v/>
      </c>
      <c r="AY24" s="73"/>
    </row>
    <row r="25" spans="1:51" s="100" customFormat="1">
      <c r="A25" s="146" t="s">
        <v>224</v>
      </c>
      <c r="B25" s="2">
        <v>106</v>
      </c>
      <c r="C25" s="2">
        <v>14</v>
      </c>
      <c r="D25" s="127" t="s">
        <v>171</v>
      </c>
      <c r="E25" s="2">
        <v>1</v>
      </c>
      <c r="F25" s="86">
        <f t="shared" si="0"/>
        <v>14</v>
      </c>
      <c r="G25" s="127" t="s">
        <v>21</v>
      </c>
      <c r="H25" s="2">
        <v>47</v>
      </c>
      <c r="I25" s="97">
        <f>IF(OR(Table1[[#This Row],[Phys. Turns]]="",Table1[[#This Row],[Wire]]="",Table1[[#This Row],[Parallel]]=""),"",Table1[[#This Row],[Phys. Turns]]*VLOOKUP(Table1[[#This Row],[Wire]],wirelist,4,FALSE))</f>
        <v>2.226</v>
      </c>
      <c r="J25" s="2">
        <v>1296</v>
      </c>
      <c r="K25" s="130">
        <v>0.31440000000000001</v>
      </c>
      <c r="L25" s="159"/>
      <c r="M25" s="146" t="s">
        <v>233</v>
      </c>
      <c r="N25" s="131">
        <v>21.9</v>
      </c>
      <c r="O25" s="2">
        <v>29</v>
      </c>
      <c r="P25" s="2">
        <v>12876</v>
      </c>
      <c r="Q25" s="130">
        <v>11.73</v>
      </c>
      <c r="R25" s="130">
        <v>4.3</v>
      </c>
      <c r="S25" s="131">
        <v>12</v>
      </c>
      <c r="T25" s="43">
        <f t="shared" si="1"/>
        <v>6.7328852673526445</v>
      </c>
      <c r="U25" s="132" t="s">
        <v>27</v>
      </c>
      <c r="V25" s="140" t="s">
        <v>239</v>
      </c>
      <c r="W25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14.456331026190492</v>
      </c>
      <c r="X25" s="47">
        <f>IF(OR(P25="",Table1[[#This Row],[Prop.]]="No Load"),"",(AC25/VLOOKUP(Table1[[#This Row],[Prop.]],proplist,9,FALSE))*VLOOKUP(Table1[[#This Row],[Prop.]],proplist,7,FALSE)*(Table1[[#This Row],[RPM]]/1000)^(VLOOKUP(Table1[[#This Row],[Prop.]],proplist,8,FALSE))/Table1[[#This Row],[Pin '[W']]])</f>
        <v>0.98339357953847062</v>
      </c>
      <c r="Y25" s="43">
        <f>IF(OR(P25="",Table1[[#This Row],[Prop.]]="No Load"),"",P25*VLOOKUP(Table1[[#This Row],[Prop.]],proplist,3,FALSE)/1056)</f>
        <v>42.676136363636367</v>
      </c>
      <c r="Z25" s="43">
        <f t="shared" si="4"/>
        <v>8.1311308950023644</v>
      </c>
      <c r="AA25" s="44">
        <f>IF(OR(AB25="",Table1[[#This Row],[Prop.]]="No Load"),"",AB25*(1-X25))</f>
        <v>0.83761124165908041</v>
      </c>
      <c r="AB25" s="44">
        <f t="shared" si="2"/>
        <v>50.439</v>
      </c>
      <c r="AC25" s="45">
        <f t="shared" si="3"/>
        <v>1.1922320810717895</v>
      </c>
      <c r="AD25" s="73" t="str">
        <f>IF(Table1[[#This Row],[Prop.]]="No Load",Table1[[#This Row],["T"]]*Table1[[#This Row],[RPM]]/Table1[[#This Row],[V]],"")</f>
        <v/>
      </c>
      <c r="AE25" s="74" t="str">
        <f>IF(OR(C25="",E25="",H25=""),"",IF(Table1[[#This Row],[Prop.]]="No Load",IF(E25=1,(H25-10)/C25,IF(E25=2,2*(H25-10)/C25,4*(H25-10))),""))</f>
        <v/>
      </c>
      <c r="AF25" s="45" t="str">
        <f>IF(AND(Table1[[#This Row],[Variant]]=$AF$4,Table1[[#This Row],[Kv*T]]&gt;0,Table1[[#This Row],[Term.]]="D"),Table1[[#This Row],[Kv*T]],"")</f>
        <v/>
      </c>
      <c r="AG25" s="45" t="str">
        <f>IF(AND(Table1[[#This Row],[Variant]]=$AF$4,Table1[[#This Row],[Kv*T]]&gt;0,Table1[[#This Row],[Term.]]="Y"),Table1[[#This Row],[Kv*T]],"")</f>
        <v/>
      </c>
      <c r="AH25" s="73" t="str">
        <f>IF(AND(Table1[[#This Row],[Kv*T "D"]]="",Table1[[#This Row],[Kv*T "Y"]]=""),"",IF(Table1[[#This Row],[Kv*T "D"]]="",Table1[[#This Row],[Kv*T "Y"]]*3^0.5,Table1[[#This Row],[Kv*T "D"]]))</f>
        <v/>
      </c>
      <c r="AI25" s="147" t="str">
        <f>IF(Table1[[#This Row],[Std Inch per turn]]="","",Table1[[#This Row],[Std Inch per turn]])</f>
        <v/>
      </c>
      <c r="AJ25" s="75" t="str">
        <f>IF(AND(Table1[[#This Row],[Variant]]=$AJ$4,Table1[[#This Row],[Kv*T]]&gt;0,Table1[[#This Row],[Term.]]="D"),Table1[[#This Row],[Kv*T]],"")</f>
        <v/>
      </c>
      <c r="AK25" s="75" t="str">
        <f>IF(AND(Table1[[#This Row],[Variant]]=$AJ$4,Table1[[#This Row],[Kv*T]]&gt;0,Table1[[#This Row],[Term.]]="Y"),Table1[[#This Row],[Kv*T]],"")</f>
        <v/>
      </c>
      <c r="AL25" s="73" t="str">
        <f>IF(AND(Table1[[#This Row],[Kv*T "D"2]]="",Table1[[#This Row],[Kv*T "Y"2]]=""),"",IF(Table1[[#This Row],[Kv*T "D"2]]="",Table1[[#This Row],[Kv*T "Y"2]]*3^0.5,Table1[[#This Row],[Kv*T "D"2]]))</f>
        <v/>
      </c>
      <c r="AM25" s="147" t="str">
        <f>IF(Table1[[#This Row],[Std Inch per turn]]="","",Table1[[#This Row],[Std Inch per turn]])</f>
        <v/>
      </c>
      <c r="AN25" s="75" t="str">
        <f>IF(AND(Table1[[#This Row],[Variant]]=$AN$4,Table1[[#This Row],[Kv*T]]&gt;0,Table1[[#This Row],[Term.]]="D"),Table1[[#This Row],[Kv*T]],"")</f>
        <v/>
      </c>
      <c r="AO25" s="75" t="str">
        <f>IF(AND(Table1[[#This Row],[Variant]]=$AN$4,Table1[[#This Row],[Kv*T]]&gt;0,Table1[[#This Row],[Term.]]="Y"),Table1[[#This Row],[Kv*T]],"")</f>
        <v/>
      </c>
      <c r="AP25" s="73" t="str">
        <f>IF(AND(Table1[[#This Row],[Kv*T "D"3]]="",Table1[[#This Row],[Kv*T "Y"3]]=""),"",IF(Table1[[#This Row],[Kv*T "D"3]]="",Table1[[#This Row],[Kv*T "Y"3]]*3^0.5,Table1[[#This Row],[Kv*T "D"3]]))</f>
        <v/>
      </c>
      <c r="AQ25" s="73"/>
      <c r="AR25" s="75" t="str">
        <f>IF(AND(Table1[[#This Row],[Variant]]=$AR$4,Table1[[#This Row],[Kv*T]]&gt;0,Table1[[#This Row],[Term.]]="D"),Table1[[#This Row],[Kv*T]],"")</f>
        <v/>
      </c>
      <c r="AS25" s="75" t="str">
        <f>IF(AND(Table1[[#This Row],[Variant]]=$AR$4,Table1[[#This Row],[Kv*T]]&gt;0,Table1[[#This Row],[Term.]]="Y"),Table1[[#This Row],[Kv*T]],"")</f>
        <v/>
      </c>
      <c r="AT25" s="73" t="str">
        <f>IF(AND(Table1[[#This Row],[Kv*T "D"4]]="",Table1[[#This Row],[Kv*T "Y"4]]=""),"",IF(Table1[[#This Row],[Kv*T "D"4]]="",Table1[[#This Row],[Kv*T "Y"4]]*3^0.5,Table1[[#This Row],[Kv*T "D"4]]))</f>
        <v/>
      </c>
      <c r="AU25" s="73"/>
      <c r="AV25" s="75" t="str">
        <f>IF(AND(Table1[[#This Row],[Variant]]=$AV$4,Table1[[#This Row],[Kv*T]]&gt;0,Table1[[#This Row],[Term.]]="D"),Table1[[#This Row],[Kv*T]],"")</f>
        <v/>
      </c>
      <c r="AW25" s="75" t="str">
        <f>IF(AND(Table1[[#This Row],[Variant]]=$AV$4,Table1[[#This Row],[Kv*T]]&gt;0,Table1[[#This Row],[Term.]]="Y"),Table1[[#This Row],[Kv*T]],"")</f>
        <v/>
      </c>
      <c r="AX25" s="73" t="str">
        <f>IF(AND(Table1[[#This Row],[Kv*T "D"5]]="",Table1[[#This Row],[Kv*T "Y"5]]=""),"",IF(Table1[[#This Row],[Kv*T "D"5]]="",Table1[[#This Row],[Kv*T "Y"5]]*3^0.5,Table1[[#This Row],[Kv*T "D"5]]))</f>
        <v/>
      </c>
      <c r="AY25" s="73"/>
    </row>
    <row r="26" spans="1:51" s="148" customFormat="1">
      <c r="A26" s="146" t="s">
        <v>225</v>
      </c>
      <c r="B26" s="163">
        <v>102</v>
      </c>
      <c r="C26" s="163">
        <v>15</v>
      </c>
      <c r="D26" s="163" t="s">
        <v>171</v>
      </c>
      <c r="E26" s="163">
        <v>1</v>
      </c>
      <c r="F26" s="86">
        <f t="shared" si="0"/>
        <v>15</v>
      </c>
      <c r="G26" s="163" t="s">
        <v>21</v>
      </c>
      <c r="H26" s="163">
        <v>47</v>
      </c>
      <c r="I26" s="97">
        <f>IF(OR(Table1[[#This Row],[Phys. Turns]]="",Table1[[#This Row],[Wire]]="",Table1[[#This Row],[Parallel]]=""),"",Table1[[#This Row],[Phys. Turns]]*VLOOKUP(Table1[[#This Row],[Wire]],wirelist,4,FALSE))</f>
        <v>2.3850000000000002</v>
      </c>
      <c r="J26" s="163">
        <v>1232</v>
      </c>
      <c r="K26" s="12">
        <v>0.3715</v>
      </c>
      <c r="L26" s="13"/>
      <c r="M26" s="146" t="s">
        <v>233</v>
      </c>
      <c r="N26" s="48">
        <v>21.8</v>
      </c>
      <c r="O26" s="163">
        <v>29</v>
      </c>
      <c r="P26" s="163">
        <v>12294</v>
      </c>
      <c r="Q26" s="12">
        <v>11.93</v>
      </c>
      <c r="R26" s="12">
        <v>3.72</v>
      </c>
      <c r="S26" s="48">
        <v>11</v>
      </c>
      <c r="T26" s="43">
        <f t="shared" si="1"/>
        <v>7.0144841323490974</v>
      </c>
      <c r="U26" s="133" t="s">
        <v>27</v>
      </c>
      <c r="V26" s="141" t="s">
        <v>239</v>
      </c>
      <c r="W26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13.05586497585112</v>
      </c>
      <c r="X26" s="47">
        <f>IF(OR(P26="",Table1[[#This Row],[Prop.]]="No Load"),"",(AC26/VLOOKUP(Table1[[#This Row],[Prop.]],proplist,9,FALSE))*VLOOKUP(Table1[[#This Row],[Prop.]],proplist,7,FALSE)*(Table1[[#This Row],[RPM]]/1000)^(VLOOKUP(Table1[[#This Row],[Prop.]],proplist,8,FALSE))/Table1[[#This Row],[Pin '[W']]])</f>
        <v>0.97038512650429054</v>
      </c>
      <c r="Y26" s="43">
        <f>IF(OR(P26="",Table1[[#This Row],[Prop.]]="No Load"),"",P26*VLOOKUP(Table1[[#This Row],[Prop.]],proplist,3,FALSE)/1056)</f>
        <v>40.747159090909093</v>
      </c>
      <c r="Z26" s="43">
        <f t="shared" si="4"/>
        <v>8.3460619150442152</v>
      </c>
      <c r="AA26" s="44">
        <f>IF(OR(AB26="",Table1[[#This Row],[Prop.]]="No Load"),"",AB26*(1-X26))</f>
        <v>1.3142962397901876</v>
      </c>
      <c r="AB26" s="44">
        <f t="shared" si="2"/>
        <v>44.379600000000003</v>
      </c>
      <c r="AC26" s="86">
        <f t="shared" si="3"/>
        <v>1.1926362960509624</v>
      </c>
      <c r="AD26" s="44" t="str">
        <f>IF(Table1[[#This Row],[Prop.]]="No Load",Table1[[#This Row],["T"]]*Table1[[#This Row],[RPM]]/Table1[[#This Row],[V]],"")</f>
        <v/>
      </c>
      <c r="AE26" s="97" t="str">
        <f>IF(OR(C26="",E26="",H26=""),"",IF(Table1[[#This Row],[Prop.]]="No Load",IF(E26=1,(H26-10)/C26,IF(E26=2,2*(H26-10)/C26,4*(H26-10))),""))</f>
        <v/>
      </c>
      <c r="AF26" s="86" t="str">
        <f>IF(AND(Table1[[#This Row],[Variant]]=$AF$4,Table1[[#This Row],[Kv*T]]&gt;0,Table1[[#This Row],[Term.]]="D"),Table1[[#This Row],[Kv*T]],"")</f>
        <v/>
      </c>
      <c r="AG26" s="86" t="str">
        <f>IF(AND(Table1[[#This Row],[Variant]]=$AF$4,Table1[[#This Row],[Kv*T]]&gt;0,Table1[[#This Row],[Term.]]="Y"),Table1[[#This Row],[Kv*T]],"")</f>
        <v/>
      </c>
      <c r="AH26" s="44" t="str">
        <f>IF(AND(Table1[[#This Row],[Kv*T "D"]]="",Table1[[#This Row],[Kv*T "Y"]]=""),"",IF(Table1[[#This Row],[Kv*T "D"]]="",Table1[[#This Row],[Kv*T "Y"]]*3^0.5,Table1[[#This Row],[Kv*T "D"]]))</f>
        <v/>
      </c>
      <c r="AI26" s="43" t="str">
        <f>IF(Table1[[#This Row],[Std Inch per turn]]="","",Table1[[#This Row],[Std Inch per turn]])</f>
        <v/>
      </c>
      <c r="AJ26" s="134" t="str">
        <f>IF(AND(Table1[[#This Row],[Variant]]=$AJ$4,Table1[[#This Row],[Kv*T]]&gt;0,Table1[[#This Row],[Term.]]="D"),Table1[[#This Row],[Kv*T]],"")</f>
        <v/>
      </c>
      <c r="AK26" s="134" t="str">
        <f>IF(AND(Table1[[#This Row],[Variant]]=$AJ$4,Table1[[#This Row],[Kv*T]]&gt;0,Table1[[#This Row],[Term.]]="Y"),Table1[[#This Row],[Kv*T]],"")</f>
        <v/>
      </c>
      <c r="AL26" s="44" t="str">
        <f>IF(AND(Table1[[#This Row],[Kv*T "D"2]]="",Table1[[#This Row],[Kv*T "Y"2]]=""),"",IF(Table1[[#This Row],[Kv*T "D"2]]="",Table1[[#This Row],[Kv*T "Y"2]]*3^0.5,Table1[[#This Row],[Kv*T "D"2]]))</f>
        <v/>
      </c>
      <c r="AM26" s="43" t="str">
        <f>IF(Table1[[#This Row],[Std Inch per turn]]="","",Table1[[#This Row],[Std Inch per turn]])</f>
        <v/>
      </c>
      <c r="AN26" s="134" t="str">
        <f>IF(AND(Table1[[#This Row],[Variant]]=$AN$4,Table1[[#This Row],[Kv*T]]&gt;0,Table1[[#This Row],[Term.]]="D"),Table1[[#This Row],[Kv*T]],"")</f>
        <v/>
      </c>
      <c r="AO26" s="134" t="str">
        <f>IF(AND(Table1[[#This Row],[Variant]]=$AN$4,Table1[[#This Row],[Kv*T]]&gt;0,Table1[[#This Row],[Term.]]="Y"),Table1[[#This Row],[Kv*T]],"")</f>
        <v/>
      </c>
      <c r="AP26" s="44" t="str">
        <f>IF(AND(Table1[[#This Row],[Kv*T "D"3]]="",Table1[[#This Row],[Kv*T "Y"3]]=""),"",IF(Table1[[#This Row],[Kv*T "D"3]]="",Table1[[#This Row],[Kv*T "Y"3]]*3^0.5,Table1[[#This Row],[Kv*T "D"3]]))</f>
        <v/>
      </c>
      <c r="AQ26" s="44"/>
      <c r="AR26" s="134" t="str">
        <f>IF(AND(Table1[[#This Row],[Variant]]=$AR$4,Table1[[#This Row],[Kv*T]]&gt;0,Table1[[#This Row],[Term.]]="D"),Table1[[#This Row],[Kv*T]],"")</f>
        <v/>
      </c>
      <c r="AS26" s="134" t="str">
        <f>IF(AND(Table1[[#This Row],[Variant]]=$AR$4,Table1[[#This Row],[Kv*T]]&gt;0,Table1[[#This Row],[Term.]]="Y"),Table1[[#This Row],[Kv*T]],"")</f>
        <v/>
      </c>
      <c r="AT26" s="44" t="str">
        <f>IF(AND(Table1[[#This Row],[Kv*T "D"4]]="",Table1[[#This Row],[Kv*T "Y"4]]=""),"",IF(Table1[[#This Row],[Kv*T "D"4]]="",Table1[[#This Row],[Kv*T "Y"4]]*3^0.5,Table1[[#This Row],[Kv*T "D"4]]))</f>
        <v/>
      </c>
      <c r="AU26" s="44"/>
      <c r="AV26" s="134" t="str">
        <f>IF(AND(Table1[[#This Row],[Variant]]=$AV$4,Table1[[#This Row],[Kv*T]]&gt;0,Table1[[#This Row],[Term.]]="D"),Table1[[#This Row],[Kv*T]],"")</f>
        <v/>
      </c>
      <c r="AW26" s="134" t="str">
        <f>IF(AND(Table1[[#This Row],[Variant]]=$AV$4,Table1[[#This Row],[Kv*T]]&gt;0,Table1[[#This Row],[Term.]]="Y"),Table1[[#This Row],[Kv*T]],"")</f>
        <v/>
      </c>
      <c r="AX26" s="44" t="str">
        <f>IF(AND(Table1[[#This Row],[Kv*T "D"5]]="",Table1[[#This Row],[Kv*T "Y"5]]=""),"",IF(Table1[[#This Row],[Kv*T "D"5]]="",Table1[[#This Row],[Kv*T "Y"5]]*3^0.5,Table1[[#This Row],[Kv*T "D"5]]))</f>
        <v/>
      </c>
      <c r="AY26" s="44"/>
    </row>
    <row r="27" spans="1:51" s="148" customFormat="1">
      <c r="A27" s="146" t="s">
        <v>225</v>
      </c>
      <c r="B27" s="165">
        <v>101</v>
      </c>
      <c r="C27" s="48">
        <v>24.5</v>
      </c>
      <c r="D27" s="165" t="s">
        <v>176</v>
      </c>
      <c r="E27" s="165">
        <v>1</v>
      </c>
      <c r="F27" s="86">
        <f t="shared" si="0"/>
        <v>24.5</v>
      </c>
      <c r="G27" s="165" t="s">
        <v>11</v>
      </c>
      <c r="H27" s="165">
        <v>72</v>
      </c>
      <c r="I27" s="97">
        <f>IF(OR(Table1[[#This Row],[Phys. Turns]]="",Table1[[#This Row],[Wire]]="",Table1[[#This Row],[Parallel]]=""),"",Table1[[#This Row],[Phys. Turns]]*VLOOKUP(Table1[[#This Row],[Wire]],wirelist,4,FALSE))</f>
        <v>2.4745000000000004</v>
      </c>
      <c r="J27" s="165">
        <v>1308</v>
      </c>
      <c r="K27" s="12">
        <v>0.38700000000000001</v>
      </c>
      <c r="L27" s="13">
        <v>0.19</v>
      </c>
      <c r="M27" s="146" t="s">
        <v>233</v>
      </c>
      <c r="N27" s="48">
        <v>15.3</v>
      </c>
      <c r="O27" s="165">
        <v>29</v>
      </c>
      <c r="P27" s="165">
        <v>12562</v>
      </c>
      <c r="Q27" s="12">
        <v>11.65</v>
      </c>
      <c r="R27" s="12">
        <v>4.1900000000000004</v>
      </c>
      <c r="S27" s="48">
        <v>11.7</v>
      </c>
      <c r="T27" s="43">
        <f t="shared" si="1"/>
        <v>6.7831644934290711</v>
      </c>
      <c r="U27" s="133" t="s">
        <v>27</v>
      </c>
      <c r="V27" s="141" t="s">
        <v>239</v>
      </c>
      <c r="W27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14.001807397778562</v>
      </c>
      <c r="X27" s="47">
        <f>IF(OR(P27="",Table1[[#This Row],[Prop.]]="No Load"),"",(AC27/VLOOKUP(Table1[[#This Row],[Prop.]],proplist,9,FALSE))*VLOOKUP(Table1[[#This Row],[Prop.]],proplist,7,FALSE)*(Table1[[#This Row],[RPM]]/1000)^(VLOOKUP(Table1[[#This Row],[Prop.]],proplist,8,FALSE))/Table1[[#This Row],[Pin '[W']]])</f>
        <v>0.96370714369093768</v>
      </c>
      <c r="Y27" s="43">
        <f>IF(OR(P27="",Table1[[#This Row],[Prop.]]="No Load"),"",P27*VLOOKUP(Table1[[#This Row],[Prop.]],proplist,3,FALSE)/1056)</f>
        <v>41.635416666666664</v>
      </c>
      <c r="Z27" s="43">
        <f t="shared" si="4"/>
        <v>8.1377339439904492</v>
      </c>
      <c r="AA27" s="44">
        <f>IF(OR(AB27="",Table1[[#This Row],[Prop.]]="No Load"),"",AB27*(1-X27))</f>
        <v>1.7715813414424135</v>
      </c>
      <c r="AB27" s="44">
        <f t="shared" si="2"/>
        <v>48.813500000000005</v>
      </c>
      <c r="AC27" s="86">
        <f t="shared" si="3"/>
        <v>1.2195114422611593</v>
      </c>
      <c r="AD27" s="44" t="str">
        <f>IF(Table1[[#This Row],[Prop.]]="No Load",Table1[[#This Row],["T"]]*Table1[[#This Row],[RPM]]/Table1[[#This Row],[V]],"")</f>
        <v/>
      </c>
      <c r="AE27" s="97" t="str">
        <f>IF(OR(C27="",E27="",H27=""),"",IF(Table1[[#This Row],[Prop.]]="No Load",IF(E27=1,(H27-10)/C27,IF(E27=2,2*(H27-10)/C27,4*(H27-10))),""))</f>
        <v/>
      </c>
      <c r="AF27" s="86" t="str">
        <f>IF(AND(Table1[[#This Row],[Variant]]=$AF$4,Table1[[#This Row],[Kv*T]]&gt;0,Table1[[#This Row],[Term.]]="D"),Table1[[#This Row],[Kv*T]],"")</f>
        <v/>
      </c>
      <c r="AG27" s="86" t="str">
        <f>IF(AND(Table1[[#This Row],[Variant]]=$AF$4,Table1[[#This Row],[Kv*T]]&gt;0,Table1[[#This Row],[Term.]]="Y"),Table1[[#This Row],[Kv*T]],"")</f>
        <v/>
      </c>
      <c r="AH27" s="44" t="str">
        <f>IF(AND(Table1[[#This Row],[Kv*T "D"]]="",Table1[[#This Row],[Kv*T "Y"]]=""),"",IF(Table1[[#This Row],[Kv*T "D"]]="",Table1[[#This Row],[Kv*T "Y"]]*3^0.5,Table1[[#This Row],[Kv*T "D"]]))</f>
        <v/>
      </c>
      <c r="AI27" s="43" t="str">
        <f>IF(Table1[[#This Row],[Std Inch per turn]]="","",Table1[[#This Row],[Std Inch per turn]])</f>
        <v/>
      </c>
      <c r="AJ27" s="134" t="str">
        <f>IF(AND(Table1[[#This Row],[Variant]]=$AJ$4,Table1[[#This Row],[Kv*T]]&gt;0,Table1[[#This Row],[Term.]]="D"),Table1[[#This Row],[Kv*T]],"")</f>
        <v/>
      </c>
      <c r="AK27" s="134" t="str">
        <f>IF(AND(Table1[[#This Row],[Variant]]=$AJ$4,Table1[[#This Row],[Kv*T]]&gt;0,Table1[[#This Row],[Term.]]="Y"),Table1[[#This Row],[Kv*T]],"")</f>
        <v/>
      </c>
      <c r="AL27" s="44" t="str">
        <f>IF(AND(Table1[[#This Row],[Kv*T "D"2]]="",Table1[[#This Row],[Kv*T "Y"2]]=""),"",IF(Table1[[#This Row],[Kv*T "D"2]]="",Table1[[#This Row],[Kv*T "Y"2]]*3^0.5,Table1[[#This Row],[Kv*T "D"2]]))</f>
        <v/>
      </c>
      <c r="AM27" s="43" t="str">
        <f>IF(Table1[[#This Row],[Std Inch per turn]]="","",Table1[[#This Row],[Std Inch per turn]])</f>
        <v/>
      </c>
      <c r="AN27" s="134" t="str">
        <f>IF(AND(Table1[[#This Row],[Variant]]=$AN$4,Table1[[#This Row],[Kv*T]]&gt;0,Table1[[#This Row],[Term.]]="D"),Table1[[#This Row],[Kv*T]],"")</f>
        <v/>
      </c>
      <c r="AO27" s="134" t="str">
        <f>IF(AND(Table1[[#This Row],[Variant]]=$AN$4,Table1[[#This Row],[Kv*T]]&gt;0,Table1[[#This Row],[Term.]]="Y"),Table1[[#This Row],[Kv*T]],"")</f>
        <v/>
      </c>
      <c r="AP27" s="44" t="str">
        <f>IF(AND(Table1[[#This Row],[Kv*T "D"3]]="",Table1[[#This Row],[Kv*T "Y"3]]=""),"",IF(Table1[[#This Row],[Kv*T "D"3]]="",Table1[[#This Row],[Kv*T "Y"3]]*3^0.5,Table1[[#This Row],[Kv*T "D"3]]))</f>
        <v/>
      </c>
      <c r="AQ27" s="44"/>
      <c r="AR27" s="134" t="str">
        <f>IF(AND(Table1[[#This Row],[Variant]]=$AR$4,Table1[[#This Row],[Kv*T]]&gt;0,Table1[[#This Row],[Term.]]="D"),Table1[[#This Row],[Kv*T]],"")</f>
        <v/>
      </c>
      <c r="AS27" s="134" t="str">
        <f>IF(AND(Table1[[#This Row],[Variant]]=$AR$4,Table1[[#This Row],[Kv*T]]&gt;0,Table1[[#This Row],[Term.]]="Y"),Table1[[#This Row],[Kv*T]],"")</f>
        <v/>
      </c>
      <c r="AT27" s="44" t="str">
        <f>IF(AND(Table1[[#This Row],[Kv*T "D"4]]="",Table1[[#This Row],[Kv*T "Y"4]]=""),"",IF(Table1[[#This Row],[Kv*T "D"4]]="",Table1[[#This Row],[Kv*T "Y"4]]*3^0.5,Table1[[#This Row],[Kv*T "D"4]]))</f>
        <v/>
      </c>
      <c r="AU27" s="44"/>
      <c r="AV27" s="134" t="str">
        <f>IF(AND(Table1[[#This Row],[Variant]]=$AV$4,Table1[[#This Row],[Kv*T]]&gt;0,Table1[[#This Row],[Term.]]="D"),Table1[[#This Row],[Kv*T]],"")</f>
        <v/>
      </c>
      <c r="AW27" s="134" t="str">
        <f>IF(AND(Table1[[#This Row],[Variant]]=$AV$4,Table1[[#This Row],[Kv*T]]&gt;0,Table1[[#This Row],[Term.]]="Y"),Table1[[#This Row],[Kv*T]],"")</f>
        <v/>
      </c>
      <c r="AX27" s="44" t="str">
        <f>IF(AND(Table1[[#This Row],[Kv*T "D"5]]="",Table1[[#This Row],[Kv*T "Y"5]]=""),"",IF(Table1[[#This Row],[Kv*T "D"5]]="",Table1[[#This Row],[Kv*T "Y"5]]*3^0.5,Table1[[#This Row],[Kv*T "D"5]]))</f>
        <v/>
      </c>
      <c r="AY27" s="44"/>
    </row>
    <row r="28" spans="1:51" s="100" customFormat="1">
      <c r="A28" s="163" t="s">
        <v>225</v>
      </c>
      <c r="B28" s="163">
        <v>101</v>
      </c>
      <c r="C28" s="48">
        <v>24.5</v>
      </c>
      <c r="D28" s="163" t="s">
        <v>176</v>
      </c>
      <c r="E28" s="163">
        <v>1</v>
      </c>
      <c r="F28" s="86">
        <f t="shared" si="0"/>
        <v>24.5</v>
      </c>
      <c r="G28" s="163" t="s">
        <v>11</v>
      </c>
      <c r="H28" s="163">
        <v>72</v>
      </c>
      <c r="I28" s="97">
        <f>IF(OR(Table1[[#This Row],[Phys. Turns]]="",Table1[[#This Row],[Wire]]="",Table1[[#This Row],[Parallel]]=""),"",Table1[[#This Row],[Phys. Turns]]*VLOOKUP(Table1[[#This Row],[Wire]],wirelist,4,FALSE))</f>
        <v>2.4745000000000004</v>
      </c>
      <c r="J28" s="163">
        <v>1308</v>
      </c>
      <c r="K28" s="12">
        <v>0.38700000000000001</v>
      </c>
      <c r="L28" s="13">
        <v>0.19</v>
      </c>
      <c r="M28" s="146" t="s">
        <v>234</v>
      </c>
      <c r="N28" s="48">
        <v>15.3</v>
      </c>
      <c r="O28" s="163">
        <v>29</v>
      </c>
      <c r="P28" s="163">
        <v>8246</v>
      </c>
      <c r="Q28" s="12">
        <v>10.35</v>
      </c>
      <c r="R28" s="12">
        <v>9.2899999999999991</v>
      </c>
      <c r="S28" s="48">
        <v>19</v>
      </c>
      <c r="T28" s="43">
        <f t="shared" si="1"/>
        <v>5.5922164500813833</v>
      </c>
      <c r="U28" s="133" t="s">
        <v>27</v>
      </c>
      <c r="V28" s="141" t="s">
        <v>239</v>
      </c>
      <c r="W28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17.231403151293783</v>
      </c>
      <c r="X28" s="47">
        <f>IF(OR(P28="",Table1[[#This Row],[Prop.]]="No Load"),"",(AC28/VLOOKUP(Table1[[#This Row],[Prop.]],proplist,9,FALSE))*VLOOKUP(Table1[[#This Row],[Prop.]],proplist,7,FALSE)*(Table1[[#This Row],[RPM]]/1000)^(VLOOKUP(Table1[[#This Row],[Prop.]],proplist,8,FALSE))/Table1[[#This Row],[Pin '[W']]])</f>
        <v>0.54258294079787894</v>
      </c>
      <c r="Y28" s="43">
        <f>IF(OR(P28="",Table1[[#This Row],[Prop.]]="No Load"),"",P28*VLOOKUP(Table1[[#This Row],[Prop.]],proplist,3,FALSE)/1056)</f>
        <v>29.673106060606059</v>
      </c>
      <c r="Z28" s="43">
        <f t="shared" si="4"/>
        <v>5.0842150918311697</v>
      </c>
      <c r="AA28" s="44">
        <f>IF(OR(AB28="",Table1[[#This Row],[Prop.]]="No Load"),"",AB28*(1-X28))</f>
        <v>43.981336367872736</v>
      </c>
      <c r="AB28" s="44">
        <f t="shared" si="2"/>
        <v>96.151499999999984</v>
      </c>
      <c r="AC28" s="86">
        <f t="shared" si="3"/>
        <v>1.2195114422611593</v>
      </c>
      <c r="AD28" s="44" t="str">
        <f>IF(Table1[[#This Row],[Prop.]]="No Load",Table1[[#This Row],["T"]]*Table1[[#This Row],[RPM]]/Table1[[#This Row],[V]],"")</f>
        <v/>
      </c>
      <c r="AE28" s="97" t="str">
        <f>IF(OR(C28="",E28="",H28=""),"",IF(Table1[[#This Row],[Prop.]]="No Load",IF(E28=1,(H28-10)/C28,IF(E28=2,2*(H28-10)/C28,4*(H28-10))),""))</f>
        <v/>
      </c>
      <c r="AF28" s="86" t="str">
        <f>IF(AND(Table1[[#This Row],[Variant]]=$AF$4,Table1[[#This Row],[Kv*T]]&gt;0,Table1[[#This Row],[Term.]]="D"),Table1[[#This Row],[Kv*T]],"")</f>
        <v/>
      </c>
      <c r="AG28" s="86" t="str">
        <f>IF(AND(Table1[[#This Row],[Variant]]=$AF$4,Table1[[#This Row],[Kv*T]]&gt;0,Table1[[#This Row],[Term.]]="Y"),Table1[[#This Row],[Kv*T]],"")</f>
        <v/>
      </c>
      <c r="AH28" s="44" t="str">
        <f>IF(AND(Table1[[#This Row],[Kv*T "D"]]="",Table1[[#This Row],[Kv*T "Y"]]=""),"",IF(Table1[[#This Row],[Kv*T "D"]]="",Table1[[#This Row],[Kv*T "Y"]]*3^0.5,Table1[[#This Row],[Kv*T "D"]]))</f>
        <v/>
      </c>
      <c r="AI28" s="43" t="str">
        <f>IF(Table1[[#This Row],[Std Inch per turn]]="","",Table1[[#This Row],[Std Inch per turn]])</f>
        <v/>
      </c>
      <c r="AJ28" s="134" t="str">
        <f>IF(AND(Table1[[#This Row],[Variant]]=$AJ$4,Table1[[#This Row],[Kv*T]]&gt;0,Table1[[#This Row],[Term.]]="D"),Table1[[#This Row],[Kv*T]],"")</f>
        <v/>
      </c>
      <c r="AK28" s="134" t="str">
        <f>IF(AND(Table1[[#This Row],[Variant]]=$AJ$4,Table1[[#This Row],[Kv*T]]&gt;0,Table1[[#This Row],[Term.]]="Y"),Table1[[#This Row],[Kv*T]],"")</f>
        <v/>
      </c>
      <c r="AL28" s="44" t="str">
        <f>IF(AND(Table1[[#This Row],[Kv*T "D"2]]="",Table1[[#This Row],[Kv*T "Y"2]]=""),"",IF(Table1[[#This Row],[Kv*T "D"2]]="",Table1[[#This Row],[Kv*T "Y"2]]*3^0.5,Table1[[#This Row],[Kv*T "D"2]]))</f>
        <v/>
      </c>
      <c r="AM28" s="43" t="str">
        <f>IF(Table1[[#This Row],[Std Inch per turn]]="","",Table1[[#This Row],[Std Inch per turn]])</f>
        <v/>
      </c>
      <c r="AN28" s="134" t="str">
        <f>IF(AND(Table1[[#This Row],[Variant]]=$AN$4,Table1[[#This Row],[Kv*T]]&gt;0,Table1[[#This Row],[Term.]]="D"),Table1[[#This Row],[Kv*T]],"")</f>
        <v/>
      </c>
      <c r="AO28" s="134" t="str">
        <f>IF(AND(Table1[[#This Row],[Variant]]=$AN$4,Table1[[#This Row],[Kv*T]]&gt;0,Table1[[#This Row],[Term.]]="Y"),Table1[[#This Row],[Kv*T]],"")</f>
        <v/>
      </c>
      <c r="AP28" s="44" t="str">
        <f>IF(AND(Table1[[#This Row],[Kv*T "D"3]]="",Table1[[#This Row],[Kv*T "Y"3]]=""),"",IF(Table1[[#This Row],[Kv*T "D"3]]="",Table1[[#This Row],[Kv*T "Y"3]]*3^0.5,Table1[[#This Row],[Kv*T "D"3]]))</f>
        <v/>
      </c>
      <c r="AQ28" s="44"/>
      <c r="AR28" s="134" t="str">
        <f>IF(AND(Table1[[#This Row],[Variant]]=$AR$4,Table1[[#This Row],[Kv*T]]&gt;0,Table1[[#This Row],[Term.]]="D"),Table1[[#This Row],[Kv*T]],"")</f>
        <v/>
      </c>
      <c r="AS28" s="134" t="str">
        <f>IF(AND(Table1[[#This Row],[Variant]]=$AR$4,Table1[[#This Row],[Kv*T]]&gt;0,Table1[[#This Row],[Term.]]="Y"),Table1[[#This Row],[Kv*T]],"")</f>
        <v/>
      </c>
      <c r="AT28" s="44" t="str">
        <f>IF(AND(Table1[[#This Row],[Kv*T "D"4]]="",Table1[[#This Row],[Kv*T "Y"4]]=""),"",IF(Table1[[#This Row],[Kv*T "D"4]]="",Table1[[#This Row],[Kv*T "Y"4]]*3^0.5,Table1[[#This Row],[Kv*T "D"4]]))</f>
        <v/>
      </c>
      <c r="AU28" s="44"/>
      <c r="AV28" s="134" t="str">
        <f>IF(AND(Table1[[#This Row],[Variant]]=$AV$4,Table1[[#This Row],[Kv*T]]&gt;0,Table1[[#This Row],[Term.]]="D"),Table1[[#This Row],[Kv*T]],"")</f>
        <v/>
      </c>
      <c r="AW28" s="134" t="str">
        <f>IF(AND(Table1[[#This Row],[Variant]]=$AV$4,Table1[[#This Row],[Kv*T]]&gt;0,Table1[[#This Row],[Term.]]="Y"),Table1[[#This Row],[Kv*T]],"")</f>
        <v/>
      </c>
      <c r="AX28" s="44" t="str">
        <f>IF(AND(Table1[[#This Row],[Kv*T "D"5]]="",Table1[[#This Row],[Kv*T "Y"5]]=""),"",IF(Table1[[#This Row],[Kv*T "D"5]]="",Table1[[#This Row],[Kv*T "Y"5]]*3^0.5,Table1[[#This Row],[Kv*T "D"5]]))</f>
        <v/>
      </c>
      <c r="AY28" s="44"/>
    </row>
    <row r="29" spans="1:51" s="100" customFormat="1">
      <c r="A29" s="163" t="s">
        <v>224</v>
      </c>
      <c r="B29" s="5">
        <v>90</v>
      </c>
      <c r="C29" s="5">
        <v>10</v>
      </c>
      <c r="D29" s="163" t="s">
        <v>166</v>
      </c>
      <c r="E29" s="5">
        <v>1</v>
      </c>
      <c r="F29" s="86">
        <f t="shared" si="0"/>
        <v>10</v>
      </c>
      <c r="G29" s="163" t="s">
        <v>21</v>
      </c>
      <c r="H29" s="5">
        <v>31</v>
      </c>
      <c r="I29" s="97">
        <f>IF(OR(Table1[[#This Row],[Phys. Turns]]="",Table1[[#This Row],[Wire]]="",Table1[[#This Row],[Parallel]]=""),"",Table1[[#This Row],[Phys. Turns]]*VLOOKUP(Table1[[#This Row],[Wire]],wirelist,4,FALSE))</f>
        <v>2.5499999999999998</v>
      </c>
      <c r="J29" s="18">
        <v>1831.5104166666667</v>
      </c>
      <c r="K29" s="19">
        <v>0.32</v>
      </c>
      <c r="L29" s="20"/>
      <c r="M29" s="146" t="s">
        <v>43</v>
      </c>
      <c r="N29" s="49">
        <v>19.5</v>
      </c>
      <c r="O29" s="5">
        <v>29</v>
      </c>
      <c r="P29" s="5">
        <v>9796</v>
      </c>
      <c r="Q29" s="19">
        <v>7.56</v>
      </c>
      <c r="R29" s="19">
        <v>11.32</v>
      </c>
      <c r="S29" s="49">
        <v>18.399999999999999</v>
      </c>
      <c r="T29" s="43">
        <f t="shared" si="1"/>
        <v>6.0846560846560847</v>
      </c>
      <c r="U29" s="133" t="s">
        <v>27</v>
      </c>
      <c r="V29" s="141" t="s">
        <v>241</v>
      </c>
      <c r="W29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18.500768910082002</v>
      </c>
      <c r="X29" s="47">
        <f>IF(OR(P29="",Table1[[#This Row],[Prop.]]="No Load"),"",(AC29/VLOOKUP(Table1[[#This Row],[Prop.]],proplist,9,FALSE))*VLOOKUP(Table1[[#This Row],[Prop.]],proplist,7,FALSE)*(Table1[[#This Row],[RPM]]/1000)^(VLOOKUP(Table1[[#This Row],[Prop.]],proplist,8,FALSE))/Table1[[#This Row],[Pin '[W']]])</f>
        <v>0.70882393658447185</v>
      </c>
      <c r="Y29" s="43">
        <f>IF(OR(P29="",Table1[[#This Row],[Prop.]]="No Load"),"",P29*VLOOKUP(Table1[[#This Row],[Prop.]],proplist,3,FALSE)/1056)</f>
        <v>37.106060606060609</v>
      </c>
      <c r="Z29" s="43">
        <f t="shared" si="4"/>
        <v>6.1331119475179303</v>
      </c>
      <c r="AA29" s="11">
        <f>IF(OR(AB29="",Table1[[#This Row],[Prop.]]="No Load"),"",AB29*(1-X29))</f>
        <v>24.918614566250167</v>
      </c>
      <c r="AB29" s="11">
        <f t="shared" si="2"/>
        <v>85.5792</v>
      </c>
      <c r="AC29" s="11">
        <f t="shared" si="3"/>
        <v>1.202009484094418</v>
      </c>
      <c r="AD29" s="11" t="str">
        <f>IF(Table1[[#This Row],[Prop.]]="No Load",Table1[[#This Row],["T"]]*Table1[[#This Row],[RPM]]/Table1[[#This Row],[V]],"")</f>
        <v/>
      </c>
      <c r="AE29" s="12" t="str">
        <f>IF(OR(C29="",E29="",H29=""),"",IF(Table1[[#This Row],[Prop.]]="No Load",IF(E29=1,(H29-10)/C29,IF(E29=2,2*(H29-10)/C29,4*(H29-10))),""))</f>
        <v/>
      </c>
      <c r="AF29" s="165" t="str">
        <f>IF(AND(Table1[[#This Row],[Variant]]=$AF$4,Table1[[#This Row],[Kv*T]]&gt;0,Table1[[#This Row],[Term.]]="D"),Table1[[#This Row],[Kv*T]],"")</f>
        <v/>
      </c>
      <c r="AG29" s="165" t="str">
        <f>IF(AND(Table1[[#This Row],[Variant]]=$AF$4,Table1[[#This Row],[Kv*T]]&gt;0,Table1[[#This Row],[Term.]]="Y"),Table1[[#This Row],[Kv*T]],"")</f>
        <v/>
      </c>
      <c r="AH29" s="11" t="str">
        <f>IF(AND(Table1[[#This Row],[Kv*T "D"]]="",Table1[[#This Row],[Kv*T "Y"]]=""),"",IF(Table1[[#This Row],[Kv*T "D"]]="",Table1[[#This Row],[Kv*T "Y"]]*3^0.5,Table1[[#This Row],[Kv*T "D"]]))</f>
        <v/>
      </c>
      <c r="AI29" s="48" t="str">
        <f>IF(Table1[[#This Row],[Std Inch per turn]]="","",Table1[[#This Row],[Std Inch per turn]])</f>
        <v/>
      </c>
      <c r="AJ29" s="155" t="str">
        <f>IF(AND(Table1[[#This Row],[Variant]]=$AJ$4,Table1[[#This Row],[Kv*T]]&gt;0,Table1[[#This Row],[Term.]]="D"),Table1[[#This Row],[Kv*T]],"")</f>
        <v/>
      </c>
      <c r="AK29" s="155" t="str">
        <f>IF(AND(Table1[[#This Row],[Variant]]=$AJ$4,Table1[[#This Row],[Kv*T]]&gt;0,Table1[[#This Row],[Term.]]="Y"),Table1[[#This Row],[Kv*T]],"")</f>
        <v/>
      </c>
      <c r="AL29" s="11" t="str">
        <f>IF(AND(Table1[[#This Row],[Kv*T "D"2]]="",Table1[[#This Row],[Kv*T "Y"2]]=""),"",IF(Table1[[#This Row],[Kv*T "D"2]]="",Table1[[#This Row],[Kv*T "Y"2]]*3^0.5,Table1[[#This Row],[Kv*T "D"2]]))</f>
        <v/>
      </c>
      <c r="AM29" s="48" t="str">
        <f>IF(Table1[[#This Row],[Std Inch per turn]]="","",Table1[[#This Row],[Std Inch per turn]])</f>
        <v/>
      </c>
      <c r="AN29" s="155" t="str">
        <f>IF(AND(Table1[[#This Row],[Variant]]=$AN$4,Table1[[#This Row],[Kv*T]]&gt;0,Table1[[#This Row],[Term.]]="D"),Table1[[#This Row],[Kv*T]],"")</f>
        <v/>
      </c>
      <c r="AO29" s="155" t="str">
        <f>IF(AND(Table1[[#This Row],[Variant]]=$AN$4,Table1[[#This Row],[Kv*T]]&gt;0,Table1[[#This Row],[Term.]]="Y"),Table1[[#This Row],[Kv*T]],"")</f>
        <v/>
      </c>
      <c r="AP29" s="11" t="str">
        <f>IF(AND(Table1[[#This Row],[Kv*T "D"3]]="",Table1[[#This Row],[Kv*T "Y"3]]=""),"",IF(Table1[[#This Row],[Kv*T "D"3]]="",Table1[[#This Row],[Kv*T "Y"3]]*3^0.5,Table1[[#This Row],[Kv*T "D"3]]))</f>
        <v/>
      </c>
      <c r="AQ29" s="11"/>
      <c r="AR29" s="155" t="str">
        <f>IF(AND(Table1[[#This Row],[Variant]]=$AR$4,Table1[[#This Row],[Kv*T]]&gt;0,Table1[[#This Row],[Term.]]="D"),Table1[[#This Row],[Kv*T]],"")</f>
        <v/>
      </c>
      <c r="AS29" s="155" t="str">
        <f>IF(AND(Table1[[#This Row],[Variant]]=$AR$4,Table1[[#This Row],[Kv*T]]&gt;0,Table1[[#This Row],[Term.]]="Y"),Table1[[#This Row],[Kv*T]],"")</f>
        <v/>
      </c>
      <c r="AT29" s="11" t="str">
        <f>IF(AND(Table1[[#This Row],[Kv*T "D"4]]="",Table1[[#This Row],[Kv*T "Y"4]]=""),"",IF(Table1[[#This Row],[Kv*T "D"4]]="",Table1[[#This Row],[Kv*T "Y"4]]*3^0.5,Table1[[#This Row],[Kv*T "D"4]]))</f>
        <v/>
      </c>
      <c r="AU29" s="11"/>
      <c r="AV29" s="155" t="str">
        <f>IF(AND(Table1[[#This Row],[Variant]]=$AV$4,Table1[[#This Row],[Kv*T]]&gt;0,Table1[[#This Row],[Term.]]="D"),Table1[[#This Row],[Kv*T]],"")</f>
        <v/>
      </c>
      <c r="AW29" s="155" t="str">
        <f>IF(AND(Table1[[#This Row],[Variant]]=$AV$4,Table1[[#This Row],[Kv*T]]&gt;0,Table1[[#This Row],[Term.]]="Y"),Table1[[#This Row],[Kv*T]],"")</f>
        <v/>
      </c>
      <c r="AX29" s="11" t="str">
        <f>IF(AND(Table1[[#This Row],[Kv*T "D"5]]="",Table1[[#This Row],[Kv*T "Y"5]]=""),"",IF(Table1[[#This Row],[Kv*T "D"5]]="",Table1[[#This Row],[Kv*T "Y"5]]*3^0.5,Table1[[#This Row],[Kv*T "D"5]]))</f>
        <v/>
      </c>
      <c r="AY29" s="11"/>
    </row>
    <row r="30" spans="1:51" s="100" customFormat="1">
      <c r="A30" s="165" t="s">
        <v>224</v>
      </c>
      <c r="B30" s="165">
        <v>95</v>
      </c>
      <c r="C30" s="165">
        <v>12</v>
      </c>
      <c r="D30" s="165" t="s">
        <v>42</v>
      </c>
      <c r="E30" s="165">
        <v>1</v>
      </c>
      <c r="F30" s="86">
        <f t="shared" si="0"/>
        <v>12</v>
      </c>
      <c r="G30" s="165" t="s">
        <v>21</v>
      </c>
      <c r="H30" s="165">
        <v>36</v>
      </c>
      <c r="I30" s="97">
        <f>IF(OR(Table1[[#This Row],[Phys. Turns]]="",Table1[[#This Row],[Wire]]="",Table1[[#This Row],[Parallel]]=""),"",Table1[[#This Row],[Phys. Turns]]*VLOOKUP(Table1[[#This Row],[Wire]],wirelist,4,FALSE))</f>
        <v>2.448</v>
      </c>
      <c r="J30" s="165">
        <v>1484</v>
      </c>
      <c r="K30" s="12">
        <v>0.37</v>
      </c>
      <c r="L30" s="13">
        <v>0.15</v>
      </c>
      <c r="M30" s="146" t="s">
        <v>43</v>
      </c>
      <c r="N30" s="48">
        <v>26.6</v>
      </c>
      <c r="O30" s="165">
        <v>29</v>
      </c>
      <c r="P30" s="165">
        <v>11263</v>
      </c>
      <c r="Q30" s="12">
        <v>11.12</v>
      </c>
      <c r="R30" s="12">
        <v>11.7</v>
      </c>
      <c r="S30" s="48">
        <v>24</v>
      </c>
      <c r="T30" s="43">
        <f t="shared" si="1"/>
        <v>5.2204390333886748</v>
      </c>
      <c r="U30" s="133" t="s">
        <v>27</v>
      </c>
      <c r="V30" s="141" t="s">
        <v>238</v>
      </c>
      <c r="W30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24.241647603424628</v>
      </c>
      <c r="X30" s="47">
        <f>IF(OR(P30="",Table1[[#This Row],[Prop.]]="No Load"),"",(AC30/VLOOKUP(Table1[[#This Row],[Prop.]],proplist,9,FALSE))*VLOOKUP(Table1[[#This Row],[Prop.]],proplist,7,FALSE)*(Table1[[#This Row],[RPM]]/1000)^(VLOOKUP(Table1[[#This Row],[Prop.]],proplist,8,FALSE))/Table1[[#This Row],[Pin '[W']]])</f>
        <v>0.69418552496387131</v>
      </c>
      <c r="Y30" s="43">
        <f>IF(OR(P30="",Table1[[#This Row],[Prop.]]="No Load"),"",P30*VLOOKUP(Table1[[#This Row],[Prop.]],proplist,3,FALSE)/1056)</f>
        <v>42.662878787878789</v>
      </c>
      <c r="Z30" s="43">
        <f t="shared" si="4"/>
        <v>5.286044568261981</v>
      </c>
      <c r="AA30" s="44">
        <f>IF(OR(AB30="",Table1[[#This Row],[Prop.]]="No Load"),"",AB30*(1-X30))</f>
        <v>39.787686460100481</v>
      </c>
      <c r="AB30" s="44">
        <f t="shared" si="2"/>
        <v>130.10399999999998</v>
      </c>
      <c r="AC30" s="86">
        <f t="shared" si="3"/>
        <v>1.1735382002343</v>
      </c>
      <c r="AD30" s="44" t="str">
        <f>IF(Table1[[#This Row],[Prop.]]="No Load",Table1[[#This Row],["T"]]*Table1[[#This Row],[RPM]]/Table1[[#This Row],[V]],"")</f>
        <v/>
      </c>
      <c r="AE30" s="97" t="str">
        <f>IF(OR(C30="",E30="",H30=""),"",IF(Table1[[#This Row],[Prop.]]="No Load",IF(E30=1,(H30-10)/C30,IF(E30=2,2*(H30-10)/C30,4*(H30-10))),""))</f>
        <v/>
      </c>
      <c r="AF30" s="86" t="str">
        <f>IF(AND(Table1[[#This Row],[Variant]]=$AF$4,Table1[[#This Row],[Kv*T]]&gt;0,Table1[[#This Row],[Term.]]="D"),Table1[[#This Row],[Kv*T]],"")</f>
        <v/>
      </c>
      <c r="AG30" s="86" t="str">
        <f>IF(AND(Table1[[#This Row],[Variant]]=$AF$4,Table1[[#This Row],[Kv*T]]&gt;0,Table1[[#This Row],[Term.]]="Y"),Table1[[#This Row],[Kv*T]],"")</f>
        <v/>
      </c>
      <c r="AH30" s="44" t="str">
        <f>IF(AND(Table1[[#This Row],[Kv*T "D"]]="",Table1[[#This Row],[Kv*T "Y"]]=""),"",IF(Table1[[#This Row],[Kv*T "D"]]="",Table1[[#This Row],[Kv*T "Y"]]*3^0.5,Table1[[#This Row],[Kv*T "D"]]))</f>
        <v/>
      </c>
      <c r="AI30" s="43" t="str">
        <f>IF(Table1[[#This Row],[Std Inch per turn]]="","",Table1[[#This Row],[Std Inch per turn]])</f>
        <v/>
      </c>
      <c r="AJ30" s="134" t="str">
        <f>IF(AND(Table1[[#This Row],[Variant]]=$AJ$4,Table1[[#This Row],[Kv*T]]&gt;0,Table1[[#This Row],[Term.]]="D"),Table1[[#This Row],[Kv*T]],"")</f>
        <v/>
      </c>
      <c r="AK30" s="134" t="str">
        <f>IF(AND(Table1[[#This Row],[Variant]]=$AJ$4,Table1[[#This Row],[Kv*T]]&gt;0,Table1[[#This Row],[Term.]]="Y"),Table1[[#This Row],[Kv*T]],"")</f>
        <v/>
      </c>
      <c r="AL30" s="44" t="str">
        <f>IF(AND(Table1[[#This Row],[Kv*T "D"2]]="",Table1[[#This Row],[Kv*T "Y"2]]=""),"",IF(Table1[[#This Row],[Kv*T "D"2]]="",Table1[[#This Row],[Kv*T "Y"2]]*3^0.5,Table1[[#This Row],[Kv*T "D"2]]))</f>
        <v/>
      </c>
      <c r="AM30" s="43" t="str">
        <f>IF(Table1[[#This Row],[Std Inch per turn]]="","",Table1[[#This Row],[Std Inch per turn]])</f>
        <v/>
      </c>
      <c r="AN30" s="134" t="str">
        <f>IF(AND(Table1[[#This Row],[Variant]]=$AN$4,Table1[[#This Row],[Kv*T]]&gt;0,Table1[[#This Row],[Term.]]="D"),Table1[[#This Row],[Kv*T]],"")</f>
        <v/>
      </c>
      <c r="AO30" s="134" t="str">
        <f>IF(AND(Table1[[#This Row],[Variant]]=$AN$4,Table1[[#This Row],[Kv*T]]&gt;0,Table1[[#This Row],[Term.]]="Y"),Table1[[#This Row],[Kv*T]],"")</f>
        <v/>
      </c>
      <c r="AP30" s="44" t="str">
        <f>IF(AND(Table1[[#This Row],[Kv*T "D"3]]="",Table1[[#This Row],[Kv*T "Y"3]]=""),"",IF(Table1[[#This Row],[Kv*T "D"3]]="",Table1[[#This Row],[Kv*T "Y"3]]*3^0.5,Table1[[#This Row],[Kv*T "D"3]]))</f>
        <v/>
      </c>
      <c r="AQ30" s="44"/>
      <c r="AR30" s="134" t="str">
        <f>IF(AND(Table1[[#This Row],[Variant]]=$AR$4,Table1[[#This Row],[Kv*T]]&gt;0,Table1[[#This Row],[Term.]]="D"),Table1[[#This Row],[Kv*T]],"")</f>
        <v/>
      </c>
      <c r="AS30" s="134" t="str">
        <f>IF(AND(Table1[[#This Row],[Variant]]=$AR$4,Table1[[#This Row],[Kv*T]]&gt;0,Table1[[#This Row],[Term.]]="Y"),Table1[[#This Row],[Kv*T]],"")</f>
        <v/>
      </c>
      <c r="AT30" s="44" t="str">
        <f>IF(AND(Table1[[#This Row],[Kv*T "D"4]]="",Table1[[#This Row],[Kv*T "Y"4]]=""),"",IF(Table1[[#This Row],[Kv*T "D"4]]="",Table1[[#This Row],[Kv*T "Y"4]]*3^0.5,Table1[[#This Row],[Kv*T "D"4]]))</f>
        <v/>
      </c>
      <c r="AU30" s="44"/>
      <c r="AV30" s="134" t="str">
        <f>IF(AND(Table1[[#This Row],[Variant]]=$AV$4,Table1[[#This Row],[Kv*T]]&gt;0,Table1[[#This Row],[Term.]]="D"),Table1[[#This Row],[Kv*T]],"")</f>
        <v/>
      </c>
      <c r="AW30" s="134" t="str">
        <f>IF(AND(Table1[[#This Row],[Variant]]=$AV$4,Table1[[#This Row],[Kv*T]]&gt;0,Table1[[#This Row],[Term.]]="Y"),Table1[[#This Row],[Kv*T]],"")</f>
        <v/>
      </c>
      <c r="AX30" s="44" t="str">
        <f>IF(AND(Table1[[#This Row],[Kv*T "D"5]]="",Table1[[#This Row],[Kv*T "Y"5]]=""),"",IF(Table1[[#This Row],[Kv*T "D"5]]="",Table1[[#This Row],[Kv*T "Y"5]]*3^0.5,Table1[[#This Row],[Kv*T "D"5]]))</f>
        <v/>
      </c>
      <c r="AY30" s="44"/>
    </row>
    <row r="31" spans="1:51" s="100" customFormat="1">
      <c r="A31" s="146" t="s">
        <v>224</v>
      </c>
      <c r="B31" s="163">
        <v>93</v>
      </c>
      <c r="C31" s="163">
        <v>12</v>
      </c>
      <c r="D31" s="146" t="s">
        <v>42</v>
      </c>
      <c r="E31" s="163">
        <v>1</v>
      </c>
      <c r="F31" s="86">
        <f t="shared" si="0"/>
        <v>12</v>
      </c>
      <c r="G31" s="146" t="s">
        <v>21</v>
      </c>
      <c r="H31" s="163">
        <v>36</v>
      </c>
      <c r="I31" s="97">
        <f>IF(OR(Table1[[#This Row],[Phys. Turns]]="",Table1[[#This Row],[Wire]]="",Table1[[#This Row],[Parallel]]=""),"",Table1[[#This Row],[Phys. Turns]]*VLOOKUP(Table1[[#This Row],[Wire]],wirelist,4,FALSE))</f>
        <v>2.448</v>
      </c>
      <c r="J31" s="163">
        <v>1504</v>
      </c>
      <c r="K31" s="12">
        <v>0.37969999999999998</v>
      </c>
      <c r="L31" s="13">
        <v>0.15</v>
      </c>
      <c r="M31" s="146" t="s">
        <v>43</v>
      </c>
      <c r="N31" s="48">
        <v>26.6</v>
      </c>
      <c r="O31" s="163">
        <v>29</v>
      </c>
      <c r="P31" s="163">
        <v>11234</v>
      </c>
      <c r="Q31" s="12">
        <v>11.05</v>
      </c>
      <c r="R31" s="12">
        <v>11.77</v>
      </c>
      <c r="S31" s="48">
        <v>24</v>
      </c>
      <c r="T31" s="43">
        <f t="shared" si="1"/>
        <v>5.2222653652010438</v>
      </c>
      <c r="U31" s="133" t="s">
        <v>27</v>
      </c>
      <c r="V31" s="141" t="s">
        <v>238</v>
      </c>
      <c r="W31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24.110231556054774</v>
      </c>
      <c r="X31" s="47">
        <f>IF(OR(P31="",Table1[[#This Row],[Prop.]]="No Load"),"",(AC31/VLOOKUP(Table1[[#This Row],[Prop.]],proplist,9,FALSE))*VLOOKUP(Table1[[#This Row],[Prop.]],proplist,7,FALSE)*(Table1[[#This Row],[RPM]]/1000)^(VLOOKUP(Table1[[#This Row],[Prop.]],proplist,8,FALSE))/Table1[[#This Row],[Pin '[W']]])</f>
        <v>0.68903550240622791</v>
      </c>
      <c r="Y31" s="43">
        <f>IF(OR(P31="",Table1[[#This Row],[Prop.]]="No Load"),"",P31*VLOOKUP(Table1[[#This Row],[Prop.]],proplist,3,FALSE)/1056)</f>
        <v>42.553030303030305</v>
      </c>
      <c r="Z31" s="43">
        <f t="shared" si="4"/>
        <v>5.2592277263329494</v>
      </c>
      <c r="AA31" s="44">
        <f>IF(OR(AB31="",Table1[[#This Row],[Prop.]]="No Load"),"",AB31*(1-X31))</f>
        <v>40.44357611029961</v>
      </c>
      <c r="AB31" s="44">
        <f t="shared" si="2"/>
        <v>130.05850000000001</v>
      </c>
      <c r="AC31" s="86">
        <f t="shared" si="3"/>
        <v>1.1735382002343</v>
      </c>
      <c r="AD31" s="44" t="str">
        <f>IF(Table1[[#This Row],[Prop.]]="No Load",Table1[[#This Row],["T"]]*Table1[[#This Row],[RPM]]/Table1[[#This Row],[V]],"")</f>
        <v/>
      </c>
      <c r="AE31" s="97" t="str">
        <f>IF(OR(C31="",E31="",H31=""),"",IF(Table1[[#This Row],[Prop.]]="No Load",IF(E31=1,(H31-10)/C31,IF(E31=2,2*(H31-10)/C31,4*(H31-10))),""))</f>
        <v/>
      </c>
      <c r="AF31" s="86" t="str">
        <f>IF(AND(Table1[[#This Row],[Variant]]=$AF$4,Table1[[#This Row],[Kv*T]]&gt;0,Table1[[#This Row],[Term.]]="D"),Table1[[#This Row],[Kv*T]],"")</f>
        <v/>
      </c>
      <c r="AG31" s="86" t="str">
        <f>IF(AND(Table1[[#This Row],[Variant]]=$AF$4,Table1[[#This Row],[Kv*T]]&gt;0,Table1[[#This Row],[Term.]]="Y"),Table1[[#This Row],[Kv*T]],"")</f>
        <v/>
      </c>
      <c r="AH31" s="44" t="str">
        <f>IF(AND(Table1[[#This Row],[Kv*T "D"]]="",Table1[[#This Row],[Kv*T "Y"]]=""),"",IF(Table1[[#This Row],[Kv*T "D"]]="",Table1[[#This Row],[Kv*T "Y"]]*3^0.5,Table1[[#This Row],[Kv*T "D"]]))</f>
        <v/>
      </c>
      <c r="AI31" s="43" t="str">
        <f>IF(Table1[[#This Row],[Std Inch per turn]]="","",Table1[[#This Row],[Std Inch per turn]])</f>
        <v/>
      </c>
      <c r="AJ31" s="134" t="str">
        <f>IF(AND(Table1[[#This Row],[Variant]]=$AJ$4,Table1[[#This Row],[Kv*T]]&gt;0,Table1[[#This Row],[Term.]]="D"),Table1[[#This Row],[Kv*T]],"")</f>
        <v/>
      </c>
      <c r="AK31" s="134" t="str">
        <f>IF(AND(Table1[[#This Row],[Variant]]=$AJ$4,Table1[[#This Row],[Kv*T]]&gt;0,Table1[[#This Row],[Term.]]="Y"),Table1[[#This Row],[Kv*T]],"")</f>
        <v/>
      </c>
      <c r="AL31" s="44" t="str">
        <f>IF(AND(Table1[[#This Row],[Kv*T "D"2]]="",Table1[[#This Row],[Kv*T "Y"2]]=""),"",IF(Table1[[#This Row],[Kv*T "D"2]]="",Table1[[#This Row],[Kv*T "Y"2]]*3^0.5,Table1[[#This Row],[Kv*T "D"2]]))</f>
        <v/>
      </c>
      <c r="AM31" s="43" t="str">
        <f>IF(Table1[[#This Row],[Std Inch per turn]]="","",Table1[[#This Row],[Std Inch per turn]])</f>
        <v/>
      </c>
      <c r="AN31" s="134" t="str">
        <f>IF(AND(Table1[[#This Row],[Variant]]=$AN$4,Table1[[#This Row],[Kv*T]]&gt;0,Table1[[#This Row],[Term.]]="D"),Table1[[#This Row],[Kv*T]],"")</f>
        <v/>
      </c>
      <c r="AO31" s="134" t="str">
        <f>IF(AND(Table1[[#This Row],[Variant]]=$AN$4,Table1[[#This Row],[Kv*T]]&gt;0,Table1[[#This Row],[Term.]]="Y"),Table1[[#This Row],[Kv*T]],"")</f>
        <v/>
      </c>
      <c r="AP31" s="44" t="str">
        <f>IF(AND(Table1[[#This Row],[Kv*T "D"3]]="",Table1[[#This Row],[Kv*T "Y"3]]=""),"",IF(Table1[[#This Row],[Kv*T "D"3]]="",Table1[[#This Row],[Kv*T "Y"3]]*3^0.5,Table1[[#This Row],[Kv*T "D"3]]))</f>
        <v/>
      </c>
      <c r="AQ31" s="44"/>
      <c r="AR31" s="134" t="str">
        <f>IF(AND(Table1[[#This Row],[Variant]]=$AR$4,Table1[[#This Row],[Kv*T]]&gt;0,Table1[[#This Row],[Term.]]="D"),Table1[[#This Row],[Kv*T]],"")</f>
        <v/>
      </c>
      <c r="AS31" s="134" t="str">
        <f>IF(AND(Table1[[#This Row],[Variant]]=$AR$4,Table1[[#This Row],[Kv*T]]&gt;0,Table1[[#This Row],[Term.]]="Y"),Table1[[#This Row],[Kv*T]],"")</f>
        <v/>
      </c>
      <c r="AT31" s="44" t="str">
        <f>IF(AND(Table1[[#This Row],[Kv*T "D"4]]="",Table1[[#This Row],[Kv*T "Y"4]]=""),"",IF(Table1[[#This Row],[Kv*T "D"4]]="",Table1[[#This Row],[Kv*T "Y"4]]*3^0.5,Table1[[#This Row],[Kv*T "D"4]]))</f>
        <v/>
      </c>
      <c r="AU31" s="44"/>
      <c r="AV31" s="134" t="str">
        <f>IF(AND(Table1[[#This Row],[Variant]]=$AV$4,Table1[[#This Row],[Kv*T]]&gt;0,Table1[[#This Row],[Term.]]="D"),Table1[[#This Row],[Kv*T]],"")</f>
        <v/>
      </c>
      <c r="AW31" s="134" t="str">
        <f>IF(AND(Table1[[#This Row],[Variant]]=$AV$4,Table1[[#This Row],[Kv*T]]&gt;0,Table1[[#This Row],[Term.]]="Y"),Table1[[#This Row],[Kv*T]],"")</f>
        <v/>
      </c>
      <c r="AX31" s="44" t="str">
        <f>IF(AND(Table1[[#This Row],[Kv*T "D"5]]="",Table1[[#This Row],[Kv*T "Y"5]]=""),"",IF(Table1[[#This Row],[Kv*T "D"5]]="",Table1[[#This Row],[Kv*T "Y"5]]*3^0.5,Table1[[#This Row],[Kv*T "D"5]]))</f>
        <v/>
      </c>
      <c r="AY31" s="44"/>
    </row>
    <row r="32" spans="1:51" s="100" customFormat="1">
      <c r="A32" s="146" t="s">
        <v>224</v>
      </c>
      <c r="B32" s="5">
        <v>94</v>
      </c>
      <c r="C32" s="5">
        <v>12</v>
      </c>
      <c r="D32" s="5" t="s">
        <v>42</v>
      </c>
      <c r="E32" s="5">
        <v>1</v>
      </c>
      <c r="F32" s="86">
        <f t="shared" si="0"/>
        <v>12</v>
      </c>
      <c r="G32" s="5" t="s">
        <v>21</v>
      </c>
      <c r="H32" s="5">
        <v>36</v>
      </c>
      <c r="I32" s="97">
        <f>IF(OR(Table1[[#This Row],[Phys. Turns]]="",Table1[[#This Row],[Wire]]="",Table1[[#This Row],[Parallel]]=""),"",Table1[[#This Row],[Phys. Turns]]*VLOOKUP(Table1[[#This Row],[Wire]],wirelist,4,FALSE))</f>
        <v>2.448</v>
      </c>
      <c r="J32" s="5">
        <v>1506</v>
      </c>
      <c r="K32" s="19">
        <v>0.37</v>
      </c>
      <c r="L32" s="20"/>
      <c r="M32" s="146" t="s">
        <v>43</v>
      </c>
      <c r="N32" s="49">
        <v>27.2</v>
      </c>
      <c r="O32" s="5">
        <v>29</v>
      </c>
      <c r="P32" s="5">
        <v>11131</v>
      </c>
      <c r="Q32" s="19">
        <v>10.96</v>
      </c>
      <c r="R32" s="19">
        <v>11.25</v>
      </c>
      <c r="S32" s="49">
        <v>24</v>
      </c>
      <c r="T32" s="43">
        <f t="shared" si="1"/>
        <v>5.5085158150851576</v>
      </c>
      <c r="U32" s="102" t="s">
        <v>27</v>
      </c>
      <c r="V32" s="144" t="s">
        <v>238</v>
      </c>
      <c r="W32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23.599274593848232</v>
      </c>
      <c r="X32" s="47">
        <f>IF(OR(P32="",Table1[[#This Row],[Prop.]]="No Load"),"",(AC32/VLOOKUP(Table1[[#This Row],[Prop.]],proplist,9,FALSE))*VLOOKUP(Table1[[#This Row],[Prop.]],proplist,7,FALSE)*(Table1[[#This Row],[RPM]]/1000)^(VLOOKUP(Table1[[#This Row],[Prop.]],proplist,8,FALSE))/Table1[[#This Row],[Pin '[W']]])</f>
        <v>0.70542706007372502</v>
      </c>
      <c r="Y32" s="43">
        <f>IF(OR(P32="",Table1[[#This Row],[Prop.]]="No Load"),"",P32*VLOOKUP(Table1[[#This Row],[Prop.]],proplist,3,FALSE)/1056)</f>
        <v>42.162878787878789</v>
      </c>
      <c r="Z32" s="43">
        <f t="shared" si="4"/>
        <v>5.4299385257702699</v>
      </c>
      <c r="AA32" s="44">
        <f>IF(OR(AB32="",Table1[[#This Row],[Prop.]]="No Load"),"",AB32*(1-X32))</f>
        <v>36.320843492909709</v>
      </c>
      <c r="AB32" s="44">
        <f t="shared" si="2"/>
        <v>123.30000000000001</v>
      </c>
      <c r="AC32" s="86">
        <f t="shared" si="3"/>
        <v>1.1711938588987232</v>
      </c>
      <c r="AD32" s="44" t="str">
        <f>IF(Table1[[#This Row],[Prop.]]="No Load",Table1[[#This Row],["T"]]*Table1[[#This Row],[RPM]]/Table1[[#This Row],[V]],"")</f>
        <v/>
      </c>
      <c r="AE32" s="97" t="str">
        <f>IF(OR(C32="",E32="",H32=""),"",IF(Table1[[#This Row],[Prop.]]="No Load",IF(E32=1,(H32-10)/C32,IF(E32=2,2*(H32-10)/C32,4*(H32-10))),""))</f>
        <v/>
      </c>
      <c r="AF32" s="86" t="str">
        <f>IF(AND(Table1[[#This Row],[Variant]]=$AF$4,Table1[[#This Row],[Kv*T]]&gt;0,Table1[[#This Row],[Term.]]="D"),Table1[[#This Row],[Kv*T]],"")</f>
        <v/>
      </c>
      <c r="AG32" s="86" t="str">
        <f>IF(AND(Table1[[#This Row],[Variant]]=$AF$4,Table1[[#This Row],[Kv*T]]&gt;0,Table1[[#This Row],[Term.]]="Y"),Table1[[#This Row],[Kv*T]],"")</f>
        <v/>
      </c>
      <c r="AH32" s="44" t="str">
        <f>IF(AND(Table1[[#This Row],[Kv*T "D"]]="",Table1[[#This Row],[Kv*T "Y"]]=""),"",IF(Table1[[#This Row],[Kv*T "D"]]="",Table1[[#This Row],[Kv*T "Y"]]*3^0.5,Table1[[#This Row],[Kv*T "D"]]))</f>
        <v/>
      </c>
      <c r="AI32" s="43" t="str">
        <f>IF(Table1[[#This Row],[Std Inch per turn]]="","",Table1[[#This Row],[Std Inch per turn]])</f>
        <v/>
      </c>
      <c r="AJ32" s="134" t="str">
        <f>IF(AND(Table1[[#This Row],[Variant]]=$AJ$4,Table1[[#This Row],[Kv*T]]&gt;0,Table1[[#This Row],[Term.]]="D"),Table1[[#This Row],[Kv*T]],"")</f>
        <v/>
      </c>
      <c r="AK32" s="134" t="str">
        <f>IF(AND(Table1[[#This Row],[Variant]]=$AJ$4,Table1[[#This Row],[Kv*T]]&gt;0,Table1[[#This Row],[Term.]]="Y"),Table1[[#This Row],[Kv*T]],"")</f>
        <v/>
      </c>
      <c r="AL32" s="44" t="str">
        <f>IF(AND(Table1[[#This Row],[Kv*T "D"2]]="",Table1[[#This Row],[Kv*T "Y"2]]=""),"",IF(Table1[[#This Row],[Kv*T "D"2]]="",Table1[[#This Row],[Kv*T "Y"2]]*3^0.5,Table1[[#This Row],[Kv*T "D"2]]))</f>
        <v/>
      </c>
      <c r="AM32" s="43" t="str">
        <f>IF(Table1[[#This Row],[Std Inch per turn]]="","",Table1[[#This Row],[Std Inch per turn]])</f>
        <v/>
      </c>
      <c r="AN32" s="134" t="str">
        <f>IF(AND(Table1[[#This Row],[Variant]]=$AN$4,Table1[[#This Row],[Kv*T]]&gt;0,Table1[[#This Row],[Term.]]="D"),Table1[[#This Row],[Kv*T]],"")</f>
        <v/>
      </c>
      <c r="AO32" s="134" t="str">
        <f>IF(AND(Table1[[#This Row],[Variant]]=$AN$4,Table1[[#This Row],[Kv*T]]&gt;0,Table1[[#This Row],[Term.]]="Y"),Table1[[#This Row],[Kv*T]],"")</f>
        <v/>
      </c>
      <c r="AP32" s="44" t="str">
        <f>IF(AND(Table1[[#This Row],[Kv*T "D"3]]="",Table1[[#This Row],[Kv*T "Y"3]]=""),"",IF(Table1[[#This Row],[Kv*T "D"3]]="",Table1[[#This Row],[Kv*T "Y"3]]*3^0.5,Table1[[#This Row],[Kv*T "D"3]]))</f>
        <v/>
      </c>
      <c r="AQ32" s="44"/>
      <c r="AR32" s="134" t="str">
        <f>IF(AND(Table1[[#This Row],[Variant]]=$AR$4,Table1[[#This Row],[Kv*T]]&gt;0,Table1[[#This Row],[Term.]]="D"),Table1[[#This Row],[Kv*T]],"")</f>
        <v/>
      </c>
      <c r="AS32" s="134" t="str">
        <f>IF(AND(Table1[[#This Row],[Variant]]=$AR$4,Table1[[#This Row],[Kv*T]]&gt;0,Table1[[#This Row],[Term.]]="Y"),Table1[[#This Row],[Kv*T]],"")</f>
        <v/>
      </c>
      <c r="AT32" s="44" t="str">
        <f>IF(AND(Table1[[#This Row],[Kv*T "D"4]]="",Table1[[#This Row],[Kv*T "Y"4]]=""),"",IF(Table1[[#This Row],[Kv*T "D"4]]="",Table1[[#This Row],[Kv*T "Y"4]]*3^0.5,Table1[[#This Row],[Kv*T "D"4]]))</f>
        <v/>
      </c>
      <c r="AU32" s="44"/>
      <c r="AV32" s="134" t="str">
        <f>IF(AND(Table1[[#This Row],[Variant]]=$AV$4,Table1[[#This Row],[Kv*T]]&gt;0,Table1[[#This Row],[Term.]]="D"),Table1[[#This Row],[Kv*T]],"")</f>
        <v/>
      </c>
      <c r="AW32" s="134" t="str">
        <f>IF(AND(Table1[[#This Row],[Variant]]=$AV$4,Table1[[#This Row],[Kv*T]]&gt;0,Table1[[#This Row],[Term.]]="Y"),Table1[[#This Row],[Kv*T]],"")</f>
        <v/>
      </c>
      <c r="AX32" s="44" t="str">
        <f>IF(AND(Table1[[#This Row],[Kv*T "D"5]]="",Table1[[#This Row],[Kv*T "Y"5]]=""),"",IF(Table1[[#This Row],[Kv*T "D"5]]="",Table1[[#This Row],[Kv*T "Y"5]]*3^0.5,Table1[[#This Row],[Kv*T "D"5]]))</f>
        <v/>
      </c>
      <c r="AY32" s="44"/>
    </row>
    <row r="33" spans="1:51" s="100" customFormat="1">
      <c r="A33" s="146" t="s">
        <v>224</v>
      </c>
      <c r="B33" s="163">
        <v>92</v>
      </c>
      <c r="C33" s="163">
        <v>12</v>
      </c>
      <c r="D33" s="146" t="s">
        <v>42</v>
      </c>
      <c r="E33" s="163">
        <v>1</v>
      </c>
      <c r="F33" s="86">
        <f t="shared" si="0"/>
        <v>12</v>
      </c>
      <c r="G33" s="146" t="s">
        <v>21</v>
      </c>
      <c r="H33" s="163">
        <v>36</v>
      </c>
      <c r="I33" s="97">
        <f>IF(OR(Table1[[#This Row],[Phys. Turns]]="",Table1[[#This Row],[Wire]]="",Table1[[#This Row],[Parallel]]=""),"",Table1[[#This Row],[Phys. Turns]]*VLOOKUP(Table1[[#This Row],[Wire]],wirelist,4,FALSE))</f>
        <v>2.448</v>
      </c>
      <c r="J33" s="163">
        <v>1509</v>
      </c>
      <c r="K33" s="12">
        <v>0.37</v>
      </c>
      <c r="L33" s="13">
        <v>0.153</v>
      </c>
      <c r="M33" s="146" t="s">
        <v>43</v>
      </c>
      <c r="N33" s="48">
        <v>27.2</v>
      </c>
      <c r="O33" s="163">
        <v>29</v>
      </c>
      <c r="P33" s="163">
        <v>10376</v>
      </c>
      <c r="Q33" s="12">
        <v>9.77</v>
      </c>
      <c r="R33" s="12">
        <v>10.02</v>
      </c>
      <c r="S33" s="48">
        <v>20.5</v>
      </c>
      <c r="T33" s="43">
        <f t="shared" si="1"/>
        <v>5.9262232954766008</v>
      </c>
      <c r="U33" s="133" t="s">
        <v>27</v>
      </c>
      <c r="V33" s="141" t="s">
        <v>240</v>
      </c>
      <c r="W33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20.350831275563774</v>
      </c>
      <c r="X33" s="47">
        <f>IF(OR(P33="",Table1[[#This Row],[Prop.]]="No Load"),"",(AC33/VLOOKUP(Table1[[#This Row],[Prop.]],proplist,9,FALSE))*VLOOKUP(Table1[[#This Row],[Prop.]],proplist,7,FALSE)*(Table1[[#This Row],[RPM]]/1000)^(VLOOKUP(Table1[[#This Row],[Prop.]],proplist,8,FALSE))/Table1[[#This Row],[Pin '[W']]])</f>
        <v>0.71846933656372003</v>
      </c>
      <c r="Y33" s="43">
        <f>IF(OR(P33="",Table1[[#This Row],[Prop.]]="No Load"),"",P33*VLOOKUP(Table1[[#This Row],[Prop.]],proplist,3,FALSE)/1056)</f>
        <v>39.303030303030305</v>
      </c>
      <c r="Z33" s="43">
        <f t="shared" si="4"/>
        <v>5.8976528344308754</v>
      </c>
      <c r="AA33" s="44">
        <f>IF(OR(AB33="",Table1[[#This Row],[Prop.]]="No Load"),"",AB33*(1-X33))</f>
        <v>27.560556909360002</v>
      </c>
      <c r="AB33" s="44">
        <f t="shared" si="2"/>
        <v>97.895399999999995</v>
      </c>
      <c r="AC33" s="86">
        <f t="shared" si="3"/>
        <v>1.1711938588987232</v>
      </c>
      <c r="AD33" s="44" t="str">
        <f>IF(Table1[[#This Row],[Prop.]]="No Load",Table1[[#This Row],["T"]]*Table1[[#This Row],[RPM]]/Table1[[#This Row],[V]],"")</f>
        <v/>
      </c>
      <c r="AE33" s="97" t="str">
        <f>IF(OR(C33="",E33="",H33=""),"",IF(Table1[[#This Row],[Prop.]]="No Load",IF(E33=1,(H33-10)/C33,IF(E33=2,2*(H33-10)/C33,4*(H33-10))),""))</f>
        <v/>
      </c>
      <c r="AF33" s="86" t="str">
        <f>IF(AND(Table1[[#This Row],[Variant]]=$AF$4,Table1[[#This Row],[Kv*T]]&gt;0,Table1[[#This Row],[Term.]]="D"),Table1[[#This Row],[Kv*T]],"")</f>
        <v/>
      </c>
      <c r="AG33" s="86" t="str">
        <f>IF(AND(Table1[[#This Row],[Variant]]=$AF$4,Table1[[#This Row],[Kv*T]]&gt;0,Table1[[#This Row],[Term.]]="Y"),Table1[[#This Row],[Kv*T]],"")</f>
        <v/>
      </c>
      <c r="AH33" s="44" t="str">
        <f>IF(AND(Table1[[#This Row],[Kv*T "D"]]="",Table1[[#This Row],[Kv*T "Y"]]=""),"",IF(Table1[[#This Row],[Kv*T "D"]]="",Table1[[#This Row],[Kv*T "Y"]]*3^0.5,Table1[[#This Row],[Kv*T "D"]]))</f>
        <v/>
      </c>
      <c r="AI33" s="43" t="str">
        <f>IF(Table1[[#This Row],[Std Inch per turn]]="","",Table1[[#This Row],[Std Inch per turn]])</f>
        <v/>
      </c>
      <c r="AJ33" s="134" t="str">
        <f>IF(AND(Table1[[#This Row],[Variant]]=$AJ$4,Table1[[#This Row],[Kv*T]]&gt;0,Table1[[#This Row],[Term.]]="D"),Table1[[#This Row],[Kv*T]],"")</f>
        <v/>
      </c>
      <c r="AK33" s="134" t="str">
        <f>IF(AND(Table1[[#This Row],[Variant]]=$AJ$4,Table1[[#This Row],[Kv*T]]&gt;0,Table1[[#This Row],[Term.]]="Y"),Table1[[#This Row],[Kv*T]],"")</f>
        <v/>
      </c>
      <c r="AL33" s="44" t="str">
        <f>IF(AND(Table1[[#This Row],[Kv*T "D"2]]="",Table1[[#This Row],[Kv*T "Y"2]]=""),"",IF(Table1[[#This Row],[Kv*T "D"2]]="",Table1[[#This Row],[Kv*T "Y"2]]*3^0.5,Table1[[#This Row],[Kv*T "D"2]]))</f>
        <v/>
      </c>
      <c r="AM33" s="43" t="str">
        <f>IF(Table1[[#This Row],[Std Inch per turn]]="","",Table1[[#This Row],[Std Inch per turn]])</f>
        <v/>
      </c>
      <c r="AN33" s="134" t="str">
        <f>IF(AND(Table1[[#This Row],[Variant]]=$AN$4,Table1[[#This Row],[Kv*T]]&gt;0,Table1[[#This Row],[Term.]]="D"),Table1[[#This Row],[Kv*T]],"")</f>
        <v/>
      </c>
      <c r="AO33" s="134" t="str">
        <f>IF(AND(Table1[[#This Row],[Variant]]=$AN$4,Table1[[#This Row],[Kv*T]]&gt;0,Table1[[#This Row],[Term.]]="Y"),Table1[[#This Row],[Kv*T]],"")</f>
        <v/>
      </c>
      <c r="AP33" s="44" t="str">
        <f>IF(AND(Table1[[#This Row],[Kv*T "D"3]]="",Table1[[#This Row],[Kv*T "Y"3]]=""),"",IF(Table1[[#This Row],[Kv*T "D"3]]="",Table1[[#This Row],[Kv*T "Y"3]]*3^0.5,Table1[[#This Row],[Kv*T "D"3]]))</f>
        <v/>
      </c>
      <c r="AQ33" s="44"/>
      <c r="AR33" s="134" t="str">
        <f>IF(AND(Table1[[#This Row],[Variant]]=$AR$4,Table1[[#This Row],[Kv*T]]&gt;0,Table1[[#This Row],[Term.]]="D"),Table1[[#This Row],[Kv*T]],"")</f>
        <v/>
      </c>
      <c r="AS33" s="134" t="str">
        <f>IF(AND(Table1[[#This Row],[Variant]]=$AR$4,Table1[[#This Row],[Kv*T]]&gt;0,Table1[[#This Row],[Term.]]="Y"),Table1[[#This Row],[Kv*T]],"")</f>
        <v/>
      </c>
      <c r="AT33" s="44" t="str">
        <f>IF(AND(Table1[[#This Row],[Kv*T "D"4]]="",Table1[[#This Row],[Kv*T "Y"4]]=""),"",IF(Table1[[#This Row],[Kv*T "D"4]]="",Table1[[#This Row],[Kv*T "Y"4]]*3^0.5,Table1[[#This Row],[Kv*T "D"4]]))</f>
        <v/>
      </c>
      <c r="AU33" s="44"/>
      <c r="AV33" s="134" t="str">
        <f>IF(AND(Table1[[#This Row],[Variant]]=$AV$4,Table1[[#This Row],[Kv*T]]&gt;0,Table1[[#This Row],[Term.]]="D"),Table1[[#This Row],[Kv*T]],"")</f>
        <v/>
      </c>
      <c r="AW33" s="134" t="str">
        <f>IF(AND(Table1[[#This Row],[Variant]]=$AV$4,Table1[[#This Row],[Kv*T]]&gt;0,Table1[[#This Row],[Term.]]="Y"),Table1[[#This Row],[Kv*T]],"")</f>
        <v/>
      </c>
      <c r="AX33" s="44" t="str">
        <f>IF(AND(Table1[[#This Row],[Kv*T "D"5]]="",Table1[[#This Row],[Kv*T "Y"5]]=""),"",IF(Table1[[#This Row],[Kv*T "D"5]]="",Table1[[#This Row],[Kv*T "Y"5]]*3^0.5,Table1[[#This Row],[Kv*T "D"5]]))</f>
        <v/>
      </c>
      <c r="AY33" s="44"/>
    </row>
    <row r="34" spans="1:51" s="100" customFormat="1">
      <c r="A34" s="165" t="s">
        <v>224</v>
      </c>
      <c r="B34" s="165">
        <v>92</v>
      </c>
      <c r="C34" s="165">
        <v>12</v>
      </c>
      <c r="D34" s="165" t="s">
        <v>42</v>
      </c>
      <c r="E34" s="165">
        <v>1</v>
      </c>
      <c r="F34" s="86">
        <f t="shared" si="0"/>
        <v>12</v>
      </c>
      <c r="G34" s="165" t="s">
        <v>21</v>
      </c>
      <c r="H34" s="165">
        <v>36</v>
      </c>
      <c r="I34" s="97">
        <f>IF(OR(Table1[[#This Row],[Phys. Turns]]="",Table1[[#This Row],[Wire]]="",Table1[[#This Row],[Parallel]]=""),"",Table1[[#This Row],[Phys. Turns]]*VLOOKUP(Table1[[#This Row],[Wire]],wirelist,4,FALSE))</f>
        <v>2.448</v>
      </c>
      <c r="J34" s="165">
        <v>1509</v>
      </c>
      <c r="K34" s="12">
        <v>0.37</v>
      </c>
      <c r="L34" s="13">
        <v>0.153</v>
      </c>
      <c r="M34" s="146" t="s">
        <v>43</v>
      </c>
      <c r="N34" s="48">
        <v>27.1</v>
      </c>
      <c r="O34" s="165">
        <v>29</v>
      </c>
      <c r="P34" s="165">
        <v>11335</v>
      </c>
      <c r="Q34" s="12">
        <v>11.28</v>
      </c>
      <c r="R34" s="12">
        <v>12</v>
      </c>
      <c r="S34" s="48">
        <v>24</v>
      </c>
      <c r="T34" s="43">
        <f t="shared" si="1"/>
        <v>5.0177304964539013</v>
      </c>
      <c r="U34" s="133" t="s">
        <v>27</v>
      </c>
      <c r="V34" s="141" t="s">
        <v>238</v>
      </c>
      <c r="W34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24.528630887676425</v>
      </c>
      <c r="X34" s="47">
        <f>IF(OR(P34="",Table1[[#This Row],[Prop.]]="No Load"),"",(AC34/VLOOKUP(Table1[[#This Row],[Prop.]],proplist,9,FALSE))*VLOOKUP(Table1[[#This Row],[Prop.]],proplist,7,FALSE)*(Table1[[#This Row],[RPM]]/1000)^(VLOOKUP(Table1[[#This Row],[Prop.]],proplist,8,FALSE))/Table1[[#This Row],[Pin '[W']]])</f>
        <v>0.67907972467546451</v>
      </c>
      <c r="Y34" s="43">
        <f>IF(OR(P34="",Table1[[#This Row],[Prop.]]="No Load"),"",P34*VLOOKUP(Table1[[#This Row],[Prop.]],proplist,3,FALSE)/1056)</f>
        <v>42.935606060606062</v>
      </c>
      <c r="Z34" s="43">
        <f t="shared" si="4"/>
        <v>5.1409371918098428</v>
      </c>
      <c r="AA34" s="44">
        <f>IF(OR(AB34="",Table1[[#This Row],[Prop.]]="No Load"),"",AB34*(1-X34))</f>
        <v>43.43976846792912</v>
      </c>
      <c r="AB34" s="44">
        <f t="shared" si="2"/>
        <v>135.35999999999999</v>
      </c>
      <c r="AC34" s="86">
        <f t="shared" si="3"/>
        <v>1.1715839317909456</v>
      </c>
      <c r="AD34" s="44" t="str">
        <f>IF(Table1[[#This Row],[Prop.]]="No Load",Table1[[#This Row],["T"]]*Table1[[#This Row],[RPM]]/Table1[[#This Row],[V]],"")</f>
        <v/>
      </c>
      <c r="AE34" s="97" t="str">
        <f>IF(OR(C34="",E34="",H34=""),"",IF(Table1[[#This Row],[Prop.]]="No Load",IF(E34=1,(H34-10)/C34,IF(E34=2,2*(H34-10)/C34,4*(H34-10))),""))</f>
        <v/>
      </c>
      <c r="AF34" s="86" t="str">
        <f>IF(AND(Table1[[#This Row],[Variant]]=$AF$4,Table1[[#This Row],[Kv*T]]&gt;0,Table1[[#This Row],[Term.]]="D"),Table1[[#This Row],[Kv*T]],"")</f>
        <v/>
      </c>
      <c r="AG34" s="86" t="str">
        <f>IF(AND(Table1[[#This Row],[Variant]]=$AF$4,Table1[[#This Row],[Kv*T]]&gt;0,Table1[[#This Row],[Term.]]="Y"),Table1[[#This Row],[Kv*T]],"")</f>
        <v/>
      </c>
      <c r="AH34" s="44" t="str">
        <f>IF(AND(Table1[[#This Row],[Kv*T "D"]]="",Table1[[#This Row],[Kv*T "Y"]]=""),"",IF(Table1[[#This Row],[Kv*T "D"]]="",Table1[[#This Row],[Kv*T "Y"]]*3^0.5,Table1[[#This Row],[Kv*T "D"]]))</f>
        <v/>
      </c>
      <c r="AI34" s="43" t="str">
        <f>IF(Table1[[#This Row],[Std Inch per turn]]="","",Table1[[#This Row],[Std Inch per turn]])</f>
        <v/>
      </c>
      <c r="AJ34" s="134" t="str">
        <f>IF(AND(Table1[[#This Row],[Variant]]=$AJ$4,Table1[[#This Row],[Kv*T]]&gt;0,Table1[[#This Row],[Term.]]="D"),Table1[[#This Row],[Kv*T]],"")</f>
        <v/>
      </c>
      <c r="AK34" s="134" t="str">
        <f>IF(AND(Table1[[#This Row],[Variant]]=$AJ$4,Table1[[#This Row],[Kv*T]]&gt;0,Table1[[#This Row],[Term.]]="Y"),Table1[[#This Row],[Kv*T]],"")</f>
        <v/>
      </c>
      <c r="AL34" s="44" t="str">
        <f>IF(AND(Table1[[#This Row],[Kv*T "D"2]]="",Table1[[#This Row],[Kv*T "Y"2]]=""),"",IF(Table1[[#This Row],[Kv*T "D"2]]="",Table1[[#This Row],[Kv*T "Y"2]]*3^0.5,Table1[[#This Row],[Kv*T "D"2]]))</f>
        <v/>
      </c>
      <c r="AM34" s="43" t="str">
        <f>IF(Table1[[#This Row],[Std Inch per turn]]="","",Table1[[#This Row],[Std Inch per turn]])</f>
        <v/>
      </c>
      <c r="AN34" s="134" t="str">
        <f>IF(AND(Table1[[#This Row],[Variant]]=$AN$4,Table1[[#This Row],[Kv*T]]&gt;0,Table1[[#This Row],[Term.]]="D"),Table1[[#This Row],[Kv*T]],"")</f>
        <v/>
      </c>
      <c r="AO34" s="134" t="str">
        <f>IF(AND(Table1[[#This Row],[Variant]]=$AN$4,Table1[[#This Row],[Kv*T]]&gt;0,Table1[[#This Row],[Term.]]="Y"),Table1[[#This Row],[Kv*T]],"")</f>
        <v/>
      </c>
      <c r="AP34" s="44" t="str">
        <f>IF(AND(Table1[[#This Row],[Kv*T "D"3]]="",Table1[[#This Row],[Kv*T "Y"3]]=""),"",IF(Table1[[#This Row],[Kv*T "D"3]]="",Table1[[#This Row],[Kv*T "Y"3]]*3^0.5,Table1[[#This Row],[Kv*T "D"3]]))</f>
        <v/>
      </c>
      <c r="AQ34" s="44"/>
      <c r="AR34" s="134" t="str">
        <f>IF(AND(Table1[[#This Row],[Variant]]=$AR$4,Table1[[#This Row],[Kv*T]]&gt;0,Table1[[#This Row],[Term.]]="D"),Table1[[#This Row],[Kv*T]],"")</f>
        <v/>
      </c>
      <c r="AS34" s="134" t="str">
        <f>IF(AND(Table1[[#This Row],[Variant]]=$AR$4,Table1[[#This Row],[Kv*T]]&gt;0,Table1[[#This Row],[Term.]]="Y"),Table1[[#This Row],[Kv*T]],"")</f>
        <v/>
      </c>
      <c r="AT34" s="44" t="str">
        <f>IF(AND(Table1[[#This Row],[Kv*T "D"4]]="",Table1[[#This Row],[Kv*T "Y"4]]=""),"",IF(Table1[[#This Row],[Kv*T "D"4]]="",Table1[[#This Row],[Kv*T "Y"4]]*3^0.5,Table1[[#This Row],[Kv*T "D"4]]))</f>
        <v/>
      </c>
      <c r="AU34" s="44"/>
      <c r="AV34" s="134" t="str">
        <f>IF(AND(Table1[[#This Row],[Variant]]=$AV$4,Table1[[#This Row],[Kv*T]]&gt;0,Table1[[#This Row],[Term.]]="D"),Table1[[#This Row],[Kv*T]],"")</f>
        <v/>
      </c>
      <c r="AW34" s="134" t="str">
        <f>IF(AND(Table1[[#This Row],[Variant]]=$AV$4,Table1[[#This Row],[Kv*T]]&gt;0,Table1[[#This Row],[Term.]]="Y"),Table1[[#This Row],[Kv*T]],"")</f>
        <v/>
      </c>
      <c r="AX34" s="44" t="str">
        <f>IF(AND(Table1[[#This Row],[Kv*T "D"5]]="",Table1[[#This Row],[Kv*T "Y"5]]=""),"",IF(Table1[[#This Row],[Kv*T "D"5]]="",Table1[[#This Row],[Kv*T "Y"5]]*3^0.5,Table1[[#This Row],[Kv*T "D"5]]))</f>
        <v/>
      </c>
      <c r="AY34" s="44"/>
    </row>
    <row r="35" spans="1:51" s="100" customFormat="1">
      <c r="A35" s="127" t="s">
        <v>224</v>
      </c>
      <c r="B35" s="127">
        <v>89</v>
      </c>
      <c r="C35" s="127">
        <v>12</v>
      </c>
      <c r="D35" s="127" t="s">
        <v>42</v>
      </c>
      <c r="E35" s="127">
        <v>1</v>
      </c>
      <c r="F35" s="86">
        <f t="shared" si="0"/>
        <v>12</v>
      </c>
      <c r="G35" s="127" t="s">
        <v>21</v>
      </c>
      <c r="H35" s="127">
        <v>36</v>
      </c>
      <c r="I35" s="97">
        <f>IF(OR(Table1[[#This Row],[Phys. Turns]]="",Table1[[#This Row],[Wire]]="",Table1[[#This Row],[Parallel]]=""),"",Table1[[#This Row],[Phys. Turns]]*VLOOKUP(Table1[[#This Row],[Wire]],wirelist,4,FALSE))</f>
        <v>2.448</v>
      </c>
      <c r="J35" s="127">
        <v>1514</v>
      </c>
      <c r="K35" s="129">
        <v>0.37</v>
      </c>
      <c r="L35" s="158">
        <v>0.15</v>
      </c>
      <c r="M35" s="146" t="s">
        <v>43</v>
      </c>
      <c r="N35" s="128">
        <v>26.6</v>
      </c>
      <c r="O35" s="127">
        <v>29</v>
      </c>
      <c r="P35" s="127">
        <v>11314</v>
      </c>
      <c r="Q35" s="129">
        <v>11.14</v>
      </c>
      <c r="R35" s="129">
        <v>12.05</v>
      </c>
      <c r="S35" s="128">
        <v>24</v>
      </c>
      <c r="T35" s="43">
        <f t="shared" si="1"/>
        <v>5.0597078301809484</v>
      </c>
      <c r="U35" s="132" t="s">
        <v>27</v>
      </c>
      <c r="V35" s="140" t="s">
        <v>238</v>
      </c>
      <c r="W35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24.473669737239934</v>
      </c>
      <c r="X35" s="47">
        <f>IF(OR(P35="",Table1[[#This Row],[Prop.]]="No Load"),"",(AC35/VLOOKUP(Table1[[#This Row],[Prop.]],proplist,9,FALSE))*VLOOKUP(Table1[[#This Row],[Prop.]],proplist,7,FALSE)*(Table1[[#This Row],[RPM]]/1000)^(VLOOKUP(Table1[[#This Row],[Prop.]],proplist,8,FALSE))/Table1[[#This Row],[Pin '[W']]])</f>
        <v>0.6820674431054039</v>
      </c>
      <c r="Y35" s="43">
        <f>IF(OR(P35="",Table1[[#This Row],[Prop.]]="No Load"),"",P35*VLOOKUP(Table1[[#This Row],[Prop.]],proplist,3,FALSE)/1056)</f>
        <v>42.856060606060609</v>
      </c>
      <c r="Z35" s="43">
        <f t="shared" si="4"/>
        <v>5.172329614379767</v>
      </c>
      <c r="AA35" s="44">
        <f>IF(OR(AB35="",Table1[[#This Row],[Prop.]]="No Load"),"",AB35*(1-X35))</f>
        <v>42.678312639859904</v>
      </c>
      <c r="AB35" s="44">
        <f t="shared" si="2"/>
        <v>134.23700000000002</v>
      </c>
      <c r="AC35" s="45">
        <f t="shared" si="3"/>
        <v>1.1735382002343</v>
      </c>
      <c r="AD35" s="73" t="str">
        <f>IF(Table1[[#This Row],[Prop.]]="No Load",Table1[[#This Row],["T"]]*Table1[[#This Row],[RPM]]/Table1[[#This Row],[V]],"")</f>
        <v/>
      </c>
      <c r="AE35" s="74" t="str">
        <f>IF(OR(C35="",E35="",H35=""),"",IF(Table1[[#This Row],[Prop.]]="No Load",IF(E35=1,(H35-10)/C35,IF(E35=2,2*(H35-10)/C35,4*(H35-10))),""))</f>
        <v/>
      </c>
      <c r="AF35" s="45" t="str">
        <f>IF(AND(Table1[[#This Row],[Variant]]=$AF$4,Table1[[#This Row],[Kv*T]]&gt;0,Table1[[#This Row],[Term.]]="D"),Table1[[#This Row],[Kv*T]],"")</f>
        <v/>
      </c>
      <c r="AG35" s="45" t="str">
        <f>IF(AND(Table1[[#This Row],[Variant]]=$AF$4,Table1[[#This Row],[Kv*T]]&gt;0,Table1[[#This Row],[Term.]]="Y"),Table1[[#This Row],[Kv*T]],"")</f>
        <v/>
      </c>
      <c r="AH35" s="73" t="str">
        <f>IF(AND(Table1[[#This Row],[Kv*T "D"]]="",Table1[[#This Row],[Kv*T "Y"]]=""),"",IF(Table1[[#This Row],[Kv*T "D"]]="",Table1[[#This Row],[Kv*T "Y"]]*3^0.5,Table1[[#This Row],[Kv*T "D"]]))</f>
        <v/>
      </c>
      <c r="AI35" s="147" t="str">
        <f>IF(Table1[[#This Row],[Std Inch per turn]]="","",Table1[[#This Row],[Std Inch per turn]])</f>
        <v/>
      </c>
      <c r="AJ35" s="75" t="str">
        <f>IF(AND(Table1[[#This Row],[Variant]]=$AJ$4,Table1[[#This Row],[Kv*T]]&gt;0,Table1[[#This Row],[Term.]]="D"),Table1[[#This Row],[Kv*T]],"")</f>
        <v/>
      </c>
      <c r="AK35" s="75" t="str">
        <f>IF(AND(Table1[[#This Row],[Variant]]=$AJ$4,Table1[[#This Row],[Kv*T]]&gt;0,Table1[[#This Row],[Term.]]="Y"),Table1[[#This Row],[Kv*T]],"")</f>
        <v/>
      </c>
      <c r="AL35" s="73" t="str">
        <f>IF(AND(Table1[[#This Row],[Kv*T "D"2]]="",Table1[[#This Row],[Kv*T "Y"2]]=""),"",IF(Table1[[#This Row],[Kv*T "D"2]]="",Table1[[#This Row],[Kv*T "Y"2]]*3^0.5,Table1[[#This Row],[Kv*T "D"2]]))</f>
        <v/>
      </c>
      <c r="AM35" s="147" t="str">
        <f>IF(Table1[[#This Row],[Std Inch per turn]]="","",Table1[[#This Row],[Std Inch per turn]])</f>
        <v/>
      </c>
      <c r="AN35" s="75" t="str">
        <f>IF(AND(Table1[[#This Row],[Variant]]=$AN$4,Table1[[#This Row],[Kv*T]]&gt;0,Table1[[#This Row],[Term.]]="D"),Table1[[#This Row],[Kv*T]],"")</f>
        <v/>
      </c>
      <c r="AO35" s="75" t="str">
        <f>IF(AND(Table1[[#This Row],[Variant]]=$AN$4,Table1[[#This Row],[Kv*T]]&gt;0,Table1[[#This Row],[Term.]]="Y"),Table1[[#This Row],[Kv*T]],"")</f>
        <v/>
      </c>
      <c r="AP35" s="73" t="str">
        <f>IF(AND(Table1[[#This Row],[Kv*T "D"3]]="",Table1[[#This Row],[Kv*T "Y"3]]=""),"",IF(Table1[[#This Row],[Kv*T "D"3]]="",Table1[[#This Row],[Kv*T "Y"3]]*3^0.5,Table1[[#This Row],[Kv*T "D"3]]))</f>
        <v/>
      </c>
      <c r="AQ35" s="73"/>
      <c r="AR35" s="75" t="str">
        <f>IF(AND(Table1[[#This Row],[Variant]]=$AR$4,Table1[[#This Row],[Kv*T]]&gt;0,Table1[[#This Row],[Term.]]="D"),Table1[[#This Row],[Kv*T]],"")</f>
        <v/>
      </c>
      <c r="AS35" s="75" t="str">
        <f>IF(AND(Table1[[#This Row],[Variant]]=$AR$4,Table1[[#This Row],[Kv*T]]&gt;0,Table1[[#This Row],[Term.]]="Y"),Table1[[#This Row],[Kv*T]],"")</f>
        <v/>
      </c>
      <c r="AT35" s="73" t="str">
        <f>IF(AND(Table1[[#This Row],[Kv*T "D"4]]="",Table1[[#This Row],[Kv*T "Y"4]]=""),"",IF(Table1[[#This Row],[Kv*T "D"4]]="",Table1[[#This Row],[Kv*T "Y"4]]*3^0.5,Table1[[#This Row],[Kv*T "D"4]]))</f>
        <v/>
      </c>
      <c r="AU35" s="73"/>
      <c r="AV35" s="75" t="str">
        <f>IF(AND(Table1[[#This Row],[Variant]]=$AV$4,Table1[[#This Row],[Kv*T]]&gt;0,Table1[[#This Row],[Term.]]="D"),Table1[[#This Row],[Kv*T]],"")</f>
        <v/>
      </c>
      <c r="AW35" s="75" t="str">
        <f>IF(AND(Table1[[#This Row],[Variant]]=$AV$4,Table1[[#This Row],[Kv*T]]&gt;0,Table1[[#This Row],[Term.]]="Y"),Table1[[#This Row],[Kv*T]],"")</f>
        <v/>
      </c>
      <c r="AX35" s="73" t="str">
        <f>IF(AND(Table1[[#This Row],[Kv*T "D"5]]="",Table1[[#This Row],[Kv*T "Y"5]]=""),"",IF(Table1[[#This Row],[Kv*T "D"5]]="",Table1[[#This Row],[Kv*T "Y"5]]*3^0.5,Table1[[#This Row],[Kv*T "D"5]]))</f>
        <v/>
      </c>
      <c r="AY35" s="73"/>
    </row>
    <row r="36" spans="1:51" s="100" customFormat="1">
      <c r="A36" s="146" t="s">
        <v>224</v>
      </c>
      <c r="B36" s="2">
        <v>106</v>
      </c>
      <c r="C36" s="2">
        <v>14</v>
      </c>
      <c r="D36" s="127" t="s">
        <v>171</v>
      </c>
      <c r="E36" s="2">
        <v>1</v>
      </c>
      <c r="F36" s="86">
        <f t="shared" si="0"/>
        <v>14</v>
      </c>
      <c r="G36" s="127" t="s">
        <v>21</v>
      </c>
      <c r="H36" s="2">
        <v>47</v>
      </c>
      <c r="I36" s="97">
        <f>IF(OR(Table1[[#This Row],[Phys. Turns]]="",Table1[[#This Row],[Wire]]="",Table1[[#This Row],[Parallel]]=""),"",Table1[[#This Row],[Phys. Turns]]*VLOOKUP(Table1[[#This Row],[Wire]],wirelist,4,FALSE))</f>
        <v>2.226</v>
      </c>
      <c r="J36" s="2">
        <v>1296</v>
      </c>
      <c r="K36" s="130">
        <v>0.31440000000000001</v>
      </c>
      <c r="L36" s="159"/>
      <c r="M36" s="146" t="s">
        <v>43</v>
      </c>
      <c r="N36" s="131">
        <v>21.9</v>
      </c>
      <c r="O36" s="2">
        <v>29</v>
      </c>
      <c r="P36" s="2">
        <v>10131</v>
      </c>
      <c r="Q36" s="130">
        <v>11.08</v>
      </c>
      <c r="R36" s="130">
        <v>8.15</v>
      </c>
      <c r="S36" s="131">
        <v>19.5</v>
      </c>
      <c r="T36" s="43">
        <f t="shared" si="1"/>
        <v>6.1111603286748908</v>
      </c>
      <c r="U36" s="132" t="s">
        <v>27</v>
      </c>
      <c r="V36" s="140" t="s">
        <v>239</v>
      </c>
      <c r="W36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19.698513804425804</v>
      </c>
      <c r="X36" s="47">
        <f>IF(OR(P36="",Table1[[#This Row],[Prop.]]="No Load"),"",(AC36/VLOOKUP(Table1[[#This Row],[Prop.]],proplist,9,FALSE))*VLOOKUP(Table1[[#This Row],[Prop.]],proplist,7,FALSE)*(Table1[[#This Row],[RPM]]/1000)^(VLOOKUP(Table1[[#This Row],[Prop.]],proplist,8,FALSE))/Table1[[#This Row],[Pin '[W']]])</f>
        <v>0.73760388504821417</v>
      </c>
      <c r="Y36" s="43">
        <f>IF(OR(P36="",Table1[[#This Row],[Prop.]]="No Load"),"",P36*VLOOKUP(Table1[[#This Row],[Prop.]],proplist,3,FALSE)/1056)</f>
        <v>38.375</v>
      </c>
      <c r="Z36" s="43">
        <f t="shared" si="4"/>
        <v>6.1886429606383038</v>
      </c>
      <c r="AA36" s="44">
        <f>IF(OR(AB36="",Table1[[#This Row],[Prop.]]="No Load"),"",AB36*(1-X36))</f>
        <v>23.694893972376168</v>
      </c>
      <c r="AB36" s="44">
        <f t="shared" si="2"/>
        <v>90.302000000000007</v>
      </c>
      <c r="AC36" s="45">
        <f t="shared" si="3"/>
        <v>1.1922320810717895</v>
      </c>
      <c r="AD36" s="73" t="str">
        <f>IF(Table1[[#This Row],[Prop.]]="No Load",Table1[[#This Row],["T"]]*Table1[[#This Row],[RPM]]/Table1[[#This Row],[V]],"")</f>
        <v/>
      </c>
      <c r="AE36" s="74" t="str">
        <f>IF(OR(C36="",E36="",H36=""),"",IF(Table1[[#This Row],[Prop.]]="No Load",IF(E36=1,(H36-10)/C36,IF(E36=2,2*(H36-10)/C36,4*(H36-10))),""))</f>
        <v/>
      </c>
      <c r="AF36" s="45" t="str">
        <f>IF(AND(Table1[[#This Row],[Variant]]=$AF$4,Table1[[#This Row],[Kv*T]]&gt;0,Table1[[#This Row],[Term.]]="D"),Table1[[#This Row],[Kv*T]],"")</f>
        <v/>
      </c>
      <c r="AG36" s="45" t="str">
        <f>IF(AND(Table1[[#This Row],[Variant]]=$AF$4,Table1[[#This Row],[Kv*T]]&gt;0,Table1[[#This Row],[Term.]]="Y"),Table1[[#This Row],[Kv*T]],"")</f>
        <v/>
      </c>
      <c r="AH36" s="73" t="str">
        <f>IF(AND(Table1[[#This Row],[Kv*T "D"]]="",Table1[[#This Row],[Kv*T "Y"]]=""),"",IF(Table1[[#This Row],[Kv*T "D"]]="",Table1[[#This Row],[Kv*T "Y"]]*3^0.5,Table1[[#This Row],[Kv*T "D"]]))</f>
        <v/>
      </c>
      <c r="AI36" s="147" t="str">
        <f>IF(Table1[[#This Row],[Std Inch per turn]]="","",Table1[[#This Row],[Std Inch per turn]])</f>
        <v/>
      </c>
      <c r="AJ36" s="75" t="str">
        <f>IF(AND(Table1[[#This Row],[Variant]]=$AJ$4,Table1[[#This Row],[Kv*T]]&gt;0,Table1[[#This Row],[Term.]]="D"),Table1[[#This Row],[Kv*T]],"")</f>
        <v/>
      </c>
      <c r="AK36" s="75" t="str">
        <f>IF(AND(Table1[[#This Row],[Variant]]=$AJ$4,Table1[[#This Row],[Kv*T]]&gt;0,Table1[[#This Row],[Term.]]="Y"),Table1[[#This Row],[Kv*T]],"")</f>
        <v/>
      </c>
      <c r="AL36" s="73" t="str">
        <f>IF(AND(Table1[[#This Row],[Kv*T "D"2]]="",Table1[[#This Row],[Kv*T "Y"2]]=""),"",IF(Table1[[#This Row],[Kv*T "D"2]]="",Table1[[#This Row],[Kv*T "Y"2]]*3^0.5,Table1[[#This Row],[Kv*T "D"2]]))</f>
        <v/>
      </c>
      <c r="AM36" s="147" t="str">
        <f>IF(Table1[[#This Row],[Std Inch per turn]]="","",Table1[[#This Row],[Std Inch per turn]])</f>
        <v/>
      </c>
      <c r="AN36" s="75" t="str">
        <f>IF(AND(Table1[[#This Row],[Variant]]=$AN$4,Table1[[#This Row],[Kv*T]]&gt;0,Table1[[#This Row],[Term.]]="D"),Table1[[#This Row],[Kv*T]],"")</f>
        <v/>
      </c>
      <c r="AO36" s="75" t="str">
        <f>IF(AND(Table1[[#This Row],[Variant]]=$AN$4,Table1[[#This Row],[Kv*T]]&gt;0,Table1[[#This Row],[Term.]]="Y"),Table1[[#This Row],[Kv*T]],"")</f>
        <v/>
      </c>
      <c r="AP36" s="73" t="str">
        <f>IF(AND(Table1[[#This Row],[Kv*T "D"3]]="",Table1[[#This Row],[Kv*T "Y"3]]=""),"",IF(Table1[[#This Row],[Kv*T "D"3]]="",Table1[[#This Row],[Kv*T "Y"3]]*3^0.5,Table1[[#This Row],[Kv*T "D"3]]))</f>
        <v/>
      </c>
      <c r="AQ36" s="73"/>
      <c r="AR36" s="75" t="str">
        <f>IF(AND(Table1[[#This Row],[Variant]]=$AR$4,Table1[[#This Row],[Kv*T]]&gt;0,Table1[[#This Row],[Term.]]="D"),Table1[[#This Row],[Kv*T]],"")</f>
        <v/>
      </c>
      <c r="AS36" s="75" t="str">
        <f>IF(AND(Table1[[#This Row],[Variant]]=$AR$4,Table1[[#This Row],[Kv*T]]&gt;0,Table1[[#This Row],[Term.]]="Y"),Table1[[#This Row],[Kv*T]],"")</f>
        <v/>
      </c>
      <c r="AT36" s="73" t="str">
        <f>IF(AND(Table1[[#This Row],[Kv*T "D"4]]="",Table1[[#This Row],[Kv*T "Y"4]]=""),"",IF(Table1[[#This Row],[Kv*T "D"4]]="",Table1[[#This Row],[Kv*T "Y"4]]*3^0.5,Table1[[#This Row],[Kv*T "D"4]]))</f>
        <v/>
      </c>
      <c r="AU36" s="73"/>
      <c r="AV36" s="75" t="str">
        <f>IF(AND(Table1[[#This Row],[Variant]]=$AV$4,Table1[[#This Row],[Kv*T]]&gt;0,Table1[[#This Row],[Term.]]="D"),Table1[[#This Row],[Kv*T]],"")</f>
        <v/>
      </c>
      <c r="AW36" s="75" t="str">
        <f>IF(AND(Table1[[#This Row],[Variant]]=$AV$4,Table1[[#This Row],[Kv*T]]&gt;0,Table1[[#This Row],[Term.]]="Y"),Table1[[#This Row],[Kv*T]],"")</f>
        <v/>
      </c>
      <c r="AX36" s="73" t="str">
        <f>IF(AND(Table1[[#This Row],[Kv*T "D"5]]="",Table1[[#This Row],[Kv*T "Y"5]]=""),"",IF(Table1[[#This Row],[Kv*T "D"5]]="",Table1[[#This Row],[Kv*T "Y"5]]*3^0.5,Table1[[#This Row],[Kv*T "D"5]]))</f>
        <v/>
      </c>
      <c r="AY36" s="73"/>
    </row>
    <row r="37" spans="1:51" s="100" customFormat="1">
      <c r="A37" s="163" t="s">
        <v>225</v>
      </c>
      <c r="B37" s="165">
        <v>102</v>
      </c>
      <c r="C37" s="165">
        <v>15</v>
      </c>
      <c r="D37" s="163" t="s">
        <v>171</v>
      </c>
      <c r="E37" s="165">
        <v>1</v>
      </c>
      <c r="F37" s="86">
        <f t="shared" si="0"/>
        <v>15</v>
      </c>
      <c r="G37" s="163" t="s">
        <v>21</v>
      </c>
      <c r="H37" s="165">
        <v>47</v>
      </c>
      <c r="I37" s="97">
        <f>IF(OR(Table1[[#This Row],[Phys. Turns]]="",Table1[[#This Row],[Wire]]="",Table1[[#This Row],[Parallel]]=""),"",Table1[[#This Row],[Phys. Turns]]*VLOOKUP(Table1[[#This Row],[Wire]],wirelist,4,FALSE))</f>
        <v>2.3850000000000002</v>
      </c>
      <c r="J37" s="165">
        <v>1232</v>
      </c>
      <c r="K37" s="12">
        <v>0.3715</v>
      </c>
      <c r="L37" s="13"/>
      <c r="M37" s="146" t="s">
        <v>43</v>
      </c>
      <c r="N37" s="48">
        <v>21.8</v>
      </c>
      <c r="O37" s="165">
        <v>29</v>
      </c>
      <c r="P37" s="165">
        <v>9691</v>
      </c>
      <c r="Q37" s="12">
        <v>11.35</v>
      </c>
      <c r="R37" s="12">
        <v>7</v>
      </c>
      <c r="S37" s="48">
        <v>17.8</v>
      </c>
      <c r="T37" s="43">
        <f t="shared" si="1"/>
        <v>6.3403398363750787</v>
      </c>
      <c r="U37" s="133" t="s">
        <v>27</v>
      </c>
      <c r="V37" s="141" t="s">
        <v>239</v>
      </c>
      <c r="W37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17.944112920275902</v>
      </c>
      <c r="X37" s="47">
        <f>IF(OR(P37="",Table1[[#This Row],[Prop.]]="No Load"),"",(AC37/VLOOKUP(Table1[[#This Row],[Prop.]],proplist,9,FALSE))*VLOOKUP(Table1[[#This Row],[Prop.]],proplist,7,FALSE)*(Table1[[#This Row],[RPM]]/1000)^(VLOOKUP(Table1[[#This Row],[Prop.]],proplist,8,FALSE))/Table1[[#This Row],[Pin '[W']]])</f>
        <v>0.73326332662031324</v>
      </c>
      <c r="Y37" s="43">
        <f>IF(OR(P37="",Table1[[#This Row],[Prop.]]="No Load"),"",P37*VLOOKUP(Table1[[#This Row],[Prop.]],proplist,3,FALSE)/1056)</f>
        <v>36.708333333333336</v>
      </c>
      <c r="Z37" s="43">
        <f t="shared" si="4"/>
        <v>6.407482486447166</v>
      </c>
      <c r="AA37" s="44">
        <f>IF(OR(AB37="",Table1[[#This Row],[Prop.]]="No Load"),"",AB37*(1-X37))</f>
        <v>21.192228700016113</v>
      </c>
      <c r="AB37" s="44">
        <f t="shared" si="2"/>
        <v>79.45</v>
      </c>
      <c r="AC37" s="86">
        <f t="shared" si="3"/>
        <v>1.1926362960509624</v>
      </c>
      <c r="AD37" s="44" t="str">
        <f>IF(Table1[[#This Row],[Prop.]]="No Load",Table1[[#This Row],["T"]]*Table1[[#This Row],[RPM]]/Table1[[#This Row],[V]],"")</f>
        <v/>
      </c>
      <c r="AE37" s="97" t="str">
        <f>IF(OR(C37="",E37="",H37=""),"",IF(Table1[[#This Row],[Prop.]]="No Load",IF(E37=1,(H37-10)/C37,IF(E37=2,2*(H37-10)/C37,4*(H37-10))),""))</f>
        <v/>
      </c>
      <c r="AF37" s="86" t="str">
        <f>IF(AND(Table1[[#This Row],[Variant]]=$AF$4,Table1[[#This Row],[Kv*T]]&gt;0,Table1[[#This Row],[Term.]]="D"),Table1[[#This Row],[Kv*T]],"")</f>
        <v/>
      </c>
      <c r="AG37" s="86" t="str">
        <f>IF(AND(Table1[[#This Row],[Variant]]=$AF$4,Table1[[#This Row],[Kv*T]]&gt;0,Table1[[#This Row],[Term.]]="Y"),Table1[[#This Row],[Kv*T]],"")</f>
        <v/>
      </c>
      <c r="AH37" s="44" t="str">
        <f>IF(AND(Table1[[#This Row],[Kv*T "D"]]="",Table1[[#This Row],[Kv*T "Y"]]=""),"",IF(Table1[[#This Row],[Kv*T "D"]]="",Table1[[#This Row],[Kv*T "Y"]]*3^0.5,Table1[[#This Row],[Kv*T "D"]]))</f>
        <v/>
      </c>
      <c r="AI37" s="43" t="str">
        <f>IF(Table1[[#This Row],[Std Inch per turn]]="","",Table1[[#This Row],[Std Inch per turn]])</f>
        <v/>
      </c>
      <c r="AJ37" s="134" t="str">
        <f>IF(AND(Table1[[#This Row],[Variant]]=$AJ$4,Table1[[#This Row],[Kv*T]]&gt;0,Table1[[#This Row],[Term.]]="D"),Table1[[#This Row],[Kv*T]],"")</f>
        <v/>
      </c>
      <c r="AK37" s="134" t="str">
        <f>IF(AND(Table1[[#This Row],[Variant]]=$AJ$4,Table1[[#This Row],[Kv*T]]&gt;0,Table1[[#This Row],[Term.]]="Y"),Table1[[#This Row],[Kv*T]],"")</f>
        <v/>
      </c>
      <c r="AL37" s="44" t="str">
        <f>IF(AND(Table1[[#This Row],[Kv*T "D"2]]="",Table1[[#This Row],[Kv*T "Y"2]]=""),"",IF(Table1[[#This Row],[Kv*T "D"2]]="",Table1[[#This Row],[Kv*T "Y"2]]*3^0.5,Table1[[#This Row],[Kv*T "D"2]]))</f>
        <v/>
      </c>
      <c r="AM37" s="43" t="str">
        <f>IF(Table1[[#This Row],[Std Inch per turn]]="","",Table1[[#This Row],[Std Inch per turn]])</f>
        <v/>
      </c>
      <c r="AN37" s="134" t="str">
        <f>IF(AND(Table1[[#This Row],[Variant]]=$AN$4,Table1[[#This Row],[Kv*T]]&gt;0,Table1[[#This Row],[Term.]]="D"),Table1[[#This Row],[Kv*T]],"")</f>
        <v/>
      </c>
      <c r="AO37" s="134" t="str">
        <f>IF(AND(Table1[[#This Row],[Variant]]=$AN$4,Table1[[#This Row],[Kv*T]]&gt;0,Table1[[#This Row],[Term.]]="Y"),Table1[[#This Row],[Kv*T]],"")</f>
        <v/>
      </c>
      <c r="AP37" s="44" t="str">
        <f>IF(AND(Table1[[#This Row],[Kv*T "D"3]]="",Table1[[#This Row],[Kv*T "Y"3]]=""),"",IF(Table1[[#This Row],[Kv*T "D"3]]="",Table1[[#This Row],[Kv*T "Y"3]]*3^0.5,Table1[[#This Row],[Kv*T "D"3]]))</f>
        <v/>
      </c>
      <c r="AQ37" s="44"/>
      <c r="AR37" s="134" t="str">
        <f>IF(AND(Table1[[#This Row],[Variant]]=$AR$4,Table1[[#This Row],[Kv*T]]&gt;0,Table1[[#This Row],[Term.]]="D"),Table1[[#This Row],[Kv*T]],"")</f>
        <v/>
      </c>
      <c r="AS37" s="134" t="str">
        <f>IF(AND(Table1[[#This Row],[Variant]]=$AR$4,Table1[[#This Row],[Kv*T]]&gt;0,Table1[[#This Row],[Term.]]="Y"),Table1[[#This Row],[Kv*T]],"")</f>
        <v/>
      </c>
      <c r="AT37" s="44" t="str">
        <f>IF(AND(Table1[[#This Row],[Kv*T "D"4]]="",Table1[[#This Row],[Kv*T "Y"4]]=""),"",IF(Table1[[#This Row],[Kv*T "D"4]]="",Table1[[#This Row],[Kv*T "Y"4]]*3^0.5,Table1[[#This Row],[Kv*T "D"4]]))</f>
        <v/>
      </c>
      <c r="AU37" s="44"/>
      <c r="AV37" s="134" t="str">
        <f>IF(AND(Table1[[#This Row],[Variant]]=$AV$4,Table1[[#This Row],[Kv*T]]&gt;0,Table1[[#This Row],[Term.]]="D"),Table1[[#This Row],[Kv*T]],"")</f>
        <v/>
      </c>
      <c r="AW37" s="134" t="str">
        <f>IF(AND(Table1[[#This Row],[Variant]]=$AV$4,Table1[[#This Row],[Kv*T]]&gt;0,Table1[[#This Row],[Term.]]="Y"),Table1[[#This Row],[Kv*T]],"")</f>
        <v/>
      </c>
      <c r="AX37" s="44" t="str">
        <f>IF(AND(Table1[[#This Row],[Kv*T "D"5]]="",Table1[[#This Row],[Kv*T "Y"5]]=""),"",IF(Table1[[#This Row],[Kv*T "D"5]]="",Table1[[#This Row],[Kv*T "Y"5]]*3^0.5,Table1[[#This Row],[Kv*T "D"5]]))</f>
        <v/>
      </c>
      <c r="AY37" s="44"/>
    </row>
    <row r="38" spans="1:51" s="149" customFormat="1">
      <c r="A38" s="146" t="s">
        <v>224</v>
      </c>
      <c r="B38" s="165">
        <v>98</v>
      </c>
      <c r="C38" s="165">
        <v>18.5</v>
      </c>
      <c r="D38" s="165" t="s">
        <v>36</v>
      </c>
      <c r="E38" s="165">
        <v>1</v>
      </c>
      <c r="F38" s="86">
        <f t="shared" ref="F38:F69" si="5">IF(E38="","",C38/E38)</f>
        <v>18.5</v>
      </c>
      <c r="G38" s="165" t="s">
        <v>11</v>
      </c>
      <c r="H38" s="165">
        <v>52</v>
      </c>
      <c r="I38" s="97">
        <f>IF(OR(Table1[[#This Row],[Phys. Turns]]="",Table1[[#This Row],[Wire]]="",Table1[[#This Row],[Parallel]]=""),"",Table1[[#This Row],[Phys. Turns]]*VLOOKUP(Table1[[#This Row],[Wire]],wirelist,4,FALSE))</f>
        <v>2.3125</v>
      </c>
      <c r="J38" s="165">
        <v>1692</v>
      </c>
      <c r="K38" s="12">
        <v>0.376</v>
      </c>
      <c r="L38" s="13"/>
      <c r="M38" s="146" t="s">
        <v>43</v>
      </c>
      <c r="N38" s="48">
        <v>18.899999999999999</v>
      </c>
      <c r="O38" s="165">
        <v>29</v>
      </c>
      <c r="P38" s="165">
        <v>8921</v>
      </c>
      <c r="Q38" s="12">
        <v>6.99</v>
      </c>
      <c r="R38" s="12">
        <v>8.6300000000000008</v>
      </c>
      <c r="S38" s="48">
        <v>15.5</v>
      </c>
      <c r="T38" s="43">
        <f t="shared" ref="T38:T69" si="6">IF(S38="","",S38*28.3/AB38)</f>
        <v>7.2716030349597247</v>
      </c>
      <c r="U38" s="133" t="s">
        <v>27</v>
      </c>
      <c r="V38" s="141" t="s">
        <v>241</v>
      </c>
      <c r="W38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15.219622946015777</v>
      </c>
      <c r="X38" s="47">
        <f>IF(OR(P38="",Table1[[#This Row],[Prop.]]="No Load"),"",(AC38/VLOOKUP(Table1[[#This Row],[Prop.]],proplist,9,FALSE))*VLOOKUP(Table1[[#This Row],[Prop.]],proplist,7,FALSE)*(Table1[[#This Row],[RPM]]/1000)^(VLOOKUP(Table1[[#This Row],[Prop.]],proplist,8,FALSE))/Table1[[#This Row],[Pin '[W']]])</f>
        <v>0.75932746512922789</v>
      </c>
      <c r="Y38" s="43">
        <f>IF(OR(P38="",Table1[[#This Row],[Prop.]]="No Load"),"",P38*VLOOKUP(Table1[[#This Row],[Prop.]],proplist,3,FALSE)/1056)</f>
        <v>33.791666666666664</v>
      </c>
      <c r="Z38" s="43">
        <f t="shared" si="4"/>
        <v>7.1577291011404727</v>
      </c>
      <c r="AA38" s="44">
        <f>IF(OR(AB38="",Table1[[#This Row],[Prop.]]="No Load"),"",AB38*(1-X38))</f>
        <v>14.518257791783999</v>
      </c>
      <c r="AB38" s="44">
        <f t="shared" ref="AB38:AB69" si="7">IF(Q38="","",Q38*R38)</f>
        <v>60.323700000000009</v>
      </c>
      <c r="AC38" s="86">
        <f t="shared" ref="AC38:AC69" si="8">IF(A38="","",IF(OR(N38="",O38=""),1.2041,352.98/(N38+273.15)*(1-0.0000225577*O38)^5.25578))</f>
        <v>1.2044789437433023</v>
      </c>
      <c r="AD38" s="44" t="str">
        <f>IF(Table1[[#This Row],[Prop.]]="No Load",Table1[[#This Row],["T"]]*Table1[[#This Row],[RPM]]/Table1[[#This Row],[V]],"")</f>
        <v/>
      </c>
      <c r="AE38" s="97" t="str">
        <f>IF(OR(C38="",E38="",H38=""),"",IF(Table1[[#This Row],[Prop.]]="No Load",IF(E38=1,(H38-10)/C38,IF(E38=2,2*(H38-10)/C38,4*(H38-10))),""))</f>
        <v/>
      </c>
      <c r="AF38" s="86" t="str">
        <f>IF(AND(Table1[[#This Row],[Variant]]=$AF$4,Table1[[#This Row],[Kv*T]]&gt;0,Table1[[#This Row],[Term.]]="D"),Table1[[#This Row],[Kv*T]],"")</f>
        <v/>
      </c>
      <c r="AG38" s="86" t="str">
        <f>IF(AND(Table1[[#This Row],[Variant]]=$AF$4,Table1[[#This Row],[Kv*T]]&gt;0,Table1[[#This Row],[Term.]]="Y"),Table1[[#This Row],[Kv*T]],"")</f>
        <v/>
      </c>
      <c r="AH38" s="44" t="str">
        <f>IF(AND(Table1[[#This Row],[Kv*T "D"]]="",Table1[[#This Row],[Kv*T "Y"]]=""),"",IF(Table1[[#This Row],[Kv*T "D"]]="",Table1[[#This Row],[Kv*T "Y"]]*3^0.5,Table1[[#This Row],[Kv*T "D"]]))</f>
        <v/>
      </c>
      <c r="AI38" s="43" t="str">
        <f>IF(Table1[[#This Row],[Std Inch per turn]]="","",Table1[[#This Row],[Std Inch per turn]])</f>
        <v/>
      </c>
      <c r="AJ38" s="134" t="str">
        <f>IF(AND(Table1[[#This Row],[Variant]]=$AJ$4,Table1[[#This Row],[Kv*T]]&gt;0,Table1[[#This Row],[Term.]]="D"),Table1[[#This Row],[Kv*T]],"")</f>
        <v/>
      </c>
      <c r="AK38" s="134" t="str">
        <f>IF(AND(Table1[[#This Row],[Variant]]=$AJ$4,Table1[[#This Row],[Kv*T]]&gt;0,Table1[[#This Row],[Term.]]="Y"),Table1[[#This Row],[Kv*T]],"")</f>
        <v/>
      </c>
      <c r="AL38" s="44" t="str">
        <f>IF(AND(Table1[[#This Row],[Kv*T "D"2]]="",Table1[[#This Row],[Kv*T "Y"2]]=""),"",IF(Table1[[#This Row],[Kv*T "D"2]]="",Table1[[#This Row],[Kv*T "Y"2]]*3^0.5,Table1[[#This Row],[Kv*T "D"2]]))</f>
        <v/>
      </c>
      <c r="AM38" s="43" t="str">
        <f>IF(Table1[[#This Row],[Std Inch per turn]]="","",Table1[[#This Row],[Std Inch per turn]])</f>
        <v/>
      </c>
      <c r="AN38" s="134" t="str">
        <f>IF(AND(Table1[[#This Row],[Variant]]=$AN$4,Table1[[#This Row],[Kv*T]]&gt;0,Table1[[#This Row],[Term.]]="D"),Table1[[#This Row],[Kv*T]],"")</f>
        <v/>
      </c>
      <c r="AO38" s="134" t="str">
        <f>IF(AND(Table1[[#This Row],[Variant]]=$AN$4,Table1[[#This Row],[Kv*T]]&gt;0,Table1[[#This Row],[Term.]]="Y"),Table1[[#This Row],[Kv*T]],"")</f>
        <v/>
      </c>
      <c r="AP38" s="44" t="str">
        <f>IF(AND(Table1[[#This Row],[Kv*T "D"3]]="",Table1[[#This Row],[Kv*T "Y"3]]=""),"",IF(Table1[[#This Row],[Kv*T "D"3]]="",Table1[[#This Row],[Kv*T "Y"3]]*3^0.5,Table1[[#This Row],[Kv*T "D"3]]))</f>
        <v/>
      </c>
      <c r="AQ38" s="44"/>
      <c r="AR38" s="134" t="str">
        <f>IF(AND(Table1[[#This Row],[Variant]]=$AR$4,Table1[[#This Row],[Kv*T]]&gt;0,Table1[[#This Row],[Term.]]="D"),Table1[[#This Row],[Kv*T]],"")</f>
        <v/>
      </c>
      <c r="AS38" s="134" t="str">
        <f>IF(AND(Table1[[#This Row],[Variant]]=$AR$4,Table1[[#This Row],[Kv*T]]&gt;0,Table1[[#This Row],[Term.]]="Y"),Table1[[#This Row],[Kv*T]],"")</f>
        <v/>
      </c>
      <c r="AT38" s="44" t="str">
        <f>IF(AND(Table1[[#This Row],[Kv*T "D"4]]="",Table1[[#This Row],[Kv*T "Y"4]]=""),"",IF(Table1[[#This Row],[Kv*T "D"4]]="",Table1[[#This Row],[Kv*T "Y"4]]*3^0.5,Table1[[#This Row],[Kv*T "D"4]]))</f>
        <v/>
      </c>
      <c r="AU38" s="44"/>
      <c r="AV38" s="134" t="str">
        <f>IF(AND(Table1[[#This Row],[Variant]]=$AV$4,Table1[[#This Row],[Kv*T]]&gt;0,Table1[[#This Row],[Term.]]="D"),Table1[[#This Row],[Kv*T]],"")</f>
        <v/>
      </c>
      <c r="AW38" s="134" t="str">
        <f>IF(AND(Table1[[#This Row],[Variant]]=$AV$4,Table1[[#This Row],[Kv*T]]&gt;0,Table1[[#This Row],[Term.]]="Y"),Table1[[#This Row],[Kv*T]],"")</f>
        <v/>
      </c>
      <c r="AX38" s="44" t="str">
        <f>IF(AND(Table1[[#This Row],[Kv*T "D"5]]="",Table1[[#This Row],[Kv*T "Y"5]]=""),"",IF(Table1[[#This Row],[Kv*T "D"5]]="",Table1[[#This Row],[Kv*T "Y"5]]*3^0.5,Table1[[#This Row],[Kv*T "D"5]]))</f>
        <v/>
      </c>
      <c r="AY38" s="44"/>
    </row>
    <row r="39" spans="1:51" s="149" customFormat="1">
      <c r="A39" s="146" t="s">
        <v>225</v>
      </c>
      <c r="B39" s="165">
        <v>101</v>
      </c>
      <c r="C39" s="48">
        <v>24.5</v>
      </c>
      <c r="D39" s="165" t="s">
        <v>176</v>
      </c>
      <c r="E39" s="165">
        <v>1</v>
      </c>
      <c r="F39" s="86">
        <f t="shared" si="5"/>
        <v>24.5</v>
      </c>
      <c r="G39" s="165" t="s">
        <v>11</v>
      </c>
      <c r="H39" s="165">
        <v>72</v>
      </c>
      <c r="I39" s="97">
        <f>IF(OR(Table1[[#This Row],[Phys. Turns]]="",Table1[[#This Row],[Wire]]="",Table1[[#This Row],[Parallel]]=""),"",Table1[[#This Row],[Phys. Turns]]*VLOOKUP(Table1[[#This Row],[Wire]],wirelist,4,FALSE))</f>
        <v>2.4745000000000004</v>
      </c>
      <c r="J39" s="165">
        <v>1308</v>
      </c>
      <c r="K39" s="12">
        <v>0.38700000000000001</v>
      </c>
      <c r="L39" s="13">
        <v>0.19</v>
      </c>
      <c r="M39" s="146" t="s">
        <v>43</v>
      </c>
      <c r="N39" s="48">
        <v>15.3</v>
      </c>
      <c r="O39" s="165">
        <v>29</v>
      </c>
      <c r="P39" s="165">
        <v>9738</v>
      </c>
      <c r="Q39" s="12">
        <v>10.94</v>
      </c>
      <c r="R39" s="12">
        <v>7.7</v>
      </c>
      <c r="S39" s="48">
        <v>18.8</v>
      </c>
      <c r="T39" s="43">
        <f t="shared" si="6"/>
        <v>6.3159144329162622</v>
      </c>
      <c r="U39" s="133" t="s">
        <v>27</v>
      </c>
      <c r="V39" s="141" t="s">
        <v>239</v>
      </c>
      <c r="W39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18.536599565356131</v>
      </c>
      <c r="X39" s="47">
        <f>IF(OR(P39="",Table1[[#This Row],[Prop.]]="No Load"),"",(AC39/VLOOKUP(Table1[[#This Row],[Prop.]],proplist,9,FALSE))*VLOOKUP(Table1[[#This Row],[Prop.]],proplist,7,FALSE)*(Table1[[#This Row],[RPM]]/1000)^(VLOOKUP(Table1[[#This Row],[Prop.]],proplist,8,FALSE))/Table1[[#This Row],[Pin '[W']]])</f>
        <v>0.71759206580954515</v>
      </c>
      <c r="Y39" s="43">
        <f>IF(OR(P39="",Table1[[#This Row],[Prop.]]="No Load"),"",P39*VLOOKUP(Table1[[#This Row],[Prop.]],proplist,3,FALSE)/1056)</f>
        <v>36.886363636363633</v>
      </c>
      <c r="Z39" s="43">
        <f t="shared" si="4"/>
        <v>6.2428278172458205</v>
      </c>
      <c r="AA39" s="44">
        <f>IF(OR(AB39="",Table1[[#This Row],[Prop.]]="No Load"),"",AB39*(1-X39))</f>
        <v>23.789479560335536</v>
      </c>
      <c r="AB39" s="44">
        <f t="shared" si="7"/>
        <v>84.238</v>
      </c>
      <c r="AC39" s="86">
        <f t="shared" si="8"/>
        <v>1.2195114422611593</v>
      </c>
      <c r="AD39" s="44" t="str">
        <f>IF(Table1[[#This Row],[Prop.]]="No Load",Table1[[#This Row],["T"]]*Table1[[#This Row],[RPM]]/Table1[[#This Row],[V]],"")</f>
        <v/>
      </c>
      <c r="AE39" s="97" t="str">
        <f>IF(OR(C39="",E39="",H39=""),"",IF(Table1[[#This Row],[Prop.]]="No Load",IF(E39=1,(H39-10)/C39,IF(E39=2,2*(H39-10)/C39,4*(H39-10))),""))</f>
        <v/>
      </c>
      <c r="AF39" s="86" t="str">
        <f>IF(AND(Table1[[#This Row],[Variant]]=$AF$4,Table1[[#This Row],[Kv*T]]&gt;0,Table1[[#This Row],[Term.]]="D"),Table1[[#This Row],[Kv*T]],"")</f>
        <v/>
      </c>
      <c r="AG39" s="86" t="str">
        <f>IF(AND(Table1[[#This Row],[Variant]]=$AF$4,Table1[[#This Row],[Kv*T]]&gt;0,Table1[[#This Row],[Term.]]="Y"),Table1[[#This Row],[Kv*T]],"")</f>
        <v/>
      </c>
      <c r="AH39" s="44" t="str">
        <f>IF(AND(Table1[[#This Row],[Kv*T "D"]]="",Table1[[#This Row],[Kv*T "Y"]]=""),"",IF(Table1[[#This Row],[Kv*T "D"]]="",Table1[[#This Row],[Kv*T "Y"]]*3^0.5,Table1[[#This Row],[Kv*T "D"]]))</f>
        <v/>
      </c>
      <c r="AI39" s="43" t="str">
        <f>IF(Table1[[#This Row],[Std Inch per turn]]="","",Table1[[#This Row],[Std Inch per turn]])</f>
        <v/>
      </c>
      <c r="AJ39" s="134" t="str">
        <f>IF(AND(Table1[[#This Row],[Variant]]=$AJ$4,Table1[[#This Row],[Kv*T]]&gt;0,Table1[[#This Row],[Term.]]="D"),Table1[[#This Row],[Kv*T]],"")</f>
        <v/>
      </c>
      <c r="AK39" s="134" t="str">
        <f>IF(AND(Table1[[#This Row],[Variant]]=$AJ$4,Table1[[#This Row],[Kv*T]]&gt;0,Table1[[#This Row],[Term.]]="Y"),Table1[[#This Row],[Kv*T]],"")</f>
        <v/>
      </c>
      <c r="AL39" s="44" t="str">
        <f>IF(AND(Table1[[#This Row],[Kv*T "D"2]]="",Table1[[#This Row],[Kv*T "Y"2]]=""),"",IF(Table1[[#This Row],[Kv*T "D"2]]="",Table1[[#This Row],[Kv*T "Y"2]]*3^0.5,Table1[[#This Row],[Kv*T "D"2]]))</f>
        <v/>
      </c>
      <c r="AM39" s="43" t="str">
        <f>IF(Table1[[#This Row],[Std Inch per turn]]="","",Table1[[#This Row],[Std Inch per turn]])</f>
        <v/>
      </c>
      <c r="AN39" s="134" t="str">
        <f>IF(AND(Table1[[#This Row],[Variant]]=$AN$4,Table1[[#This Row],[Kv*T]]&gt;0,Table1[[#This Row],[Term.]]="D"),Table1[[#This Row],[Kv*T]],"")</f>
        <v/>
      </c>
      <c r="AO39" s="134" t="str">
        <f>IF(AND(Table1[[#This Row],[Variant]]=$AN$4,Table1[[#This Row],[Kv*T]]&gt;0,Table1[[#This Row],[Term.]]="Y"),Table1[[#This Row],[Kv*T]],"")</f>
        <v/>
      </c>
      <c r="AP39" s="44" t="str">
        <f>IF(AND(Table1[[#This Row],[Kv*T "D"3]]="",Table1[[#This Row],[Kv*T "Y"3]]=""),"",IF(Table1[[#This Row],[Kv*T "D"3]]="",Table1[[#This Row],[Kv*T "Y"3]]*3^0.5,Table1[[#This Row],[Kv*T "D"3]]))</f>
        <v/>
      </c>
      <c r="AQ39" s="44"/>
      <c r="AR39" s="134" t="str">
        <f>IF(AND(Table1[[#This Row],[Variant]]=$AR$4,Table1[[#This Row],[Kv*T]]&gt;0,Table1[[#This Row],[Term.]]="D"),Table1[[#This Row],[Kv*T]],"")</f>
        <v/>
      </c>
      <c r="AS39" s="134" t="str">
        <f>IF(AND(Table1[[#This Row],[Variant]]=$AR$4,Table1[[#This Row],[Kv*T]]&gt;0,Table1[[#This Row],[Term.]]="Y"),Table1[[#This Row],[Kv*T]],"")</f>
        <v/>
      </c>
      <c r="AT39" s="44" t="str">
        <f>IF(AND(Table1[[#This Row],[Kv*T "D"4]]="",Table1[[#This Row],[Kv*T "Y"4]]=""),"",IF(Table1[[#This Row],[Kv*T "D"4]]="",Table1[[#This Row],[Kv*T "Y"4]]*3^0.5,Table1[[#This Row],[Kv*T "D"4]]))</f>
        <v/>
      </c>
      <c r="AU39" s="44"/>
      <c r="AV39" s="134" t="str">
        <f>IF(AND(Table1[[#This Row],[Variant]]=$AV$4,Table1[[#This Row],[Kv*T]]&gt;0,Table1[[#This Row],[Term.]]="D"),Table1[[#This Row],[Kv*T]],"")</f>
        <v/>
      </c>
      <c r="AW39" s="134" t="str">
        <f>IF(AND(Table1[[#This Row],[Variant]]=$AV$4,Table1[[#This Row],[Kv*T]]&gt;0,Table1[[#This Row],[Term.]]="Y"),Table1[[#This Row],[Kv*T]],"")</f>
        <v/>
      </c>
      <c r="AX39" s="44" t="str">
        <f>IF(AND(Table1[[#This Row],[Kv*T "D"5]]="",Table1[[#This Row],[Kv*T "Y"5]]=""),"",IF(Table1[[#This Row],[Kv*T "D"5]]="",Table1[[#This Row],[Kv*T "Y"5]]*3^0.5,Table1[[#This Row],[Kv*T "D"5]]))</f>
        <v/>
      </c>
      <c r="AY39" s="44"/>
    </row>
    <row r="40" spans="1:51" s="149" customFormat="1">
      <c r="A40" s="146" t="s">
        <v>224</v>
      </c>
      <c r="B40" s="2">
        <v>106</v>
      </c>
      <c r="C40" s="2">
        <v>14</v>
      </c>
      <c r="D40" s="127" t="s">
        <v>171</v>
      </c>
      <c r="E40" s="2">
        <v>1</v>
      </c>
      <c r="F40" s="86">
        <f t="shared" si="5"/>
        <v>14</v>
      </c>
      <c r="G40" s="127" t="s">
        <v>21</v>
      </c>
      <c r="H40" s="2">
        <v>47</v>
      </c>
      <c r="I40" s="97">
        <f>IF(OR(Table1[[#This Row],[Phys. Turns]]="",Table1[[#This Row],[Wire]]="",Table1[[#This Row],[Parallel]]=""),"",Table1[[#This Row],[Phys. Turns]]*VLOOKUP(Table1[[#This Row],[Wire]],wirelist,4,FALSE))</f>
        <v>2.226</v>
      </c>
      <c r="J40" s="2">
        <v>1296</v>
      </c>
      <c r="K40" s="130">
        <v>0.31440000000000001</v>
      </c>
      <c r="L40" s="159"/>
      <c r="M40" s="146" t="s">
        <v>235</v>
      </c>
      <c r="N40" s="131">
        <v>21.9</v>
      </c>
      <c r="O40" s="2">
        <v>29</v>
      </c>
      <c r="P40" s="2">
        <v>7970</v>
      </c>
      <c r="Q40" s="130">
        <v>10.5</v>
      </c>
      <c r="R40" s="130">
        <v>11.62</v>
      </c>
      <c r="S40" s="131">
        <v>22</v>
      </c>
      <c r="T40" s="43">
        <f t="shared" si="6"/>
        <v>5.1028604212769455</v>
      </c>
      <c r="U40" s="132" t="s">
        <v>27</v>
      </c>
      <c r="V40" s="140" t="s">
        <v>239</v>
      </c>
      <c r="W40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22.970902890216379</v>
      </c>
      <c r="X40" s="47">
        <f>IF(OR(P40="",Table1[[#This Row],[Prop.]]="No Load"),"",(AC40/VLOOKUP(Table1[[#This Row],[Prop.]],proplist,9,FALSE))*VLOOKUP(Table1[[#This Row],[Prop.]],proplist,7,FALSE)*(Table1[[#This Row],[RPM]]/1000)^(VLOOKUP(Table1[[#This Row],[Prop.]],proplist,8,FALSE))/Table1[[#This Row],[Pin '[W']]])</f>
        <v>0.5442590299542579</v>
      </c>
      <c r="Y40" s="43">
        <f>IF(OR(P40="",Table1[[#This Row],[Prop.]]="No Load"),"",P40*VLOOKUP(Table1[[#This Row],[Prop.]],proplist,3,FALSE)/1056)</f>
        <v>37.736742424242422</v>
      </c>
      <c r="Z40" s="43">
        <f t="shared" si="4"/>
        <v>5.3412385459834333</v>
      </c>
      <c r="AA40" s="44">
        <f>IF(OR(AB40="",Table1[[#This Row],[Prop.]]="No Load"),"",AB40*(1-X40))</f>
        <v>55.60495575528099</v>
      </c>
      <c r="AB40" s="44">
        <f t="shared" si="7"/>
        <v>122.00999999999999</v>
      </c>
      <c r="AC40" s="45">
        <f t="shared" si="8"/>
        <v>1.1922320810717895</v>
      </c>
      <c r="AD40" s="73" t="str">
        <f>IF(Table1[[#This Row],[Prop.]]="No Load",Table1[[#This Row],["T"]]*Table1[[#This Row],[RPM]]/Table1[[#This Row],[V]],"")</f>
        <v/>
      </c>
      <c r="AE40" s="74" t="str">
        <f>IF(OR(C40="",E40="",H40=""),"",IF(Table1[[#This Row],[Prop.]]="No Load",IF(E40=1,(H40-10)/C40,IF(E40=2,2*(H40-10)/C40,4*(H40-10))),""))</f>
        <v/>
      </c>
      <c r="AF40" s="45" t="str">
        <f>IF(AND(Table1[[#This Row],[Variant]]=$AF$4,Table1[[#This Row],[Kv*T]]&gt;0,Table1[[#This Row],[Term.]]="D"),Table1[[#This Row],[Kv*T]],"")</f>
        <v/>
      </c>
      <c r="AG40" s="45" t="str">
        <f>IF(AND(Table1[[#This Row],[Variant]]=$AF$4,Table1[[#This Row],[Kv*T]]&gt;0,Table1[[#This Row],[Term.]]="Y"),Table1[[#This Row],[Kv*T]],"")</f>
        <v/>
      </c>
      <c r="AH40" s="73" t="str">
        <f>IF(AND(Table1[[#This Row],[Kv*T "D"]]="",Table1[[#This Row],[Kv*T "Y"]]=""),"",IF(Table1[[#This Row],[Kv*T "D"]]="",Table1[[#This Row],[Kv*T "Y"]]*3^0.5,Table1[[#This Row],[Kv*T "D"]]))</f>
        <v/>
      </c>
      <c r="AI40" s="147" t="str">
        <f>IF(Table1[[#This Row],[Std Inch per turn]]="","",Table1[[#This Row],[Std Inch per turn]])</f>
        <v/>
      </c>
      <c r="AJ40" s="75" t="str">
        <f>IF(AND(Table1[[#This Row],[Variant]]=$AJ$4,Table1[[#This Row],[Kv*T]]&gt;0,Table1[[#This Row],[Term.]]="D"),Table1[[#This Row],[Kv*T]],"")</f>
        <v/>
      </c>
      <c r="AK40" s="75" t="str">
        <f>IF(AND(Table1[[#This Row],[Variant]]=$AJ$4,Table1[[#This Row],[Kv*T]]&gt;0,Table1[[#This Row],[Term.]]="Y"),Table1[[#This Row],[Kv*T]],"")</f>
        <v/>
      </c>
      <c r="AL40" s="73" t="str">
        <f>IF(AND(Table1[[#This Row],[Kv*T "D"2]]="",Table1[[#This Row],[Kv*T "Y"2]]=""),"",IF(Table1[[#This Row],[Kv*T "D"2]]="",Table1[[#This Row],[Kv*T "Y"2]]*3^0.5,Table1[[#This Row],[Kv*T "D"2]]))</f>
        <v/>
      </c>
      <c r="AM40" s="147" t="str">
        <f>IF(Table1[[#This Row],[Std Inch per turn]]="","",Table1[[#This Row],[Std Inch per turn]])</f>
        <v/>
      </c>
      <c r="AN40" s="75" t="str">
        <f>IF(AND(Table1[[#This Row],[Variant]]=$AN$4,Table1[[#This Row],[Kv*T]]&gt;0,Table1[[#This Row],[Term.]]="D"),Table1[[#This Row],[Kv*T]],"")</f>
        <v/>
      </c>
      <c r="AO40" s="75" t="str">
        <f>IF(AND(Table1[[#This Row],[Variant]]=$AN$4,Table1[[#This Row],[Kv*T]]&gt;0,Table1[[#This Row],[Term.]]="Y"),Table1[[#This Row],[Kv*T]],"")</f>
        <v/>
      </c>
      <c r="AP40" s="73" t="str">
        <f>IF(AND(Table1[[#This Row],[Kv*T "D"3]]="",Table1[[#This Row],[Kv*T "Y"3]]=""),"",IF(Table1[[#This Row],[Kv*T "D"3]]="",Table1[[#This Row],[Kv*T "Y"3]]*3^0.5,Table1[[#This Row],[Kv*T "D"3]]))</f>
        <v/>
      </c>
      <c r="AQ40" s="73"/>
      <c r="AR40" s="75" t="str">
        <f>IF(AND(Table1[[#This Row],[Variant]]=$AR$4,Table1[[#This Row],[Kv*T]]&gt;0,Table1[[#This Row],[Term.]]="D"),Table1[[#This Row],[Kv*T]],"")</f>
        <v/>
      </c>
      <c r="AS40" s="75" t="str">
        <f>IF(AND(Table1[[#This Row],[Variant]]=$AR$4,Table1[[#This Row],[Kv*T]]&gt;0,Table1[[#This Row],[Term.]]="Y"),Table1[[#This Row],[Kv*T]],"")</f>
        <v/>
      </c>
      <c r="AT40" s="73" t="str">
        <f>IF(AND(Table1[[#This Row],[Kv*T "D"4]]="",Table1[[#This Row],[Kv*T "Y"4]]=""),"",IF(Table1[[#This Row],[Kv*T "D"4]]="",Table1[[#This Row],[Kv*T "Y"4]]*3^0.5,Table1[[#This Row],[Kv*T "D"4]]))</f>
        <v/>
      </c>
      <c r="AU40" s="73"/>
      <c r="AV40" s="75" t="str">
        <f>IF(AND(Table1[[#This Row],[Variant]]=$AV$4,Table1[[#This Row],[Kv*T]]&gt;0,Table1[[#This Row],[Term.]]="D"),Table1[[#This Row],[Kv*T]],"")</f>
        <v/>
      </c>
      <c r="AW40" s="75" t="str">
        <f>IF(AND(Table1[[#This Row],[Variant]]=$AV$4,Table1[[#This Row],[Kv*T]]&gt;0,Table1[[#This Row],[Term.]]="Y"),Table1[[#This Row],[Kv*T]],"")</f>
        <v/>
      </c>
      <c r="AX40" s="73" t="str">
        <f>IF(AND(Table1[[#This Row],[Kv*T "D"5]]="",Table1[[#This Row],[Kv*T "Y"5]]=""),"",IF(Table1[[#This Row],[Kv*T "D"5]]="",Table1[[#This Row],[Kv*T "Y"5]]*3^0.5,Table1[[#This Row],[Kv*T "D"5]]))</f>
        <v/>
      </c>
      <c r="AY40" s="73"/>
    </row>
    <row r="41" spans="1:51" s="100" customFormat="1">
      <c r="A41" s="165" t="s">
        <v>225</v>
      </c>
      <c r="B41" s="165">
        <v>102</v>
      </c>
      <c r="C41" s="165">
        <v>15</v>
      </c>
      <c r="D41" s="165" t="s">
        <v>171</v>
      </c>
      <c r="E41" s="165">
        <v>1</v>
      </c>
      <c r="F41" s="86">
        <f t="shared" si="5"/>
        <v>15</v>
      </c>
      <c r="G41" s="165" t="s">
        <v>21</v>
      </c>
      <c r="H41" s="165">
        <v>47</v>
      </c>
      <c r="I41" s="97">
        <f>IF(OR(Table1[[#This Row],[Phys. Turns]]="",Table1[[#This Row],[Wire]]="",Table1[[#This Row],[Parallel]]=""),"",Table1[[#This Row],[Phys. Turns]]*VLOOKUP(Table1[[#This Row],[Wire]],wirelist,4,FALSE))</f>
        <v>2.3850000000000002</v>
      </c>
      <c r="J41" s="165">
        <v>1232</v>
      </c>
      <c r="K41" s="12">
        <v>0.3715</v>
      </c>
      <c r="L41" s="13"/>
      <c r="M41" s="146" t="s">
        <v>235</v>
      </c>
      <c r="N41" s="48">
        <v>21.8</v>
      </c>
      <c r="O41" s="165">
        <v>29</v>
      </c>
      <c r="P41" s="165">
        <v>7718</v>
      </c>
      <c r="Q41" s="12">
        <v>10.86</v>
      </c>
      <c r="R41" s="12">
        <v>10.23</v>
      </c>
      <c r="S41" s="48">
        <v>22</v>
      </c>
      <c r="T41" s="43">
        <f t="shared" si="6"/>
        <v>5.6040713677498566</v>
      </c>
      <c r="U41" s="133" t="s">
        <v>27</v>
      </c>
      <c r="V41" s="141" t="s">
        <v>239</v>
      </c>
      <c r="W41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21.487377445826645</v>
      </c>
      <c r="X41" s="47">
        <f>IF(OR(P41="",Table1[[#This Row],[Prop.]]="No Load"),"",(AC41/VLOOKUP(Table1[[#This Row],[Prop.]],proplist,9,FALSE))*VLOOKUP(Table1[[#This Row],[Prop.]],proplist,7,FALSE)*(Table1[[#This Row],[RPM]]/1000)^(VLOOKUP(Table1[[#This Row],[Prop.]],proplist,8,FALSE))/Table1[[#This Row],[Pin '[W']]])</f>
        <v>0.54227248908548997</v>
      </c>
      <c r="Y41" s="43">
        <f>IF(OR(P41="",Table1[[#This Row],[Prop.]]="No Load"),"",P41*VLOOKUP(Table1[[#This Row],[Prop.]],proplist,3,FALSE)/1056)</f>
        <v>36.543560606060609</v>
      </c>
      <c r="Z41" s="43">
        <f t="shared" si="4"/>
        <v>5.4870294293685564</v>
      </c>
      <c r="AA41" s="44">
        <f>IF(OR(AB41="",Table1[[#This Row],[Prop.]]="No Load"),"",AB41*(1-X41))</f>
        <v>50.85251946207805</v>
      </c>
      <c r="AB41" s="44">
        <f t="shared" si="7"/>
        <v>111.09779999999999</v>
      </c>
      <c r="AC41" s="86">
        <f t="shared" si="8"/>
        <v>1.1926362960509624</v>
      </c>
      <c r="AD41" s="44" t="str">
        <f>IF(Table1[[#This Row],[Prop.]]="No Load",Table1[[#This Row],["T"]]*Table1[[#This Row],[RPM]]/Table1[[#This Row],[V]],"")</f>
        <v/>
      </c>
      <c r="AE41" s="97" t="str">
        <f>IF(OR(C41="",E41="",H41=""),"",IF(Table1[[#This Row],[Prop.]]="No Load",IF(E41=1,(H41-10)/C41,IF(E41=2,2*(H41-10)/C41,4*(H41-10))),""))</f>
        <v/>
      </c>
      <c r="AF41" s="86" t="str">
        <f>IF(AND(Table1[[#This Row],[Variant]]=$AF$4,Table1[[#This Row],[Kv*T]]&gt;0,Table1[[#This Row],[Term.]]="D"),Table1[[#This Row],[Kv*T]],"")</f>
        <v/>
      </c>
      <c r="AG41" s="86" t="str">
        <f>IF(AND(Table1[[#This Row],[Variant]]=$AF$4,Table1[[#This Row],[Kv*T]]&gt;0,Table1[[#This Row],[Term.]]="Y"),Table1[[#This Row],[Kv*T]],"")</f>
        <v/>
      </c>
      <c r="AH41" s="44" t="str">
        <f>IF(AND(Table1[[#This Row],[Kv*T "D"]]="",Table1[[#This Row],[Kv*T "Y"]]=""),"",IF(Table1[[#This Row],[Kv*T "D"]]="",Table1[[#This Row],[Kv*T "Y"]]*3^0.5,Table1[[#This Row],[Kv*T "D"]]))</f>
        <v/>
      </c>
      <c r="AI41" s="43" t="str">
        <f>IF(Table1[[#This Row],[Std Inch per turn]]="","",Table1[[#This Row],[Std Inch per turn]])</f>
        <v/>
      </c>
      <c r="AJ41" s="134" t="str">
        <f>IF(AND(Table1[[#This Row],[Variant]]=$AJ$4,Table1[[#This Row],[Kv*T]]&gt;0,Table1[[#This Row],[Term.]]="D"),Table1[[#This Row],[Kv*T]],"")</f>
        <v/>
      </c>
      <c r="AK41" s="134" t="str">
        <f>IF(AND(Table1[[#This Row],[Variant]]=$AJ$4,Table1[[#This Row],[Kv*T]]&gt;0,Table1[[#This Row],[Term.]]="Y"),Table1[[#This Row],[Kv*T]],"")</f>
        <v/>
      </c>
      <c r="AL41" s="44" t="str">
        <f>IF(AND(Table1[[#This Row],[Kv*T "D"2]]="",Table1[[#This Row],[Kv*T "Y"2]]=""),"",IF(Table1[[#This Row],[Kv*T "D"2]]="",Table1[[#This Row],[Kv*T "Y"2]]*3^0.5,Table1[[#This Row],[Kv*T "D"2]]))</f>
        <v/>
      </c>
      <c r="AM41" s="43" t="str">
        <f>IF(Table1[[#This Row],[Std Inch per turn]]="","",Table1[[#This Row],[Std Inch per turn]])</f>
        <v/>
      </c>
      <c r="AN41" s="134" t="str">
        <f>IF(AND(Table1[[#This Row],[Variant]]=$AN$4,Table1[[#This Row],[Kv*T]]&gt;0,Table1[[#This Row],[Term.]]="D"),Table1[[#This Row],[Kv*T]],"")</f>
        <v/>
      </c>
      <c r="AO41" s="134" t="str">
        <f>IF(AND(Table1[[#This Row],[Variant]]=$AN$4,Table1[[#This Row],[Kv*T]]&gt;0,Table1[[#This Row],[Term.]]="Y"),Table1[[#This Row],[Kv*T]],"")</f>
        <v/>
      </c>
      <c r="AP41" s="44" t="str">
        <f>IF(AND(Table1[[#This Row],[Kv*T "D"3]]="",Table1[[#This Row],[Kv*T "Y"3]]=""),"",IF(Table1[[#This Row],[Kv*T "D"3]]="",Table1[[#This Row],[Kv*T "Y"3]]*3^0.5,Table1[[#This Row],[Kv*T "D"3]]))</f>
        <v/>
      </c>
      <c r="AQ41" s="44"/>
      <c r="AR41" s="134" t="str">
        <f>IF(AND(Table1[[#This Row],[Variant]]=$AR$4,Table1[[#This Row],[Kv*T]]&gt;0,Table1[[#This Row],[Term.]]="D"),Table1[[#This Row],[Kv*T]],"")</f>
        <v/>
      </c>
      <c r="AS41" s="134" t="str">
        <f>IF(AND(Table1[[#This Row],[Variant]]=$AR$4,Table1[[#This Row],[Kv*T]]&gt;0,Table1[[#This Row],[Term.]]="Y"),Table1[[#This Row],[Kv*T]],"")</f>
        <v/>
      </c>
      <c r="AT41" s="44" t="str">
        <f>IF(AND(Table1[[#This Row],[Kv*T "D"4]]="",Table1[[#This Row],[Kv*T "Y"4]]=""),"",IF(Table1[[#This Row],[Kv*T "D"4]]="",Table1[[#This Row],[Kv*T "Y"4]]*3^0.5,Table1[[#This Row],[Kv*T "D"4]]))</f>
        <v/>
      </c>
      <c r="AU41" s="44"/>
      <c r="AV41" s="134" t="str">
        <f>IF(AND(Table1[[#This Row],[Variant]]=$AV$4,Table1[[#This Row],[Kv*T]]&gt;0,Table1[[#This Row],[Term.]]="D"),Table1[[#This Row],[Kv*T]],"")</f>
        <v/>
      </c>
      <c r="AW41" s="134" t="str">
        <f>IF(AND(Table1[[#This Row],[Variant]]=$AV$4,Table1[[#This Row],[Kv*T]]&gt;0,Table1[[#This Row],[Term.]]="Y"),Table1[[#This Row],[Kv*T]],"")</f>
        <v/>
      </c>
      <c r="AX41" s="44" t="str">
        <f>IF(AND(Table1[[#This Row],[Kv*T "D"5]]="",Table1[[#This Row],[Kv*T "Y"5]]=""),"",IF(Table1[[#This Row],[Kv*T "D"5]]="",Table1[[#This Row],[Kv*T "Y"5]]*3^0.5,Table1[[#This Row],[Kv*T "D"5]]))</f>
        <v/>
      </c>
      <c r="AY41" s="44"/>
    </row>
    <row r="42" spans="1:51" s="100" customFormat="1">
      <c r="A42" s="127" t="s">
        <v>225</v>
      </c>
      <c r="B42" s="165">
        <v>101</v>
      </c>
      <c r="C42" s="48">
        <v>24.5</v>
      </c>
      <c r="D42" s="163" t="s">
        <v>176</v>
      </c>
      <c r="E42" s="165">
        <v>1</v>
      </c>
      <c r="F42" s="86">
        <f t="shared" si="5"/>
        <v>24.5</v>
      </c>
      <c r="G42" s="163" t="s">
        <v>11</v>
      </c>
      <c r="H42" s="165">
        <v>72</v>
      </c>
      <c r="I42" s="97">
        <f>IF(OR(Table1[[#This Row],[Phys. Turns]]="",Table1[[#This Row],[Wire]]="",Table1[[#This Row],[Parallel]]=""),"",Table1[[#This Row],[Phys. Turns]]*VLOOKUP(Table1[[#This Row],[Wire]],wirelist,4,FALSE))</f>
        <v>2.4745000000000004</v>
      </c>
      <c r="J42" s="165">
        <v>1318</v>
      </c>
      <c r="K42" s="12">
        <v>0.34100000000000003</v>
      </c>
      <c r="L42" s="13">
        <v>0.19</v>
      </c>
      <c r="M42" s="146" t="s">
        <v>235</v>
      </c>
      <c r="N42" s="48">
        <v>15.3</v>
      </c>
      <c r="O42" s="165">
        <v>29</v>
      </c>
      <c r="P42" s="165">
        <v>6102</v>
      </c>
      <c r="Q42" s="12">
        <v>7.1</v>
      </c>
      <c r="R42" s="12">
        <v>6.84</v>
      </c>
      <c r="S42" s="48">
        <v>13.6</v>
      </c>
      <c r="T42" s="43">
        <f t="shared" si="6"/>
        <v>7.9252120912610167</v>
      </c>
      <c r="U42" s="133" t="s">
        <v>27</v>
      </c>
      <c r="V42" s="141" t="s">
        <v>241</v>
      </c>
      <c r="W42" s="46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>13.451386818271725</v>
      </c>
      <c r="X42" s="47">
        <f>IF(OR(P42="",Table1[[#This Row],[Prop.]]="No Load"),"",(AC42/VLOOKUP(Table1[[#This Row],[Prop.]],proplist,9,FALSE))*VLOOKUP(Table1[[#This Row],[Prop.]],proplist,7,FALSE)*(Table1[[#This Row],[RPM]]/1000)^(VLOOKUP(Table1[[#This Row],[Prop.]],proplist,8,FALSE))/Table1[[#This Row],[Pin '[W']]])</f>
        <v>0.6209549294638852</v>
      </c>
      <c r="Y42" s="43">
        <f>IF(OR(P42="",Table1[[#This Row],[Prop.]]="No Load"),"",P42*VLOOKUP(Table1[[#This Row],[Prop.]],proplist,3,FALSE)/1056)</f>
        <v>28.892045454545453</v>
      </c>
      <c r="Z42" s="43">
        <f t="shared" si="4"/>
        <v>7.857998600493552</v>
      </c>
      <c r="AA42" s="44">
        <f>IF(OR(AB42="",Table1[[#This Row],[Prop.]]="No Load"),"",AB42*(1-X42))</f>
        <v>18.407944805515879</v>
      </c>
      <c r="AB42" s="44">
        <f t="shared" si="7"/>
        <v>48.564</v>
      </c>
      <c r="AC42" s="86">
        <f t="shared" si="8"/>
        <v>1.2195114422611593</v>
      </c>
      <c r="AD42" s="44" t="str">
        <f>IF(Table1[[#This Row],[Prop.]]="No Load",Table1[[#This Row],["T"]]*Table1[[#This Row],[RPM]]/Table1[[#This Row],[V]],"")</f>
        <v/>
      </c>
      <c r="AE42" s="97" t="str">
        <f>IF(OR(C42="",E42="",H42=""),"",IF(Table1[[#This Row],[Prop.]]="No Load",IF(E42=1,(H42-10)/C42,IF(E42=2,2*(H42-10)/C42,4*(H42-10))),""))</f>
        <v/>
      </c>
      <c r="AF42" s="86" t="str">
        <f>IF(AND(Table1[[#This Row],[Variant]]=$AF$4,Table1[[#This Row],[Kv*T]]&gt;0,Table1[[#This Row],[Term.]]="D"),Table1[[#This Row],[Kv*T]],"")</f>
        <v/>
      </c>
      <c r="AG42" s="86" t="str">
        <f>IF(AND(Table1[[#This Row],[Variant]]=$AF$4,Table1[[#This Row],[Kv*T]]&gt;0,Table1[[#This Row],[Term.]]="Y"),Table1[[#This Row],[Kv*T]],"")</f>
        <v/>
      </c>
      <c r="AH42" s="44" t="str">
        <f>IF(AND(Table1[[#This Row],[Kv*T "D"]]="",Table1[[#This Row],[Kv*T "Y"]]=""),"",IF(Table1[[#This Row],[Kv*T "D"]]="",Table1[[#This Row],[Kv*T "Y"]]*3^0.5,Table1[[#This Row],[Kv*T "D"]]))</f>
        <v/>
      </c>
      <c r="AI42" s="43" t="str">
        <f>IF(Table1[[#This Row],[Std Inch per turn]]="","",Table1[[#This Row],[Std Inch per turn]])</f>
        <v/>
      </c>
      <c r="AJ42" s="134" t="str">
        <f>IF(AND(Table1[[#This Row],[Variant]]=$AJ$4,Table1[[#This Row],[Kv*T]]&gt;0,Table1[[#This Row],[Term.]]="D"),Table1[[#This Row],[Kv*T]],"")</f>
        <v/>
      </c>
      <c r="AK42" s="134" t="str">
        <f>IF(AND(Table1[[#This Row],[Variant]]=$AJ$4,Table1[[#This Row],[Kv*T]]&gt;0,Table1[[#This Row],[Term.]]="Y"),Table1[[#This Row],[Kv*T]],"")</f>
        <v/>
      </c>
      <c r="AL42" s="44" t="str">
        <f>IF(AND(Table1[[#This Row],[Kv*T "D"2]]="",Table1[[#This Row],[Kv*T "Y"2]]=""),"",IF(Table1[[#This Row],[Kv*T "D"2]]="",Table1[[#This Row],[Kv*T "Y"2]]*3^0.5,Table1[[#This Row],[Kv*T "D"2]]))</f>
        <v/>
      </c>
      <c r="AM42" s="43" t="str">
        <f>IF(Table1[[#This Row],[Std Inch per turn]]="","",Table1[[#This Row],[Std Inch per turn]])</f>
        <v/>
      </c>
      <c r="AN42" s="134" t="str">
        <f>IF(AND(Table1[[#This Row],[Variant]]=$AN$4,Table1[[#This Row],[Kv*T]]&gt;0,Table1[[#This Row],[Term.]]="D"),Table1[[#This Row],[Kv*T]],"")</f>
        <v/>
      </c>
      <c r="AO42" s="134" t="str">
        <f>IF(AND(Table1[[#This Row],[Variant]]=$AN$4,Table1[[#This Row],[Kv*T]]&gt;0,Table1[[#This Row],[Term.]]="Y"),Table1[[#This Row],[Kv*T]],"")</f>
        <v/>
      </c>
      <c r="AP42" s="44" t="str">
        <f>IF(AND(Table1[[#This Row],[Kv*T "D"3]]="",Table1[[#This Row],[Kv*T "Y"3]]=""),"",IF(Table1[[#This Row],[Kv*T "D"3]]="",Table1[[#This Row],[Kv*T "Y"3]]*3^0.5,Table1[[#This Row],[Kv*T "D"3]]))</f>
        <v/>
      </c>
      <c r="AQ42" s="44"/>
      <c r="AR42" s="134" t="str">
        <f>IF(AND(Table1[[#This Row],[Variant]]=$AR$4,Table1[[#This Row],[Kv*T]]&gt;0,Table1[[#This Row],[Term.]]="D"),Table1[[#This Row],[Kv*T]],"")</f>
        <v/>
      </c>
      <c r="AS42" s="134" t="str">
        <f>IF(AND(Table1[[#This Row],[Variant]]=$AR$4,Table1[[#This Row],[Kv*T]]&gt;0,Table1[[#This Row],[Term.]]="Y"),Table1[[#This Row],[Kv*T]],"")</f>
        <v/>
      </c>
      <c r="AT42" s="44" t="str">
        <f>IF(AND(Table1[[#This Row],[Kv*T "D"4]]="",Table1[[#This Row],[Kv*T "Y"4]]=""),"",IF(Table1[[#This Row],[Kv*T "D"4]]="",Table1[[#This Row],[Kv*T "Y"4]]*3^0.5,Table1[[#This Row],[Kv*T "D"4]]))</f>
        <v/>
      </c>
      <c r="AU42" s="44"/>
      <c r="AV42" s="134" t="str">
        <f>IF(AND(Table1[[#This Row],[Variant]]=$AV$4,Table1[[#This Row],[Kv*T]]&gt;0,Table1[[#This Row],[Term.]]="D"),Table1[[#This Row],[Kv*T]],"")</f>
        <v/>
      </c>
      <c r="AW42" s="134" t="str">
        <f>IF(AND(Table1[[#This Row],[Variant]]=$AV$4,Table1[[#This Row],[Kv*T]]&gt;0,Table1[[#This Row],[Term.]]="Y"),Table1[[#This Row],[Kv*T]],"")</f>
        <v/>
      </c>
      <c r="AX42" s="44" t="str">
        <f>IF(AND(Table1[[#This Row],[Kv*T "D"5]]="",Table1[[#This Row],[Kv*T "Y"5]]=""),"",IF(Table1[[#This Row],[Kv*T "D"5]]="",Table1[[#This Row],[Kv*T "Y"5]]*3^0.5,Table1[[#This Row],[Kv*T "D"5]]))</f>
        <v/>
      </c>
      <c r="AY42" s="44"/>
    </row>
    <row r="43" spans="1:51" s="148" customFormat="1">
      <c r="A43" s="146" t="s">
        <v>224</v>
      </c>
      <c r="B43" s="5">
        <v>90</v>
      </c>
      <c r="C43" s="5">
        <v>10</v>
      </c>
      <c r="D43" s="146" t="s">
        <v>166</v>
      </c>
      <c r="E43" s="5">
        <v>1</v>
      </c>
      <c r="F43" s="86">
        <f t="shared" si="5"/>
        <v>10</v>
      </c>
      <c r="G43" s="146" t="s">
        <v>21</v>
      </c>
      <c r="H43" s="5">
        <v>31</v>
      </c>
      <c r="I43" s="97">
        <f>IF(OR(Table1[[#This Row],[Phys. Turns]]="",Table1[[#This Row],[Wire]]="",Table1[[#This Row],[Parallel]]=""),"",Table1[[#This Row],[Phys. Turns]]*VLOOKUP(Table1[[#This Row],[Wire]],wirelist,4,FALSE))</f>
        <v>2.5499999999999998</v>
      </c>
      <c r="J43" s="18">
        <f>Table1[[#This Row],[RPM]]/Table1[[#This Row],[V]]</f>
        <v>1816.6666666666667</v>
      </c>
      <c r="K43" s="19">
        <f>Table1[[#This Row],[A]]</f>
        <v>0.6</v>
      </c>
      <c r="L43" s="20"/>
      <c r="M43" s="146" t="s">
        <v>72</v>
      </c>
      <c r="N43" s="49"/>
      <c r="O43" s="5"/>
      <c r="P43" s="5">
        <v>21037</v>
      </c>
      <c r="Q43" s="19">
        <v>11.58</v>
      </c>
      <c r="R43" s="19">
        <v>0.6</v>
      </c>
      <c r="S43" s="49"/>
      <c r="T43" s="43" t="str">
        <f t="shared" si="6"/>
        <v/>
      </c>
      <c r="U43" s="133" t="s">
        <v>27</v>
      </c>
      <c r="V43" s="141" t="s">
        <v>237</v>
      </c>
      <c r="W43" s="46" t="str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/>
      </c>
      <c r="X43" s="47" t="str">
        <f>IF(OR(P43="",Table1[[#This Row],[Prop.]]="No Load"),"",(AC43/VLOOKUP(Table1[[#This Row],[Prop.]],proplist,9,FALSE))*VLOOKUP(Table1[[#This Row],[Prop.]],proplist,7,FALSE)*(Table1[[#This Row],[RPM]]/1000)^(VLOOKUP(Table1[[#This Row],[Prop.]],proplist,8,FALSE))/Table1[[#This Row],[Pin '[W']]])</f>
        <v/>
      </c>
      <c r="Y43" s="43" t="str">
        <f>IF(OR(P43="",Table1[[#This Row],[Prop.]]="No Load"),"",P43*VLOOKUP(Table1[[#This Row],[Prop.]],proplist,3,FALSE)/1056)</f>
        <v/>
      </c>
      <c r="Z43" s="43" t="str">
        <f t="shared" si="4"/>
        <v/>
      </c>
      <c r="AA43" s="11" t="str">
        <f>IF(OR(AB43="",Table1[[#This Row],[Prop.]]="No Load"),"",AB43*(1-X43))</f>
        <v/>
      </c>
      <c r="AB43" s="11">
        <f t="shared" si="7"/>
        <v>6.9479999999999995</v>
      </c>
      <c r="AC43" s="165">
        <f t="shared" si="8"/>
        <v>1.2040999999999999</v>
      </c>
      <c r="AD43" s="11">
        <f>IF(Table1[[#This Row],[Prop.]]="No Load",Table1[[#This Row],["T"]]*Table1[[#This Row],[RPM]]/Table1[[#This Row],[V]],"")</f>
        <v>18166.666666666668</v>
      </c>
      <c r="AE43" s="12">
        <f>IF(OR(C43="",E43="",H43=""),"",IF(Table1[[#This Row],[Prop.]]="No Load",IF(E43=1,(H43-10)/C43,IF(E43=2,2*(H43-10)/C43,4*(H43-10))),""))</f>
        <v>2.1</v>
      </c>
      <c r="AF43" s="165" t="str">
        <f>IF(AND(Table1[[#This Row],[Variant]]=$AF$4,Table1[[#This Row],[Kv*T]]&gt;0,Table1[[#This Row],[Term.]]="D"),Table1[[#This Row],[Kv*T]],"")</f>
        <v/>
      </c>
      <c r="AG43" s="165">
        <f>IF(AND(Table1[[#This Row],[Variant]]=$AF$4,Table1[[#This Row],[Kv*T]]&gt;0,Table1[[#This Row],[Term.]]="Y"),Table1[[#This Row],[Kv*T]],"")</f>
        <v>18166.666666666668</v>
      </c>
      <c r="AH43" s="11">
        <f>IF(AND(Table1[[#This Row],[Kv*T "D"]]="",Table1[[#This Row],[Kv*T "Y"]]=""),"",IF(Table1[[#This Row],[Kv*T "D"]]="",Table1[[#This Row],[Kv*T "Y"]]*3^0.5,Table1[[#This Row],[Kv*T "D"]]))</f>
        <v>31465.589670834604</v>
      </c>
      <c r="AI43" s="48">
        <f>IF(Table1[[#This Row],[Std Inch per turn]]="","",Table1[[#This Row],[Std Inch per turn]])</f>
        <v>2.1</v>
      </c>
      <c r="AJ43" s="155" t="str">
        <f>IF(AND(Table1[[#This Row],[Variant]]=$AJ$4,Table1[[#This Row],[Kv*T]]&gt;0,Table1[[#This Row],[Term.]]="D"),Table1[[#This Row],[Kv*T]],"")</f>
        <v/>
      </c>
      <c r="AK43" s="155" t="str">
        <f>IF(AND(Table1[[#This Row],[Variant]]=$AJ$4,Table1[[#This Row],[Kv*T]]&gt;0,Table1[[#This Row],[Term.]]="Y"),Table1[[#This Row],[Kv*T]],"")</f>
        <v/>
      </c>
      <c r="AL43" s="11" t="str">
        <f>IF(AND(Table1[[#This Row],[Kv*T "D"2]]="",Table1[[#This Row],[Kv*T "Y"2]]=""),"",IF(Table1[[#This Row],[Kv*T "D"2]]="",Table1[[#This Row],[Kv*T "Y"2]]*3^0.5,Table1[[#This Row],[Kv*T "D"2]]))</f>
        <v/>
      </c>
      <c r="AM43" s="48">
        <f>IF(Table1[[#This Row],[Std Inch per turn]]="","",Table1[[#This Row],[Std Inch per turn]])</f>
        <v>2.1</v>
      </c>
      <c r="AN43" s="155" t="str">
        <f>IF(AND(Table1[[#This Row],[Variant]]=$AN$4,Table1[[#This Row],[Kv*T]]&gt;0,Table1[[#This Row],[Term.]]="D"),Table1[[#This Row],[Kv*T]],"")</f>
        <v/>
      </c>
      <c r="AO43" s="155" t="str">
        <f>IF(AND(Table1[[#This Row],[Variant]]=$AN$4,Table1[[#This Row],[Kv*T]]&gt;0,Table1[[#This Row],[Term.]]="Y"),Table1[[#This Row],[Kv*T]],"")</f>
        <v/>
      </c>
      <c r="AP43" s="11" t="str">
        <f>IF(AND(Table1[[#This Row],[Kv*T "D"3]]="",Table1[[#This Row],[Kv*T "Y"3]]=""),"",IF(Table1[[#This Row],[Kv*T "D"3]]="",Table1[[#This Row],[Kv*T "Y"3]]*3^0.5,Table1[[#This Row],[Kv*T "D"3]]))</f>
        <v/>
      </c>
      <c r="AQ43" s="11"/>
      <c r="AR43" s="155" t="str">
        <f>IF(AND(Table1[[#This Row],[Variant]]=$AR$4,Table1[[#This Row],[Kv*T]]&gt;0,Table1[[#This Row],[Term.]]="D"),Table1[[#This Row],[Kv*T]],"")</f>
        <v/>
      </c>
      <c r="AS43" s="155" t="str">
        <f>IF(AND(Table1[[#This Row],[Variant]]=$AR$4,Table1[[#This Row],[Kv*T]]&gt;0,Table1[[#This Row],[Term.]]="Y"),Table1[[#This Row],[Kv*T]],"")</f>
        <v/>
      </c>
      <c r="AT43" s="11" t="str">
        <f>IF(AND(Table1[[#This Row],[Kv*T "D"4]]="",Table1[[#This Row],[Kv*T "Y"4]]=""),"",IF(Table1[[#This Row],[Kv*T "D"4]]="",Table1[[#This Row],[Kv*T "Y"4]]*3^0.5,Table1[[#This Row],[Kv*T "D"4]]))</f>
        <v/>
      </c>
      <c r="AU43" s="11"/>
      <c r="AV43" s="155" t="str">
        <f>IF(AND(Table1[[#This Row],[Variant]]=$AV$4,Table1[[#This Row],[Kv*T]]&gt;0,Table1[[#This Row],[Term.]]="D"),Table1[[#This Row],[Kv*T]],"")</f>
        <v/>
      </c>
      <c r="AW43" s="155" t="str">
        <f>IF(AND(Table1[[#This Row],[Variant]]=$AV$4,Table1[[#This Row],[Kv*T]]&gt;0,Table1[[#This Row],[Term.]]="Y"),Table1[[#This Row],[Kv*T]],"")</f>
        <v/>
      </c>
      <c r="AX43" s="11" t="str">
        <f>IF(AND(Table1[[#This Row],[Kv*T "D"5]]="",Table1[[#This Row],[Kv*T "Y"5]]=""),"",IF(Table1[[#This Row],[Kv*T "D"5]]="",Table1[[#This Row],[Kv*T "Y"5]]*3^0.5,Table1[[#This Row],[Kv*T "D"5]]))</f>
        <v/>
      </c>
      <c r="AY43" s="11"/>
    </row>
    <row r="44" spans="1:51" s="100" customFormat="1">
      <c r="A44" s="163" t="s">
        <v>224</v>
      </c>
      <c r="B44" s="5">
        <v>90</v>
      </c>
      <c r="C44" s="5">
        <v>10</v>
      </c>
      <c r="D44" s="163" t="s">
        <v>166</v>
      </c>
      <c r="E44" s="5">
        <v>1</v>
      </c>
      <c r="F44" s="86">
        <f t="shared" si="5"/>
        <v>10</v>
      </c>
      <c r="G44" s="163" t="s">
        <v>21</v>
      </c>
      <c r="H44" s="5">
        <v>31</v>
      </c>
      <c r="I44" s="97">
        <f>IF(OR(Table1[[#This Row],[Phys. Turns]]="",Table1[[#This Row],[Wire]]="",Table1[[#This Row],[Parallel]]=""),"",Table1[[#This Row],[Phys. Turns]]*VLOOKUP(Table1[[#This Row],[Wire]],wirelist,4,FALSE))</f>
        <v>2.5499999999999998</v>
      </c>
      <c r="J44" s="18">
        <f>Table1[[#This Row],[RPM]]/Table1[[#This Row],[V]]</f>
        <v>1831.5104166666667</v>
      </c>
      <c r="K44" s="19">
        <f>Table1[[#This Row],[A]]</f>
        <v>0.32</v>
      </c>
      <c r="L44" s="20"/>
      <c r="M44" s="163" t="s">
        <v>72</v>
      </c>
      <c r="N44" s="49"/>
      <c r="O44" s="5"/>
      <c r="P44" s="5">
        <v>14066</v>
      </c>
      <c r="Q44" s="19">
        <v>7.68</v>
      </c>
      <c r="R44" s="19">
        <v>0.32</v>
      </c>
      <c r="S44" s="49"/>
      <c r="T44" s="43" t="str">
        <f t="shared" si="6"/>
        <v/>
      </c>
      <c r="U44" s="133" t="s">
        <v>27</v>
      </c>
      <c r="V44" s="141" t="s">
        <v>241</v>
      </c>
      <c r="W44" s="46" t="str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/>
      </c>
      <c r="X44" s="47" t="str">
        <f>IF(OR(P44="",Table1[[#This Row],[Prop.]]="No Load"),"",(AC44/VLOOKUP(Table1[[#This Row],[Prop.]],proplist,9,FALSE))*VLOOKUP(Table1[[#This Row],[Prop.]],proplist,7,FALSE)*(Table1[[#This Row],[RPM]]/1000)^(VLOOKUP(Table1[[#This Row],[Prop.]],proplist,8,FALSE))/Table1[[#This Row],[Pin '[W']]])</f>
        <v/>
      </c>
      <c r="Y44" s="43" t="str">
        <f>IF(OR(P44="",Table1[[#This Row],[Prop.]]="No Load"),"",P44*VLOOKUP(Table1[[#This Row],[Prop.]],proplist,3,FALSE)/1056)</f>
        <v/>
      </c>
      <c r="Z44" s="43" t="str">
        <f t="shared" si="4"/>
        <v/>
      </c>
      <c r="AA44" s="11" t="str">
        <f>IF(OR(AB44="",Table1[[#This Row],[Prop.]]="No Load"),"",AB44*(1-X44))</f>
        <v/>
      </c>
      <c r="AB44" s="11">
        <f t="shared" si="7"/>
        <v>2.4575999999999998</v>
      </c>
      <c r="AC44" s="165">
        <f t="shared" si="8"/>
        <v>1.2040999999999999</v>
      </c>
      <c r="AD44" s="11">
        <f>IF(Table1[[#This Row],[Prop.]]="No Load",Table1[[#This Row],["T"]]*Table1[[#This Row],[RPM]]/Table1[[#This Row],[V]],"")</f>
        <v>18315.104166666668</v>
      </c>
      <c r="AE44" s="12">
        <f>IF(OR(C44="",E44="",H44=""),"",IF(Table1[[#This Row],[Prop.]]="No Load",IF(E44=1,(H44-10)/C44,IF(E44=2,2*(H44-10)/C44,4*(H44-10))),""))</f>
        <v>2.1</v>
      </c>
      <c r="AF44" s="165" t="str">
        <f>IF(AND(Table1[[#This Row],[Variant]]=$AF$4,Table1[[#This Row],[Kv*T]]&gt;0,Table1[[#This Row],[Term.]]="D"),Table1[[#This Row],[Kv*T]],"")</f>
        <v/>
      </c>
      <c r="AG44" s="165">
        <f>IF(AND(Table1[[#This Row],[Variant]]=$AF$4,Table1[[#This Row],[Kv*T]]&gt;0,Table1[[#This Row],[Term.]]="Y"),Table1[[#This Row],[Kv*T]],"")</f>
        <v>18315.104166666668</v>
      </c>
      <c r="AH44" s="11">
        <f>IF(AND(Table1[[#This Row],[Kv*T "D"]]="",Table1[[#This Row],[Kv*T "Y"]]=""),"",IF(Table1[[#This Row],[Kv*T "D"]]="",Table1[[#This Row],[Kv*T "Y"]]*3^0.5,Table1[[#This Row],[Kv*T "D"]]))</f>
        <v>31722.69096258311</v>
      </c>
      <c r="AI44" s="48">
        <f>IF(Table1[[#This Row],[Std Inch per turn]]="","",Table1[[#This Row],[Std Inch per turn]])</f>
        <v>2.1</v>
      </c>
      <c r="AJ44" s="155" t="str">
        <f>IF(AND(Table1[[#This Row],[Variant]]=$AJ$4,Table1[[#This Row],[Kv*T]]&gt;0,Table1[[#This Row],[Term.]]="D"),Table1[[#This Row],[Kv*T]],"")</f>
        <v/>
      </c>
      <c r="AK44" s="155" t="str">
        <f>IF(AND(Table1[[#This Row],[Variant]]=$AJ$4,Table1[[#This Row],[Kv*T]]&gt;0,Table1[[#This Row],[Term.]]="Y"),Table1[[#This Row],[Kv*T]],"")</f>
        <v/>
      </c>
      <c r="AL44" s="11" t="str">
        <f>IF(AND(Table1[[#This Row],[Kv*T "D"2]]="",Table1[[#This Row],[Kv*T "Y"2]]=""),"",IF(Table1[[#This Row],[Kv*T "D"2]]="",Table1[[#This Row],[Kv*T "Y"2]]*3^0.5,Table1[[#This Row],[Kv*T "D"2]]))</f>
        <v/>
      </c>
      <c r="AM44" s="48">
        <f>IF(Table1[[#This Row],[Std Inch per turn]]="","",Table1[[#This Row],[Std Inch per turn]])</f>
        <v>2.1</v>
      </c>
      <c r="AN44" s="155" t="str">
        <f>IF(AND(Table1[[#This Row],[Variant]]=$AN$4,Table1[[#This Row],[Kv*T]]&gt;0,Table1[[#This Row],[Term.]]="D"),Table1[[#This Row],[Kv*T]],"")</f>
        <v/>
      </c>
      <c r="AO44" s="155" t="str">
        <f>IF(AND(Table1[[#This Row],[Variant]]=$AN$4,Table1[[#This Row],[Kv*T]]&gt;0,Table1[[#This Row],[Term.]]="Y"),Table1[[#This Row],[Kv*T]],"")</f>
        <v/>
      </c>
      <c r="AP44" s="11" t="str">
        <f>IF(AND(Table1[[#This Row],[Kv*T "D"3]]="",Table1[[#This Row],[Kv*T "Y"3]]=""),"",IF(Table1[[#This Row],[Kv*T "D"3]]="",Table1[[#This Row],[Kv*T "Y"3]]*3^0.5,Table1[[#This Row],[Kv*T "D"3]]))</f>
        <v/>
      </c>
      <c r="AQ44" s="11"/>
      <c r="AR44" s="155" t="str">
        <f>IF(AND(Table1[[#This Row],[Variant]]=$AR$4,Table1[[#This Row],[Kv*T]]&gt;0,Table1[[#This Row],[Term.]]="D"),Table1[[#This Row],[Kv*T]],"")</f>
        <v/>
      </c>
      <c r="AS44" s="155" t="str">
        <f>IF(AND(Table1[[#This Row],[Variant]]=$AR$4,Table1[[#This Row],[Kv*T]]&gt;0,Table1[[#This Row],[Term.]]="Y"),Table1[[#This Row],[Kv*T]],"")</f>
        <v/>
      </c>
      <c r="AT44" s="11" t="str">
        <f>IF(AND(Table1[[#This Row],[Kv*T "D"4]]="",Table1[[#This Row],[Kv*T "Y"4]]=""),"",IF(Table1[[#This Row],[Kv*T "D"4]]="",Table1[[#This Row],[Kv*T "Y"4]]*3^0.5,Table1[[#This Row],[Kv*T "D"4]]))</f>
        <v/>
      </c>
      <c r="AU44" s="11"/>
      <c r="AV44" s="155" t="str">
        <f>IF(AND(Table1[[#This Row],[Variant]]=$AV$4,Table1[[#This Row],[Kv*T]]&gt;0,Table1[[#This Row],[Term.]]="D"),Table1[[#This Row],[Kv*T]],"")</f>
        <v/>
      </c>
      <c r="AW44" s="155" t="str">
        <f>IF(AND(Table1[[#This Row],[Variant]]=$AV$4,Table1[[#This Row],[Kv*T]]&gt;0,Table1[[#This Row],[Term.]]="Y"),Table1[[#This Row],[Kv*T]],"")</f>
        <v/>
      </c>
      <c r="AX44" s="11" t="str">
        <f>IF(AND(Table1[[#This Row],[Kv*T "D"5]]="",Table1[[#This Row],[Kv*T "Y"5]]=""),"",IF(Table1[[#This Row],[Kv*T "D"5]]="",Table1[[#This Row],[Kv*T "Y"5]]*3^0.5,Table1[[#This Row],[Kv*T "D"5]]))</f>
        <v/>
      </c>
      <c r="AY44" s="11"/>
    </row>
    <row r="45" spans="1:51" s="148" customFormat="1">
      <c r="A45" s="146" t="s">
        <v>224</v>
      </c>
      <c r="B45" s="163">
        <v>93</v>
      </c>
      <c r="C45" s="163">
        <v>12</v>
      </c>
      <c r="D45" s="146" t="s">
        <v>42</v>
      </c>
      <c r="E45" s="163">
        <v>1</v>
      </c>
      <c r="F45" s="86">
        <f t="shared" si="5"/>
        <v>12</v>
      </c>
      <c r="G45" s="146" t="s">
        <v>21</v>
      </c>
      <c r="H45" s="163">
        <v>36</v>
      </c>
      <c r="I45" s="97">
        <f>IF(OR(Table1[[#This Row],[Phys. Turns]]="",Table1[[#This Row],[Wire]]="",Table1[[#This Row],[Parallel]]=""),"",Table1[[#This Row],[Phys. Turns]]*VLOOKUP(Table1[[#This Row],[Wire]],wirelist,4,FALSE))</f>
        <v>2.448</v>
      </c>
      <c r="J45" s="163">
        <v>1504</v>
      </c>
      <c r="K45" s="12">
        <v>0.37969999999999998</v>
      </c>
      <c r="L45" s="13">
        <v>0.15</v>
      </c>
      <c r="M45" s="146" t="s">
        <v>72</v>
      </c>
      <c r="N45" s="48"/>
      <c r="O45" s="163"/>
      <c r="P45" s="163">
        <v>17304</v>
      </c>
      <c r="Q45" s="12">
        <v>11.5</v>
      </c>
      <c r="R45" s="12">
        <v>0.379</v>
      </c>
      <c r="S45" s="48"/>
      <c r="T45" s="43" t="str">
        <f t="shared" si="6"/>
        <v/>
      </c>
      <c r="U45" s="133" t="s">
        <v>27</v>
      </c>
      <c r="V45" s="141" t="s">
        <v>238</v>
      </c>
      <c r="W45" s="46" t="str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/>
      </c>
      <c r="X45" s="47" t="str">
        <f>IF(OR(P45="",Table1[[#This Row],[Prop.]]="No Load"),"",(AC45/VLOOKUP(Table1[[#This Row],[Prop.]],proplist,9,FALSE))*VLOOKUP(Table1[[#This Row],[Prop.]],proplist,7,FALSE)*(Table1[[#This Row],[RPM]]/1000)^(VLOOKUP(Table1[[#This Row],[Prop.]],proplist,8,FALSE))/Table1[[#This Row],[Pin '[W']]])</f>
        <v/>
      </c>
      <c r="Y45" s="43" t="str">
        <f>IF(OR(P45="",Table1[[#This Row],[Prop.]]="No Load"),"",P45*VLOOKUP(Table1[[#This Row],[Prop.]],proplist,3,FALSE)/1056)</f>
        <v/>
      </c>
      <c r="Z45" s="43" t="str">
        <f t="shared" si="4"/>
        <v/>
      </c>
      <c r="AA45" s="44" t="str">
        <f>IF(OR(AB45="",Table1[[#This Row],[Prop.]]="No Load"),"",AB45*(1-X45))</f>
        <v/>
      </c>
      <c r="AB45" s="44">
        <f t="shared" si="7"/>
        <v>4.3585000000000003</v>
      </c>
      <c r="AC45" s="86">
        <f t="shared" si="8"/>
        <v>1.2040999999999999</v>
      </c>
      <c r="AD45" s="44">
        <f>IF(Table1[[#This Row],[Prop.]]="No Load",Table1[[#This Row],["T"]]*Table1[[#This Row],[RPM]]/Table1[[#This Row],[V]],"")</f>
        <v>18056.347826086956</v>
      </c>
      <c r="AE45" s="97">
        <f>IF(OR(C45="",E45="",H45=""),"",IF(Table1[[#This Row],[Prop.]]="No Load",IF(E45=1,(H45-10)/C45,IF(E45=2,2*(H45-10)/C45,4*(H45-10))),""))</f>
        <v>2.1666666666666665</v>
      </c>
      <c r="AF45" s="86" t="str">
        <f>IF(AND(Table1[[#This Row],[Variant]]=$AF$4,Table1[[#This Row],[Kv*T]]&gt;0,Table1[[#This Row],[Term.]]="D"),Table1[[#This Row],[Kv*T]],"")</f>
        <v/>
      </c>
      <c r="AG45" s="86">
        <f>IF(AND(Table1[[#This Row],[Variant]]=$AF$4,Table1[[#This Row],[Kv*T]]&gt;0,Table1[[#This Row],[Term.]]="Y"),Table1[[#This Row],[Kv*T]],"")</f>
        <v>18056.347826086956</v>
      </c>
      <c r="AH45" s="44">
        <f>IF(AND(Table1[[#This Row],[Kv*T "D"]]="",Table1[[#This Row],[Kv*T "Y"]]=""),"",IF(Table1[[#This Row],[Kv*T "D"]]="",Table1[[#This Row],[Kv*T "Y"]]*3^0.5,Table1[[#This Row],[Kv*T "D"]]))</f>
        <v>31274.511833918452</v>
      </c>
      <c r="AI45" s="43">
        <f>IF(Table1[[#This Row],[Std Inch per turn]]="","",Table1[[#This Row],[Std Inch per turn]])</f>
        <v>2.1666666666666665</v>
      </c>
      <c r="AJ45" s="134" t="str">
        <f>IF(AND(Table1[[#This Row],[Variant]]=$AJ$4,Table1[[#This Row],[Kv*T]]&gt;0,Table1[[#This Row],[Term.]]="D"),Table1[[#This Row],[Kv*T]],"")</f>
        <v/>
      </c>
      <c r="AK45" s="134" t="str">
        <f>IF(AND(Table1[[#This Row],[Variant]]=$AJ$4,Table1[[#This Row],[Kv*T]]&gt;0,Table1[[#This Row],[Term.]]="Y"),Table1[[#This Row],[Kv*T]],"")</f>
        <v/>
      </c>
      <c r="AL45" s="44" t="str">
        <f>IF(AND(Table1[[#This Row],[Kv*T "D"2]]="",Table1[[#This Row],[Kv*T "Y"2]]=""),"",IF(Table1[[#This Row],[Kv*T "D"2]]="",Table1[[#This Row],[Kv*T "Y"2]]*3^0.5,Table1[[#This Row],[Kv*T "D"2]]))</f>
        <v/>
      </c>
      <c r="AM45" s="43">
        <f>IF(Table1[[#This Row],[Std Inch per turn]]="","",Table1[[#This Row],[Std Inch per turn]])</f>
        <v>2.1666666666666665</v>
      </c>
      <c r="AN45" s="134" t="str">
        <f>IF(AND(Table1[[#This Row],[Variant]]=$AN$4,Table1[[#This Row],[Kv*T]]&gt;0,Table1[[#This Row],[Term.]]="D"),Table1[[#This Row],[Kv*T]],"")</f>
        <v/>
      </c>
      <c r="AO45" s="134" t="str">
        <f>IF(AND(Table1[[#This Row],[Variant]]=$AN$4,Table1[[#This Row],[Kv*T]]&gt;0,Table1[[#This Row],[Term.]]="Y"),Table1[[#This Row],[Kv*T]],"")</f>
        <v/>
      </c>
      <c r="AP45" s="44" t="str">
        <f>IF(AND(Table1[[#This Row],[Kv*T "D"3]]="",Table1[[#This Row],[Kv*T "Y"3]]=""),"",IF(Table1[[#This Row],[Kv*T "D"3]]="",Table1[[#This Row],[Kv*T "Y"3]]*3^0.5,Table1[[#This Row],[Kv*T "D"3]]))</f>
        <v/>
      </c>
      <c r="AQ45" s="44"/>
      <c r="AR45" s="134" t="str">
        <f>IF(AND(Table1[[#This Row],[Variant]]=$AR$4,Table1[[#This Row],[Kv*T]]&gt;0,Table1[[#This Row],[Term.]]="D"),Table1[[#This Row],[Kv*T]],"")</f>
        <v/>
      </c>
      <c r="AS45" s="134" t="str">
        <f>IF(AND(Table1[[#This Row],[Variant]]=$AR$4,Table1[[#This Row],[Kv*T]]&gt;0,Table1[[#This Row],[Term.]]="Y"),Table1[[#This Row],[Kv*T]],"")</f>
        <v/>
      </c>
      <c r="AT45" s="44" t="str">
        <f>IF(AND(Table1[[#This Row],[Kv*T "D"4]]="",Table1[[#This Row],[Kv*T "Y"4]]=""),"",IF(Table1[[#This Row],[Kv*T "D"4]]="",Table1[[#This Row],[Kv*T "Y"4]]*3^0.5,Table1[[#This Row],[Kv*T "D"4]]))</f>
        <v/>
      </c>
      <c r="AU45" s="44"/>
      <c r="AV45" s="134" t="str">
        <f>IF(AND(Table1[[#This Row],[Variant]]=$AV$4,Table1[[#This Row],[Kv*T]]&gt;0,Table1[[#This Row],[Term.]]="D"),Table1[[#This Row],[Kv*T]],"")</f>
        <v/>
      </c>
      <c r="AW45" s="134" t="str">
        <f>IF(AND(Table1[[#This Row],[Variant]]=$AV$4,Table1[[#This Row],[Kv*T]]&gt;0,Table1[[#This Row],[Term.]]="Y"),Table1[[#This Row],[Kv*T]],"")</f>
        <v/>
      </c>
      <c r="AX45" s="44" t="str">
        <f>IF(AND(Table1[[#This Row],[Kv*T "D"5]]="",Table1[[#This Row],[Kv*T "Y"5]]=""),"",IF(Table1[[#This Row],[Kv*T "D"5]]="",Table1[[#This Row],[Kv*T "Y"5]]*3^0.5,Table1[[#This Row],[Kv*T "D"5]]))</f>
        <v/>
      </c>
      <c r="AY45" s="44"/>
    </row>
    <row r="46" spans="1:51" s="100" customFormat="1">
      <c r="A46" s="146" t="s">
        <v>224</v>
      </c>
      <c r="B46" s="5">
        <v>94</v>
      </c>
      <c r="C46" s="5">
        <v>12</v>
      </c>
      <c r="D46" s="5" t="s">
        <v>42</v>
      </c>
      <c r="E46" s="5">
        <v>1</v>
      </c>
      <c r="F46" s="86">
        <f t="shared" si="5"/>
        <v>12</v>
      </c>
      <c r="G46" s="5" t="s">
        <v>21</v>
      </c>
      <c r="H46" s="5">
        <v>36</v>
      </c>
      <c r="I46" s="97">
        <f>IF(OR(Table1[[#This Row],[Phys. Turns]]="",Table1[[#This Row],[Wire]]="",Table1[[#This Row],[Parallel]]=""),"",Table1[[#This Row],[Phys. Turns]]*VLOOKUP(Table1[[#This Row],[Wire]],wirelist,4,FALSE))</f>
        <v>2.448</v>
      </c>
      <c r="J46" s="5">
        <v>1506</v>
      </c>
      <c r="K46" s="19">
        <v>0.37</v>
      </c>
      <c r="L46" s="20"/>
      <c r="M46" s="146" t="s">
        <v>72</v>
      </c>
      <c r="N46" s="49"/>
      <c r="O46" s="5"/>
      <c r="P46" s="5">
        <v>17193</v>
      </c>
      <c r="Q46" s="19">
        <v>11.42</v>
      </c>
      <c r="R46" s="19">
        <v>0.37</v>
      </c>
      <c r="S46" s="49"/>
      <c r="T46" s="43" t="str">
        <f t="shared" si="6"/>
        <v/>
      </c>
      <c r="U46" s="102" t="s">
        <v>27</v>
      </c>
      <c r="V46" s="144" t="s">
        <v>238</v>
      </c>
      <c r="W46" s="46" t="str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/>
      </c>
      <c r="X46" s="47" t="str">
        <f>IF(OR(P46="",Table1[[#This Row],[Prop.]]="No Load"),"",(AC46/VLOOKUP(Table1[[#This Row],[Prop.]],proplist,9,FALSE))*VLOOKUP(Table1[[#This Row],[Prop.]],proplist,7,FALSE)*(Table1[[#This Row],[RPM]]/1000)^(VLOOKUP(Table1[[#This Row],[Prop.]],proplist,8,FALSE))/Table1[[#This Row],[Pin '[W']]])</f>
        <v/>
      </c>
      <c r="Y46" s="43" t="str">
        <f>IF(OR(P46="",Table1[[#This Row],[Prop.]]="No Load"),"",P46*VLOOKUP(Table1[[#This Row],[Prop.]],proplist,3,FALSE)/1056)</f>
        <v/>
      </c>
      <c r="Z46" s="43" t="str">
        <f t="shared" si="4"/>
        <v/>
      </c>
      <c r="AA46" s="44" t="str">
        <f>IF(OR(AB46="",Table1[[#This Row],[Prop.]]="No Load"),"",AB46*(1-X46))</f>
        <v/>
      </c>
      <c r="AB46" s="44">
        <f t="shared" si="7"/>
        <v>4.2253999999999996</v>
      </c>
      <c r="AC46" s="86">
        <f t="shared" si="8"/>
        <v>1.2040999999999999</v>
      </c>
      <c r="AD46" s="44">
        <f>IF(Table1[[#This Row],[Prop.]]="No Load",Table1[[#This Row],["T"]]*Table1[[#This Row],[RPM]]/Table1[[#This Row],[V]],"")</f>
        <v>18066.199649737304</v>
      </c>
      <c r="AE46" s="97">
        <f>IF(OR(C46="",E46="",H46=""),"",IF(Table1[[#This Row],[Prop.]]="No Load",IF(E46=1,(H46-10)/C46,IF(E46=2,2*(H46-10)/C46,4*(H46-10))),""))</f>
        <v>2.1666666666666665</v>
      </c>
      <c r="AF46" s="86" t="str">
        <f>IF(AND(Table1[[#This Row],[Variant]]=$AF$4,Table1[[#This Row],[Kv*T]]&gt;0,Table1[[#This Row],[Term.]]="D"),Table1[[#This Row],[Kv*T]],"")</f>
        <v/>
      </c>
      <c r="AG46" s="86">
        <f>IF(AND(Table1[[#This Row],[Variant]]=$AF$4,Table1[[#This Row],[Kv*T]]&gt;0,Table1[[#This Row],[Term.]]="Y"),Table1[[#This Row],[Kv*T]],"")</f>
        <v>18066.199649737304</v>
      </c>
      <c r="AH46" s="44">
        <f>IF(AND(Table1[[#This Row],[Kv*T "D"]]="",Table1[[#This Row],[Kv*T "Y"]]=""),"",IF(Table1[[#This Row],[Kv*T "D"]]="",Table1[[#This Row],[Kv*T "Y"]]*3^0.5,Table1[[#This Row],[Kv*T "D"]]))</f>
        <v>31291.575693028062</v>
      </c>
      <c r="AI46" s="43">
        <f>IF(Table1[[#This Row],[Std Inch per turn]]="","",Table1[[#This Row],[Std Inch per turn]])</f>
        <v>2.1666666666666665</v>
      </c>
      <c r="AJ46" s="134" t="str">
        <f>IF(AND(Table1[[#This Row],[Variant]]=$AJ$4,Table1[[#This Row],[Kv*T]]&gt;0,Table1[[#This Row],[Term.]]="D"),Table1[[#This Row],[Kv*T]],"")</f>
        <v/>
      </c>
      <c r="AK46" s="134" t="str">
        <f>IF(AND(Table1[[#This Row],[Variant]]=$AJ$4,Table1[[#This Row],[Kv*T]]&gt;0,Table1[[#This Row],[Term.]]="Y"),Table1[[#This Row],[Kv*T]],"")</f>
        <v/>
      </c>
      <c r="AL46" s="44" t="str">
        <f>IF(AND(Table1[[#This Row],[Kv*T "D"2]]="",Table1[[#This Row],[Kv*T "Y"2]]=""),"",IF(Table1[[#This Row],[Kv*T "D"2]]="",Table1[[#This Row],[Kv*T "Y"2]]*3^0.5,Table1[[#This Row],[Kv*T "D"2]]))</f>
        <v/>
      </c>
      <c r="AM46" s="43">
        <f>IF(Table1[[#This Row],[Std Inch per turn]]="","",Table1[[#This Row],[Std Inch per turn]])</f>
        <v>2.1666666666666665</v>
      </c>
      <c r="AN46" s="134" t="str">
        <f>IF(AND(Table1[[#This Row],[Variant]]=$AN$4,Table1[[#This Row],[Kv*T]]&gt;0,Table1[[#This Row],[Term.]]="D"),Table1[[#This Row],[Kv*T]],"")</f>
        <v/>
      </c>
      <c r="AO46" s="134" t="str">
        <f>IF(AND(Table1[[#This Row],[Variant]]=$AN$4,Table1[[#This Row],[Kv*T]]&gt;0,Table1[[#This Row],[Term.]]="Y"),Table1[[#This Row],[Kv*T]],"")</f>
        <v/>
      </c>
      <c r="AP46" s="44" t="str">
        <f>IF(AND(Table1[[#This Row],[Kv*T "D"3]]="",Table1[[#This Row],[Kv*T "Y"3]]=""),"",IF(Table1[[#This Row],[Kv*T "D"3]]="",Table1[[#This Row],[Kv*T "Y"3]]*3^0.5,Table1[[#This Row],[Kv*T "D"3]]))</f>
        <v/>
      </c>
      <c r="AQ46" s="44"/>
      <c r="AR46" s="134" t="str">
        <f>IF(AND(Table1[[#This Row],[Variant]]=$AR$4,Table1[[#This Row],[Kv*T]]&gt;0,Table1[[#This Row],[Term.]]="D"),Table1[[#This Row],[Kv*T]],"")</f>
        <v/>
      </c>
      <c r="AS46" s="134" t="str">
        <f>IF(AND(Table1[[#This Row],[Variant]]=$AR$4,Table1[[#This Row],[Kv*T]]&gt;0,Table1[[#This Row],[Term.]]="Y"),Table1[[#This Row],[Kv*T]],"")</f>
        <v/>
      </c>
      <c r="AT46" s="44" t="str">
        <f>IF(AND(Table1[[#This Row],[Kv*T "D"4]]="",Table1[[#This Row],[Kv*T "Y"4]]=""),"",IF(Table1[[#This Row],[Kv*T "D"4]]="",Table1[[#This Row],[Kv*T "Y"4]]*3^0.5,Table1[[#This Row],[Kv*T "D"4]]))</f>
        <v/>
      </c>
      <c r="AU46" s="44"/>
      <c r="AV46" s="134" t="str">
        <f>IF(AND(Table1[[#This Row],[Variant]]=$AV$4,Table1[[#This Row],[Kv*T]]&gt;0,Table1[[#This Row],[Term.]]="D"),Table1[[#This Row],[Kv*T]],"")</f>
        <v/>
      </c>
      <c r="AW46" s="134" t="str">
        <f>IF(AND(Table1[[#This Row],[Variant]]=$AV$4,Table1[[#This Row],[Kv*T]]&gt;0,Table1[[#This Row],[Term.]]="Y"),Table1[[#This Row],[Kv*T]],"")</f>
        <v/>
      </c>
      <c r="AX46" s="44" t="str">
        <f>IF(AND(Table1[[#This Row],[Kv*T "D"5]]="",Table1[[#This Row],[Kv*T "Y"5]]=""),"",IF(Table1[[#This Row],[Kv*T "D"5]]="",Table1[[#This Row],[Kv*T "Y"5]]*3^0.5,Table1[[#This Row],[Kv*T "D"5]]))</f>
        <v/>
      </c>
      <c r="AY46" s="44"/>
    </row>
    <row r="47" spans="1:51" s="100" customFormat="1">
      <c r="A47" s="146" t="s">
        <v>224</v>
      </c>
      <c r="B47" s="165">
        <v>92</v>
      </c>
      <c r="C47" s="165">
        <v>12</v>
      </c>
      <c r="D47" s="146" t="s">
        <v>42</v>
      </c>
      <c r="E47" s="165">
        <v>1</v>
      </c>
      <c r="F47" s="86">
        <f t="shared" si="5"/>
        <v>12</v>
      </c>
      <c r="G47" s="146" t="s">
        <v>21</v>
      </c>
      <c r="H47" s="165">
        <v>36</v>
      </c>
      <c r="I47" s="97">
        <f>IF(OR(Table1[[#This Row],[Phys. Turns]]="",Table1[[#This Row],[Wire]]="",Table1[[#This Row],[Parallel]]=""),"",Table1[[#This Row],[Phys. Turns]]*VLOOKUP(Table1[[#This Row],[Wire]],wirelist,4,FALSE))</f>
        <v>2.448</v>
      </c>
      <c r="J47" s="165">
        <v>1509</v>
      </c>
      <c r="K47" s="12">
        <v>0.37</v>
      </c>
      <c r="L47" s="13">
        <v>0.153</v>
      </c>
      <c r="M47" s="163" t="s">
        <v>72</v>
      </c>
      <c r="N47" s="48"/>
      <c r="O47" s="165"/>
      <c r="P47" s="165">
        <v>17354</v>
      </c>
      <c r="Q47" s="12">
        <v>11.5</v>
      </c>
      <c r="R47" s="12">
        <v>0.37</v>
      </c>
      <c r="S47" s="48"/>
      <c r="T47" s="43" t="str">
        <f t="shared" si="6"/>
        <v/>
      </c>
      <c r="U47" s="133" t="s">
        <v>27</v>
      </c>
      <c r="V47" s="141" t="s">
        <v>238</v>
      </c>
      <c r="W47" s="46" t="str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/>
      </c>
      <c r="X47" s="47" t="str">
        <f>IF(OR(P47="",Table1[[#This Row],[Prop.]]="No Load"),"",(AC47/VLOOKUP(Table1[[#This Row],[Prop.]],proplist,9,FALSE))*VLOOKUP(Table1[[#This Row],[Prop.]],proplist,7,FALSE)*(Table1[[#This Row],[RPM]]/1000)^(VLOOKUP(Table1[[#This Row],[Prop.]],proplist,8,FALSE))/Table1[[#This Row],[Pin '[W']]])</f>
        <v/>
      </c>
      <c r="Y47" s="43" t="str">
        <f>IF(OR(P47="",Table1[[#This Row],[Prop.]]="No Load"),"",P47*VLOOKUP(Table1[[#This Row],[Prop.]],proplist,3,FALSE)/1056)</f>
        <v/>
      </c>
      <c r="Z47" s="43" t="str">
        <f t="shared" si="4"/>
        <v/>
      </c>
      <c r="AA47" s="44" t="str">
        <f>IF(OR(AB47="",Table1[[#This Row],[Prop.]]="No Load"),"",AB47*(1-X47))</f>
        <v/>
      </c>
      <c r="AB47" s="44">
        <f t="shared" si="7"/>
        <v>4.2549999999999999</v>
      </c>
      <c r="AC47" s="86">
        <f t="shared" si="8"/>
        <v>1.2040999999999999</v>
      </c>
      <c r="AD47" s="44">
        <f>IF(Table1[[#This Row],[Prop.]]="No Load",Table1[[#This Row],["T"]]*Table1[[#This Row],[RPM]]/Table1[[#This Row],[V]],"")</f>
        <v>18108.521739130436</v>
      </c>
      <c r="AE47" s="97">
        <f>IF(OR(C47="",E47="",H47=""),"",IF(Table1[[#This Row],[Prop.]]="No Load",IF(E47=1,(H47-10)/C47,IF(E47=2,2*(H47-10)/C47,4*(H47-10))),""))</f>
        <v>2.1666666666666665</v>
      </c>
      <c r="AF47" s="86" t="str">
        <f>IF(AND(Table1[[#This Row],[Variant]]=$AF$4,Table1[[#This Row],[Kv*T]]&gt;0,Table1[[#This Row],[Term.]]="D"),Table1[[#This Row],[Kv*T]],"")</f>
        <v/>
      </c>
      <c r="AG47" s="86">
        <f>IF(AND(Table1[[#This Row],[Variant]]=$AF$4,Table1[[#This Row],[Kv*T]]&gt;0,Table1[[#This Row],[Term.]]="Y"),Table1[[#This Row],[Kv*T]],"")</f>
        <v>18108.521739130436</v>
      </c>
      <c r="AH47" s="44">
        <f>IF(AND(Table1[[#This Row],[Kv*T "D"]]="",Table1[[#This Row],[Kv*T "Y"]]=""),"",IF(Table1[[#This Row],[Kv*T "D"]]="",Table1[[#This Row],[Kv*T "Y"]]*3^0.5,Table1[[#This Row],[Kv*T "D"]]))</f>
        <v>31364.879702139438</v>
      </c>
      <c r="AI47" s="43">
        <f>IF(Table1[[#This Row],[Std Inch per turn]]="","",Table1[[#This Row],[Std Inch per turn]])</f>
        <v>2.1666666666666665</v>
      </c>
      <c r="AJ47" s="134" t="str">
        <f>IF(AND(Table1[[#This Row],[Variant]]=$AJ$4,Table1[[#This Row],[Kv*T]]&gt;0,Table1[[#This Row],[Term.]]="D"),Table1[[#This Row],[Kv*T]],"")</f>
        <v/>
      </c>
      <c r="AK47" s="134" t="str">
        <f>IF(AND(Table1[[#This Row],[Variant]]=$AJ$4,Table1[[#This Row],[Kv*T]]&gt;0,Table1[[#This Row],[Term.]]="Y"),Table1[[#This Row],[Kv*T]],"")</f>
        <v/>
      </c>
      <c r="AL47" s="44" t="str">
        <f>IF(AND(Table1[[#This Row],[Kv*T "D"2]]="",Table1[[#This Row],[Kv*T "Y"2]]=""),"",IF(Table1[[#This Row],[Kv*T "D"2]]="",Table1[[#This Row],[Kv*T "Y"2]]*3^0.5,Table1[[#This Row],[Kv*T "D"2]]))</f>
        <v/>
      </c>
      <c r="AM47" s="43">
        <f>IF(Table1[[#This Row],[Std Inch per turn]]="","",Table1[[#This Row],[Std Inch per turn]])</f>
        <v>2.1666666666666665</v>
      </c>
      <c r="AN47" s="134" t="str">
        <f>IF(AND(Table1[[#This Row],[Variant]]=$AN$4,Table1[[#This Row],[Kv*T]]&gt;0,Table1[[#This Row],[Term.]]="D"),Table1[[#This Row],[Kv*T]],"")</f>
        <v/>
      </c>
      <c r="AO47" s="134" t="str">
        <f>IF(AND(Table1[[#This Row],[Variant]]=$AN$4,Table1[[#This Row],[Kv*T]]&gt;0,Table1[[#This Row],[Term.]]="Y"),Table1[[#This Row],[Kv*T]],"")</f>
        <v/>
      </c>
      <c r="AP47" s="44" t="str">
        <f>IF(AND(Table1[[#This Row],[Kv*T "D"3]]="",Table1[[#This Row],[Kv*T "Y"3]]=""),"",IF(Table1[[#This Row],[Kv*T "D"3]]="",Table1[[#This Row],[Kv*T "Y"3]]*3^0.5,Table1[[#This Row],[Kv*T "D"3]]))</f>
        <v/>
      </c>
      <c r="AQ47" s="44"/>
      <c r="AR47" s="134" t="str">
        <f>IF(AND(Table1[[#This Row],[Variant]]=$AR$4,Table1[[#This Row],[Kv*T]]&gt;0,Table1[[#This Row],[Term.]]="D"),Table1[[#This Row],[Kv*T]],"")</f>
        <v/>
      </c>
      <c r="AS47" s="134" t="str">
        <f>IF(AND(Table1[[#This Row],[Variant]]=$AR$4,Table1[[#This Row],[Kv*T]]&gt;0,Table1[[#This Row],[Term.]]="Y"),Table1[[#This Row],[Kv*T]],"")</f>
        <v/>
      </c>
      <c r="AT47" s="44" t="str">
        <f>IF(AND(Table1[[#This Row],[Kv*T "D"4]]="",Table1[[#This Row],[Kv*T "Y"4]]=""),"",IF(Table1[[#This Row],[Kv*T "D"4]]="",Table1[[#This Row],[Kv*T "Y"4]]*3^0.5,Table1[[#This Row],[Kv*T "D"4]]))</f>
        <v/>
      </c>
      <c r="AU47" s="44"/>
      <c r="AV47" s="134" t="str">
        <f>IF(AND(Table1[[#This Row],[Variant]]=$AV$4,Table1[[#This Row],[Kv*T]]&gt;0,Table1[[#This Row],[Term.]]="D"),Table1[[#This Row],[Kv*T]],"")</f>
        <v/>
      </c>
      <c r="AW47" s="134" t="str">
        <f>IF(AND(Table1[[#This Row],[Variant]]=$AV$4,Table1[[#This Row],[Kv*T]]&gt;0,Table1[[#This Row],[Term.]]="Y"),Table1[[#This Row],[Kv*T]],"")</f>
        <v/>
      </c>
      <c r="AX47" s="44" t="str">
        <f>IF(AND(Table1[[#This Row],[Kv*T "D"5]]="",Table1[[#This Row],[Kv*T "Y"5]]=""),"",IF(Table1[[#This Row],[Kv*T "D"5]]="",Table1[[#This Row],[Kv*T "Y"5]]*3^0.5,Table1[[#This Row],[Kv*T "D"5]]))</f>
        <v/>
      </c>
      <c r="AY47" s="44"/>
    </row>
    <row r="48" spans="1:51">
      <c r="A48" s="127" t="s">
        <v>224</v>
      </c>
      <c r="B48" s="127">
        <v>89</v>
      </c>
      <c r="C48" s="127">
        <v>12</v>
      </c>
      <c r="D48" s="127" t="s">
        <v>42</v>
      </c>
      <c r="E48" s="127">
        <v>1</v>
      </c>
      <c r="F48" s="86">
        <f t="shared" si="5"/>
        <v>12</v>
      </c>
      <c r="G48" s="127" t="s">
        <v>21</v>
      </c>
      <c r="H48" s="127">
        <v>36</v>
      </c>
      <c r="I48" s="97">
        <f>IF(OR(Table1[[#This Row],[Phys. Turns]]="",Table1[[#This Row],[Wire]]="",Table1[[#This Row],[Parallel]]=""),"",Table1[[#This Row],[Phys. Turns]]*VLOOKUP(Table1[[#This Row],[Wire]],wirelist,4,FALSE))</f>
        <v>2.448</v>
      </c>
      <c r="J48" s="127">
        <v>1514</v>
      </c>
      <c r="K48" s="129">
        <v>0.37</v>
      </c>
      <c r="L48" s="158">
        <v>0.15</v>
      </c>
      <c r="M48" s="146" t="s">
        <v>72</v>
      </c>
      <c r="N48" s="128"/>
      <c r="O48" s="127"/>
      <c r="P48" s="127">
        <v>17405</v>
      </c>
      <c r="Q48" s="129">
        <v>11.5</v>
      </c>
      <c r="R48" s="129">
        <v>0.37</v>
      </c>
      <c r="S48" s="128"/>
      <c r="T48" s="43" t="str">
        <f t="shared" si="6"/>
        <v/>
      </c>
      <c r="U48" s="132" t="s">
        <v>27</v>
      </c>
      <c r="V48" s="140" t="s">
        <v>238</v>
      </c>
      <c r="W48" s="46" t="str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/>
      </c>
      <c r="X48" s="47" t="str">
        <f>IF(OR(P48="",Table1[[#This Row],[Prop.]]="No Load"),"",(AC48/VLOOKUP(Table1[[#This Row],[Prop.]],proplist,9,FALSE))*VLOOKUP(Table1[[#This Row],[Prop.]],proplist,7,FALSE)*(Table1[[#This Row],[RPM]]/1000)^(VLOOKUP(Table1[[#This Row],[Prop.]],proplist,8,FALSE))/Table1[[#This Row],[Pin '[W']]])</f>
        <v/>
      </c>
      <c r="Y48" s="43" t="str">
        <f>IF(OR(P48="",Table1[[#This Row],[Prop.]]="No Load"),"",P48*VLOOKUP(Table1[[#This Row],[Prop.]],proplist,3,FALSE)/1056)</f>
        <v/>
      </c>
      <c r="Z48" s="43" t="str">
        <f t="shared" si="4"/>
        <v/>
      </c>
      <c r="AA48" s="135" t="str">
        <f>IF(OR(AB48="",Table1[[#This Row],[Prop.]]="No Load"),"",AB48*(1-X48))</f>
        <v/>
      </c>
      <c r="AB48" s="135">
        <f t="shared" si="7"/>
        <v>4.2549999999999999</v>
      </c>
      <c r="AC48" s="135">
        <f t="shared" si="8"/>
        <v>1.2040999999999999</v>
      </c>
      <c r="AD48" s="135">
        <f>IF(Table1[[#This Row],[Prop.]]="No Load",Table1[[#This Row],["T"]]*Table1[[#This Row],[RPM]]/Table1[[#This Row],[V]],"")</f>
        <v>18161.739130434784</v>
      </c>
      <c r="AE48" s="136">
        <f>IF(OR(C48="",E48="",H48=""),"",IF(Table1[[#This Row],[Prop.]]="No Load",IF(E48=1,(H48-10)/C48,IF(E48=2,2*(H48-10)/C48,4*(H48-10))),""))</f>
        <v>2.1666666666666665</v>
      </c>
      <c r="AF48" s="137" t="str">
        <f>IF(AND(Table1[[#This Row],[Variant]]=$AF$4,Table1[[#This Row],[Kv*T]]&gt;0,Table1[[#This Row],[Term.]]="D"),Table1[[#This Row],[Kv*T]],"")</f>
        <v/>
      </c>
      <c r="AG48" s="137">
        <f>IF(AND(Table1[[#This Row],[Variant]]=$AF$4,Table1[[#This Row],[Kv*T]]&gt;0,Table1[[#This Row],[Term.]]="Y"),Table1[[#This Row],[Kv*T]],"")</f>
        <v>18161.739130434784</v>
      </c>
      <c r="AH48" s="135">
        <f>IF(AND(Table1[[#This Row],[Kv*T "D"]]="",Table1[[#This Row],[Kv*T "Y"]]=""),"",IF(Table1[[#This Row],[Kv*T "D"]]="",Table1[[#This Row],[Kv*T "Y"]]*3^0.5,Table1[[#This Row],[Kv*T "D"]]))</f>
        <v>31457.054927724846</v>
      </c>
      <c r="AI48" s="139">
        <f>IF(Table1[[#This Row],[Std Inch per turn]]="","",Table1[[#This Row],[Std Inch per turn]])</f>
        <v>2.1666666666666665</v>
      </c>
      <c r="AJ48" s="138" t="str">
        <f>IF(AND(Table1[[#This Row],[Variant]]=$AJ$4,Table1[[#This Row],[Kv*T]]&gt;0,Table1[[#This Row],[Term.]]="D"),Table1[[#This Row],[Kv*T]],"")</f>
        <v/>
      </c>
      <c r="AK48" s="138" t="str">
        <f>IF(AND(Table1[[#This Row],[Variant]]=$AJ$4,Table1[[#This Row],[Kv*T]]&gt;0,Table1[[#This Row],[Term.]]="Y"),Table1[[#This Row],[Kv*T]],"")</f>
        <v/>
      </c>
      <c r="AL48" s="135" t="str">
        <f>IF(AND(Table1[[#This Row],[Kv*T "D"2]]="",Table1[[#This Row],[Kv*T "Y"2]]=""),"",IF(Table1[[#This Row],[Kv*T "D"2]]="",Table1[[#This Row],[Kv*T "Y"2]]*3^0.5,Table1[[#This Row],[Kv*T "D"2]]))</f>
        <v/>
      </c>
      <c r="AM48" s="139">
        <f>IF(Table1[[#This Row],[Std Inch per turn]]="","",Table1[[#This Row],[Std Inch per turn]])</f>
        <v>2.1666666666666665</v>
      </c>
      <c r="AN48" s="138" t="str">
        <f>IF(AND(Table1[[#This Row],[Variant]]=$AN$4,Table1[[#This Row],[Kv*T]]&gt;0,Table1[[#This Row],[Term.]]="D"),Table1[[#This Row],[Kv*T]],"")</f>
        <v/>
      </c>
      <c r="AO48" s="138" t="str">
        <f>IF(AND(Table1[[#This Row],[Variant]]=$AN$4,Table1[[#This Row],[Kv*T]]&gt;0,Table1[[#This Row],[Term.]]="Y"),Table1[[#This Row],[Kv*T]],"")</f>
        <v/>
      </c>
      <c r="AP48" s="135" t="str">
        <f>IF(AND(Table1[[#This Row],[Kv*T "D"3]]="",Table1[[#This Row],[Kv*T "Y"3]]=""),"",IF(Table1[[#This Row],[Kv*T "D"3]]="",Table1[[#This Row],[Kv*T "Y"3]]*3^0.5,Table1[[#This Row],[Kv*T "D"3]]))</f>
        <v/>
      </c>
      <c r="AQ48" s="135"/>
      <c r="AR48" s="138" t="str">
        <f>IF(AND(Table1[[#This Row],[Variant]]=$AR$4,Table1[[#This Row],[Kv*T]]&gt;0,Table1[[#This Row],[Term.]]="D"),Table1[[#This Row],[Kv*T]],"")</f>
        <v/>
      </c>
      <c r="AS48" s="138" t="str">
        <f>IF(AND(Table1[[#This Row],[Variant]]=$AR$4,Table1[[#This Row],[Kv*T]]&gt;0,Table1[[#This Row],[Term.]]="Y"),Table1[[#This Row],[Kv*T]],"")</f>
        <v/>
      </c>
      <c r="AT48" s="135" t="str">
        <f>IF(AND(Table1[[#This Row],[Kv*T "D"4]]="",Table1[[#This Row],[Kv*T "Y"4]]=""),"",IF(Table1[[#This Row],[Kv*T "D"4]]="",Table1[[#This Row],[Kv*T "Y"4]]*3^0.5,Table1[[#This Row],[Kv*T "D"4]]))</f>
        <v/>
      </c>
      <c r="AU48" s="135"/>
      <c r="AV48" s="138" t="str">
        <f>IF(AND(Table1[[#This Row],[Variant]]=$AV$4,Table1[[#This Row],[Kv*T]]&gt;0,Table1[[#This Row],[Term.]]="D"),Table1[[#This Row],[Kv*T]],"")</f>
        <v/>
      </c>
      <c r="AW48" s="138" t="str">
        <f>IF(AND(Table1[[#This Row],[Variant]]=$AV$4,Table1[[#This Row],[Kv*T]]&gt;0,Table1[[#This Row],[Term.]]="Y"),Table1[[#This Row],[Kv*T]],"")</f>
        <v/>
      </c>
      <c r="AX48" s="135" t="str">
        <f>IF(AND(Table1[[#This Row],[Kv*T "D"5]]="",Table1[[#This Row],[Kv*T "Y"5]]=""),"",IF(Table1[[#This Row],[Kv*T "D"5]]="",Table1[[#This Row],[Kv*T "Y"5]]*3^0.5,Table1[[#This Row],[Kv*T "D"5]]))</f>
        <v/>
      </c>
      <c r="AY48" s="135"/>
    </row>
    <row r="49" spans="1:51">
      <c r="A49" s="163" t="s">
        <v>224</v>
      </c>
      <c r="B49" s="127">
        <v>104</v>
      </c>
      <c r="C49" s="127">
        <v>12</v>
      </c>
      <c r="D49" s="127" t="s">
        <v>42</v>
      </c>
      <c r="E49" s="127">
        <v>1</v>
      </c>
      <c r="F49" s="86">
        <f t="shared" si="5"/>
        <v>12</v>
      </c>
      <c r="G49" s="127" t="s">
        <v>11</v>
      </c>
      <c r="H49" s="127">
        <v>38</v>
      </c>
      <c r="I49" s="97">
        <f>IF(OR(Table1[[#This Row],[Phys. Turns]]="",Table1[[#This Row],[Wire]]="",Table1[[#This Row],[Parallel]]=""),"",Table1[[#This Row],[Phys. Turns]]*VLOOKUP(Table1[[#This Row],[Wire]],wirelist,4,FALSE))</f>
        <v>2.448</v>
      </c>
      <c r="J49" s="156">
        <f>Table1[[#This Row],[RPM]]/Table1[[#This Row],[V]]</f>
        <v>2695.7465277777778</v>
      </c>
      <c r="K49" s="129">
        <v>0.79</v>
      </c>
      <c r="L49" s="158"/>
      <c r="M49" s="146" t="s">
        <v>72</v>
      </c>
      <c r="N49" s="128"/>
      <c r="O49" s="127"/>
      <c r="P49" s="127">
        <v>31055</v>
      </c>
      <c r="Q49" s="129">
        <v>11.52</v>
      </c>
      <c r="R49" s="129">
        <v>0.79</v>
      </c>
      <c r="S49" s="128"/>
      <c r="T49" s="43" t="str">
        <f t="shared" si="6"/>
        <v/>
      </c>
      <c r="U49" s="132" t="s">
        <v>27</v>
      </c>
      <c r="V49" s="140" t="s">
        <v>237</v>
      </c>
      <c r="W49" s="46" t="str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/>
      </c>
      <c r="X49" s="47" t="str">
        <f>IF(OR(P49="",Table1[[#This Row],[Prop.]]="No Load"),"",(AC49/VLOOKUP(Table1[[#This Row],[Prop.]],proplist,9,FALSE))*VLOOKUP(Table1[[#This Row],[Prop.]],proplist,7,FALSE)*(Table1[[#This Row],[RPM]]/1000)^(VLOOKUP(Table1[[#This Row],[Prop.]],proplist,8,FALSE))/Table1[[#This Row],[Pin '[W']]])</f>
        <v/>
      </c>
      <c r="Y49" s="43" t="str">
        <f>IF(OR(P49="",Table1[[#This Row],[Prop.]]="No Load"),"",P49*VLOOKUP(Table1[[#This Row],[Prop.]],proplist,3,FALSE)/1056)</f>
        <v/>
      </c>
      <c r="Z49" s="43" t="str">
        <f t="shared" si="4"/>
        <v/>
      </c>
      <c r="AA49" s="44"/>
      <c r="AB49" s="44">
        <f t="shared" si="7"/>
        <v>9.1007999999999996</v>
      </c>
      <c r="AC49" s="127">
        <f t="shared" si="8"/>
        <v>1.2040999999999999</v>
      </c>
      <c r="AD49" s="156">
        <f>IF(Table1[[#This Row],[Prop.]]="No Load",Table1[[#This Row],["T"]]*Table1[[#This Row],[RPM]]/Table1[[#This Row],[V]],"")</f>
        <v>32348.958333333336</v>
      </c>
      <c r="AE49" s="129">
        <f>IF(OR(C49="",E49="",H49=""),"",IF(Table1[[#This Row],[Prop.]]="No Load",IF(E49=1,(H49-10)/C49,IF(E49=2,2*(H49-10)/C49,4*(H49-10))),""))</f>
        <v>2.3333333333333335</v>
      </c>
      <c r="AF49" s="127">
        <f>IF(AND(Table1[[#This Row],[Variant]]=$AF$4,Table1[[#This Row],[Kv*T]]&gt;0,Table1[[#This Row],[Term.]]="D"),Table1[[#This Row],[Kv*T]],"")</f>
        <v>32348.958333333336</v>
      </c>
      <c r="AG49" s="127" t="str">
        <f>IF(AND(Table1[[#This Row],[Variant]]=$AF$4,Table1[[#This Row],[Kv*T]]&gt;0,Table1[[#This Row],[Term.]]="Y"),Table1[[#This Row],[Kv*T]],"")</f>
        <v/>
      </c>
      <c r="AH49" s="156">
        <f>IF(AND(Table1[[#This Row],[Kv*T "D"]]="",Table1[[#This Row],[Kv*T "Y"]]=""),"",IF(Table1[[#This Row],[Kv*T "D"]]="",Table1[[#This Row],[Kv*T "Y"]]*3^0.5,Table1[[#This Row],[Kv*T "D"]]))</f>
        <v>32348.958333333336</v>
      </c>
      <c r="AI49" s="128">
        <f>IF(Table1[[#This Row],[Std Inch per turn]]="","",Table1[[#This Row],[Std Inch per turn]])</f>
        <v>2.3333333333333335</v>
      </c>
      <c r="AJ49" s="157" t="str">
        <f>IF(AND(Table1[[#This Row],[Variant]]=$AJ$4,Table1[[#This Row],[Kv*T]]&gt;0,Table1[[#This Row],[Term.]]="D"),Table1[[#This Row],[Kv*T]],"")</f>
        <v/>
      </c>
      <c r="AK49" s="157" t="str">
        <f>IF(AND(Table1[[#This Row],[Variant]]=$AJ$4,Table1[[#This Row],[Kv*T]]&gt;0,Table1[[#This Row],[Term.]]="Y"),Table1[[#This Row],[Kv*T]],"")</f>
        <v/>
      </c>
      <c r="AL49" s="156" t="str">
        <f>IF(AND(Table1[[#This Row],[Kv*T "D"2]]="",Table1[[#This Row],[Kv*T "Y"2]]=""),"",IF(Table1[[#This Row],[Kv*T "D"2]]="",Table1[[#This Row],[Kv*T "Y"2]]*3^0.5,Table1[[#This Row],[Kv*T "D"2]]))</f>
        <v/>
      </c>
      <c r="AM49" s="128">
        <f>IF(Table1[[#This Row],[Std Inch per turn]]="","",Table1[[#This Row],[Std Inch per turn]])</f>
        <v>2.3333333333333335</v>
      </c>
      <c r="AN49" s="157" t="str">
        <f>IF(AND(Table1[[#This Row],[Variant]]=$AN$4,Table1[[#This Row],[Kv*T]]&gt;0,Table1[[#This Row],[Term.]]="D"),Table1[[#This Row],[Kv*T]],"")</f>
        <v/>
      </c>
      <c r="AO49" s="157" t="str">
        <f>IF(AND(Table1[[#This Row],[Variant]]=$AN$4,Table1[[#This Row],[Kv*T]]&gt;0,Table1[[#This Row],[Term.]]="Y"),Table1[[#This Row],[Kv*T]],"")</f>
        <v/>
      </c>
      <c r="AP49" s="156" t="str">
        <f>IF(AND(Table1[[#This Row],[Kv*T "D"3]]="",Table1[[#This Row],[Kv*T "Y"3]]=""),"",IF(Table1[[#This Row],[Kv*T "D"3]]="",Table1[[#This Row],[Kv*T "Y"3]]*3^0.5,Table1[[#This Row],[Kv*T "D"3]]))</f>
        <v/>
      </c>
      <c r="AQ49" s="156"/>
      <c r="AR49" s="157" t="str">
        <f>IF(AND(Table1[[#This Row],[Variant]]=$AR$4,Table1[[#This Row],[Kv*T]]&gt;0,Table1[[#This Row],[Term.]]="D"),Table1[[#This Row],[Kv*T]],"")</f>
        <v/>
      </c>
      <c r="AS49" s="157" t="str">
        <f>IF(AND(Table1[[#This Row],[Variant]]=$AR$4,Table1[[#This Row],[Kv*T]]&gt;0,Table1[[#This Row],[Term.]]="Y"),Table1[[#This Row],[Kv*T]],"")</f>
        <v/>
      </c>
      <c r="AT49" s="156" t="str">
        <f>IF(AND(Table1[[#This Row],[Kv*T "D"4]]="",Table1[[#This Row],[Kv*T "Y"4]]=""),"",IF(Table1[[#This Row],[Kv*T "D"4]]="",Table1[[#This Row],[Kv*T "Y"4]]*3^0.5,Table1[[#This Row],[Kv*T "D"4]]))</f>
        <v/>
      </c>
      <c r="AU49" s="156"/>
      <c r="AV49" s="157" t="str">
        <f>IF(AND(Table1[[#This Row],[Variant]]=$AV$4,Table1[[#This Row],[Kv*T]]&gt;0,Table1[[#This Row],[Term.]]="D"),Table1[[#This Row],[Kv*T]],"")</f>
        <v/>
      </c>
      <c r="AW49" s="157" t="str">
        <f>IF(AND(Table1[[#This Row],[Variant]]=$AV$4,Table1[[#This Row],[Kv*T]]&gt;0,Table1[[#This Row],[Term.]]="Y"),Table1[[#This Row],[Kv*T]],"")</f>
        <v/>
      </c>
      <c r="AX49" s="156" t="str">
        <f>IF(AND(Table1[[#This Row],[Kv*T "D"5]]="",Table1[[#This Row],[Kv*T "Y"5]]=""),"",IF(Table1[[#This Row],[Kv*T "D"5]]="",Table1[[#This Row],[Kv*T "Y"5]]*3^0.5,Table1[[#This Row],[Kv*T "D"5]]))</f>
        <v/>
      </c>
      <c r="AY49" s="156"/>
    </row>
    <row r="50" spans="1:51">
      <c r="A50" s="163" t="s">
        <v>224</v>
      </c>
      <c r="B50" s="5">
        <v>96</v>
      </c>
      <c r="C50" s="5">
        <v>13</v>
      </c>
      <c r="D50" s="163" t="s">
        <v>42</v>
      </c>
      <c r="E50" s="5">
        <v>1</v>
      </c>
      <c r="F50" s="86">
        <f t="shared" si="5"/>
        <v>13</v>
      </c>
      <c r="G50" s="163" t="s">
        <v>11</v>
      </c>
      <c r="H50" s="5">
        <v>38</v>
      </c>
      <c r="I50" s="97">
        <f>IF(OR(Table1[[#This Row],[Phys. Turns]]="",Table1[[#This Row],[Wire]]="",Table1[[#This Row],[Parallel]]=""),"",Table1[[#This Row],[Phys. Turns]]*VLOOKUP(Table1[[#This Row],[Wire]],wirelist,4,FALSE))</f>
        <v>2.6519999999999997</v>
      </c>
      <c r="J50" s="5">
        <v>2366</v>
      </c>
      <c r="K50" s="19">
        <v>0.87</v>
      </c>
      <c r="L50" s="20"/>
      <c r="M50" s="163" t="s">
        <v>72</v>
      </c>
      <c r="N50" s="49"/>
      <c r="O50" s="5"/>
      <c r="P50" s="5">
        <v>27024</v>
      </c>
      <c r="Q50" s="19">
        <v>11.42</v>
      </c>
      <c r="R50" s="19">
        <v>0.87</v>
      </c>
      <c r="S50" s="49"/>
      <c r="T50" s="43" t="str">
        <f t="shared" si="6"/>
        <v/>
      </c>
      <c r="U50" s="133" t="s">
        <v>27</v>
      </c>
      <c r="V50" s="141" t="s">
        <v>238</v>
      </c>
      <c r="W50" s="46" t="str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/>
      </c>
      <c r="X50" s="47" t="str">
        <f>IF(OR(P50="",Table1[[#This Row],[Prop.]]="No Load"),"",(AC50/VLOOKUP(Table1[[#This Row],[Prop.]],proplist,9,FALSE))*VLOOKUP(Table1[[#This Row],[Prop.]],proplist,7,FALSE)*(Table1[[#This Row],[RPM]]/1000)^(VLOOKUP(Table1[[#This Row],[Prop.]],proplist,8,FALSE))/Table1[[#This Row],[Pin '[W']]])</f>
        <v/>
      </c>
      <c r="Y50" s="43" t="str">
        <f>IF(OR(P50="",Table1[[#This Row],[Prop.]]="No Load"),"",P50*VLOOKUP(Table1[[#This Row],[Prop.]],proplist,3,FALSE)/1056)</f>
        <v/>
      </c>
      <c r="Z50" s="43" t="str">
        <f t="shared" si="4"/>
        <v/>
      </c>
      <c r="AA50" s="44" t="str">
        <f>IF(OR(AB50="",Table1[[#This Row],[Prop.]]="No Load"),"",AB50*(1-X50))</f>
        <v/>
      </c>
      <c r="AB50" s="44">
        <f t="shared" si="7"/>
        <v>9.9353999999999996</v>
      </c>
      <c r="AC50" s="86">
        <f t="shared" si="8"/>
        <v>1.2040999999999999</v>
      </c>
      <c r="AD50" s="44">
        <f>IF(Table1[[#This Row],[Prop.]]="No Load",Table1[[#This Row],["T"]]*Table1[[#This Row],[RPM]]/Table1[[#This Row],[V]],"")</f>
        <v>30762.872154115586</v>
      </c>
      <c r="AE50" s="97">
        <f>IF(OR(C50="",E50="",H50=""),"",IF(Table1[[#This Row],[Prop.]]="No Load",IF(E50=1,(H50-10)/C50,IF(E50=2,2*(H50-10)/C50,4*(H50-10))),""))</f>
        <v>2.1538461538461537</v>
      </c>
      <c r="AF50" s="86">
        <f>IF(AND(Table1[[#This Row],[Variant]]=$AF$4,Table1[[#This Row],[Kv*T]]&gt;0,Table1[[#This Row],[Term.]]="D"),Table1[[#This Row],[Kv*T]],"")</f>
        <v>30762.872154115586</v>
      </c>
      <c r="AG50" s="86" t="str">
        <f>IF(AND(Table1[[#This Row],[Variant]]=$AF$4,Table1[[#This Row],[Kv*T]]&gt;0,Table1[[#This Row],[Term.]]="Y"),Table1[[#This Row],[Kv*T]],"")</f>
        <v/>
      </c>
      <c r="AH50" s="44">
        <f>IF(AND(Table1[[#This Row],[Kv*T "D"]]="",Table1[[#This Row],[Kv*T "Y"]]=""),"",IF(Table1[[#This Row],[Kv*T "D"]]="",Table1[[#This Row],[Kv*T "Y"]]*3^0.5,Table1[[#This Row],[Kv*T "D"]]))</f>
        <v>30762.872154115586</v>
      </c>
      <c r="AI50" s="43">
        <f>IF(Table1[[#This Row],[Std Inch per turn]]="","",Table1[[#This Row],[Std Inch per turn]])</f>
        <v>2.1538461538461537</v>
      </c>
      <c r="AJ50" s="134" t="str">
        <f>IF(AND(Table1[[#This Row],[Variant]]=$AJ$4,Table1[[#This Row],[Kv*T]]&gt;0,Table1[[#This Row],[Term.]]="D"),Table1[[#This Row],[Kv*T]],"")</f>
        <v/>
      </c>
      <c r="AK50" s="134" t="str">
        <f>IF(AND(Table1[[#This Row],[Variant]]=$AJ$4,Table1[[#This Row],[Kv*T]]&gt;0,Table1[[#This Row],[Term.]]="Y"),Table1[[#This Row],[Kv*T]],"")</f>
        <v/>
      </c>
      <c r="AL50" s="44" t="str">
        <f>IF(AND(Table1[[#This Row],[Kv*T "D"2]]="",Table1[[#This Row],[Kv*T "Y"2]]=""),"",IF(Table1[[#This Row],[Kv*T "D"2]]="",Table1[[#This Row],[Kv*T "Y"2]]*3^0.5,Table1[[#This Row],[Kv*T "D"2]]))</f>
        <v/>
      </c>
      <c r="AM50" s="43">
        <f>IF(Table1[[#This Row],[Std Inch per turn]]="","",Table1[[#This Row],[Std Inch per turn]])</f>
        <v>2.1538461538461537</v>
      </c>
      <c r="AN50" s="134" t="str">
        <f>IF(AND(Table1[[#This Row],[Variant]]=$AN$4,Table1[[#This Row],[Kv*T]]&gt;0,Table1[[#This Row],[Term.]]="D"),Table1[[#This Row],[Kv*T]],"")</f>
        <v/>
      </c>
      <c r="AO50" s="134" t="str">
        <f>IF(AND(Table1[[#This Row],[Variant]]=$AN$4,Table1[[#This Row],[Kv*T]]&gt;0,Table1[[#This Row],[Term.]]="Y"),Table1[[#This Row],[Kv*T]],"")</f>
        <v/>
      </c>
      <c r="AP50" s="44" t="str">
        <f>IF(AND(Table1[[#This Row],[Kv*T "D"3]]="",Table1[[#This Row],[Kv*T "Y"3]]=""),"",IF(Table1[[#This Row],[Kv*T "D"3]]="",Table1[[#This Row],[Kv*T "Y"3]]*3^0.5,Table1[[#This Row],[Kv*T "D"3]]))</f>
        <v/>
      </c>
      <c r="AQ50" s="44"/>
      <c r="AR50" s="134" t="str">
        <f>IF(AND(Table1[[#This Row],[Variant]]=$AR$4,Table1[[#This Row],[Kv*T]]&gt;0,Table1[[#This Row],[Term.]]="D"),Table1[[#This Row],[Kv*T]],"")</f>
        <v/>
      </c>
      <c r="AS50" s="134" t="str">
        <f>IF(AND(Table1[[#This Row],[Variant]]=$AR$4,Table1[[#This Row],[Kv*T]]&gt;0,Table1[[#This Row],[Term.]]="Y"),Table1[[#This Row],[Kv*T]],"")</f>
        <v/>
      </c>
      <c r="AT50" s="44" t="str">
        <f>IF(AND(Table1[[#This Row],[Kv*T "D"4]]="",Table1[[#This Row],[Kv*T "Y"4]]=""),"",IF(Table1[[#This Row],[Kv*T "D"4]]="",Table1[[#This Row],[Kv*T "Y"4]]*3^0.5,Table1[[#This Row],[Kv*T "D"4]]))</f>
        <v/>
      </c>
      <c r="AU50" s="44"/>
      <c r="AV50" s="134" t="str">
        <f>IF(AND(Table1[[#This Row],[Variant]]=$AV$4,Table1[[#This Row],[Kv*T]]&gt;0,Table1[[#This Row],[Term.]]="D"),Table1[[#This Row],[Kv*T]],"")</f>
        <v/>
      </c>
      <c r="AW50" s="134" t="str">
        <f>IF(AND(Table1[[#This Row],[Variant]]=$AV$4,Table1[[#This Row],[Kv*T]]&gt;0,Table1[[#This Row],[Term.]]="Y"),Table1[[#This Row],[Kv*T]],"")</f>
        <v/>
      </c>
      <c r="AX50" s="44" t="str">
        <f>IF(AND(Table1[[#This Row],[Kv*T "D"5]]="",Table1[[#This Row],[Kv*T "Y"5]]=""),"",IF(Table1[[#This Row],[Kv*T "D"5]]="",Table1[[#This Row],[Kv*T "Y"5]]*3^0.5,Table1[[#This Row],[Kv*T "D"5]]))</f>
        <v/>
      </c>
      <c r="AY50" s="44"/>
    </row>
    <row r="51" spans="1:51">
      <c r="A51" s="10" t="s">
        <v>224</v>
      </c>
      <c r="B51" s="2">
        <v>106</v>
      </c>
      <c r="C51" s="2">
        <v>14</v>
      </c>
      <c r="D51" s="127" t="s">
        <v>171</v>
      </c>
      <c r="E51" s="2">
        <v>1</v>
      </c>
      <c r="F51" s="86">
        <f t="shared" si="5"/>
        <v>14</v>
      </c>
      <c r="G51" s="127" t="s">
        <v>21</v>
      </c>
      <c r="H51" s="2">
        <v>47</v>
      </c>
      <c r="I51" s="97">
        <f>IF(OR(Table1[[#This Row],[Phys. Turns]]="",Table1[[#This Row],[Wire]]="",Table1[[#This Row],[Parallel]]=""),"",Table1[[#This Row],[Phys. Turns]]*VLOOKUP(Table1[[#This Row],[Wire]],wirelist,4,FALSE))</f>
        <v>2.226</v>
      </c>
      <c r="J51" s="2">
        <v>1296</v>
      </c>
      <c r="K51" s="130">
        <v>0.31440000000000001</v>
      </c>
      <c r="L51" s="159"/>
      <c r="M51" s="146" t="s">
        <v>72</v>
      </c>
      <c r="N51" s="131"/>
      <c r="P51" s="2">
        <v>14863</v>
      </c>
      <c r="Q51" s="130">
        <v>11.47</v>
      </c>
      <c r="R51" s="130">
        <v>0.31440000000000001</v>
      </c>
      <c r="S51" s="131"/>
      <c r="T51" s="43" t="str">
        <f t="shared" si="6"/>
        <v/>
      </c>
      <c r="U51" s="132" t="s">
        <v>27</v>
      </c>
      <c r="V51" s="140" t="s">
        <v>239</v>
      </c>
      <c r="W51" s="46" t="str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/>
      </c>
      <c r="X51" s="47" t="str">
        <f>IF(OR(P51="",Table1[[#This Row],[Prop.]]="No Load"),"",(AC51/VLOOKUP(Table1[[#This Row],[Prop.]],proplist,9,FALSE))*VLOOKUP(Table1[[#This Row],[Prop.]],proplist,7,FALSE)*(Table1[[#This Row],[RPM]]/1000)^(VLOOKUP(Table1[[#This Row],[Prop.]],proplist,8,FALSE))/Table1[[#This Row],[Pin '[W']]])</f>
        <v/>
      </c>
      <c r="Y51" s="43" t="str">
        <f>IF(OR(P51="",Table1[[#This Row],[Prop.]]="No Load"),"",P51*VLOOKUP(Table1[[#This Row],[Prop.]],proplist,3,FALSE)/1056)</f>
        <v/>
      </c>
      <c r="Z51" s="43" t="str">
        <f t="shared" si="4"/>
        <v/>
      </c>
      <c r="AA51" s="44" t="str">
        <f>IF(OR(AB51="",Table1[[#This Row],[Prop.]]="No Load"),"",AB51*(1-X51))</f>
        <v/>
      </c>
      <c r="AB51" s="103">
        <f t="shared" si="7"/>
        <v>3.6061680000000003</v>
      </c>
      <c r="AC51" s="45">
        <f t="shared" si="8"/>
        <v>1.2040999999999999</v>
      </c>
      <c r="AD51" s="73">
        <f>IF(Table1[[#This Row],[Prop.]]="No Load",Table1[[#This Row],["T"]]*Table1[[#This Row],[RPM]]/Table1[[#This Row],[V]],"")</f>
        <v>18141.412380122056</v>
      </c>
      <c r="AE51" s="74">
        <f>IF(OR(C51="",E51="",H51=""),"",IF(Table1[[#This Row],[Prop.]]="No Load",IF(E51=1,(H51-10)/C51,IF(E51=2,2*(H51-10)/C51,4*(H51-10))),""))</f>
        <v>2.6428571428571428</v>
      </c>
      <c r="AF51" s="45" t="str">
        <f>IF(AND(Table1[[#This Row],[Variant]]=$AF$4,Table1[[#This Row],[Kv*T]]&gt;0,Table1[[#This Row],[Term.]]="D"),Table1[[#This Row],[Kv*T]],"")</f>
        <v/>
      </c>
      <c r="AG51" s="45">
        <f>IF(AND(Table1[[#This Row],[Variant]]=$AF$4,Table1[[#This Row],[Kv*T]]&gt;0,Table1[[#This Row],[Term.]]="Y"),Table1[[#This Row],[Kv*T]],"")</f>
        <v>18141.412380122056</v>
      </c>
      <c r="AH51" s="73">
        <f>IF(AND(Table1[[#This Row],[Kv*T "D"]]="",Table1[[#This Row],[Kv*T "Y"]]=""),"",IF(Table1[[#This Row],[Kv*T "D"]]="",Table1[[#This Row],[Kv*T "Y"]]*3^0.5,Table1[[#This Row],[Kv*T "D"]]))</f>
        <v>31421.847963430435</v>
      </c>
      <c r="AI51" s="147">
        <f>IF(Table1[[#This Row],[Std Inch per turn]]="","",Table1[[#This Row],[Std Inch per turn]])</f>
        <v>2.6428571428571428</v>
      </c>
      <c r="AJ51" s="75" t="str">
        <f>IF(AND(Table1[[#This Row],[Variant]]=$AJ$4,Table1[[#This Row],[Kv*T]]&gt;0,Table1[[#This Row],[Term.]]="D"),Table1[[#This Row],[Kv*T]],"")</f>
        <v/>
      </c>
      <c r="AK51" s="75" t="str">
        <f>IF(AND(Table1[[#This Row],[Variant]]=$AJ$4,Table1[[#This Row],[Kv*T]]&gt;0,Table1[[#This Row],[Term.]]="Y"),Table1[[#This Row],[Kv*T]],"")</f>
        <v/>
      </c>
      <c r="AL51" s="73" t="str">
        <f>IF(AND(Table1[[#This Row],[Kv*T "D"2]]="",Table1[[#This Row],[Kv*T "Y"2]]=""),"",IF(Table1[[#This Row],[Kv*T "D"2]]="",Table1[[#This Row],[Kv*T "Y"2]]*3^0.5,Table1[[#This Row],[Kv*T "D"2]]))</f>
        <v/>
      </c>
      <c r="AM51" s="147">
        <f>IF(Table1[[#This Row],[Std Inch per turn]]="","",Table1[[#This Row],[Std Inch per turn]])</f>
        <v>2.6428571428571428</v>
      </c>
      <c r="AN51" s="75" t="str">
        <f>IF(AND(Table1[[#This Row],[Variant]]=$AN$4,Table1[[#This Row],[Kv*T]]&gt;0,Table1[[#This Row],[Term.]]="D"),Table1[[#This Row],[Kv*T]],"")</f>
        <v/>
      </c>
      <c r="AO51" s="75" t="str">
        <f>IF(AND(Table1[[#This Row],[Variant]]=$AN$4,Table1[[#This Row],[Kv*T]]&gt;0,Table1[[#This Row],[Term.]]="Y"),Table1[[#This Row],[Kv*T]],"")</f>
        <v/>
      </c>
      <c r="AP51" s="73" t="str">
        <f>IF(AND(Table1[[#This Row],[Kv*T "D"3]]="",Table1[[#This Row],[Kv*T "Y"3]]=""),"",IF(Table1[[#This Row],[Kv*T "D"3]]="",Table1[[#This Row],[Kv*T "Y"3]]*3^0.5,Table1[[#This Row],[Kv*T "D"3]]))</f>
        <v/>
      </c>
      <c r="AQ51" s="73"/>
      <c r="AR51" s="75" t="str">
        <f>IF(AND(Table1[[#This Row],[Variant]]=$AR$4,Table1[[#This Row],[Kv*T]]&gt;0,Table1[[#This Row],[Term.]]="D"),Table1[[#This Row],[Kv*T]],"")</f>
        <v/>
      </c>
      <c r="AS51" s="75" t="str">
        <f>IF(AND(Table1[[#This Row],[Variant]]=$AR$4,Table1[[#This Row],[Kv*T]]&gt;0,Table1[[#This Row],[Term.]]="Y"),Table1[[#This Row],[Kv*T]],"")</f>
        <v/>
      </c>
      <c r="AT51" s="73" t="str">
        <f>IF(AND(Table1[[#This Row],[Kv*T "D"4]]="",Table1[[#This Row],[Kv*T "Y"4]]=""),"",IF(Table1[[#This Row],[Kv*T "D"4]]="",Table1[[#This Row],[Kv*T "Y"4]]*3^0.5,Table1[[#This Row],[Kv*T "D"4]]))</f>
        <v/>
      </c>
      <c r="AU51" s="73"/>
      <c r="AV51" s="75" t="str">
        <f>IF(AND(Table1[[#This Row],[Variant]]=$AV$4,Table1[[#This Row],[Kv*T]]&gt;0,Table1[[#This Row],[Term.]]="D"),Table1[[#This Row],[Kv*T]],"")</f>
        <v/>
      </c>
      <c r="AW51" s="75" t="str">
        <f>IF(AND(Table1[[#This Row],[Variant]]=$AV$4,Table1[[#This Row],[Kv*T]]&gt;0,Table1[[#This Row],[Term.]]="Y"),Table1[[#This Row],[Kv*T]],"")</f>
        <v/>
      </c>
      <c r="AX51" s="73" t="str">
        <f>IF(AND(Table1[[#This Row],[Kv*T "D"5]]="",Table1[[#This Row],[Kv*T "Y"5]]=""),"",IF(Table1[[#This Row],[Kv*T "D"5]]="",Table1[[#This Row],[Kv*T "Y"5]]*3^0.5,Table1[[#This Row],[Kv*T "D"5]]))</f>
        <v/>
      </c>
      <c r="AY51" s="73"/>
    </row>
    <row r="52" spans="1:51">
      <c r="A52" s="10" t="s">
        <v>225</v>
      </c>
      <c r="B52" s="163">
        <v>102</v>
      </c>
      <c r="C52" s="165">
        <v>15</v>
      </c>
      <c r="D52" s="163" t="s">
        <v>171</v>
      </c>
      <c r="E52" s="163">
        <v>1</v>
      </c>
      <c r="F52" s="86">
        <f t="shared" si="5"/>
        <v>15</v>
      </c>
      <c r="G52" s="163" t="s">
        <v>21</v>
      </c>
      <c r="H52" s="163">
        <v>47</v>
      </c>
      <c r="I52" s="97">
        <f>IF(OR(Table1[[#This Row],[Phys. Turns]]="",Table1[[#This Row],[Wire]]="",Table1[[#This Row],[Parallel]]=""),"",Table1[[#This Row],[Phys. Turns]]*VLOOKUP(Table1[[#This Row],[Wire]],wirelist,4,FALSE))</f>
        <v>2.3850000000000002</v>
      </c>
      <c r="J52" s="163">
        <v>1232</v>
      </c>
      <c r="K52" s="12">
        <v>0.3715</v>
      </c>
      <c r="L52" s="13"/>
      <c r="M52" s="146" t="s">
        <v>72</v>
      </c>
      <c r="N52" s="48"/>
      <c r="O52" s="163"/>
      <c r="P52" s="163">
        <v>14011</v>
      </c>
      <c r="Q52" s="12">
        <v>11.37</v>
      </c>
      <c r="R52" s="12">
        <v>0.3715</v>
      </c>
      <c r="S52" s="48"/>
      <c r="T52" s="43" t="str">
        <f t="shared" si="6"/>
        <v/>
      </c>
      <c r="U52" s="133" t="s">
        <v>27</v>
      </c>
      <c r="V52" s="141" t="s">
        <v>239</v>
      </c>
      <c r="W52" s="46" t="str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/>
      </c>
      <c r="X52" s="47" t="str">
        <f>IF(OR(P52="",Table1[[#This Row],[Prop.]]="No Load"),"",(AC52/VLOOKUP(Table1[[#This Row],[Prop.]],proplist,9,FALSE))*VLOOKUP(Table1[[#This Row],[Prop.]],proplist,7,FALSE)*(Table1[[#This Row],[RPM]]/1000)^(VLOOKUP(Table1[[#This Row],[Prop.]],proplist,8,FALSE))/Table1[[#This Row],[Pin '[W']]])</f>
        <v/>
      </c>
      <c r="Y52" s="43" t="str">
        <f>IF(OR(P52="",Table1[[#This Row],[Prop.]]="No Load"),"",P52*VLOOKUP(Table1[[#This Row],[Prop.]],proplist,3,FALSE)/1056)</f>
        <v/>
      </c>
      <c r="Z52" s="43" t="str">
        <f t="shared" ref="Z52:Z83" si="9">IF(W52="","",W52*28.37/AB52)</f>
        <v/>
      </c>
      <c r="AA52" s="44" t="str">
        <f>IF(OR(AB52="",Table1[[#This Row],[Prop.]]="No Load"),"",AB52*(1-X52))</f>
        <v/>
      </c>
      <c r="AB52" s="103">
        <f t="shared" si="7"/>
        <v>4.2239549999999992</v>
      </c>
      <c r="AC52" s="86">
        <f t="shared" si="8"/>
        <v>1.2040999999999999</v>
      </c>
      <c r="AD52" s="44">
        <f>IF(Table1[[#This Row],[Prop.]]="No Load",Table1[[#This Row],["T"]]*Table1[[#This Row],[RPM]]/Table1[[#This Row],[V]],"")</f>
        <v>18484.168865435357</v>
      </c>
      <c r="AE52" s="97">
        <f>IF(OR(C52="",E52="",H52=""),"",IF(Table1[[#This Row],[Prop.]]="No Load",IF(E52=1,(H52-10)/C52,IF(E52=2,2*(H52-10)/C52,4*(H52-10))),""))</f>
        <v>2.4666666666666668</v>
      </c>
      <c r="AF52" s="86" t="str">
        <f>IF(AND(Table1[[#This Row],[Variant]]=$AF$4,Table1[[#This Row],[Kv*T]]&gt;0,Table1[[#This Row],[Term.]]="D"),Table1[[#This Row],[Kv*T]],"")</f>
        <v/>
      </c>
      <c r="AG52" s="86" t="str">
        <f>IF(AND(Table1[[#This Row],[Variant]]=$AF$4,Table1[[#This Row],[Kv*T]]&gt;0,Table1[[#This Row],[Term.]]="Y"),Table1[[#This Row],[Kv*T]],"")</f>
        <v/>
      </c>
      <c r="AH52" s="44" t="str">
        <f>IF(AND(Table1[[#This Row],[Kv*T "D"]]="",Table1[[#This Row],[Kv*T "Y"]]=""),"",IF(Table1[[#This Row],[Kv*T "D"]]="",Table1[[#This Row],[Kv*T "Y"]]*3^0.5,Table1[[#This Row],[Kv*T "D"]]))</f>
        <v/>
      </c>
      <c r="AI52" s="43">
        <f>IF(Table1[[#This Row],[Std Inch per turn]]="","",Table1[[#This Row],[Std Inch per turn]])</f>
        <v>2.4666666666666668</v>
      </c>
      <c r="AJ52" s="134" t="str">
        <f>IF(AND(Table1[[#This Row],[Variant]]=$AJ$4,Table1[[#This Row],[Kv*T]]&gt;0,Table1[[#This Row],[Term.]]="D"),Table1[[#This Row],[Kv*T]],"")</f>
        <v/>
      </c>
      <c r="AK52" s="134">
        <f>IF(AND(Table1[[#This Row],[Variant]]=$AJ$4,Table1[[#This Row],[Kv*T]]&gt;0,Table1[[#This Row],[Term.]]="Y"),Table1[[#This Row],[Kv*T]],"")</f>
        <v>18484.168865435357</v>
      </c>
      <c r="AL52" s="44">
        <f>IF(AND(Table1[[#This Row],[Kv*T "D"2]]="",Table1[[#This Row],[Kv*T "Y"2]]=""),"",IF(Table1[[#This Row],[Kv*T "D"2]]="",Table1[[#This Row],[Kv*T "Y"2]]*3^0.5,Table1[[#This Row],[Kv*T "D"2]]))</f>
        <v>32015.519610616804</v>
      </c>
      <c r="AM52" s="43">
        <f>IF(Table1[[#This Row],[Std Inch per turn]]="","",Table1[[#This Row],[Std Inch per turn]])</f>
        <v>2.4666666666666668</v>
      </c>
      <c r="AN52" s="134" t="str">
        <f>IF(AND(Table1[[#This Row],[Variant]]=$AN$4,Table1[[#This Row],[Kv*T]]&gt;0,Table1[[#This Row],[Term.]]="D"),Table1[[#This Row],[Kv*T]],"")</f>
        <v/>
      </c>
      <c r="AO52" s="134" t="str">
        <f>IF(AND(Table1[[#This Row],[Variant]]=$AN$4,Table1[[#This Row],[Kv*T]]&gt;0,Table1[[#This Row],[Term.]]="Y"),Table1[[#This Row],[Kv*T]],"")</f>
        <v/>
      </c>
      <c r="AP52" s="44" t="str">
        <f>IF(AND(Table1[[#This Row],[Kv*T "D"3]]="",Table1[[#This Row],[Kv*T "Y"3]]=""),"",IF(Table1[[#This Row],[Kv*T "D"3]]="",Table1[[#This Row],[Kv*T "Y"3]]*3^0.5,Table1[[#This Row],[Kv*T "D"3]]))</f>
        <v/>
      </c>
      <c r="AQ52" s="44"/>
      <c r="AR52" s="134" t="str">
        <f>IF(AND(Table1[[#This Row],[Variant]]=$AR$4,Table1[[#This Row],[Kv*T]]&gt;0,Table1[[#This Row],[Term.]]="D"),Table1[[#This Row],[Kv*T]],"")</f>
        <v/>
      </c>
      <c r="AS52" s="134" t="str">
        <f>IF(AND(Table1[[#This Row],[Variant]]=$AR$4,Table1[[#This Row],[Kv*T]]&gt;0,Table1[[#This Row],[Term.]]="Y"),Table1[[#This Row],[Kv*T]],"")</f>
        <v/>
      </c>
      <c r="AT52" s="44" t="str">
        <f>IF(AND(Table1[[#This Row],[Kv*T "D"4]]="",Table1[[#This Row],[Kv*T "Y"4]]=""),"",IF(Table1[[#This Row],[Kv*T "D"4]]="",Table1[[#This Row],[Kv*T "Y"4]]*3^0.5,Table1[[#This Row],[Kv*T "D"4]]))</f>
        <v/>
      </c>
      <c r="AU52" s="44"/>
      <c r="AV52" s="134" t="str">
        <f>IF(AND(Table1[[#This Row],[Variant]]=$AV$4,Table1[[#This Row],[Kv*T]]&gt;0,Table1[[#This Row],[Term.]]="D"),Table1[[#This Row],[Kv*T]],"")</f>
        <v/>
      </c>
      <c r="AW52" s="134" t="str">
        <f>IF(AND(Table1[[#This Row],[Variant]]=$AV$4,Table1[[#This Row],[Kv*T]]&gt;0,Table1[[#This Row],[Term.]]="Y"),Table1[[#This Row],[Kv*T]],"")</f>
        <v/>
      </c>
      <c r="AX52" s="44" t="str">
        <f>IF(AND(Table1[[#This Row],[Kv*T "D"5]]="",Table1[[#This Row],[Kv*T "Y"5]]=""),"",IF(Table1[[#This Row],[Kv*T "D"5]]="",Table1[[#This Row],[Kv*T "Y"5]]*3^0.5,Table1[[#This Row],[Kv*T "D"5]]))</f>
        <v/>
      </c>
      <c r="AY52" s="44"/>
    </row>
    <row r="53" spans="1:51">
      <c r="A53" s="10" t="s">
        <v>224</v>
      </c>
      <c r="B53" s="5">
        <v>97</v>
      </c>
      <c r="C53" s="5">
        <v>15</v>
      </c>
      <c r="D53" s="163" t="s">
        <v>171</v>
      </c>
      <c r="E53" s="5">
        <v>1</v>
      </c>
      <c r="F53" s="86">
        <f t="shared" si="5"/>
        <v>15</v>
      </c>
      <c r="G53" s="163" t="s">
        <v>11</v>
      </c>
      <c r="H53" s="5">
        <v>45</v>
      </c>
      <c r="I53" s="97">
        <f>IF(OR(Table1[[#This Row],[Phys. Turns]]="",Table1[[#This Row],[Wire]]="",Table1[[#This Row],[Parallel]]=""),"",Table1[[#This Row],[Phys. Turns]]*VLOOKUP(Table1[[#This Row],[Wire]],wirelist,4,FALSE))</f>
        <v>2.3850000000000002</v>
      </c>
      <c r="J53" s="5">
        <v>2073</v>
      </c>
      <c r="K53" s="19">
        <v>0.67</v>
      </c>
      <c r="L53" s="20"/>
      <c r="M53" s="163" t="s">
        <v>72</v>
      </c>
      <c r="N53" s="49"/>
      <c r="O53" s="5"/>
      <c r="P53" s="5">
        <v>23923</v>
      </c>
      <c r="Q53" s="19">
        <v>11.54</v>
      </c>
      <c r="R53" s="19">
        <v>0.6714</v>
      </c>
      <c r="S53" s="49"/>
      <c r="T53" s="43" t="str">
        <f t="shared" si="6"/>
        <v/>
      </c>
      <c r="U53" s="133" t="s">
        <v>27</v>
      </c>
      <c r="V53" s="141" t="s">
        <v>237</v>
      </c>
      <c r="W53" s="46" t="str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/>
      </c>
      <c r="X53" s="47" t="str">
        <f>IF(OR(P53="",Table1[[#This Row],[Prop.]]="No Load"),"",(AC53/VLOOKUP(Table1[[#This Row],[Prop.]],proplist,9,FALSE))*VLOOKUP(Table1[[#This Row],[Prop.]],proplist,7,FALSE)*(Table1[[#This Row],[RPM]]/1000)^(VLOOKUP(Table1[[#This Row],[Prop.]],proplist,8,FALSE))/Table1[[#This Row],[Pin '[W']]])</f>
        <v/>
      </c>
      <c r="Y53" s="43" t="str">
        <f>IF(OR(P53="",Table1[[#This Row],[Prop.]]="No Load"),"",P53*VLOOKUP(Table1[[#This Row],[Prop.]],proplist,3,FALSE)/1056)</f>
        <v/>
      </c>
      <c r="Z53" s="43" t="str">
        <f t="shared" si="9"/>
        <v/>
      </c>
      <c r="AA53" s="44" t="str">
        <f>IF(OR(AB53="",Table1[[#This Row],[Prop.]]="No Load"),"",AB53*(1-X53))</f>
        <v/>
      </c>
      <c r="AB53" s="103">
        <f t="shared" si="7"/>
        <v>7.7479559999999994</v>
      </c>
      <c r="AC53" s="86">
        <f t="shared" si="8"/>
        <v>1.2040999999999999</v>
      </c>
      <c r="AD53" s="44">
        <f>IF(Table1[[#This Row],[Prop.]]="No Load",Table1[[#This Row],["T"]]*Table1[[#This Row],[RPM]]/Table1[[#This Row],[V]],"")</f>
        <v>31095.753899480071</v>
      </c>
      <c r="AE53" s="97">
        <f>IF(OR(C53="",E53="",H53=""),"",IF(Table1[[#This Row],[Prop.]]="No Load",IF(E53=1,(H53-10)/C53,IF(E53=2,2*(H53-10)/C53,4*(H53-10))),""))</f>
        <v>2.3333333333333335</v>
      </c>
      <c r="AF53" s="86">
        <f>IF(AND(Table1[[#This Row],[Variant]]=$AF$4,Table1[[#This Row],[Kv*T]]&gt;0,Table1[[#This Row],[Term.]]="D"),Table1[[#This Row],[Kv*T]],"")</f>
        <v>31095.753899480071</v>
      </c>
      <c r="AG53" s="86" t="str">
        <f>IF(AND(Table1[[#This Row],[Variant]]=$AF$4,Table1[[#This Row],[Kv*T]]&gt;0,Table1[[#This Row],[Term.]]="Y"),Table1[[#This Row],[Kv*T]],"")</f>
        <v/>
      </c>
      <c r="AH53" s="44">
        <f>IF(AND(Table1[[#This Row],[Kv*T "D"]]="",Table1[[#This Row],[Kv*T "Y"]]=""),"",IF(Table1[[#This Row],[Kv*T "D"]]="",Table1[[#This Row],[Kv*T "Y"]]*3^0.5,Table1[[#This Row],[Kv*T "D"]]))</f>
        <v>31095.753899480071</v>
      </c>
      <c r="AI53" s="43">
        <f>IF(Table1[[#This Row],[Std Inch per turn]]="","",Table1[[#This Row],[Std Inch per turn]])</f>
        <v>2.3333333333333335</v>
      </c>
      <c r="AJ53" s="134" t="str">
        <f>IF(AND(Table1[[#This Row],[Variant]]=$AJ$4,Table1[[#This Row],[Kv*T]]&gt;0,Table1[[#This Row],[Term.]]="D"),Table1[[#This Row],[Kv*T]],"")</f>
        <v/>
      </c>
      <c r="AK53" s="134" t="str">
        <f>IF(AND(Table1[[#This Row],[Variant]]=$AJ$4,Table1[[#This Row],[Kv*T]]&gt;0,Table1[[#This Row],[Term.]]="Y"),Table1[[#This Row],[Kv*T]],"")</f>
        <v/>
      </c>
      <c r="AL53" s="44" t="str">
        <f>IF(AND(Table1[[#This Row],[Kv*T "D"2]]="",Table1[[#This Row],[Kv*T "Y"2]]=""),"",IF(Table1[[#This Row],[Kv*T "D"2]]="",Table1[[#This Row],[Kv*T "Y"2]]*3^0.5,Table1[[#This Row],[Kv*T "D"2]]))</f>
        <v/>
      </c>
      <c r="AM53" s="43">
        <f>IF(Table1[[#This Row],[Std Inch per turn]]="","",Table1[[#This Row],[Std Inch per turn]])</f>
        <v>2.3333333333333335</v>
      </c>
      <c r="AN53" s="134" t="str">
        <f>IF(AND(Table1[[#This Row],[Variant]]=$AN$4,Table1[[#This Row],[Kv*T]]&gt;0,Table1[[#This Row],[Term.]]="D"),Table1[[#This Row],[Kv*T]],"")</f>
        <v/>
      </c>
      <c r="AO53" s="134" t="str">
        <f>IF(AND(Table1[[#This Row],[Variant]]=$AN$4,Table1[[#This Row],[Kv*T]]&gt;0,Table1[[#This Row],[Term.]]="Y"),Table1[[#This Row],[Kv*T]],"")</f>
        <v/>
      </c>
      <c r="AP53" s="44" t="str">
        <f>IF(AND(Table1[[#This Row],[Kv*T "D"3]]="",Table1[[#This Row],[Kv*T "Y"3]]=""),"",IF(Table1[[#This Row],[Kv*T "D"3]]="",Table1[[#This Row],[Kv*T "Y"3]]*3^0.5,Table1[[#This Row],[Kv*T "D"3]]))</f>
        <v/>
      </c>
      <c r="AQ53" s="44"/>
      <c r="AR53" s="134" t="str">
        <f>IF(AND(Table1[[#This Row],[Variant]]=$AR$4,Table1[[#This Row],[Kv*T]]&gt;0,Table1[[#This Row],[Term.]]="D"),Table1[[#This Row],[Kv*T]],"")</f>
        <v/>
      </c>
      <c r="AS53" s="134" t="str">
        <f>IF(AND(Table1[[#This Row],[Variant]]=$AR$4,Table1[[#This Row],[Kv*T]]&gt;0,Table1[[#This Row],[Term.]]="Y"),Table1[[#This Row],[Kv*T]],"")</f>
        <v/>
      </c>
      <c r="AT53" s="44" t="str">
        <f>IF(AND(Table1[[#This Row],[Kv*T "D"4]]="",Table1[[#This Row],[Kv*T "Y"4]]=""),"",IF(Table1[[#This Row],[Kv*T "D"4]]="",Table1[[#This Row],[Kv*T "Y"4]]*3^0.5,Table1[[#This Row],[Kv*T "D"4]]))</f>
        <v/>
      </c>
      <c r="AU53" s="44"/>
      <c r="AV53" s="134" t="str">
        <f>IF(AND(Table1[[#This Row],[Variant]]=$AV$4,Table1[[#This Row],[Kv*T]]&gt;0,Table1[[#This Row],[Term.]]="D"),Table1[[#This Row],[Kv*T]],"")</f>
        <v/>
      </c>
      <c r="AW53" s="134" t="str">
        <f>IF(AND(Table1[[#This Row],[Variant]]=$AV$4,Table1[[#This Row],[Kv*T]]&gt;0,Table1[[#This Row],[Term.]]="Y"),Table1[[#This Row],[Kv*T]],"")</f>
        <v/>
      </c>
      <c r="AX53" s="44" t="str">
        <f>IF(AND(Table1[[#This Row],[Kv*T "D"5]]="",Table1[[#This Row],[Kv*T "Y"5]]=""),"",IF(Table1[[#This Row],[Kv*T "D"5]]="",Table1[[#This Row],[Kv*T "Y"5]]*3^0.5,Table1[[#This Row],[Kv*T "D"5]]))</f>
        <v/>
      </c>
      <c r="AY53" s="44"/>
    </row>
    <row r="54" spans="1:51">
      <c r="A54" s="10" t="s">
        <v>224</v>
      </c>
      <c r="B54" s="2" t="s">
        <v>228</v>
      </c>
      <c r="C54" s="2">
        <v>15.5</v>
      </c>
      <c r="D54" s="2" t="s">
        <v>171</v>
      </c>
      <c r="E54" s="2">
        <v>1</v>
      </c>
      <c r="F54" s="86">
        <f t="shared" si="5"/>
        <v>15.5</v>
      </c>
      <c r="G54" s="127" t="s">
        <v>11</v>
      </c>
      <c r="H54" s="2">
        <v>45</v>
      </c>
      <c r="I54" s="97">
        <f>IF(OR(Table1[[#This Row],[Phys. Turns]]="",Table1[[#This Row],[Wire]]="",Table1[[#This Row],[Parallel]]=""),"",Table1[[#This Row],[Phys. Turns]]*VLOOKUP(Table1[[#This Row],[Wire]],wirelist,4,FALSE))</f>
        <v>2.4645000000000001</v>
      </c>
      <c r="J54" s="2">
        <v>1988</v>
      </c>
      <c r="K54" s="130">
        <v>0.65480000000000005</v>
      </c>
      <c r="L54" s="159"/>
      <c r="M54" s="146" t="s">
        <v>72</v>
      </c>
      <c r="N54" s="131"/>
      <c r="P54" s="2">
        <v>22914</v>
      </c>
      <c r="Q54" s="130">
        <v>11.53</v>
      </c>
      <c r="R54" s="130">
        <v>0.65480000000000005</v>
      </c>
      <c r="S54" s="131"/>
      <c r="T54" s="43" t="str">
        <f t="shared" si="6"/>
        <v/>
      </c>
      <c r="U54" s="3" t="s">
        <v>27</v>
      </c>
      <c r="V54" s="140" t="s">
        <v>237</v>
      </c>
      <c r="W54" s="46" t="str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/>
      </c>
      <c r="X54" s="47" t="str">
        <f>IF(OR(P54="",Table1[[#This Row],[Prop.]]="No Load"),"",(AC54/VLOOKUP(Table1[[#This Row],[Prop.]],proplist,9,FALSE))*VLOOKUP(Table1[[#This Row],[Prop.]],proplist,7,FALSE)*(Table1[[#This Row],[RPM]]/1000)^(VLOOKUP(Table1[[#This Row],[Prop.]],proplist,8,FALSE))/Table1[[#This Row],[Pin '[W']]])</f>
        <v/>
      </c>
      <c r="Y54" s="43" t="str">
        <f>IF(OR(P54="",Table1[[#This Row],[Prop.]]="No Load"),"",P54*VLOOKUP(Table1[[#This Row],[Prop.]],proplist,3,FALSE)/1056)</f>
        <v/>
      </c>
      <c r="Z54" s="43" t="str">
        <f t="shared" si="9"/>
        <v/>
      </c>
      <c r="AA54" s="44" t="str">
        <f>IF(OR(AB54="",Table1[[#This Row],[Prop.]]="No Load"),"",AB54*(1-X54))</f>
        <v/>
      </c>
      <c r="AB54" s="103">
        <f t="shared" si="7"/>
        <v>7.5498440000000002</v>
      </c>
      <c r="AC54" s="45">
        <f t="shared" si="8"/>
        <v>1.2040999999999999</v>
      </c>
      <c r="AD54" s="73">
        <f>IF(Table1[[#This Row],[Prop.]]="No Load",Table1[[#This Row],["T"]]*Table1[[#This Row],[RPM]]/Table1[[#This Row],[V]],"")</f>
        <v>30803.729401561148</v>
      </c>
      <c r="AE54" s="74">
        <f>IF(OR(C54="",E54="",H54=""),"",IF(Table1[[#This Row],[Prop.]]="No Load",IF(E54=1,(H54-10)/C54,IF(E54=2,2*(H54-10)/C54,4*(H54-10))),""))</f>
        <v>2.2580645161290325</v>
      </c>
      <c r="AF54" s="45">
        <f>IF(AND(Table1[[#This Row],[Variant]]=$AF$4,Table1[[#This Row],[Kv*T]]&gt;0,Table1[[#This Row],[Term.]]="D"),Table1[[#This Row],[Kv*T]],"")</f>
        <v>30803.729401561148</v>
      </c>
      <c r="AG54" s="45" t="str">
        <f>IF(AND(Table1[[#This Row],[Variant]]=$AF$4,Table1[[#This Row],[Kv*T]]&gt;0,Table1[[#This Row],[Term.]]="Y"),Table1[[#This Row],[Kv*T]],"")</f>
        <v/>
      </c>
      <c r="AH54" s="73">
        <f>IF(AND(Table1[[#This Row],[Kv*T "D"]]="",Table1[[#This Row],[Kv*T "Y"]]=""),"",IF(Table1[[#This Row],[Kv*T "D"]]="",Table1[[#This Row],[Kv*T "Y"]]*3^0.5,Table1[[#This Row],[Kv*T "D"]]))</f>
        <v>30803.729401561148</v>
      </c>
      <c r="AI54" s="147">
        <f>IF(Table1[[#This Row],[Std Inch per turn]]="","",Table1[[#This Row],[Std Inch per turn]])</f>
        <v>2.2580645161290325</v>
      </c>
      <c r="AJ54" s="75" t="str">
        <f>IF(AND(Table1[[#This Row],[Variant]]=$AJ$4,Table1[[#This Row],[Kv*T]]&gt;0,Table1[[#This Row],[Term.]]="D"),Table1[[#This Row],[Kv*T]],"")</f>
        <v/>
      </c>
      <c r="AK54" s="75" t="str">
        <f>IF(AND(Table1[[#This Row],[Variant]]=$AJ$4,Table1[[#This Row],[Kv*T]]&gt;0,Table1[[#This Row],[Term.]]="Y"),Table1[[#This Row],[Kv*T]],"")</f>
        <v/>
      </c>
      <c r="AL54" s="73" t="str">
        <f>IF(AND(Table1[[#This Row],[Kv*T "D"2]]="",Table1[[#This Row],[Kv*T "Y"2]]=""),"",IF(Table1[[#This Row],[Kv*T "D"2]]="",Table1[[#This Row],[Kv*T "Y"2]]*3^0.5,Table1[[#This Row],[Kv*T "D"2]]))</f>
        <v/>
      </c>
      <c r="AM54" s="147">
        <f>IF(Table1[[#This Row],[Std Inch per turn]]="","",Table1[[#This Row],[Std Inch per turn]])</f>
        <v>2.2580645161290325</v>
      </c>
      <c r="AN54" s="75" t="str">
        <f>IF(AND(Table1[[#This Row],[Variant]]=$AN$4,Table1[[#This Row],[Kv*T]]&gt;0,Table1[[#This Row],[Term.]]="D"),Table1[[#This Row],[Kv*T]],"")</f>
        <v/>
      </c>
      <c r="AO54" s="75" t="str">
        <f>IF(AND(Table1[[#This Row],[Variant]]=$AN$4,Table1[[#This Row],[Kv*T]]&gt;0,Table1[[#This Row],[Term.]]="Y"),Table1[[#This Row],[Kv*T]],"")</f>
        <v/>
      </c>
      <c r="AP54" s="73" t="str">
        <f>IF(AND(Table1[[#This Row],[Kv*T "D"3]]="",Table1[[#This Row],[Kv*T "Y"3]]=""),"",IF(Table1[[#This Row],[Kv*T "D"3]]="",Table1[[#This Row],[Kv*T "Y"3]]*3^0.5,Table1[[#This Row],[Kv*T "D"3]]))</f>
        <v/>
      </c>
      <c r="AQ54" s="73"/>
      <c r="AR54" s="75" t="str">
        <f>IF(AND(Table1[[#This Row],[Variant]]=$AR$4,Table1[[#This Row],[Kv*T]]&gt;0,Table1[[#This Row],[Term.]]="D"),Table1[[#This Row],[Kv*T]],"")</f>
        <v/>
      </c>
      <c r="AS54" s="75" t="str">
        <f>IF(AND(Table1[[#This Row],[Variant]]=$AR$4,Table1[[#This Row],[Kv*T]]&gt;0,Table1[[#This Row],[Term.]]="Y"),Table1[[#This Row],[Kv*T]],"")</f>
        <v/>
      </c>
      <c r="AT54" s="73" t="str">
        <f>IF(AND(Table1[[#This Row],[Kv*T "D"4]]="",Table1[[#This Row],[Kv*T "Y"4]]=""),"",IF(Table1[[#This Row],[Kv*T "D"4]]="",Table1[[#This Row],[Kv*T "Y"4]]*3^0.5,Table1[[#This Row],[Kv*T "D"4]]))</f>
        <v/>
      </c>
      <c r="AU54" s="73"/>
      <c r="AV54" s="75" t="str">
        <f>IF(AND(Table1[[#This Row],[Variant]]=$AV$4,Table1[[#This Row],[Kv*T]]&gt;0,Table1[[#This Row],[Term.]]="D"),Table1[[#This Row],[Kv*T]],"")</f>
        <v/>
      </c>
      <c r="AW54" s="75" t="str">
        <f>IF(AND(Table1[[#This Row],[Variant]]=$AV$4,Table1[[#This Row],[Kv*T]]&gt;0,Table1[[#This Row],[Term.]]="Y"),Table1[[#This Row],[Kv*T]],"")</f>
        <v/>
      </c>
      <c r="AX54" s="73" t="str">
        <f>IF(AND(Table1[[#This Row],[Kv*T "D"5]]="",Table1[[#This Row],[Kv*T "Y"5]]=""),"",IF(Table1[[#This Row],[Kv*T "D"5]]="",Table1[[#This Row],[Kv*T "Y"5]]*3^0.5,Table1[[#This Row],[Kv*T "D"5]]))</f>
        <v/>
      </c>
      <c r="AY54" s="73"/>
    </row>
    <row r="55" spans="1:51">
      <c r="A55" s="10" t="s">
        <v>224</v>
      </c>
      <c r="B55" s="163">
        <v>98</v>
      </c>
      <c r="C55" s="165">
        <v>18.5</v>
      </c>
      <c r="D55" s="163" t="s">
        <v>36</v>
      </c>
      <c r="E55" s="163">
        <v>1</v>
      </c>
      <c r="F55" s="86">
        <f t="shared" si="5"/>
        <v>18.5</v>
      </c>
      <c r="G55" s="163" t="s">
        <v>11</v>
      </c>
      <c r="H55" s="163">
        <v>52</v>
      </c>
      <c r="I55" s="97">
        <f>IF(OR(Table1[[#This Row],[Phys. Turns]]="",Table1[[#This Row],[Wire]]="",Table1[[#This Row],[Parallel]]=""),"",Table1[[#This Row],[Phys. Turns]]*VLOOKUP(Table1[[#This Row],[Wire]],wirelist,4,FALSE))</f>
        <v>2.3125</v>
      </c>
      <c r="J55" s="163">
        <v>1692</v>
      </c>
      <c r="K55" s="12">
        <v>0.376</v>
      </c>
      <c r="L55" s="13"/>
      <c r="M55" s="146" t="s">
        <v>72</v>
      </c>
      <c r="N55" s="48"/>
      <c r="O55" s="163"/>
      <c r="P55" s="163">
        <v>12865</v>
      </c>
      <c r="Q55" s="12">
        <v>7.6</v>
      </c>
      <c r="R55" s="12">
        <v>0.37580000000000002</v>
      </c>
      <c r="S55" s="48"/>
      <c r="T55" s="43" t="str">
        <f t="shared" si="6"/>
        <v/>
      </c>
      <c r="U55" s="133" t="s">
        <v>27</v>
      </c>
      <c r="V55" s="141" t="s">
        <v>241</v>
      </c>
      <c r="W55" s="46" t="str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/>
      </c>
      <c r="X55" s="47" t="str">
        <f>IF(OR(P55="",Table1[[#This Row],[Prop.]]="No Load"),"",(AC55/VLOOKUP(Table1[[#This Row],[Prop.]],proplist,9,FALSE))*VLOOKUP(Table1[[#This Row],[Prop.]],proplist,7,FALSE)*(Table1[[#This Row],[RPM]]/1000)^(VLOOKUP(Table1[[#This Row],[Prop.]],proplist,8,FALSE))/Table1[[#This Row],[Pin '[W']]])</f>
        <v/>
      </c>
      <c r="Y55" s="43" t="str">
        <f>IF(OR(P55="",Table1[[#This Row],[Prop.]]="No Load"),"",P55*VLOOKUP(Table1[[#This Row],[Prop.]],proplist,3,FALSE)/1056)</f>
        <v/>
      </c>
      <c r="Z55" s="43" t="str">
        <f t="shared" si="9"/>
        <v/>
      </c>
      <c r="AA55" s="44" t="str">
        <f>IF(OR(AB55="",Table1[[#This Row],[Prop.]]="No Load"),"",AB55*(1-X55))</f>
        <v/>
      </c>
      <c r="AB55" s="103">
        <f t="shared" si="7"/>
        <v>2.85608</v>
      </c>
      <c r="AC55" s="86">
        <f t="shared" si="8"/>
        <v>1.2040999999999999</v>
      </c>
      <c r="AD55" s="44">
        <f>IF(Table1[[#This Row],[Prop.]]="No Load",Table1[[#This Row],["T"]]*Table1[[#This Row],[RPM]]/Table1[[#This Row],[V]],"")</f>
        <v>31316.118421052633</v>
      </c>
      <c r="AE55" s="97">
        <f>IF(OR(C55="",E55="",H55=""),"",IF(Table1[[#This Row],[Prop.]]="No Load",IF(E55=1,(H55-10)/C55,IF(E55=2,2*(H55-10)/C55,4*(H55-10))),""))</f>
        <v>2.2702702702702702</v>
      </c>
      <c r="AF55" s="86">
        <f>IF(AND(Table1[[#This Row],[Variant]]=$AF$4,Table1[[#This Row],[Kv*T]]&gt;0,Table1[[#This Row],[Term.]]="D"),Table1[[#This Row],[Kv*T]],"")</f>
        <v>31316.118421052633</v>
      </c>
      <c r="AG55" s="86" t="str">
        <f>IF(AND(Table1[[#This Row],[Variant]]=$AF$4,Table1[[#This Row],[Kv*T]]&gt;0,Table1[[#This Row],[Term.]]="Y"),Table1[[#This Row],[Kv*T]],"")</f>
        <v/>
      </c>
      <c r="AH55" s="44">
        <f>IF(AND(Table1[[#This Row],[Kv*T "D"]]="",Table1[[#This Row],[Kv*T "Y"]]=""),"",IF(Table1[[#This Row],[Kv*T "D"]]="",Table1[[#This Row],[Kv*T "Y"]]*3^0.5,Table1[[#This Row],[Kv*T "D"]]))</f>
        <v>31316.118421052633</v>
      </c>
      <c r="AI55" s="43">
        <f>IF(Table1[[#This Row],[Std Inch per turn]]="","",Table1[[#This Row],[Std Inch per turn]])</f>
        <v>2.2702702702702702</v>
      </c>
      <c r="AJ55" s="134" t="str">
        <f>IF(AND(Table1[[#This Row],[Variant]]=$AJ$4,Table1[[#This Row],[Kv*T]]&gt;0,Table1[[#This Row],[Term.]]="D"),Table1[[#This Row],[Kv*T]],"")</f>
        <v/>
      </c>
      <c r="AK55" s="134" t="str">
        <f>IF(AND(Table1[[#This Row],[Variant]]=$AJ$4,Table1[[#This Row],[Kv*T]]&gt;0,Table1[[#This Row],[Term.]]="Y"),Table1[[#This Row],[Kv*T]],"")</f>
        <v/>
      </c>
      <c r="AL55" s="44" t="str">
        <f>IF(AND(Table1[[#This Row],[Kv*T "D"2]]="",Table1[[#This Row],[Kv*T "Y"2]]=""),"",IF(Table1[[#This Row],[Kv*T "D"2]]="",Table1[[#This Row],[Kv*T "Y"2]]*3^0.5,Table1[[#This Row],[Kv*T "D"2]]))</f>
        <v/>
      </c>
      <c r="AM55" s="43">
        <f>IF(Table1[[#This Row],[Std Inch per turn]]="","",Table1[[#This Row],[Std Inch per turn]])</f>
        <v>2.2702702702702702</v>
      </c>
      <c r="AN55" s="134" t="str">
        <f>IF(AND(Table1[[#This Row],[Variant]]=$AN$4,Table1[[#This Row],[Kv*T]]&gt;0,Table1[[#This Row],[Term.]]="D"),Table1[[#This Row],[Kv*T]],"")</f>
        <v/>
      </c>
      <c r="AO55" s="134" t="str">
        <f>IF(AND(Table1[[#This Row],[Variant]]=$AN$4,Table1[[#This Row],[Kv*T]]&gt;0,Table1[[#This Row],[Term.]]="Y"),Table1[[#This Row],[Kv*T]],"")</f>
        <v/>
      </c>
      <c r="AP55" s="44" t="str">
        <f>IF(AND(Table1[[#This Row],[Kv*T "D"3]]="",Table1[[#This Row],[Kv*T "Y"3]]=""),"",IF(Table1[[#This Row],[Kv*T "D"3]]="",Table1[[#This Row],[Kv*T "Y"3]]*3^0.5,Table1[[#This Row],[Kv*T "D"3]]))</f>
        <v/>
      </c>
      <c r="AQ55" s="44"/>
      <c r="AR55" s="134" t="str">
        <f>IF(AND(Table1[[#This Row],[Variant]]=$AR$4,Table1[[#This Row],[Kv*T]]&gt;0,Table1[[#This Row],[Term.]]="D"),Table1[[#This Row],[Kv*T]],"")</f>
        <v/>
      </c>
      <c r="AS55" s="134" t="str">
        <f>IF(AND(Table1[[#This Row],[Variant]]=$AR$4,Table1[[#This Row],[Kv*T]]&gt;0,Table1[[#This Row],[Term.]]="Y"),Table1[[#This Row],[Kv*T]],"")</f>
        <v/>
      </c>
      <c r="AT55" s="44" t="str">
        <f>IF(AND(Table1[[#This Row],[Kv*T "D"4]]="",Table1[[#This Row],[Kv*T "Y"4]]=""),"",IF(Table1[[#This Row],[Kv*T "D"4]]="",Table1[[#This Row],[Kv*T "Y"4]]*3^0.5,Table1[[#This Row],[Kv*T "D"4]]))</f>
        <v/>
      </c>
      <c r="AU55" s="44"/>
      <c r="AV55" s="134" t="str">
        <f>IF(AND(Table1[[#This Row],[Variant]]=$AV$4,Table1[[#This Row],[Kv*T]]&gt;0,Table1[[#This Row],[Term.]]="D"),Table1[[#This Row],[Kv*T]],"")</f>
        <v/>
      </c>
      <c r="AW55" s="134" t="str">
        <f>IF(AND(Table1[[#This Row],[Variant]]=$AV$4,Table1[[#This Row],[Kv*T]]&gt;0,Table1[[#This Row],[Term.]]="Y"),Table1[[#This Row],[Kv*T]],"")</f>
        <v/>
      </c>
      <c r="AX55" s="44" t="str">
        <f>IF(AND(Table1[[#This Row],[Kv*T "D"5]]="",Table1[[#This Row],[Kv*T "Y"5]]=""),"",IF(Table1[[#This Row],[Kv*T "D"5]]="",Table1[[#This Row],[Kv*T "Y"5]]*3^0.5,Table1[[#This Row],[Kv*T "D"5]]))</f>
        <v/>
      </c>
      <c r="AY55" s="44"/>
    </row>
    <row r="56" spans="1:51">
      <c r="A56" s="10" t="s">
        <v>225</v>
      </c>
      <c r="B56" s="163">
        <v>101</v>
      </c>
      <c r="C56" s="48">
        <v>24.5</v>
      </c>
      <c r="D56" s="163" t="s">
        <v>176</v>
      </c>
      <c r="E56" s="163">
        <v>1</v>
      </c>
      <c r="F56" s="86">
        <f t="shared" si="5"/>
        <v>24.5</v>
      </c>
      <c r="G56" s="163" t="s">
        <v>11</v>
      </c>
      <c r="H56" s="163">
        <v>72</v>
      </c>
      <c r="I56" s="97">
        <f>IF(OR(Table1[[#This Row],[Phys. Turns]]="",Table1[[#This Row],[Wire]]="",Table1[[#This Row],[Parallel]]=""),"",Table1[[#This Row],[Phys. Turns]]*VLOOKUP(Table1[[#This Row],[Wire]],wirelist,4,FALSE))</f>
        <v>2.4745000000000004</v>
      </c>
      <c r="J56" s="163">
        <v>1318</v>
      </c>
      <c r="K56" s="12">
        <v>0.34100000000000003</v>
      </c>
      <c r="L56" s="13">
        <v>0.19</v>
      </c>
      <c r="M56" s="146" t="s">
        <v>72</v>
      </c>
      <c r="N56" s="48"/>
      <c r="O56" s="163"/>
      <c r="P56" s="163">
        <v>14965</v>
      </c>
      <c r="Q56" s="12">
        <v>11.44</v>
      </c>
      <c r="R56" s="12">
        <v>0.38669999999999999</v>
      </c>
      <c r="S56" s="48"/>
      <c r="T56" s="43" t="str">
        <f t="shared" si="6"/>
        <v/>
      </c>
      <c r="U56" s="133" t="s">
        <v>27</v>
      </c>
      <c r="V56" s="141" t="s">
        <v>241</v>
      </c>
      <c r="W56" s="46" t="str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/>
      </c>
      <c r="X56" s="47" t="str">
        <f>IF(OR(P56="",Table1[[#This Row],[Prop.]]="No Load"),"",(AC56/VLOOKUP(Table1[[#This Row],[Prop.]],proplist,9,FALSE))*VLOOKUP(Table1[[#This Row],[Prop.]],proplist,7,FALSE)*(Table1[[#This Row],[RPM]]/1000)^(VLOOKUP(Table1[[#This Row],[Prop.]],proplist,8,FALSE))/Table1[[#This Row],[Pin '[W']]])</f>
        <v/>
      </c>
      <c r="Y56" s="43" t="str">
        <f>IF(OR(P56="",Table1[[#This Row],[Prop.]]="No Load"),"",P56*VLOOKUP(Table1[[#This Row],[Prop.]],proplist,3,FALSE)/1056)</f>
        <v/>
      </c>
      <c r="Z56" s="43" t="str">
        <f t="shared" si="9"/>
        <v/>
      </c>
      <c r="AA56" s="44" t="str">
        <f>IF(OR(AB56="",Table1[[#This Row],[Prop.]]="No Load"),"",AB56*(1-X56))</f>
        <v/>
      </c>
      <c r="AB56" s="103">
        <f t="shared" si="7"/>
        <v>4.4238479999999996</v>
      </c>
      <c r="AC56" s="86">
        <f t="shared" si="8"/>
        <v>1.2040999999999999</v>
      </c>
      <c r="AD56" s="44">
        <f>IF(Table1[[#This Row],[Prop.]]="No Load",Table1[[#This Row],["T"]]*Table1[[#This Row],[RPM]]/Table1[[#This Row],[V]],"")</f>
        <v>32049.169580419581</v>
      </c>
      <c r="AE56" s="97">
        <f>IF(OR(C56="",E56="",H56=""),"",IF(Table1[[#This Row],[Prop.]]="No Load",IF(E56=1,(H56-10)/C56,IF(E56=2,2*(H56-10)/C56,4*(H56-10))),""))</f>
        <v>2.5306122448979593</v>
      </c>
      <c r="AF56" s="86" t="str">
        <f>IF(AND(Table1[[#This Row],[Variant]]=$AF$4,Table1[[#This Row],[Kv*T]]&gt;0,Table1[[#This Row],[Term.]]="D"),Table1[[#This Row],[Kv*T]],"")</f>
        <v/>
      </c>
      <c r="AG56" s="86" t="str">
        <f>IF(AND(Table1[[#This Row],[Variant]]=$AF$4,Table1[[#This Row],[Kv*T]]&gt;0,Table1[[#This Row],[Term.]]="Y"),Table1[[#This Row],[Kv*T]],"")</f>
        <v/>
      </c>
      <c r="AH56" s="44" t="str">
        <f>IF(AND(Table1[[#This Row],[Kv*T "D"]]="",Table1[[#This Row],[Kv*T "Y"]]=""),"",IF(Table1[[#This Row],[Kv*T "D"]]="",Table1[[#This Row],[Kv*T "Y"]]*3^0.5,Table1[[#This Row],[Kv*T "D"]]))</f>
        <v/>
      </c>
      <c r="AI56" s="43">
        <f>IF(Table1[[#This Row],[Std Inch per turn]]="","",Table1[[#This Row],[Std Inch per turn]])</f>
        <v>2.5306122448979593</v>
      </c>
      <c r="AJ56" s="134">
        <f>IF(AND(Table1[[#This Row],[Variant]]=$AJ$4,Table1[[#This Row],[Kv*T]]&gt;0,Table1[[#This Row],[Term.]]="D"),Table1[[#This Row],[Kv*T]],"")</f>
        <v>32049.169580419581</v>
      </c>
      <c r="AK56" s="134" t="str">
        <f>IF(AND(Table1[[#This Row],[Variant]]=$AJ$4,Table1[[#This Row],[Kv*T]]&gt;0,Table1[[#This Row],[Term.]]="Y"),Table1[[#This Row],[Kv*T]],"")</f>
        <v/>
      </c>
      <c r="AL56" s="44">
        <f>IF(AND(Table1[[#This Row],[Kv*T "D"2]]="",Table1[[#This Row],[Kv*T "Y"2]]=""),"",IF(Table1[[#This Row],[Kv*T "D"2]]="",Table1[[#This Row],[Kv*T "Y"2]]*3^0.5,Table1[[#This Row],[Kv*T "D"2]]))</f>
        <v>32049.169580419581</v>
      </c>
      <c r="AM56" s="43">
        <f>IF(Table1[[#This Row],[Std Inch per turn]]="","",Table1[[#This Row],[Std Inch per turn]])</f>
        <v>2.5306122448979593</v>
      </c>
      <c r="AN56" s="134" t="str">
        <f>IF(AND(Table1[[#This Row],[Variant]]=$AN$4,Table1[[#This Row],[Kv*T]]&gt;0,Table1[[#This Row],[Term.]]="D"),Table1[[#This Row],[Kv*T]],"")</f>
        <v/>
      </c>
      <c r="AO56" s="134" t="str">
        <f>IF(AND(Table1[[#This Row],[Variant]]=$AN$4,Table1[[#This Row],[Kv*T]]&gt;0,Table1[[#This Row],[Term.]]="Y"),Table1[[#This Row],[Kv*T]],"")</f>
        <v/>
      </c>
      <c r="AP56" s="44" t="str">
        <f>IF(AND(Table1[[#This Row],[Kv*T "D"3]]="",Table1[[#This Row],[Kv*T "Y"3]]=""),"",IF(Table1[[#This Row],[Kv*T "D"3]]="",Table1[[#This Row],[Kv*T "Y"3]]*3^0.5,Table1[[#This Row],[Kv*T "D"3]]))</f>
        <v/>
      </c>
      <c r="AQ56" s="44"/>
      <c r="AR56" s="134" t="str">
        <f>IF(AND(Table1[[#This Row],[Variant]]=$AR$4,Table1[[#This Row],[Kv*T]]&gt;0,Table1[[#This Row],[Term.]]="D"),Table1[[#This Row],[Kv*T]],"")</f>
        <v/>
      </c>
      <c r="AS56" s="134" t="str">
        <f>IF(AND(Table1[[#This Row],[Variant]]=$AR$4,Table1[[#This Row],[Kv*T]]&gt;0,Table1[[#This Row],[Term.]]="Y"),Table1[[#This Row],[Kv*T]],"")</f>
        <v/>
      </c>
      <c r="AT56" s="44" t="str">
        <f>IF(AND(Table1[[#This Row],[Kv*T "D"4]]="",Table1[[#This Row],[Kv*T "Y"4]]=""),"",IF(Table1[[#This Row],[Kv*T "D"4]]="",Table1[[#This Row],[Kv*T "Y"4]]*3^0.5,Table1[[#This Row],[Kv*T "D"4]]))</f>
        <v/>
      </c>
      <c r="AU56" s="44"/>
      <c r="AV56" s="134" t="str">
        <f>IF(AND(Table1[[#This Row],[Variant]]=$AV$4,Table1[[#This Row],[Kv*T]]&gt;0,Table1[[#This Row],[Term.]]="D"),Table1[[#This Row],[Kv*T]],"")</f>
        <v/>
      </c>
      <c r="AW56" s="134" t="str">
        <f>IF(AND(Table1[[#This Row],[Variant]]=$AV$4,Table1[[#This Row],[Kv*T]]&gt;0,Table1[[#This Row],[Term.]]="Y"),Table1[[#This Row],[Kv*T]],"")</f>
        <v/>
      </c>
      <c r="AX56" s="44" t="str">
        <f>IF(AND(Table1[[#This Row],[Kv*T "D"5]]="",Table1[[#This Row],[Kv*T "Y"5]]=""),"",IF(Table1[[#This Row],[Kv*T "D"5]]="",Table1[[#This Row],[Kv*T "Y"5]]*3^0.5,Table1[[#This Row],[Kv*T "D"5]]))</f>
        <v/>
      </c>
      <c r="AY56" s="44"/>
    </row>
    <row r="57" spans="1:51">
      <c r="A57" s="10" t="s">
        <v>225</v>
      </c>
      <c r="B57" s="163">
        <v>101</v>
      </c>
      <c r="C57" s="48">
        <v>24.5</v>
      </c>
      <c r="D57" s="163" t="s">
        <v>176</v>
      </c>
      <c r="E57" s="163">
        <v>1</v>
      </c>
      <c r="F57" s="86">
        <f t="shared" si="5"/>
        <v>24.5</v>
      </c>
      <c r="G57" s="163" t="s">
        <v>11</v>
      </c>
      <c r="H57" s="163">
        <v>72</v>
      </c>
      <c r="I57" s="97">
        <f>IF(OR(Table1[[#This Row],[Phys. Turns]]="",Table1[[#This Row],[Wire]]="",Table1[[#This Row],[Parallel]]=""),"",Table1[[#This Row],[Phys. Turns]]*VLOOKUP(Table1[[#This Row],[Wire]],wirelist,4,FALSE))</f>
        <v>2.4745000000000004</v>
      </c>
      <c r="J57" s="163">
        <v>1318</v>
      </c>
      <c r="K57" s="12">
        <v>0.34100000000000003</v>
      </c>
      <c r="L57" s="13">
        <v>0.19</v>
      </c>
      <c r="M57" s="146" t="s">
        <v>72</v>
      </c>
      <c r="N57" s="48"/>
      <c r="O57" s="163"/>
      <c r="P57" s="163">
        <v>9978</v>
      </c>
      <c r="Q57" s="12">
        <v>7.57</v>
      </c>
      <c r="R57" s="12">
        <v>0.34129999999999999</v>
      </c>
      <c r="S57" s="48"/>
      <c r="T57" s="43" t="str">
        <f t="shared" si="6"/>
        <v/>
      </c>
      <c r="U57" s="133" t="s">
        <v>27</v>
      </c>
      <c r="V57" s="141" t="s">
        <v>241</v>
      </c>
      <c r="W57" s="46" t="str">
        <f>IF(OR(Table1[[#This Row],[RPM]]="",Table1[[#This Row],[Prop.]]="No Load"),"",(Table1[[#This Row],[Test Density]]/VLOOKUP(Table1[[#This Row],[Prop.]],proplist,6,FALSE))*VLOOKUP(Table1[[#This Row],[Prop.]],proplist,4,FALSE)/28.3*(Table1[[#This Row],[RPM]]/1000)^VLOOKUP(Table1[[#This Row],[Prop.]],proplist,5,FALSE))</f>
        <v/>
      </c>
      <c r="X57" s="47" t="str">
        <f>IF(OR(P57="",Table1[[#This Row],[Prop.]]="No Load"),"",(AC57/VLOOKUP(Table1[[#This Row],[Prop.]],proplist,9,FALSE))*VLOOKUP(Table1[[#This Row],[Prop.]],proplist,7,FALSE)*(Table1[[#This Row],[RPM]]/1000)^(VLOOKUP(Table1[[#This Row],[Prop.]],proplist,8,FALSE))/Table1[[#This Row],[Pin '[W']]])</f>
        <v/>
      </c>
      <c r="Y57" s="43" t="str">
        <f>IF(OR(P57="",Table1[[#This Row],[Prop.]]="No Load"),"",P57*VLOOKUP(Table1[[#This Row],[Prop.]],proplist,3,FALSE)/1056)</f>
        <v/>
      </c>
      <c r="Z57" s="43" t="str">
        <f t="shared" si="9"/>
        <v/>
      </c>
      <c r="AA57" s="44" t="str">
        <f>IF(OR(AB57="",Table1[[#This Row],[Prop.]]="No Load"),"",AB57*(1-X57))</f>
        <v/>
      </c>
      <c r="AB57" s="103">
        <f t="shared" si="7"/>
        <v>2.5836410000000001</v>
      </c>
      <c r="AC57" s="86">
        <f t="shared" si="8"/>
        <v>1.2040999999999999</v>
      </c>
      <c r="AD57" s="44">
        <f>IF(Table1[[#This Row],[Prop.]]="No Load",Table1[[#This Row],["T"]]*Table1[[#This Row],[RPM]]/Table1[[#This Row],[V]],"")</f>
        <v>32293.394980184938</v>
      </c>
      <c r="AE57" s="97">
        <f>IF(OR(C57="",E57="",H57=""),"",IF(Table1[[#This Row],[Prop.]]="No Load",IF(E57=1,(H57-10)/C57,IF(E57=2,2*(H57-10)/C57,4*(H57-10))),""))</f>
        <v>2.5306122448979593</v>
      </c>
      <c r="AF57" s="86" t="str">
        <f>IF(AND(Table1[[#This Row],[Variant]]=$AF$4,Table1[[#This Row],[Kv*T]]&gt;0,Table1[[#This Row],[Term.]]="D"),Table1[[#This Row],[Kv*T]],"")</f>
        <v/>
      </c>
      <c r="AG57" s="86" t="str">
        <f>IF(AND(Table1[[#This Row],[Variant]]=$AF$4,Table1[[#This Row],[Kv*T]]&gt;0,Table1[[#This Row],[Term.]]="Y"),Table1[[#This Row],[Kv*T]],"")</f>
        <v/>
      </c>
      <c r="AH57" s="44" t="str">
        <f>IF(AND(Table1[[#This Row],[Kv*T "D"]]="",Table1[[#This Row],[Kv*T "Y"]]=""),"",IF(Table1[[#This Row],[Kv*T "D"]]="",Table1[[#This Row],[Kv*T "Y"]]*3^0.5,Table1[[#This Row],[Kv*T "D"]]))</f>
        <v/>
      </c>
      <c r="AI57" s="43">
        <f>IF(Table1[[#This Row],[Std Inch per turn]]="","",Table1[[#This Row],[Std Inch per turn]])</f>
        <v>2.5306122448979593</v>
      </c>
      <c r="AJ57" s="134">
        <f>IF(AND(Table1[[#This Row],[Variant]]=$AJ$4,Table1[[#This Row],[Kv*T]]&gt;0,Table1[[#This Row],[Term.]]="D"),Table1[[#This Row],[Kv*T]],"")</f>
        <v>32293.394980184938</v>
      </c>
      <c r="AK57" s="134" t="str">
        <f>IF(AND(Table1[[#This Row],[Variant]]=$AJ$4,Table1[[#This Row],[Kv*T]]&gt;0,Table1[[#This Row],[Term.]]="Y"),Table1[[#This Row],[Kv*T]],"")</f>
        <v/>
      </c>
      <c r="AL57" s="44">
        <f>IF(AND(Table1[[#This Row],[Kv*T "D"2]]="",Table1[[#This Row],[Kv*T "Y"2]]=""),"",IF(Table1[[#This Row],[Kv*T "D"2]]="",Table1[[#This Row],[Kv*T "Y"2]]*3^0.5,Table1[[#This Row],[Kv*T "D"2]]))</f>
        <v>32293.394980184938</v>
      </c>
      <c r="AM57" s="43">
        <f>IF(Table1[[#This Row],[Std Inch per turn]]="","",Table1[[#This Row],[Std Inch per turn]])</f>
        <v>2.5306122448979593</v>
      </c>
      <c r="AN57" s="134" t="str">
        <f>IF(AND(Table1[[#This Row],[Variant]]=$AN$4,Table1[[#This Row],[Kv*T]]&gt;0,Table1[[#This Row],[Term.]]="D"),Table1[[#This Row],[Kv*T]],"")</f>
        <v/>
      </c>
      <c r="AO57" s="134" t="str">
        <f>IF(AND(Table1[[#This Row],[Variant]]=$AN$4,Table1[[#This Row],[Kv*T]]&gt;0,Table1[[#This Row],[Term.]]="Y"),Table1[[#This Row],[Kv*T]],"")</f>
        <v/>
      </c>
      <c r="AP57" s="44" t="str">
        <f>IF(AND(Table1[[#This Row],[Kv*T "D"3]]="",Table1[[#This Row],[Kv*T "Y"3]]=""),"",IF(Table1[[#This Row],[Kv*T "D"3]]="",Table1[[#This Row],[Kv*T "Y"3]]*3^0.5,Table1[[#This Row],[Kv*T "D"3]]))</f>
        <v/>
      </c>
      <c r="AQ57" s="44"/>
      <c r="AR57" s="134" t="str">
        <f>IF(AND(Table1[[#This Row],[Variant]]=$AR$4,Table1[[#This Row],[Kv*T]]&gt;0,Table1[[#This Row],[Term.]]="D"),Table1[[#This Row],[Kv*T]],"")</f>
        <v/>
      </c>
      <c r="AS57" s="134" t="str">
        <f>IF(AND(Table1[[#This Row],[Variant]]=$AR$4,Table1[[#This Row],[Kv*T]]&gt;0,Table1[[#This Row],[Term.]]="Y"),Table1[[#This Row],[Kv*T]],"")</f>
        <v/>
      </c>
      <c r="AT57" s="44" t="str">
        <f>IF(AND(Table1[[#This Row],[Kv*T "D"4]]="",Table1[[#This Row],[Kv*T "Y"4]]=""),"",IF(Table1[[#This Row],[Kv*T "D"4]]="",Table1[[#This Row],[Kv*T "Y"4]]*3^0.5,Table1[[#This Row],[Kv*T "D"4]]))</f>
        <v/>
      </c>
      <c r="AU57" s="44"/>
      <c r="AV57" s="134" t="str">
        <f>IF(AND(Table1[[#This Row],[Variant]]=$AV$4,Table1[[#This Row],[Kv*T]]&gt;0,Table1[[#This Row],[Term.]]="D"),Table1[[#This Row],[Kv*T]],"")</f>
        <v/>
      </c>
      <c r="AW57" s="134" t="str">
        <f>IF(AND(Table1[[#This Row],[Variant]]=$AV$4,Table1[[#This Row],[Kv*T]]&gt;0,Table1[[#This Row],[Term.]]="Y"),Table1[[#This Row],[Kv*T]],"")</f>
        <v/>
      </c>
      <c r="AX57" s="44" t="str">
        <f>IF(AND(Table1[[#This Row],[Kv*T "D"5]]="",Table1[[#This Row],[Kv*T "Y"5]]=""),"",IF(Table1[[#This Row],[Kv*T "D"5]]="",Table1[[#This Row],[Kv*T "Y"5]]*3^0.5,Table1[[#This Row],[Kv*T "D"5]]))</f>
        <v/>
      </c>
      <c r="AY57" s="44"/>
    </row>
    <row r="58" spans="1:51">
      <c r="A58" s="10" t="s">
        <v>249</v>
      </c>
      <c r="B58" s="146"/>
      <c r="C58" s="146"/>
      <c r="D58" s="146"/>
      <c r="E58" s="146"/>
      <c r="F58" s="86" t="str">
        <f t="shared" si="5"/>
        <v/>
      </c>
      <c r="G58" s="146"/>
      <c r="H58" s="146"/>
      <c r="I58" s="97" t="str">
        <f>IF(OR(Table1[[#This Row],[Phys. Turns]]="",Table1[[#This Row],[Wire]]="",Table1[[#This Row],[Parallel]]=""),"",Table1[[#This Row],[Phys. Turns]]*VLOOKUP(Table1[[#This Row],[Wire]],wirelist,4,FALSE))</f>
        <v/>
      </c>
      <c r="J58" s="11"/>
      <c r="K58" s="12"/>
      <c r="L58" s="13"/>
      <c r="M58" s="5"/>
      <c r="N58" s="48"/>
      <c r="O58" s="146"/>
      <c r="P58" s="146"/>
      <c r="Q58" s="12"/>
      <c r="R58" s="12"/>
      <c r="S58" s="48"/>
      <c r="T58" s="43" t="str">
        <f t="shared" si="6"/>
        <v/>
      </c>
      <c r="U58" s="146"/>
      <c r="V58" s="142"/>
      <c r="W58" s="46" t="str">
        <f>IF(OR(P58="",Table1[[#This Row],[Prop.]]="No Load"),"",(Tests!AC58/VLOOKUP(Table1[[#This Row],[Prop.]],proplist,6,FALSE))*VLOOKUP(Table1[[#This Row],[Prop.]],proplist,4,FALSE)/28.3*(Table1[[#This Row],[RPM]]/1000)^VLOOKUP(Table1[[#This Row],[Prop.]],proplist,5,FALSE))</f>
        <v/>
      </c>
      <c r="X58" s="47" t="str">
        <f>IF(OR(P58="",Table1[[#This Row],[Prop.]]="No Load"),"",(AC58/VLOOKUP(Table1[[#This Row],[Prop.]],proplist,9,FALSE))*VLOOKUP(Table1[[#This Row],[Prop.]],proplist,7,FALSE)*(Table1[[#This Row],[RPM]]/1000)^(VLOOKUP(Table1[[#This Row],[Prop.]],proplist,8,FALSE))/Table1[[#This Row],[Pin '[W']]])</f>
        <v/>
      </c>
      <c r="Y58" s="43" t="str">
        <f>IF(OR(P58="",Table1[[#This Row],[Prop.]]="No Load"),"",P58*VLOOKUP(Table1[[#This Row],[Prop.]],proplist,3,FALSE)/1056)</f>
        <v/>
      </c>
      <c r="Z58" s="43" t="str">
        <f t="shared" si="9"/>
        <v/>
      </c>
      <c r="AA58" s="44" t="str">
        <f>IF(OR(AB58="",Table1[[#This Row],[Prop.]]="No Load"),"",AB58*(1-X58))</f>
        <v/>
      </c>
      <c r="AB58" s="103" t="str">
        <f t="shared" si="7"/>
        <v/>
      </c>
      <c r="AC58" s="45">
        <f t="shared" si="8"/>
        <v>1.2040999999999999</v>
      </c>
      <c r="AD58" s="73" t="str">
        <f>IF(Table1[[#This Row],[Prop.]]="No Load",Table1[[#This Row],["T"]]*Table1[[#This Row],[RPM]]/Table1[[#This Row],[V]],"")</f>
        <v/>
      </c>
      <c r="AE58" s="74" t="str">
        <f>IF(OR(C58="",E58="",H58=""),"",IF(Table1[[#This Row],[Prop.]]="No Load",IF(E58=1,(H58-10)/C58,IF(E58=2,2*(H58-10)/C58,4*(H58-10))),""))</f>
        <v/>
      </c>
      <c r="AF58" s="45" t="str">
        <f>IF(AND(Table1[[#This Row],[Variant]]=$AF$4,Table1[[#This Row],[Kv*T]]&gt;0,Table1[[#This Row],[Term.]]="D"),Table1[[#This Row],[Kv*T]],"")</f>
        <v/>
      </c>
      <c r="AG58" s="45" t="str">
        <f>IF(AND(Table1[[#This Row],[Variant]]=$AF$4,Table1[[#This Row],[Kv*T]]&gt;0,Table1[[#This Row],[Term.]]="Y"),Table1[[#This Row],[Kv*T]],"")</f>
        <v/>
      </c>
      <c r="AH58" s="73" t="str">
        <f>IF(AND(Table1[[#This Row],[Kv*T "D"]]="",Table1[[#This Row],[Kv*T "Y"]]=""),"",IF(Table1[[#This Row],[Kv*T "D"]]="",Table1[[#This Row],[Kv*T "Y"]]*3^0.5,Table1[[#This Row],[Kv*T "D"]]))</f>
        <v/>
      </c>
      <c r="AI58" s="147" t="str">
        <f>IF(Table1[[#This Row],[Std Inch per turn]]="","",Table1[[#This Row],[Std Inch per turn]])</f>
        <v/>
      </c>
      <c r="AJ58" s="75" t="str">
        <f>IF(AND(Table1[[#This Row],[Variant]]=$AJ$4,Table1[[#This Row],[Kv*T]]&gt;0,Table1[[#This Row],[Term.]]="D"),Table1[[#This Row],[Kv*T]],"")</f>
        <v/>
      </c>
      <c r="AK58" s="75" t="str">
        <f>IF(AND(Table1[[#This Row],[Variant]]=$AJ$4,Table1[[#This Row],[Kv*T]]&gt;0,Table1[[#This Row],[Term.]]="Y"),Table1[[#This Row],[Kv*T]],"")</f>
        <v/>
      </c>
      <c r="AL58" s="73" t="str">
        <f>IF(AND(Table1[[#This Row],[Kv*T "D"2]]="",Table1[[#This Row],[Kv*T "Y"2]]=""),"",IF(Table1[[#This Row],[Kv*T "D"2]]="",Table1[[#This Row],[Kv*T "Y"2]]*3^0.5,Table1[[#This Row],[Kv*T "D"2]]))</f>
        <v/>
      </c>
      <c r="AM58" s="147" t="str">
        <f>IF(Table1[[#This Row],[Std Inch per turn]]="","",Table1[[#This Row],[Std Inch per turn]])</f>
        <v/>
      </c>
      <c r="AN58" s="75" t="str">
        <f>IF(AND(Table1[[#This Row],[Variant]]=$AN$4,Table1[[#This Row],[Kv*T]]&gt;0,Table1[[#This Row],[Term.]]="D"),Table1[[#This Row],[Kv*T]],"")</f>
        <v/>
      </c>
      <c r="AO58" s="75" t="str">
        <f>IF(AND(Table1[[#This Row],[Variant]]=$AN$4,Table1[[#This Row],[Kv*T]]&gt;0,Table1[[#This Row],[Term.]]="Y"),Table1[[#This Row],[Kv*T]],"")</f>
        <v/>
      </c>
      <c r="AP58" s="73" t="str">
        <f>IF(AND(Table1[[#This Row],[Kv*T "D"3]]="",Table1[[#This Row],[Kv*T "Y"3]]=""),"",IF(Table1[[#This Row],[Kv*T "D"3]]="",Table1[[#This Row],[Kv*T "Y"3]]*3^0.5,Table1[[#This Row],[Kv*T "D"3]]))</f>
        <v/>
      </c>
      <c r="AQ58" s="73"/>
      <c r="AR58" s="75" t="str">
        <f>IF(AND(Table1[[#This Row],[Variant]]=$AR$4,Table1[[#This Row],[Kv*T]]&gt;0,Table1[[#This Row],[Term.]]="D"),Table1[[#This Row],[Kv*T]],"")</f>
        <v/>
      </c>
      <c r="AS58" s="75" t="str">
        <f>IF(AND(Table1[[#This Row],[Variant]]=$AR$4,Table1[[#This Row],[Kv*T]]&gt;0,Table1[[#This Row],[Term.]]="Y"),Table1[[#This Row],[Kv*T]],"")</f>
        <v/>
      </c>
      <c r="AT58" s="73" t="str">
        <f>IF(AND(Table1[[#This Row],[Kv*T "D"4]]="",Table1[[#This Row],[Kv*T "Y"4]]=""),"",IF(Table1[[#This Row],[Kv*T "D"4]]="",Table1[[#This Row],[Kv*T "Y"4]]*3^0.5,Table1[[#This Row],[Kv*T "D"4]]))</f>
        <v/>
      </c>
      <c r="AU58" s="73"/>
      <c r="AV58" s="75" t="str">
        <f>IF(AND(Table1[[#This Row],[Variant]]=$AV$4,Table1[[#This Row],[Kv*T]]&gt;0,Table1[[#This Row],[Term.]]="D"),Table1[[#This Row],[Kv*T]],"")</f>
        <v/>
      </c>
      <c r="AW58" s="75" t="str">
        <f>IF(AND(Table1[[#This Row],[Variant]]=$AV$4,Table1[[#This Row],[Kv*T]]&gt;0,Table1[[#This Row],[Term.]]="Y"),Table1[[#This Row],[Kv*T]],"")</f>
        <v/>
      </c>
      <c r="AX58" s="73" t="str">
        <f>IF(AND(Table1[[#This Row],[Kv*T "D"5]]="",Table1[[#This Row],[Kv*T "Y"5]]=""),"",IF(Table1[[#This Row],[Kv*T "D"5]]="",Table1[[#This Row],[Kv*T "Y"5]]*3^0.5,Table1[[#This Row],[Kv*T "D"5]]))</f>
        <v/>
      </c>
      <c r="AY58" s="73"/>
    </row>
    <row r="59" spans="1:51">
      <c r="A59" s="10"/>
      <c r="B59" s="146"/>
      <c r="C59" s="146"/>
      <c r="D59" s="146"/>
      <c r="E59" s="146"/>
      <c r="F59" s="86" t="str">
        <f t="shared" si="5"/>
        <v/>
      </c>
      <c r="G59" s="146"/>
      <c r="H59" s="146"/>
      <c r="I59" s="97" t="str">
        <f>IF(OR(Table1[[#This Row],[Phys. Turns]]="",Table1[[#This Row],[Wire]]="",Table1[[#This Row],[Parallel]]=""),"",Table1[[#This Row],[Phys. Turns]]*VLOOKUP(Table1[[#This Row],[Wire]],wirelist,4,FALSE))</f>
        <v/>
      </c>
      <c r="J59" s="11"/>
      <c r="K59" s="12"/>
      <c r="L59" s="13"/>
      <c r="M59" s="5"/>
      <c r="N59" s="48"/>
      <c r="O59" s="146"/>
      <c r="P59" s="146"/>
      <c r="Q59" s="12"/>
      <c r="R59" s="12"/>
      <c r="S59" s="48"/>
      <c r="T59" s="43" t="str">
        <f t="shared" si="6"/>
        <v/>
      </c>
      <c r="U59" s="146"/>
      <c r="V59" s="142"/>
      <c r="W59" s="46" t="str">
        <f>IF(OR(P59="",Table1[[#This Row],[Prop.]]="No Load"),"",(Tests!AC59/VLOOKUP(Table1[[#This Row],[Prop.]],proplist,6,FALSE))*VLOOKUP(Table1[[#This Row],[Prop.]],proplist,4,FALSE)/28.3*(Table1[[#This Row],[RPM]]/1000)^VLOOKUP(Table1[[#This Row],[Prop.]],proplist,5,FALSE))</f>
        <v/>
      </c>
      <c r="X59" s="47" t="str">
        <f>IF(OR(P59="",Table1[[#This Row],[Prop.]]="No Load"),"",(AC59/VLOOKUP(Table1[[#This Row],[Prop.]],proplist,9,FALSE))*VLOOKUP(Table1[[#This Row],[Prop.]],proplist,7,FALSE)*(Table1[[#This Row],[RPM]]/1000)^(VLOOKUP(Table1[[#This Row],[Prop.]],proplist,8,FALSE))/Table1[[#This Row],[Pin '[W']]])</f>
        <v/>
      </c>
      <c r="Y59" s="43" t="str">
        <f>IF(OR(P59="",Table1[[#This Row],[Prop.]]="No Load"),"",P59*VLOOKUP(Table1[[#This Row],[Prop.]],proplist,3,FALSE)/1056)</f>
        <v/>
      </c>
      <c r="Z59" s="43" t="str">
        <f t="shared" si="9"/>
        <v/>
      </c>
      <c r="AA59" s="44" t="str">
        <f>IF(OR(AB59="",Table1[[#This Row],[Prop.]]="No Load"),"",AB59*(1-X59))</f>
        <v/>
      </c>
      <c r="AB59" s="103" t="str">
        <f t="shared" si="7"/>
        <v/>
      </c>
      <c r="AC59" s="45" t="str">
        <f t="shared" si="8"/>
        <v/>
      </c>
      <c r="AD59" s="73" t="str">
        <f>IF(Table1[[#This Row],[Prop.]]="No Load",Table1[[#This Row],["T"]]*Table1[[#This Row],[RPM]]/Table1[[#This Row],[V]],"")</f>
        <v/>
      </c>
      <c r="AE59" s="74" t="str">
        <f>IF(OR(C59="",E59="",H59=""),"",IF(Table1[[#This Row],[Prop.]]="No Load",IF(E59=1,(H59-10)/C59,IF(E59=2,2*(H59-10)/C59,4*(H59-10))),""))</f>
        <v/>
      </c>
      <c r="AF59" s="45" t="str">
        <f>IF(AND(Table1[[#This Row],[Variant]]=$AF$4,Table1[[#This Row],[Kv*T]]&gt;0,Table1[[#This Row],[Term.]]="D"),Table1[[#This Row],[Kv*T]],"")</f>
        <v/>
      </c>
      <c r="AG59" s="45" t="str">
        <f>IF(AND(Table1[[#This Row],[Variant]]=$AF$4,Table1[[#This Row],[Kv*T]]&gt;0,Table1[[#This Row],[Term.]]="Y"),Table1[[#This Row],[Kv*T]],"")</f>
        <v/>
      </c>
      <c r="AH59" s="73" t="str">
        <f>IF(AND(Table1[[#This Row],[Kv*T "D"]]="",Table1[[#This Row],[Kv*T "Y"]]=""),"",IF(Table1[[#This Row],[Kv*T "D"]]="",Table1[[#This Row],[Kv*T "Y"]]*3^0.5,Table1[[#This Row],[Kv*T "D"]]))</f>
        <v/>
      </c>
      <c r="AI59" s="147" t="str">
        <f>IF(Table1[[#This Row],[Std Inch per turn]]="","",Table1[[#This Row],[Std Inch per turn]])</f>
        <v/>
      </c>
      <c r="AJ59" s="75" t="str">
        <f>IF(AND(Table1[[#This Row],[Variant]]=$AJ$4,Table1[[#This Row],[Kv*T]]&gt;0,Table1[[#This Row],[Term.]]="D"),Table1[[#This Row],[Kv*T]],"")</f>
        <v/>
      </c>
      <c r="AK59" s="75" t="str">
        <f>IF(AND(Table1[[#This Row],[Variant]]=$AJ$4,Table1[[#This Row],[Kv*T]]&gt;0,Table1[[#This Row],[Term.]]="Y"),Table1[[#This Row],[Kv*T]],"")</f>
        <v/>
      </c>
      <c r="AL59" s="73" t="str">
        <f>IF(AND(Table1[[#This Row],[Kv*T "D"2]]="",Table1[[#This Row],[Kv*T "Y"2]]=""),"",IF(Table1[[#This Row],[Kv*T "D"2]]="",Table1[[#This Row],[Kv*T "Y"2]]*3^0.5,Table1[[#This Row],[Kv*T "D"2]]))</f>
        <v/>
      </c>
      <c r="AM59" s="147" t="str">
        <f>IF(Table1[[#This Row],[Std Inch per turn]]="","",Table1[[#This Row],[Std Inch per turn]])</f>
        <v/>
      </c>
      <c r="AN59" s="75" t="str">
        <f>IF(AND(Table1[[#This Row],[Variant]]=$AN$4,Table1[[#This Row],[Kv*T]]&gt;0,Table1[[#This Row],[Term.]]="D"),Table1[[#This Row],[Kv*T]],"")</f>
        <v/>
      </c>
      <c r="AO59" s="75" t="str">
        <f>IF(AND(Table1[[#This Row],[Variant]]=$AN$4,Table1[[#This Row],[Kv*T]]&gt;0,Table1[[#This Row],[Term.]]="Y"),Table1[[#This Row],[Kv*T]],"")</f>
        <v/>
      </c>
      <c r="AP59" s="73" t="str">
        <f>IF(AND(Table1[[#This Row],[Kv*T "D"3]]="",Table1[[#This Row],[Kv*T "Y"3]]=""),"",IF(Table1[[#This Row],[Kv*T "D"3]]="",Table1[[#This Row],[Kv*T "Y"3]]*3^0.5,Table1[[#This Row],[Kv*T "D"3]]))</f>
        <v/>
      </c>
      <c r="AQ59" s="73"/>
      <c r="AR59" s="75" t="str">
        <f>IF(AND(Table1[[#This Row],[Variant]]=$AR$4,Table1[[#This Row],[Kv*T]]&gt;0,Table1[[#This Row],[Term.]]="D"),Table1[[#This Row],[Kv*T]],"")</f>
        <v/>
      </c>
      <c r="AS59" s="75" t="str">
        <f>IF(AND(Table1[[#This Row],[Variant]]=$AR$4,Table1[[#This Row],[Kv*T]]&gt;0,Table1[[#This Row],[Term.]]="Y"),Table1[[#This Row],[Kv*T]],"")</f>
        <v/>
      </c>
      <c r="AT59" s="73" t="str">
        <f>IF(AND(Table1[[#This Row],[Kv*T "D"4]]="",Table1[[#This Row],[Kv*T "Y"4]]=""),"",IF(Table1[[#This Row],[Kv*T "D"4]]="",Table1[[#This Row],[Kv*T "Y"4]]*3^0.5,Table1[[#This Row],[Kv*T "D"4]]))</f>
        <v/>
      </c>
      <c r="AU59" s="73"/>
      <c r="AV59" s="75" t="str">
        <f>IF(AND(Table1[[#This Row],[Variant]]=$AV$4,Table1[[#This Row],[Kv*T]]&gt;0,Table1[[#This Row],[Term.]]="D"),Table1[[#This Row],[Kv*T]],"")</f>
        <v/>
      </c>
      <c r="AW59" s="75" t="str">
        <f>IF(AND(Table1[[#This Row],[Variant]]=$AV$4,Table1[[#This Row],[Kv*T]]&gt;0,Table1[[#This Row],[Term.]]="Y"),Table1[[#This Row],[Kv*T]],"")</f>
        <v/>
      </c>
      <c r="AX59" s="73" t="str">
        <f>IF(AND(Table1[[#This Row],[Kv*T "D"5]]="",Table1[[#This Row],[Kv*T "Y"5]]=""),"",IF(Table1[[#This Row],[Kv*T "D"5]]="",Table1[[#This Row],[Kv*T "Y"5]]*3^0.5,Table1[[#This Row],[Kv*T "D"5]]))</f>
        <v/>
      </c>
      <c r="AY59" s="73"/>
    </row>
    <row r="60" spans="1:51">
      <c r="A60" s="10"/>
      <c r="B60" s="146"/>
      <c r="C60" s="146"/>
      <c r="D60" s="146"/>
      <c r="E60" s="146"/>
      <c r="F60" s="86" t="str">
        <f t="shared" si="5"/>
        <v/>
      </c>
      <c r="G60" s="146"/>
      <c r="H60" s="146"/>
      <c r="I60" s="97" t="str">
        <f>IF(OR(Table1[[#This Row],[Phys. Turns]]="",Table1[[#This Row],[Wire]]="",Table1[[#This Row],[Parallel]]=""),"",Table1[[#This Row],[Phys. Turns]]*VLOOKUP(Table1[[#This Row],[Wire]],wirelist,4,FALSE))</f>
        <v/>
      </c>
      <c r="J60" s="11"/>
      <c r="K60" s="12"/>
      <c r="L60" s="13"/>
      <c r="M60" s="5"/>
      <c r="N60" s="48"/>
      <c r="O60" s="146"/>
      <c r="P60" s="146"/>
      <c r="Q60" s="12"/>
      <c r="R60" s="12"/>
      <c r="S60" s="48"/>
      <c r="T60" s="43" t="str">
        <f t="shared" si="6"/>
        <v/>
      </c>
      <c r="U60" s="146"/>
      <c r="V60" s="142"/>
      <c r="W60" s="46" t="str">
        <f>IF(OR(P60="",Table1[[#This Row],[Prop.]]="No Load"),"",(Tests!AC60/VLOOKUP(Table1[[#This Row],[Prop.]],proplist,6,FALSE))*VLOOKUP(Table1[[#This Row],[Prop.]],proplist,4,FALSE)/28.3*(Table1[[#This Row],[RPM]]/1000)^VLOOKUP(Table1[[#This Row],[Prop.]],proplist,5,FALSE))</f>
        <v/>
      </c>
      <c r="X60" s="47" t="str">
        <f>IF(OR(P60="",Table1[[#This Row],[Prop.]]="No Load"),"",(AC60/VLOOKUP(Table1[[#This Row],[Prop.]],proplist,9,FALSE))*VLOOKUP(Table1[[#This Row],[Prop.]],proplist,7,FALSE)*(Table1[[#This Row],[RPM]]/1000)^(VLOOKUP(Table1[[#This Row],[Prop.]],proplist,8,FALSE))/Table1[[#This Row],[Pin '[W']]])</f>
        <v/>
      </c>
      <c r="Y60" s="43" t="str">
        <f>IF(OR(P60="",Table1[[#This Row],[Prop.]]="No Load"),"",P60*VLOOKUP(Table1[[#This Row],[Prop.]],proplist,3,FALSE)/1056)</f>
        <v/>
      </c>
      <c r="Z60" s="43" t="str">
        <f t="shared" si="9"/>
        <v/>
      </c>
      <c r="AA60" s="44" t="str">
        <f>IF(OR(AB60="",Table1[[#This Row],[Prop.]]="No Load"),"",AB60*(1-X60))</f>
        <v/>
      </c>
      <c r="AB60" s="103" t="str">
        <f t="shared" si="7"/>
        <v/>
      </c>
      <c r="AC60" s="45" t="str">
        <f t="shared" si="8"/>
        <v/>
      </c>
      <c r="AD60" s="73" t="str">
        <f>IF(Table1[[#This Row],[Prop.]]="No Load",Table1[[#This Row],["T"]]*Table1[[#This Row],[RPM]]/Table1[[#This Row],[V]],"")</f>
        <v/>
      </c>
      <c r="AE60" s="74" t="str">
        <f>IF(OR(C60="",E60="",H60=""),"",IF(Table1[[#This Row],[Prop.]]="No Load",IF(E60=1,(H60-10)/C60,IF(E60=2,2*(H60-10)/C60,4*(H60-10))),""))</f>
        <v/>
      </c>
      <c r="AF60" s="45" t="str">
        <f>IF(AND(Table1[[#This Row],[Variant]]=$AF$4,Table1[[#This Row],[Kv*T]]&gt;0,Table1[[#This Row],[Term.]]="D"),Table1[[#This Row],[Kv*T]],"")</f>
        <v/>
      </c>
      <c r="AG60" s="45" t="str">
        <f>IF(AND(Table1[[#This Row],[Variant]]=$AF$4,Table1[[#This Row],[Kv*T]]&gt;0,Table1[[#This Row],[Term.]]="Y"),Table1[[#This Row],[Kv*T]],"")</f>
        <v/>
      </c>
      <c r="AH60" s="73" t="str">
        <f>IF(AND(Table1[[#This Row],[Kv*T "D"]]="",Table1[[#This Row],[Kv*T "Y"]]=""),"",IF(Table1[[#This Row],[Kv*T "D"]]="",Table1[[#This Row],[Kv*T "Y"]]*3^0.5,Table1[[#This Row],[Kv*T "D"]]))</f>
        <v/>
      </c>
      <c r="AI60" s="147" t="str">
        <f>IF(Table1[[#This Row],[Std Inch per turn]]="","",Table1[[#This Row],[Std Inch per turn]])</f>
        <v/>
      </c>
      <c r="AJ60" s="75" t="str">
        <f>IF(AND(Table1[[#This Row],[Variant]]=$AJ$4,Table1[[#This Row],[Kv*T]]&gt;0,Table1[[#This Row],[Term.]]="D"),Table1[[#This Row],[Kv*T]],"")</f>
        <v/>
      </c>
      <c r="AK60" s="75" t="str">
        <f>IF(AND(Table1[[#This Row],[Variant]]=$AJ$4,Table1[[#This Row],[Kv*T]]&gt;0,Table1[[#This Row],[Term.]]="Y"),Table1[[#This Row],[Kv*T]],"")</f>
        <v/>
      </c>
      <c r="AL60" s="73" t="str">
        <f>IF(AND(Table1[[#This Row],[Kv*T "D"2]]="",Table1[[#This Row],[Kv*T "Y"2]]=""),"",IF(Table1[[#This Row],[Kv*T "D"2]]="",Table1[[#This Row],[Kv*T "Y"2]]*3^0.5,Table1[[#This Row],[Kv*T "D"2]]))</f>
        <v/>
      </c>
      <c r="AM60" s="147" t="str">
        <f>IF(Table1[[#This Row],[Std Inch per turn]]="","",Table1[[#This Row],[Std Inch per turn]])</f>
        <v/>
      </c>
      <c r="AN60" s="75" t="str">
        <f>IF(AND(Table1[[#This Row],[Variant]]=$AN$4,Table1[[#This Row],[Kv*T]]&gt;0,Table1[[#This Row],[Term.]]="D"),Table1[[#This Row],[Kv*T]],"")</f>
        <v/>
      </c>
      <c r="AO60" s="75" t="str">
        <f>IF(AND(Table1[[#This Row],[Variant]]=$AN$4,Table1[[#This Row],[Kv*T]]&gt;0,Table1[[#This Row],[Term.]]="Y"),Table1[[#This Row],[Kv*T]],"")</f>
        <v/>
      </c>
      <c r="AP60" s="73" t="str">
        <f>IF(AND(Table1[[#This Row],[Kv*T "D"3]]="",Table1[[#This Row],[Kv*T "Y"3]]=""),"",IF(Table1[[#This Row],[Kv*T "D"3]]="",Table1[[#This Row],[Kv*T "Y"3]]*3^0.5,Table1[[#This Row],[Kv*T "D"3]]))</f>
        <v/>
      </c>
      <c r="AQ60" s="73"/>
      <c r="AR60" s="75" t="str">
        <f>IF(AND(Table1[[#This Row],[Variant]]=$AR$4,Table1[[#This Row],[Kv*T]]&gt;0,Table1[[#This Row],[Term.]]="D"),Table1[[#This Row],[Kv*T]],"")</f>
        <v/>
      </c>
      <c r="AS60" s="75" t="str">
        <f>IF(AND(Table1[[#This Row],[Variant]]=$AR$4,Table1[[#This Row],[Kv*T]]&gt;0,Table1[[#This Row],[Term.]]="Y"),Table1[[#This Row],[Kv*T]],"")</f>
        <v/>
      </c>
      <c r="AT60" s="73" t="str">
        <f>IF(AND(Table1[[#This Row],[Kv*T "D"4]]="",Table1[[#This Row],[Kv*T "Y"4]]=""),"",IF(Table1[[#This Row],[Kv*T "D"4]]="",Table1[[#This Row],[Kv*T "Y"4]]*3^0.5,Table1[[#This Row],[Kv*T "D"4]]))</f>
        <v/>
      </c>
      <c r="AU60" s="73"/>
      <c r="AV60" s="75" t="str">
        <f>IF(AND(Table1[[#This Row],[Variant]]=$AV$4,Table1[[#This Row],[Kv*T]]&gt;0,Table1[[#This Row],[Term.]]="D"),Table1[[#This Row],[Kv*T]],"")</f>
        <v/>
      </c>
      <c r="AW60" s="75" t="str">
        <f>IF(AND(Table1[[#This Row],[Variant]]=$AV$4,Table1[[#This Row],[Kv*T]]&gt;0,Table1[[#This Row],[Term.]]="Y"),Table1[[#This Row],[Kv*T]],"")</f>
        <v/>
      </c>
      <c r="AX60" s="73" t="str">
        <f>IF(AND(Table1[[#This Row],[Kv*T "D"5]]="",Table1[[#This Row],[Kv*T "Y"5]]=""),"",IF(Table1[[#This Row],[Kv*T "D"5]]="",Table1[[#This Row],[Kv*T "Y"5]]*3^0.5,Table1[[#This Row],[Kv*T "D"5]]))</f>
        <v/>
      </c>
      <c r="AY60" s="73"/>
    </row>
    <row r="61" spans="1:51">
      <c r="A61" s="10"/>
      <c r="B61" s="146"/>
      <c r="C61" s="146"/>
      <c r="D61" s="146"/>
      <c r="E61" s="146"/>
      <c r="F61" s="86" t="str">
        <f t="shared" si="5"/>
        <v/>
      </c>
      <c r="G61" s="146"/>
      <c r="H61" s="146"/>
      <c r="I61" s="97" t="str">
        <f>IF(OR(Table1[[#This Row],[Phys. Turns]]="",Table1[[#This Row],[Wire]]="",Table1[[#This Row],[Parallel]]=""),"",Table1[[#This Row],[Phys. Turns]]*VLOOKUP(Table1[[#This Row],[Wire]],wirelist,4,FALSE))</f>
        <v/>
      </c>
      <c r="J61" s="11"/>
      <c r="K61" s="12"/>
      <c r="L61" s="13"/>
      <c r="M61" s="5"/>
      <c r="N61" s="48"/>
      <c r="O61" s="146"/>
      <c r="P61" s="146"/>
      <c r="Q61" s="12"/>
      <c r="R61" s="12"/>
      <c r="S61" s="48"/>
      <c r="T61" s="43" t="str">
        <f t="shared" si="6"/>
        <v/>
      </c>
      <c r="U61" s="146"/>
      <c r="V61" s="142"/>
      <c r="W61" s="46" t="str">
        <f>IF(OR(P61="",Table1[[#This Row],[Prop.]]="No Load"),"",(Tests!AC61/VLOOKUP(Table1[[#This Row],[Prop.]],proplist,6,FALSE))*VLOOKUP(Table1[[#This Row],[Prop.]],proplist,4,FALSE)/28.3*(Table1[[#This Row],[RPM]]/1000)^VLOOKUP(Table1[[#This Row],[Prop.]],proplist,5,FALSE))</f>
        <v/>
      </c>
      <c r="X61" s="47" t="str">
        <f>IF(OR(P61="",Table1[[#This Row],[Prop.]]="No Load"),"",(AC61/VLOOKUP(Table1[[#This Row],[Prop.]],proplist,9,FALSE))*VLOOKUP(Table1[[#This Row],[Prop.]],proplist,7,FALSE)*(Table1[[#This Row],[RPM]]/1000)^(VLOOKUP(Table1[[#This Row],[Prop.]],proplist,8,FALSE))/Table1[[#This Row],[Pin '[W']]])</f>
        <v/>
      </c>
      <c r="Y61" s="43" t="str">
        <f>IF(OR(P61="",Table1[[#This Row],[Prop.]]="No Load"),"",P61*VLOOKUP(Table1[[#This Row],[Prop.]],proplist,3,FALSE)/1056)</f>
        <v/>
      </c>
      <c r="Z61" s="43" t="str">
        <f t="shared" si="9"/>
        <v/>
      </c>
      <c r="AA61" s="44" t="str">
        <f>IF(OR(AB61="",Table1[[#This Row],[Prop.]]="No Load"),"",AB61*(1-X61))</f>
        <v/>
      </c>
      <c r="AB61" s="103" t="str">
        <f t="shared" si="7"/>
        <v/>
      </c>
      <c r="AC61" s="45" t="str">
        <f t="shared" si="8"/>
        <v/>
      </c>
      <c r="AD61" s="73" t="str">
        <f>IF(Table1[[#This Row],[Prop.]]="No Load",Table1[[#This Row],["T"]]*Table1[[#This Row],[RPM]]/Table1[[#This Row],[V]],"")</f>
        <v/>
      </c>
      <c r="AE61" s="74" t="str">
        <f>IF(OR(C61="",E61="",H61=""),"",IF(Table1[[#This Row],[Prop.]]="No Load",IF(E61=1,(H61-10)/C61,IF(E61=2,2*(H61-10)/C61,4*(H61-10))),""))</f>
        <v/>
      </c>
      <c r="AF61" s="45" t="str">
        <f>IF(AND(Table1[[#This Row],[Variant]]=$AF$4,Table1[[#This Row],[Kv*T]]&gt;0,Table1[[#This Row],[Term.]]="D"),Table1[[#This Row],[Kv*T]],"")</f>
        <v/>
      </c>
      <c r="AG61" s="45" t="str">
        <f>IF(AND(Table1[[#This Row],[Variant]]=$AF$4,Table1[[#This Row],[Kv*T]]&gt;0,Table1[[#This Row],[Term.]]="Y"),Table1[[#This Row],[Kv*T]],"")</f>
        <v/>
      </c>
      <c r="AH61" s="73" t="str">
        <f>IF(AND(Table1[[#This Row],[Kv*T "D"]]="",Table1[[#This Row],[Kv*T "Y"]]=""),"",IF(Table1[[#This Row],[Kv*T "D"]]="",Table1[[#This Row],[Kv*T "Y"]]*3^0.5,Table1[[#This Row],[Kv*T "D"]]))</f>
        <v/>
      </c>
      <c r="AI61" s="147" t="str">
        <f>IF(Table1[[#This Row],[Std Inch per turn]]="","",Table1[[#This Row],[Std Inch per turn]])</f>
        <v/>
      </c>
      <c r="AJ61" s="75" t="str">
        <f>IF(AND(Table1[[#This Row],[Variant]]=$AJ$4,Table1[[#This Row],[Kv*T]]&gt;0,Table1[[#This Row],[Term.]]="D"),Table1[[#This Row],[Kv*T]],"")</f>
        <v/>
      </c>
      <c r="AK61" s="75" t="str">
        <f>IF(AND(Table1[[#This Row],[Variant]]=$AJ$4,Table1[[#This Row],[Kv*T]]&gt;0,Table1[[#This Row],[Term.]]="Y"),Table1[[#This Row],[Kv*T]],"")</f>
        <v/>
      </c>
      <c r="AL61" s="73" t="str">
        <f>IF(AND(Table1[[#This Row],[Kv*T "D"2]]="",Table1[[#This Row],[Kv*T "Y"2]]=""),"",IF(Table1[[#This Row],[Kv*T "D"2]]="",Table1[[#This Row],[Kv*T "Y"2]]*3^0.5,Table1[[#This Row],[Kv*T "D"2]]))</f>
        <v/>
      </c>
      <c r="AM61" s="147" t="str">
        <f>IF(Table1[[#This Row],[Std Inch per turn]]="","",Table1[[#This Row],[Std Inch per turn]])</f>
        <v/>
      </c>
      <c r="AN61" s="75" t="str">
        <f>IF(AND(Table1[[#This Row],[Variant]]=$AN$4,Table1[[#This Row],[Kv*T]]&gt;0,Table1[[#This Row],[Term.]]="D"),Table1[[#This Row],[Kv*T]],"")</f>
        <v/>
      </c>
      <c r="AO61" s="75" t="str">
        <f>IF(AND(Table1[[#This Row],[Variant]]=$AN$4,Table1[[#This Row],[Kv*T]]&gt;0,Table1[[#This Row],[Term.]]="Y"),Table1[[#This Row],[Kv*T]],"")</f>
        <v/>
      </c>
      <c r="AP61" s="73" t="str">
        <f>IF(AND(Table1[[#This Row],[Kv*T "D"3]]="",Table1[[#This Row],[Kv*T "Y"3]]=""),"",IF(Table1[[#This Row],[Kv*T "D"3]]="",Table1[[#This Row],[Kv*T "Y"3]]*3^0.5,Table1[[#This Row],[Kv*T "D"3]]))</f>
        <v/>
      </c>
      <c r="AQ61" s="73"/>
      <c r="AR61" s="75" t="str">
        <f>IF(AND(Table1[[#This Row],[Variant]]=$AR$4,Table1[[#This Row],[Kv*T]]&gt;0,Table1[[#This Row],[Term.]]="D"),Table1[[#This Row],[Kv*T]],"")</f>
        <v/>
      </c>
      <c r="AS61" s="75" t="str">
        <f>IF(AND(Table1[[#This Row],[Variant]]=$AR$4,Table1[[#This Row],[Kv*T]]&gt;0,Table1[[#This Row],[Term.]]="Y"),Table1[[#This Row],[Kv*T]],"")</f>
        <v/>
      </c>
      <c r="AT61" s="73" t="str">
        <f>IF(AND(Table1[[#This Row],[Kv*T "D"4]]="",Table1[[#This Row],[Kv*T "Y"4]]=""),"",IF(Table1[[#This Row],[Kv*T "D"4]]="",Table1[[#This Row],[Kv*T "Y"4]]*3^0.5,Table1[[#This Row],[Kv*T "D"4]]))</f>
        <v/>
      </c>
      <c r="AU61" s="73"/>
      <c r="AV61" s="75" t="str">
        <f>IF(AND(Table1[[#This Row],[Variant]]=$AV$4,Table1[[#This Row],[Kv*T]]&gt;0,Table1[[#This Row],[Term.]]="D"),Table1[[#This Row],[Kv*T]],"")</f>
        <v/>
      </c>
      <c r="AW61" s="75" t="str">
        <f>IF(AND(Table1[[#This Row],[Variant]]=$AV$4,Table1[[#This Row],[Kv*T]]&gt;0,Table1[[#This Row],[Term.]]="Y"),Table1[[#This Row],[Kv*T]],"")</f>
        <v/>
      </c>
      <c r="AX61" s="73" t="str">
        <f>IF(AND(Table1[[#This Row],[Kv*T "D"5]]="",Table1[[#This Row],[Kv*T "Y"5]]=""),"",IF(Table1[[#This Row],[Kv*T "D"5]]="",Table1[[#This Row],[Kv*T "Y"5]]*3^0.5,Table1[[#This Row],[Kv*T "D"5]]))</f>
        <v/>
      </c>
      <c r="AY61" s="73"/>
    </row>
    <row r="62" spans="1:51">
      <c r="A62" s="10"/>
      <c r="B62" s="146"/>
      <c r="C62" s="146"/>
      <c r="D62" s="146"/>
      <c r="E62" s="146"/>
      <c r="F62" s="86" t="str">
        <f t="shared" si="5"/>
        <v/>
      </c>
      <c r="G62" s="146"/>
      <c r="H62" s="146"/>
      <c r="I62" s="97" t="str">
        <f>IF(OR(Table1[[#This Row],[Phys. Turns]]="",Table1[[#This Row],[Wire]]="",Table1[[#This Row],[Parallel]]=""),"",Table1[[#This Row],[Phys. Turns]]*VLOOKUP(Table1[[#This Row],[Wire]],wirelist,4,FALSE))</f>
        <v/>
      </c>
      <c r="J62" s="11"/>
      <c r="K62" s="12"/>
      <c r="L62" s="13"/>
      <c r="M62" s="5"/>
      <c r="N62" s="48"/>
      <c r="O62" s="146"/>
      <c r="P62" s="146"/>
      <c r="Q62" s="12"/>
      <c r="R62" s="12"/>
      <c r="S62" s="48"/>
      <c r="T62" s="43" t="str">
        <f t="shared" si="6"/>
        <v/>
      </c>
      <c r="U62" s="146"/>
      <c r="V62" s="142"/>
      <c r="W62" s="46" t="str">
        <f>IF(OR(P62="",Table1[[#This Row],[Prop.]]="No Load"),"",(Tests!AC62/VLOOKUP(Table1[[#This Row],[Prop.]],proplist,6,FALSE))*VLOOKUP(Table1[[#This Row],[Prop.]],proplist,4,FALSE)/28.3*(Table1[[#This Row],[RPM]]/1000)^VLOOKUP(Table1[[#This Row],[Prop.]],proplist,5,FALSE))</f>
        <v/>
      </c>
      <c r="X62" s="47" t="str">
        <f>IF(OR(P62="",Table1[[#This Row],[Prop.]]="No Load"),"",(AC62/VLOOKUP(Table1[[#This Row],[Prop.]],proplist,9,FALSE))*VLOOKUP(Table1[[#This Row],[Prop.]],proplist,7,FALSE)*(Table1[[#This Row],[RPM]]/1000)^(VLOOKUP(Table1[[#This Row],[Prop.]],proplist,8,FALSE))/Table1[[#This Row],[Pin '[W']]])</f>
        <v/>
      </c>
      <c r="Y62" s="43" t="str">
        <f>IF(OR(P62="",Table1[[#This Row],[Prop.]]="No Load"),"",P62*VLOOKUP(Table1[[#This Row],[Prop.]],proplist,3,FALSE)/1056)</f>
        <v/>
      </c>
      <c r="Z62" s="43" t="str">
        <f t="shared" si="9"/>
        <v/>
      </c>
      <c r="AA62" s="44" t="str">
        <f>IF(OR(AB62="",Table1[[#This Row],[Prop.]]="No Load"),"",AB62*(1-X62))</f>
        <v/>
      </c>
      <c r="AB62" s="103" t="str">
        <f t="shared" si="7"/>
        <v/>
      </c>
      <c r="AC62" s="45" t="str">
        <f t="shared" si="8"/>
        <v/>
      </c>
      <c r="AD62" s="73" t="str">
        <f>IF(Table1[[#This Row],[Prop.]]="No Load",Table1[[#This Row],["T"]]*Table1[[#This Row],[RPM]]/Table1[[#This Row],[V]],"")</f>
        <v/>
      </c>
      <c r="AE62" s="74" t="str">
        <f>IF(OR(C62="",E62="",H62=""),"",IF(Table1[[#This Row],[Prop.]]="No Load",IF(E62=1,(H62-10)/C62,IF(E62=2,2*(H62-10)/C62,4*(H62-10))),""))</f>
        <v/>
      </c>
      <c r="AF62" s="45" t="str">
        <f>IF(AND(Table1[[#This Row],[Variant]]=$AF$4,Table1[[#This Row],[Kv*T]]&gt;0,Table1[[#This Row],[Term.]]="D"),Table1[[#This Row],[Kv*T]],"")</f>
        <v/>
      </c>
      <c r="AG62" s="45" t="str">
        <f>IF(AND(Table1[[#This Row],[Variant]]=$AF$4,Table1[[#This Row],[Kv*T]]&gt;0,Table1[[#This Row],[Term.]]="Y"),Table1[[#This Row],[Kv*T]],"")</f>
        <v/>
      </c>
      <c r="AH62" s="73" t="str">
        <f>IF(AND(Table1[[#This Row],[Kv*T "D"]]="",Table1[[#This Row],[Kv*T "Y"]]=""),"",IF(Table1[[#This Row],[Kv*T "D"]]="",Table1[[#This Row],[Kv*T "Y"]]*3^0.5,Table1[[#This Row],[Kv*T "D"]]))</f>
        <v/>
      </c>
      <c r="AI62" s="147" t="str">
        <f>IF(Table1[[#This Row],[Std Inch per turn]]="","",Table1[[#This Row],[Std Inch per turn]])</f>
        <v/>
      </c>
      <c r="AJ62" s="75" t="str">
        <f>IF(AND(Table1[[#This Row],[Variant]]=$AJ$4,Table1[[#This Row],[Kv*T]]&gt;0,Table1[[#This Row],[Term.]]="D"),Table1[[#This Row],[Kv*T]],"")</f>
        <v/>
      </c>
      <c r="AK62" s="75" t="str">
        <f>IF(AND(Table1[[#This Row],[Variant]]=$AJ$4,Table1[[#This Row],[Kv*T]]&gt;0,Table1[[#This Row],[Term.]]="Y"),Table1[[#This Row],[Kv*T]],"")</f>
        <v/>
      </c>
      <c r="AL62" s="73" t="str">
        <f>IF(AND(Table1[[#This Row],[Kv*T "D"2]]="",Table1[[#This Row],[Kv*T "Y"2]]=""),"",IF(Table1[[#This Row],[Kv*T "D"2]]="",Table1[[#This Row],[Kv*T "Y"2]]*3^0.5,Table1[[#This Row],[Kv*T "D"2]]))</f>
        <v/>
      </c>
      <c r="AM62" s="147" t="str">
        <f>IF(Table1[[#This Row],[Std Inch per turn]]="","",Table1[[#This Row],[Std Inch per turn]])</f>
        <v/>
      </c>
      <c r="AN62" s="75" t="str">
        <f>IF(AND(Table1[[#This Row],[Variant]]=$AN$4,Table1[[#This Row],[Kv*T]]&gt;0,Table1[[#This Row],[Term.]]="D"),Table1[[#This Row],[Kv*T]],"")</f>
        <v/>
      </c>
      <c r="AO62" s="75" t="str">
        <f>IF(AND(Table1[[#This Row],[Variant]]=$AN$4,Table1[[#This Row],[Kv*T]]&gt;0,Table1[[#This Row],[Term.]]="Y"),Table1[[#This Row],[Kv*T]],"")</f>
        <v/>
      </c>
      <c r="AP62" s="73" t="str">
        <f>IF(AND(Table1[[#This Row],[Kv*T "D"3]]="",Table1[[#This Row],[Kv*T "Y"3]]=""),"",IF(Table1[[#This Row],[Kv*T "D"3]]="",Table1[[#This Row],[Kv*T "Y"3]]*3^0.5,Table1[[#This Row],[Kv*T "D"3]]))</f>
        <v/>
      </c>
      <c r="AQ62" s="73"/>
      <c r="AR62" s="75" t="str">
        <f>IF(AND(Table1[[#This Row],[Variant]]=$AR$4,Table1[[#This Row],[Kv*T]]&gt;0,Table1[[#This Row],[Term.]]="D"),Table1[[#This Row],[Kv*T]],"")</f>
        <v/>
      </c>
      <c r="AS62" s="75" t="str">
        <f>IF(AND(Table1[[#This Row],[Variant]]=$AR$4,Table1[[#This Row],[Kv*T]]&gt;0,Table1[[#This Row],[Term.]]="Y"),Table1[[#This Row],[Kv*T]],"")</f>
        <v/>
      </c>
      <c r="AT62" s="73" t="str">
        <f>IF(AND(Table1[[#This Row],[Kv*T "D"4]]="",Table1[[#This Row],[Kv*T "Y"4]]=""),"",IF(Table1[[#This Row],[Kv*T "D"4]]="",Table1[[#This Row],[Kv*T "Y"4]]*3^0.5,Table1[[#This Row],[Kv*T "D"4]]))</f>
        <v/>
      </c>
      <c r="AU62" s="73"/>
      <c r="AV62" s="75" t="str">
        <f>IF(AND(Table1[[#This Row],[Variant]]=$AV$4,Table1[[#This Row],[Kv*T]]&gt;0,Table1[[#This Row],[Term.]]="D"),Table1[[#This Row],[Kv*T]],"")</f>
        <v/>
      </c>
      <c r="AW62" s="75" t="str">
        <f>IF(AND(Table1[[#This Row],[Variant]]=$AV$4,Table1[[#This Row],[Kv*T]]&gt;0,Table1[[#This Row],[Term.]]="Y"),Table1[[#This Row],[Kv*T]],"")</f>
        <v/>
      </c>
      <c r="AX62" s="73" t="str">
        <f>IF(AND(Table1[[#This Row],[Kv*T "D"5]]="",Table1[[#This Row],[Kv*T "Y"5]]=""),"",IF(Table1[[#This Row],[Kv*T "D"5]]="",Table1[[#This Row],[Kv*T "Y"5]]*3^0.5,Table1[[#This Row],[Kv*T "D"5]]))</f>
        <v/>
      </c>
      <c r="AY62" s="73"/>
    </row>
    <row r="63" spans="1:51">
      <c r="A63" s="10"/>
      <c r="B63" s="146"/>
      <c r="C63" s="146"/>
      <c r="D63" s="146"/>
      <c r="E63" s="146"/>
      <c r="F63" s="86" t="str">
        <f t="shared" si="5"/>
        <v/>
      </c>
      <c r="G63" s="146"/>
      <c r="H63" s="146"/>
      <c r="I63" s="97" t="str">
        <f>IF(OR(Table1[[#This Row],[Phys. Turns]]="",Table1[[#This Row],[Wire]]="",Table1[[#This Row],[Parallel]]=""),"",Table1[[#This Row],[Phys. Turns]]*VLOOKUP(Table1[[#This Row],[Wire]],wirelist,4,FALSE))</f>
        <v/>
      </c>
      <c r="J63" s="11"/>
      <c r="K63" s="12"/>
      <c r="L63" s="13"/>
      <c r="M63" s="5"/>
      <c r="N63" s="48"/>
      <c r="O63" s="146"/>
      <c r="P63" s="146"/>
      <c r="Q63" s="12"/>
      <c r="R63" s="12"/>
      <c r="S63" s="48"/>
      <c r="T63" s="43" t="str">
        <f t="shared" si="6"/>
        <v/>
      </c>
      <c r="U63" s="146"/>
      <c r="V63" s="142"/>
      <c r="W63" s="46" t="str">
        <f>IF(OR(P63="",Table1[[#This Row],[Prop.]]="No Load"),"",(Tests!AC63/VLOOKUP(Table1[[#This Row],[Prop.]],proplist,6,FALSE))*VLOOKUP(Table1[[#This Row],[Prop.]],proplist,4,FALSE)/28.3*(Table1[[#This Row],[RPM]]/1000)^VLOOKUP(Table1[[#This Row],[Prop.]],proplist,5,FALSE))</f>
        <v/>
      </c>
      <c r="X63" s="47" t="str">
        <f>IF(OR(P63="",Table1[[#This Row],[Prop.]]="No Load"),"",(AC63/VLOOKUP(Table1[[#This Row],[Prop.]],proplist,9,FALSE))*VLOOKUP(Table1[[#This Row],[Prop.]],proplist,7,FALSE)*(Table1[[#This Row],[RPM]]/1000)^(VLOOKUP(Table1[[#This Row],[Prop.]],proplist,8,FALSE))/Table1[[#This Row],[Pin '[W']]])</f>
        <v/>
      </c>
      <c r="Y63" s="43" t="str">
        <f>IF(OR(P63="",Table1[[#This Row],[Prop.]]="No Load"),"",P63*VLOOKUP(Table1[[#This Row],[Prop.]],proplist,3,FALSE)/1056)</f>
        <v/>
      </c>
      <c r="Z63" s="43" t="str">
        <f t="shared" si="9"/>
        <v/>
      </c>
      <c r="AA63" s="44" t="str">
        <f>IF(OR(AB63="",Table1[[#This Row],[Prop.]]="No Load"),"",AB63*(1-X63))</f>
        <v/>
      </c>
      <c r="AB63" s="103" t="str">
        <f t="shared" si="7"/>
        <v/>
      </c>
      <c r="AC63" s="45" t="str">
        <f t="shared" si="8"/>
        <v/>
      </c>
      <c r="AD63" s="73" t="str">
        <f>IF(Table1[[#This Row],[Prop.]]="No Load",Table1[[#This Row],["T"]]*Table1[[#This Row],[RPM]]/Table1[[#This Row],[V]],"")</f>
        <v/>
      </c>
      <c r="AE63" s="74" t="str">
        <f>IF(OR(C63="",E63="",H63=""),"",IF(Table1[[#This Row],[Prop.]]="No Load",IF(E63=1,(H63-10)/C63,IF(E63=2,2*(H63-10)/C63,4*(H63-10))),""))</f>
        <v/>
      </c>
      <c r="AF63" s="45" t="str">
        <f>IF(AND(Table1[[#This Row],[Variant]]=$AF$4,Table1[[#This Row],[Kv*T]]&gt;0,Table1[[#This Row],[Term.]]="D"),Table1[[#This Row],[Kv*T]],"")</f>
        <v/>
      </c>
      <c r="AG63" s="45" t="str">
        <f>IF(AND(Table1[[#This Row],[Variant]]=$AF$4,Table1[[#This Row],[Kv*T]]&gt;0,Table1[[#This Row],[Term.]]="Y"),Table1[[#This Row],[Kv*T]],"")</f>
        <v/>
      </c>
      <c r="AH63" s="73" t="str">
        <f>IF(AND(Table1[[#This Row],[Kv*T "D"]]="",Table1[[#This Row],[Kv*T "Y"]]=""),"",IF(Table1[[#This Row],[Kv*T "D"]]="",Table1[[#This Row],[Kv*T "Y"]]*3^0.5,Table1[[#This Row],[Kv*T "D"]]))</f>
        <v/>
      </c>
      <c r="AI63" s="147" t="str">
        <f>IF(Table1[[#This Row],[Std Inch per turn]]="","",Table1[[#This Row],[Std Inch per turn]])</f>
        <v/>
      </c>
      <c r="AJ63" s="75" t="str">
        <f>IF(AND(Table1[[#This Row],[Variant]]=$AJ$4,Table1[[#This Row],[Kv*T]]&gt;0,Table1[[#This Row],[Term.]]="D"),Table1[[#This Row],[Kv*T]],"")</f>
        <v/>
      </c>
      <c r="AK63" s="75" t="str">
        <f>IF(AND(Table1[[#This Row],[Variant]]=$AJ$4,Table1[[#This Row],[Kv*T]]&gt;0,Table1[[#This Row],[Term.]]="Y"),Table1[[#This Row],[Kv*T]],"")</f>
        <v/>
      </c>
      <c r="AL63" s="73" t="str">
        <f>IF(AND(Table1[[#This Row],[Kv*T "D"2]]="",Table1[[#This Row],[Kv*T "Y"2]]=""),"",IF(Table1[[#This Row],[Kv*T "D"2]]="",Table1[[#This Row],[Kv*T "Y"2]]*3^0.5,Table1[[#This Row],[Kv*T "D"2]]))</f>
        <v/>
      </c>
      <c r="AM63" s="147" t="str">
        <f>IF(Table1[[#This Row],[Std Inch per turn]]="","",Table1[[#This Row],[Std Inch per turn]])</f>
        <v/>
      </c>
      <c r="AN63" s="75" t="str">
        <f>IF(AND(Table1[[#This Row],[Variant]]=$AN$4,Table1[[#This Row],[Kv*T]]&gt;0,Table1[[#This Row],[Term.]]="D"),Table1[[#This Row],[Kv*T]],"")</f>
        <v/>
      </c>
      <c r="AO63" s="75" t="str">
        <f>IF(AND(Table1[[#This Row],[Variant]]=$AN$4,Table1[[#This Row],[Kv*T]]&gt;0,Table1[[#This Row],[Term.]]="Y"),Table1[[#This Row],[Kv*T]],"")</f>
        <v/>
      </c>
      <c r="AP63" s="73" t="str">
        <f>IF(AND(Table1[[#This Row],[Kv*T "D"3]]="",Table1[[#This Row],[Kv*T "Y"3]]=""),"",IF(Table1[[#This Row],[Kv*T "D"3]]="",Table1[[#This Row],[Kv*T "Y"3]]*3^0.5,Table1[[#This Row],[Kv*T "D"3]]))</f>
        <v/>
      </c>
      <c r="AQ63" s="73"/>
      <c r="AR63" s="75" t="str">
        <f>IF(AND(Table1[[#This Row],[Variant]]=$AR$4,Table1[[#This Row],[Kv*T]]&gt;0,Table1[[#This Row],[Term.]]="D"),Table1[[#This Row],[Kv*T]],"")</f>
        <v/>
      </c>
      <c r="AS63" s="75" t="str">
        <f>IF(AND(Table1[[#This Row],[Variant]]=$AR$4,Table1[[#This Row],[Kv*T]]&gt;0,Table1[[#This Row],[Term.]]="Y"),Table1[[#This Row],[Kv*T]],"")</f>
        <v/>
      </c>
      <c r="AT63" s="73" t="str">
        <f>IF(AND(Table1[[#This Row],[Kv*T "D"4]]="",Table1[[#This Row],[Kv*T "Y"4]]=""),"",IF(Table1[[#This Row],[Kv*T "D"4]]="",Table1[[#This Row],[Kv*T "Y"4]]*3^0.5,Table1[[#This Row],[Kv*T "D"4]]))</f>
        <v/>
      </c>
      <c r="AU63" s="73"/>
      <c r="AV63" s="75" t="str">
        <f>IF(AND(Table1[[#This Row],[Variant]]=$AV$4,Table1[[#This Row],[Kv*T]]&gt;0,Table1[[#This Row],[Term.]]="D"),Table1[[#This Row],[Kv*T]],"")</f>
        <v/>
      </c>
      <c r="AW63" s="75" t="str">
        <f>IF(AND(Table1[[#This Row],[Variant]]=$AV$4,Table1[[#This Row],[Kv*T]]&gt;0,Table1[[#This Row],[Term.]]="Y"),Table1[[#This Row],[Kv*T]],"")</f>
        <v/>
      </c>
      <c r="AX63" s="73" t="str">
        <f>IF(AND(Table1[[#This Row],[Kv*T "D"5]]="",Table1[[#This Row],[Kv*T "Y"5]]=""),"",IF(Table1[[#This Row],[Kv*T "D"5]]="",Table1[[#This Row],[Kv*T "Y"5]]*3^0.5,Table1[[#This Row],[Kv*T "D"5]]))</f>
        <v/>
      </c>
      <c r="AY63" s="73"/>
    </row>
    <row r="64" spans="1:51">
      <c r="A64" s="10"/>
      <c r="B64" s="146"/>
      <c r="C64" s="146"/>
      <c r="D64" s="146"/>
      <c r="E64" s="146"/>
      <c r="F64" s="86" t="str">
        <f t="shared" si="5"/>
        <v/>
      </c>
      <c r="G64" s="146"/>
      <c r="H64" s="146"/>
      <c r="I64" s="97" t="str">
        <f>IF(OR(Table1[[#This Row],[Phys. Turns]]="",Table1[[#This Row],[Wire]]="",Table1[[#This Row],[Parallel]]=""),"",Table1[[#This Row],[Phys. Turns]]*VLOOKUP(Table1[[#This Row],[Wire]],wirelist,4,FALSE))</f>
        <v/>
      </c>
      <c r="J64" s="11"/>
      <c r="K64" s="12"/>
      <c r="L64" s="13"/>
      <c r="M64" s="5"/>
      <c r="N64" s="48"/>
      <c r="O64" s="146"/>
      <c r="P64" s="146"/>
      <c r="Q64" s="12"/>
      <c r="R64" s="12"/>
      <c r="S64" s="48"/>
      <c r="T64" s="43" t="str">
        <f t="shared" si="6"/>
        <v/>
      </c>
      <c r="U64" s="146"/>
      <c r="V64" s="142"/>
      <c r="W64" s="46" t="str">
        <f>IF(OR(P64="",Table1[[#This Row],[Prop.]]="No Load"),"",(Tests!AC64/VLOOKUP(Table1[[#This Row],[Prop.]],proplist,6,FALSE))*VLOOKUP(Table1[[#This Row],[Prop.]],proplist,4,FALSE)/28.3*(Table1[[#This Row],[RPM]]/1000)^VLOOKUP(Table1[[#This Row],[Prop.]],proplist,5,FALSE))</f>
        <v/>
      </c>
      <c r="X64" s="47" t="str">
        <f>IF(OR(P64="",Table1[[#This Row],[Prop.]]="No Load"),"",(AC64/VLOOKUP(Table1[[#This Row],[Prop.]],proplist,9,FALSE))*VLOOKUP(Table1[[#This Row],[Prop.]],proplist,7,FALSE)*(Table1[[#This Row],[RPM]]/1000)^(VLOOKUP(Table1[[#This Row],[Prop.]],proplist,8,FALSE))/Table1[[#This Row],[Pin '[W']]])</f>
        <v/>
      </c>
      <c r="Y64" s="43" t="str">
        <f>IF(OR(P64="",Table1[[#This Row],[Prop.]]="No Load"),"",P64*VLOOKUP(Table1[[#This Row],[Prop.]],proplist,3,FALSE)/1056)</f>
        <v/>
      </c>
      <c r="Z64" s="43" t="str">
        <f t="shared" si="9"/>
        <v/>
      </c>
      <c r="AA64" s="44" t="str">
        <f>IF(OR(AB64="",Table1[[#This Row],[Prop.]]="No Load"),"",AB64*(1-X64))</f>
        <v/>
      </c>
      <c r="AB64" s="103" t="str">
        <f t="shared" si="7"/>
        <v/>
      </c>
      <c r="AC64" s="45" t="str">
        <f t="shared" si="8"/>
        <v/>
      </c>
      <c r="AD64" s="73" t="str">
        <f>IF(Table1[[#This Row],[Prop.]]="No Load",Table1[[#This Row],["T"]]*Table1[[#This Row],[RPM]]/Table1[[#This Row],[V]],"")</f>
        <v/>
      </c>
      <c r="AE64" s="74" t="str">
        <f>IF(OR(C64="",E64="",H64=""),"",IF(Table1[[#This Row],[Prop.]]="No Load",IF(E64=1,(H64-10)/C64,IF(E64=2,2*(H64-10)/C64,4*(H64-10))),""))</f>
        <v/>
      </c>
      <c r="AF64" s="45" t="str">
        <f>IF(AND(Table1[[#This Row],[Variant]]=$AF$4,Table1[[#This Row],[Kv*T]]&gt;0,Table1[[#This Row],[Term.]]="D"),Table1[[#This Row],[Kv*T]],"")</f>
        <v/>
      </c>
      <c r="AG64" s="45" t="str">
        <f>IF(AND(Table1[[#This Row],[Variant]]=$AF$4,Table1[[#This Row],[Kv*T]]&gt;0,Table1[[#This Row],[Term.]]="Y"),Table1[[#This Row],[Kv*T]],"")</f>
        <v/>
      </c>
      <c r="AH64" s="73" t="str">
        <f>IF(AND(Table1[[#This Row],[Kv*T "D"]]="",Table1[[#This Row],[Kv*T "Y"]]=""),"",IF(Table1[[#This Row],[Kv*T "D"]]="",Table1[[#This Row],[Kv*T "Y"]]*3^0.5,Table1[[#This Row],[Kv*T "D"]]))</f>
        <v/>
      </c>
      <c r="AI64" s="147" t="str">
        <f>IF(Table1[[#This Row],[Std Inch per turn]]="","",Table1[[#This Row],[Std Inch per turn]])</f>
        <v/>
      </c>
      <c r="AJ64" s="75" t="str">
        <f>IF(AND(Table1[[#This Row],[Variant]]=$AJ$4,Table1[[#This Row],[Kv*T]]&gt;0,Table1[[#This Row],[Term.]]="D"),Table1[[#This Row],[Kv*T]],"")</f>
        <v/>
      </c>
      <c r="AK64" s="75" t="str">
        <f>IF(AND(Table1[[#This Row],[Variant]]=$AJ$4,Table1[[#This Row],[Kv*T]]&gt;0,Table1[[#This Row],[Term.]]="Y"),Table1[[#This Row],[Kv*T]],"")</f>
        <v/>
      </c>
      <c r="AL64" s="73" t="str">
        <f>IF(AND(Table1[[#This Row],[Kv*T "D"2]]="",Table1[[#This Row],[Kv*T "Y"2]]=""),"",IF(Table1[[#This Row],[Kv*T "D"2]]="",Table1[[#This Row],[Kv*T "Y"2]]*3^0.5,Table1[[#This Row],[Kv*T "D"2]]))</f>
        <v/>
      </c>
      <c r="AM64" s="147" t="str">
        <f>IF(Table1[[#This Row],[Std Inch per turn]]="","",Table1[[#This Row],[Std Inch per turn]])</f>
        <v/>
      </c>
      <c r="AN64" s="75" t="str">
        <f>IF(AND(Table1[[#This Row],[Variant]]=$AN$4,Table1[[#This Row],[Kv*T]]&gt;0,Table1[[#This Row],[Term.]]="D"),Table1[[#This Row],[Kv*T]],"")</f>
        <v/>
      </c>
      <c r="AO64" s="75" t="str">
        <f>IF(AND(Table1[[#This Row],[Variant]]=$AN$4,Table1[[#This Row],[Kv*T]]&gt;0,Table1[[#This Row],[Term.]]="Y"),Table1[[#This Row],[Kv*T]],"")</f>
        <v/>
      </c>
      <c r="AP64" s="73" t="str">
        <f>IF(AND(Table1[[#This Row],[Kv*T "D"3]]="",Table1[[#This Row],[Kv*T "Y"3]]=""),"",IF(Table1[[#This Row],[Kv*T "D"3]]="",Table1[[#This Row],[Kv*T "Y"3]]*3^0.5,Table1[[#This Row],[Kv*T "D"3]]))</f>
        <v/>
      </c>
      <c r="AQ64" s="73"/>
      <c r="AR64" s="75" t="str">
        <f>IF(AND(Table1[[#This Row],[Variant]]=$AR$4,Table1[[#This Row],[Kv*T]]&gt;0,Table1[[#This Row],[Term.]]="D"),Table1[[#This Row],[Kv*T]],"")</f>
        <v/>
      </c>
      <c r="AS64" s="75" t="str">
        <f>IF(AND(Table1[[#This Row],[Variant]]=$AR$4,Table1[[#This Row],[Kv*T]]&gt;0,Table1[[#This Row],[Term.]]="Y"),Table1[[#This Row],[Kv*T]],"")</f>
        <v/>
      </c>
      <c r="AT64" s="73" t="str">
        <f>IF(AND(Table1[[#This Row],[Kv*T "D"4]]="",Table1[[#This Row],[Kv*T "Y"4]]=""),"",IF(Table1[[#This Row],[Kv*T "D"4]]="",Table1[[#This Row],[Kv*T "Y"4]]*3^0.5,Table1[[#This Row],[Kv*T "D"4]]))</f>
        <v/>
      </c>
      <c r="AU64" s="73"/>
      <c r="AV64" s="75" t="str">
        <f>IF(AND(Table1[[#This Row],[Variant]]=$AV$4,Table1[[#This Row],[Kv*T]]&gt;0,Table1[[#This Row],[Term.]]="D"),Table1[[#This Row],[Kv*T]],"")</f>
        <v/>
      </c>
      <c r="AW64" s="75" t="str">
        <f>IF(AND(Table1[[#This Row],[Variant]]=$AV$4,Table1[[#This Row],[Kv*T]]&gt;0,Table1[[#This Row],[Term.]]="Y"),Table1[[#This Row],[Kv*T]],"")</f>
        <v/>
      </c>
      <c r="AX64" s="73" t="str">
        <f>IF(AND(Table1[[#This Row],[Kv*T "D"5]]="",Table1[[#This Row],[Kv*T "Y"5]]=""),"",IF(Table1[[#This Row],[Kv*T "D"5]]="",Table1[[#This Row],[Kv*T "Y"5]]*3^0.5,Table1[[#This Row],[Kv*T "D"5]]))</f>
        <v/>
      </c>
      <c r="AY64" s="73"/>
    </row>
    <row r="65" spans="1:51">
      <c r="A65" s="17"/>
      <c r="B65" s="5"/>
      <c r="C65" s="5"/>
      <c r="D65" s="146"/>
      <c r="E65" s="146"/>
      <c r="F65" s="86" t="str">
        <f t="shared" si="5"/>
        <v/>
      </c>
      <c r="G65" s="5"/>
      <c r="H65" s="5"/>
      <c r="I65" s="98" t="str">
        <f>IF(OR(Table1[[#This Row],[Phys. Turns]]="",Table1[[#This Row],[Wire]]="",Table1[[#This Row],[Parallel]]=""),"",Table1[[#This Row],[Phys. Turns]]*VLOOKUP(Table1[[#This Row],[Wire]],wirelist,4,FALSE))</f>
        <v/>
      </c>
      <c r="J65" s="18"/>
      <c r="K65" s="19"/>
      <c r="L65" s="20"/>
      <c r="M65" s="5"/>
      <c r="N65" s="49"/>
      <c r="O65" s="19"/>
      <c r="P65" s="5"/>
      <c r="Q65" s="19"/>
      <c r="R65" s="19"/>
      <c r="S65" s="49"/>
      <c r="T65" s="43" t="str">
        <f t="shared" si="6"/>
        <v/>
      </c>
      <c r="U65" s="5"/>
      <c r="V65" s="143"/>
      <c r="W65" s="46" t="str">
        <f>IF(OR(P65="",Table1[[#This Row],[Prop.]]="No Load"),"",(Tests!AC65/VLOOKUP(Table1[[#This Row],[Prop.]],proplist,6,FALSE))*VLOOKUP(Table1[[#This Row],[Prop.]],proplist,4,FALSE)/28.3*(Table1[[#This Row],[RPM]]/1000)^VLOOKUP(Table1[[#This Row],[Prop.]],proplist,5,FALSE))</f>
        <v/>
      </c>
      <c r="X65" s="47" t="str">
        <f>IF(OR(P65="",Table1[[#This Row],[Prop.]]="No Load"),"",(AC65/VLOOKUP(Table1[[#This Row],[Prop.]],proplist,9,FALSE))*VLOOKUP(Table1[[#This Row],[Prop.]],proplist,7,FALSE)*(Table1[[#This Row],[RPM]]/1000)^(VLOOKUP(Table1[[#This Row],[Prop.]],proplist,8,FALSE))/Table1[[#This Row],[Pin '[W']]])</f>
        <v/>
      </c>
      <c r="Y65" s="43" t="str">
        <f>IF(OR(P65="",Table1[[#This Row],[Prop.]]="No Load"),"",P65*VLOOKUP(Table1[[#This Row],[Prop.]],proplist,3,FALSE)/1056)</f>
        <v/>
      </c>
      <c r="Z65" s="43" t="str">
        <f t="shared" si="9"/>
        <v/>
      </c>
      <c r="AA65" s="44" t="str">
        <f>IF(OR(AB65="",Table1[[#This Row],[Prop.]]="No Load"),"",AB65*(1-X65))</f>
        <v/>
      </c>
      <c r="AB65" s="103" t="str">
        <f t="shared" si="7"/>
        <v/>
      </c>
      <c r="AC65" s="45" t="str">
        <f t="shared" si="8"/>
        <v/>
      </c>
      <c r="AD65" s="73" t="str">
        <f>IF(Table1[[#This Row],[Prop.]]="No Load",Table1[[#This Row],["T"]]*Table1[[#This Row],[RPM]]/Table1[[#This Row],[V]],"")</f>
        <v/>
      </c>
      <c r="AE65" s="74" t="str">
        <f>IF(OR(C65="",E65="",H65=""),"",IF(Table1[[#This Row],[Prop.]]="No Load",IF(E65=1,(H65-10)/C65,IF(E65=2,2*(H65-10)/C65,4*(H65-10))),""))</f>
        <v/>
      </c>
      <c r="AF65" s="45" t="str">
        <f>IF(AND(Table1[[#This Row],[Variant]]=$AF$4,Table1[[#This Row],[Kv*T]]&gt;0,Table1[[#This Row],[Term.]]="D"),Table1[[#This Row],[Kv*T]],"")</f>
        <v/>
      </c>
      <c r="AG65" s="45" t="str">
        <f>IF(AND(Table1[[#This Row],[Variant]]=$AF$4,Table1[[#This Row],[Kv*T]]&gt;0,Table1[[#This Row],[Term.]]="Y"),Table1[[#This Row],[Kv*T]],"")</f>
        <v/>
      </c>
      <c r="AH65" s="73" t="str">
        <f>IF(AND(Table1[[#This Row],[Kv*T "D"]]="",Table1[[#This Row],[Kv*T "Y"]]=""),"",IF(Table1[[#This Row],[Kv*T "D"]]="",Table1[[#This Row],[Kv*T "Y"]]*3^0.5,Table1[[#This Row],[Kv*T "D"]]))</f>
        <v/>
      </c>
      <c r="AI65" s="147" t="str">
        <f>IF(Table1[[#This Row],[Std Inch per turn]]="","",Table1[[#This Row],[Std Inch per turn]])</f>
        <v/>
      </c>
      <c r="AJ65" s="75" t="str">
        <f>IF(AND(Table1[[#This Row],[Variant]]=$AJ$4,Table1[[#This Row],[Kv*T]]&gt;0,Table1[[#This Row],[Term.]]="D"),Table1[[#This Row],[Kv*T]],"")</f>
        <v/>
      </c>
      <c r="AK65" s="75" t="str">
        <f>IF(AND(Table1[[#This Row],[Variant]]=$AJ$4,Table1[[#This Row],[Kv*T]]&gt;0,Table1[[#This Row],[Term.]]="Y"),Table1[[#This Row],[Kv*T]],"")</f>
        <v/>
      </c>
      <c r="AL65" s="73" t="str">
        <f>IF(AND(Table1[[#This Row],[Kv*T "D"2]]="",Table1[[#This Row],[Kv*T "Y"2]]=""),"",IF(Table1[[#This Row],[Kv*T "D"2]]="",Table1[[#This Row],[Kv*T "Y"2]]*3^0.5,Table1[[#This Row],[Kv*T "D"2]]))</f>
        <v/>
      </c>
      <c r="AM65" s="147" t="str">
        <f>IF(Table1[[#This Row],[Std Inch per turn]]="","",Table1[[#This Row],[Std Inch per turn]])</f>
        <v/>
      </c>
      <c r="AN65" s="75" t="str">
        <f>IF(AND(Table1[[#This Row],[Variant]]=$AN$4,Table1[[#This Row],[Kv*T]]&gt;0,Table1[[#This Row],[Term.]]="D"),Table1[[#This Row],[Kv*T]],"")</f>
        <v/>
      </c>
      <c r="AO65" s="75" t="str">
        <f>IF(AND(Table1[[#This Row],[Variant]]=$AN$4,Table1[[#This Row],[Kv*T]]&gt;0,Table1[[#This Row],[Term.]]="Y"),Table1[[#This Row],[Kv*T]],"")</f>
        <v/>
      </c>
      <c r="AP65" s="73" t="str">
        <f>IF(AND(Table1[[#This Row],[Kv*T "D"3]]="",Table1[[#This Row],[Kv*T "Y"3]]=""),"",IF(Table1[[#This Row],[Kv*T "D"3]]="",Table1[[#This Row],[Kv*T "Y"3]]*3^0.5,Table1[[#This Row],[Kv*T "D"3]]))</f>
        <v/>
      </c>
      <c r="AQ65" s="73"/>
      <c r="AR65" s="75" t="str">
        <f>IF(AND(Table1[[#This Row],[Variant]]=$AR$4,Table1[[#This Row],[Kv*T]]&gt;0,Table1[[#This Row],[Term.]]="D"),Table1[[#This Row],[Kv*T]],"")</f>
        <v/>
      </c>
      <c r="AS65" s="75" t="str">
        <f>IF(AND(Table1[[#This Row],[Variant]]=$AR$4,Table1[[#This Row],[Kv*T]]&gt;0,Table1[[#This Row],[Term.]]="Y"),Table1[[#This Row],[Kv*T]],"")</f>
        <v/>
      </c>
      <c r="AT65" s="73" t="str">
        <f>IF(AND(Table1[[#This Row],[Kv*T "D"4]]="",Table1[[#This Row],[Kv*T "Y"4]]=""),"",IF(Table1[[#This Row],[Kv*T "D"4]]="",Table1[[#This Row],[Kv*T "Y"4]]*3^0.5,Table1[[#This Row],[Kv*T "D"4]]))</f>
        <v/>
      </c>
      <c r="AU65" s="73"/>
      <c r="AV65" s="75" t="str">
        <f>IF(AND(Table1[[#This Row],[Variant]]=$AV$4,Table1[[#This Row],[Kv*T]]&gt;0,Table1[[#This Row],[Term.]]="D"),Table1[[#This Row],[Kv*T]],"")</f>
        <v/>
      </c>
      <c r="AW65" s="75" t="str">
        <f>IF(AND(Table1[[#This Row],[Variant]]=$AV$4,Table1[[#This Row],[Kv*T]]&gt;0,Table1[[#This Row],[Term.]]="Y"),Table1[[#This Row],[Kv*T]],"")</f>
        <v/>
      </c>
      <c r="AX65" s="73" t="str">
        <f>IF(AND(Table1[[#This Row],[Kv*T "D"5]]="",Table1[[#This Row],[Kv*T "Y"5]]=""),"",IF(Table1[[#This Row],[Kv*T "D"5]]="",Table1[[#This Row],[Kv*T "Y"5]]*3^0.5,Table1[[#This Row],[Kv*T "D"5]]))</f>
        <v/>
      </c>
      <c r="AY65" s="73"/>
    </row>
    <row r="66" spans="1:51">
      <c r="A66" s="17"/>
      <c r="B66" s="5"/>
      <c r="C66" s="5"/>
      <c r="D66" s="146"/>
      <c r="E66" s="146"/>
      <c r="F66" s="86" t="str">
        <f t="shared" si="5"/>
        <v/>
      </c>
      <c r="G66" s="5"/>
      <c r="H66" s="5"/>
      <c r="I66" s="98" t="str">
        <f>IF(OR(Table1[[#This Row],[Phys. Turns]]="",Table1[[#This Row],[Wire]]="",Table1[[#This Row],[Parallel]]=""),"",Table1[[#This Row],[Phys. Turns]]*VLOOKUP(Table1[[#This Row],[Wire]],wirelist,4,FALSE))</f>
        <v/>
      </c>
      <c r="J66" s="18"/>
      <c r="K66" s="19"/>
      <c r="L66" s="20"/>
      <c r="M66" s="5"/>
      <c r="N66" s="49"/>
      <c r="O66" s="19"/>
      <c r="P66" s="5"/>
      <c r="Q66" s="19"/>
      <c r="R66" s="19"/>
      <c r="S66" s="50"/>
      <c r="T66" s="43" t="str">
        <f t="shared" si="6"/>
        <v/>
      </c>
      <c r="U66" s="5"/>
      <c r="V66" s="143"/>
      <c r="W66" s="46" t="str">
        <f>IF(OR(P66="",Table1[[#This Row],[Prop.]]="No Load"),"",(Tests!AC66/VLOOKUP(Table1[[#This Row],[Prop.]],proplist,6,FALSE))*VLOOKUP(Table1[[#This Row],[Prop.]],proplist,4,FALSE)/28.3*(Table1[[#This Row],[RPM]]/1000)^VLOOKUP(Table1[[#This Row],[Prop.]],proplist,5,FALSE))</f>
        <v/>
      </c>
      <c r="X66" s="47" t="str">
        <f>IF(OR(P66="",Table1[[#This Row],[Prop.]]="No Load"),"",(AC66/VLOOKUP(Table1[[#This Row],[Prop.]],proplist,9,FALSE))*VLOOKUP(Table1[[#This Row],[Prop.]],proplist,7,FALSE)*(Table1[[#This Row],[RPM]]/1000)^(VLOOKUP(Table1[[#This Row],[Prop.]],proplist,8,FALSE))/Table1[[#This Row],[Pin '[W']]])</f>
        <v/>
      </c>
      <c r="Y66" s="43" t="str">
        <f>IF(OR(P66="",Table1[[#This Row],[Prop.]]="No Load"),"",P66*VLOOKUP(Table1[[#This Row],[Prop.]],proplist,3,FALSE)/1056)</f>
        <v/>
      </c>
      <c r="Z66" s="43" t="str">
        <f t="shared" si="9"/>
        <v/>
      </c>
      <c r="AA66" s="44" t="str">
        <f>IF(OR(AB66="",Table1[[#This Row],[Prop.]]="No Load"),"",AB66*(1-X66))</f>
        <v/>
      </c>
      <c r="AB66" s="103" t="str">
        <f t="shared" si="7"/>
        <v/>
      </c>
      <c r="AC66" s="45" t="str">
        <f t="shared" si="8"/>
        <v/>
      </c>
      <c r="AD66" s="73" t="str">
        <f>IF(Table1[[#This Row],[Prop.]]="No Load",Table1[[#This Row],["T"]]*Table1[[#This Row],[RPM]]/Table1[[#This Row],[V]],"")</f>
        <v/>
      </c>
      <c r="AE66" s="74" t="str">
        <f>IF(OR(C66="",E66="",H66=""),"",IF(Table1[[#This Row],[Prop.]]="No Load",IF(E66=1,(H66-10)/C66,IF(E66=2,2*(H66-10)/C66,4*(H66-10))),""))</f>
        <v/>
      </c>
      <c r="AF66" s="45" t="str">
        <f>IF(AND(Table1[[#This Row],[Variant]]=$AF$4,Table1[[#This Row],[Kv*T]]&gt;0,Table1[[#This Row],[Term.]]="D"),Table1[[#This Row],[Kv*T]],"")</f>
        <v/>
      </c>
      <c r="AG66" s="45" t="str">
        <f>IF(AND(Table1[[#This Row],[Variant]]=$AF$4,Table1[[#This Row],[Kv*T]]&gt;0,Table1[[#This Row],[Term.]]="Y"),Table1[[#This Row],[Kv*T]],"")</f>
        <v/>
      </c>
      <c r="AH66" s="73" t="str">
        <f>IF(AND(Table1[[#This Row],[Kv*T "D"]]="",Table1[[#This Row],[Kv*T "Y"]]=""),"",IF(Table1[[#This Row],[Kv*T "D"]]="",Table1[[#This Row],[Kv*T "Y"]]*3^0.5,Table1[[#This Row],[Kv*T "D"]]))</f>
        <v/>
      </c>
      <c r="AI66" s="147" t="str">
        <f>IF(Table1[[#This Row],[Std Inch per turn]]="","",Table1[[#This Row],[Std Inch per turn]])</f>
        <v/>
      </c>
      <c r="AJ66" s="75" t="str">
        <f>IF(AND(Table1[[#This Row],[Variant]]=$AJ$4,Table1[[#This Row],[Kv*T]]&gt;0,Table1[[#This Row],[Term.]]="D"),Table1[[#This Row],[Kv*T]],"")</f>
        <v/>
      </c>
      <c r="AK66" s="75" t="str">
        <f>IF(AND(Table1[[#This Row],[Variant]]=$AJ$4,Table1[[#This Row],[Kv*T]]&gt;0,Table1[[#This Row],[Term.]]="Y"),Table1[[#This Row],[Kv*T]],"")</f>
        <v/>
      </c>
      <c r="AL66" s="73" t="str">
        <f>IF(AND(Table1[[#This Row],[Kv*T "D"2]]="",Table1[[#This Row],[Kv*T "Y"2]]=""),"",IF(Table1[[#This Row],[Kv*T "D"2]]="",Table1[[#This Row],[Kv*T "Y"2]]*3^0.5,Table1[[#This Row],[Kv*T "D"2]]))</f>
        <v/>
      </c>
      <c r="AM66" s="147" t="str">
        <f>IF(Table1[[#This Row],[Std Inch per turn]]="","",Table1[[#This Row],[Std Inch per turn]])</f>
        <v/>
      </c>
      <c r="AN66" s="75" t="str">
        <f>IF(AND(Table1[[#This Row],[Variant]]=$AN$4,Table1[[#This Row],[Kv*T]]&gt;0,Table1[[#This Row],[Term.]]="D"),Table1[[#This Row],[Kv*T]],"")</f>
        <v/>
      </c>
      <c r="AO66" s="75" t="str">
        <f>IF(AND(Table1[[#This Row],[Variant]]=$AN$4,Table1[[#This Row],[Kv*T]]&gt;0,Table1[[#This Row],[Term.]]="Y"),Table1[[#This Row],[Kv*T]],"")</f>
        <v/>
      </c>
      <c r="AP66" s="73" t="str">
        <f>IF(AND(Table1[[#This Row],[Kv*T "D"3]]="",Table1[[#This Row],[Kv*T "Y"3]]=""),"",IF(Table1[[#This Row],[Kv*T "D"3]]="",Table1[[#This Row],[Kv*T "Y"3]]*3^0.5,Table1[[#This Row],[Kv*T "D"3]]))</f>
        <v/>
      </c>
      <c r="AQ66" s="73"/>
      <c r="AR66" s="75" t="str">
        <f>IF(AND(Table1[[#This Row],[Variant]]=$AR$4,Table1[[#This Row],[Kv*T]]&gt;0,Table1[[#This Row],[Term.]]="D"),Table1[[#This Row],[Kv*T]],"")</f>
        <v/>
      </c>
      <c r="AS66" s="75" t="str">
        <f>IF(AND(Table1[[#This Row],[Variant]]=$AR$4,Table1[[#This Row],[Kv*T]]&gt;0,Table1[[#This Row],[Term.]]="Y"),Table1[[#This Row],[Kv*T]],"")</f>
        <v/>
      </c>
      <c r="AT66" s="73" t="str">
        <f>IF(AND(Table1[[#This Row],[Kv*T "D"4]]="",Table1[[#This Row],[Kv*T "Y"4]]=""),"",IF(Table1[[#This Row],[Kv*T "D"4]]="",Table1[[#This Row],[Kv*T "Y"4]]*3^0.5,Table1[[#This Row],[Kv*T "D"4]]))</f>
        <v/>
      </c>
      <c r="AU66" s="73"/>
      <c r="AV66" s="75" t="str">
        <f>IF(AND(Table1[[#This Row],[Variant]]=$AV$4,Table1[[#This Row],[Kv*T]]&gt;0,Table1[[#This Row],[Term.]]="D"),Table1[[#This Row],[Kv*T]],"")</f>
        <v/>
      </c>
      <c r="AW66" s="75" t="str">
        <f>IF(AND(Table1[[#This Row],[Variant]]=$AV$4,Table1[[#This Row],[Kv*T]]&gt;0,Table1[[#This Row],[Term.]]="Y"),Table1[[#This Row],[Kv*T]],"")</f>
        <v/>
      </c>
      <c r="AX66" s="73" t="str">
        <f>IF(AND(Table1[[#This Row],[Kv*T "D"5]]="",Table1[[#This Row],[Kv*T "Y"5]]=""),"",IF(Table1[[#This Row],[Kv*T "D"5]]="",Table1[[#This Row],[Kv*T "Y"5]]*3^0.5,Table1[[#This Row],[Kv*T "D"5]]))</f>
        <v/>
      </c>
      <c r="AY66" s="73"/>
    </row>
    <row r="67" spans="1:51">
      <c r="A67" s="17"/>
      <c r="B67" s="5"/>
      <c r="C67" s="5"/>
      <c r="D67" s="146"/>
      <c r="E67" s="146"/>
      <c r="F67" s="86" t="str">
        <f t="shared" si="5"/>
        <v/>
      </c>
      <c r="G67" s="5"/>
      <c r="H67" s="5"/>
      <c r="I67" s="98" t="str">
        <f>IF(OR(Table1[[#This Row],[Phys. Turns]]="",Table1[[#This Row],[Wire]]="",Table1[[#This Row],[Parallel]]=""),"",Table1[[#This Row],[Phys. Turns]]*VLOOKUP(Table1[[#This Row],[Wire]],wirelist,4,FALSE))</f>
        <v/>
      </c>
      <c r="J67" s="18"/>
      <c r="K67" s="19"/>
      <c r="L67" s="20"/>
      <c r="M67" s="5"/>
      <c r="N67" s="49"/>
      <c r="O67" s="19"/>
      <c r="P67" s="5"/>
      <c r="Q67" s="19"/>
      <c r="R67" s="19"/>
      <c r="S67" s="49"/>
      <c r="T67" s="43" t="str">
        <f t="shared" si="6"/>
        <v/>
      </c>
      <c r="U67" s="5"/>
      <c r="V67" s="143"/>
      <c r="W67" s="46" t="str">
        <f>IF(OR(P67="",Table1[[#This Row],[Prop.]]="No Load"),"",(Tests!AC67/VLOOKUP(Table1[[#This Row],[Prop.]],proplist,6,FALSE))*VLOOKUP(Table1[[#This Row],[Prop.]],proplist,4,FALSE)/28.3*(Table1[[#This Row],[RPM]]/1000)^VLOOKUP(Table1[[#This Row],[Prop.]],proplist,5,FALSE))</f>
        <v/>
      </c>
      <c r="X67" s="47" t="str">
        <f>IF(OR(P67="",Table1[[#This Row],[Prop.]]="No Load"),"",(AC67/VLOOKUP(Table1[[#This Row],[Prop.]],proplist,9,FALSE))*VLOOKUP(Table1[[#This Row],[Prop.]],proplist,7,FALSE)*(Table1[[#This Row],[RPM]]/1000)^(VLOOKUP(Table1[[#This Row],[Prop.]],proplist,8,FALSE))/Table1[[#This Row],[Pin '[W']]])</f>
        <v/>
      </c>
      <c r="Y67" s="43" t="str">
        <f>IF(OR(P67="",Table1[[#This Row],[Prop.]]="No Load"),"",P67*VLOOKUP(Table1[[#This Row],[Prop.]],proplist,3,FALSE)/1056)</f>
        <v/>
      </c>
      <c r="Z67" s="43" t="str">
        <f t="shared" si="9"/>
        <v/>
      </c>
      <c r="AA67" s="44" t="str">
        <f>IF(OR(AB67="",Table1[[#This Row],[Prop.]]="No Load"),"",AB67*(1-X67))</f>
        <v/>
      </c>
      <c r="AB67" s="103" t="str">
        <f t="shared" si="7"/>
        <v/>
      </c>
      <c r="AC67" s="45" t="str">
        <f t="shared" si="8"/>
        <v/>
      </c>
      <c r="AD67" s="73" t="str">
        <f>IF(Table1[[#This Row],[Prop.]]="No Load",Table1[[#This Row],["T"]]*Table1[[#This Row],[RPM]]/Table1[[#This Row],[V]],"")</f>
        <v/>
      </c>
      <c r="AE67" s="74" t="str">
        <f>IF(OR(C67="",E67="",H67=""),"",IF(Table1[[#This Row],[Prop.]]="No Load",IF(E67=1,(H67-10)/C67,IF(E67=2,2*(H67-10)/C67,4*(H67-10))),""))</f>
        <v/>
      </c>
      <c r="AF67" s="45" t="str">
        <f>IF(AND(Table1[[#This Row],[Variant]]=$AF$4,Table1[[#This Row],[Kv*T]]&gt;0,Table1[[#This Row],[Term.]]="D"),Table1[[#This Row],[Kv*T]],"")</f>
        <v/>
      </c>
      <c r="AG67" s="45" t="str">
        <f>IF(AND(Table1[[#This Row],[Variant]]=$AF$4,Table1[[#This Row],[Kv*T]]&gt;0,Table1[[#This Row],[Term.]]="Y"),Table1[[#This Row],[Kv*T]],"")</f>
        <v/>
      </c>
      <c r="AH67" s="73" t="str">
        <f>IF(AND(Table1[[#This Row],[Kv*T "D"]]="",Table1[[#This Row],[Kv*T "Y"]]=""),"",IF(Table1[[#This Row],[Kv*T "D"]]="",Table1[[#This Row],[Kv*T "Y"]]*3^0.5,Table1[[#This Row],[Kv*T "D"]]))</f>
        <v/>
      </c>
      <c r="AI67" s="147" t="str">
        <f>IF(Table1[[#This Row],[Std Inch per turn]]="","",Table1[[#This Row],[Std Inch per turn]])</f>
        <v/>
      </c>
      <c r="AJ67" s="75" t="str">
        <f>IF(AND(Table1[[#This Row],[Variant]]=$AJ$4,Table1[[#This Row],[Kv*T]]&gt;0,Table1[[#This Row],[Term.]]="D"),Table1[[#This Row],[Kv*T]],"")</f>
        <v/>
      </c>
      <c r="AK67" s="75" t="str">
        <f>IF(AND(Table1[[#This Row],[Variant]]=$AJ$4,Table1[[#This Row],[Kv*T]]&gt;0,Table1[[#This Row],[Term.]]="Y"),Table1[[#This Row],[Kv*T]],"")</f>
        <v/>
      </c>
      <c r="AL67" s="73" t="str">
        <f>IF(AND(Table1[[#This Row],[Kv*T "D"2]]="",Table1[[#This Row],[Kv*T "Y"2]]=""),"",IF(Table1[[#This Row],[Kv*T "D"2]]="",Table1[[#This Row],[Kv*T "Y"2]]*3^0.5,Table1[[#This Row],[Kv*T "D"2]]))</f>
        <v/>
      </c>
      <c r="AM67" s="147" t="str">
        <f>IF(Table1[[#This Row],[Std Inch per turn]]="","",Table1[[#This Row],[Std Inch per turn]])</f>
        <v/>
      </c>
      <c r="AN67" s="75" t="str">
        <f>IF(AND(Table1[[#This Row],[Variant]]=$AN$4,Table1[[#This Row],[Kv*T]]&gt;0,Table1[[#This Row],[Term.]]="D"),Table1[[#This Row],[Kv*T]],"")</f>
        <v/>
      </c>
      <c r="AO67" s="75" t="str">
        <f>IF(AND(Table1[[#This Row],[Variant]]=$AN$4,Table1[[#This Row],[Kv*T]]&gt;0,Table1[[#This Row],[Term.]]="Y"),Table1[[#This Row],[Kv*T]],"")</f>
        <v/>
      </c>
      <c r="AP67" s="73" t="str">
        <f>IF(AND(Table1[[#This Row],[Kv*T "D"3]]="",Table1[[#This Row],[Kv*T "Y"3]]=""),"",IF(Table1[[#This Row],[Kv*T "D"3]]="",Table1[[#This Row],[Kv*T "Y"3]]*3^0.5,Table1[[#This Row],[Kv*T "D"3]]))</f>
        <v/>
      </c>
      <c r="AQ67" s="73"/>
      <c r="AR67" s="75" t="str">
        <f>IF(AND(Table1[[#This Row],[Variant]]=$AR$4,Table1[[#This Row],[Kv*T]]&gt;0,Table1[[#This Row],[Term.]]="D"),Table1[[#This Row],[Kv*T]],"")</f>
        <v/>
      </c>
      <c r="AS67" s="75" t="str">
        <f>IF(AND(Table1[[#This Row],[Variant]]=$AR$4,Table1[[#This Row],[Kv*T]]&gt;0,Table1[[#This Row],[Term.]]="Y"),Table1[[#This Row],[Kv*T]],"")</f>
        <v/>
      </c>
      <c r="AT67" s="73" t="str">
        <f>IF(AND(Table1[[#This Row],[Kv*T "D"4]]="",Table1[[#This Row],[Kv*T "Y"4]]=""),"",IF(Table1[[#This Row],[Kv*T "D"4]]="",Table1[[#This Row],[Kv*T "Y"4]]*3^0.5,Table1[[#This Row],[Kv*T "D"4]]))</f>
        <v/>
      </c>
      <c r="AU67" s="73"/>
      <c r="AV67" s="75" t="str">
        <f>IF(AND(Table1[[#This Row],[Variant]]=$AV$4,Table1[[#This Row],[Kv*T]]&gt;0,Table1[[#This Row],[Term.]]="D"),Table1[[#This Row],[Kv*T]],"")</f>
        <v/>
      </c>
      <c r="AW67" s="75" t="str">
        <f>IF(AND(Table1[[#This Row],[Variant]]=$AV$4,Table1[[#This Row],[Kv*T]]&gt;0,Table1[[#This Row],[Term.]]="Y"),Table1[[#This Row],[Kv*T]],"")</f>
        <v/>
      </c>
      <c r="AX67" s="73" t="str">
        <f>IF(AND(Table1[[#This Row],[Kv*T "D"5]]="",Table1[[#This Row],[Kv*T "Y"5]]=""),"",IF(Table1[[#This Row],[Kv*T "D"5]]="",Table1[[#This Row],[Kv*T "Y"5]]*3^0.5,Table1[[#This Row],[Kv*T "D"5]]))</f>
        <v/>
      </c>
      <c r="AY67" s="73"/>
    </row>
    <row r="68" spans="1:51">
      <c r="A68" s="17"/>
      <c r="B68" s="5"/>
      <c r="C68" s="5"/>
      <c r="D68" s="146"/>
      <c r="E68" s="146"/>
      <c r="F68" s="86" t="str">
        <f t="shared" si="5"/>
        <v/>
      </c>
      <c r="G68" s="5"/>
      <c r="H68" s="5"/>
      <c r="I68" s="98" t="str">
        <f>IF(OR(Table1[[#This Row],[Phys. Turns]]="",Table1[[#This Row],[Wire]]="",Table1[[#This Row],[Parallel]]=""),"",Table1[[#This Row],[Phys. Turns]]*VLOOKUP(Table1[[#This Row],[Wire]],wirelist,4,FALSE))</f>
        <v/>
      </c>
      <c r="J68" s="18"/>
      <c r="K68" s="19"/>
      <c r="L68" s="20"/>
      <c r="M68" s="5"/>
      <c r="N68" s="49"/>
      <c r="O68" s="19"/>
      <c r="P68" s="5"/>
      <c r="Q68" s="19"/>
      <c r="R68" s="19"/>
      <c r="S68" s="49"/>
      <c r="T68" s="43" t="str">
        <f t="shared" si="6"/>
        <v/>
      </c>
      <c r="U68" s="5"/>
      <c r="V68" s="143"/>
      <c r="W68" s="46" t="str">
        <f>IF(OR(P68="",Table1[[#This Row],[Prop.]]="No Load"),"",(Tests!AC68/VLOOKUP(Table1[[#This Row],[Prop.]],proplist,6,FALSE))*VLOOKUP(Table1[[#This Row],[Prop.]],proplist,4,FALSE)/28.3*(Table1[[#This Row],[RPM]]/1000)^VLOOKUP(Table1[[#This Row],[Prop.]],proplist,5,FALSE))</f>
        <v/>
      </c>
      <c r="X68" s="47" t="str">
        <f>IF(OR(P68="",Table1[[#This Row],[Prop.]]="No Load"),"",(AC68/VLOOKUP(Table1[[#This Row],[Prop.]],proplist,9,FALSE))*VLOOKUP(Table1[[#This Row],[Prop.]],proplist,7,FALSE)*(Table1[[#This Row],[RPM]]/1000)^(VLOOKUP(Table1[[#This Row],[Prop.]],proplist,8,FALSE))/Table1[[#This Row],[Pin '[W']]])</f>
        <v/>
      </c>
      <c r="Y68" s="43" t="str">
        <f>IF(OR(P68="",Table1[[#This Row],[Prop.]]="No Load"),"",P68*VLOOKUP(Table1[[#This Row],[Prop.]],proplist,3,FALSE)/1056)</f>
        <v/>
      </c>
      <c r="Z68" s="43" t="str">
        <f t="shared" si="9"/>
        <v/>
      </c>
      <c r="AA68" s="44" t="str">
        <f>IF(OR(AB68="",Table1[[#This Row],[Prop.]]="No Load"),"",AB68*(1-X68))</f>
        <v/>
      </c>
      <c r="AB68" s="103" t="str">
        <f t="shared" si="7"/>
        <v/>
      </c>
      <c r="AC68" s="45" t="str">
        <f t="shared" si="8"/>
        <v/>
      </c>
      <c r="AD68" s="73" t="str">
        <f>IF(Table1[[#This Row],[Prop.]]="No Load",Table1[[#This Row],["T"]]*Table1[[#This Row],[RPM]]/Table1[[#This Row],[V]],"")</f>
        <v/>
      </c>
      <c r="AE68" s="74" t="str">
        <f>IF(OR(C68="",E68="",H68=""),"",IF(Table1[[#This Row],[Prop.]]="No Load",IF(E68=1,(H68-10)/C68,IF(E68=2,2*(H68-10)/C68,4*(H68-10))),""))</f>
        <v/>
      </c>
      <c r="AF68" s="45" t="str">
        <f>IF(AND(Table1[[#This Row],[Variant]]=$AF$4,Table1[[#This Row],[Kv*T]]&gt;0,Table1[[#This Row],[Term.]]="D"),Table1[[#This Row],[Kv*T]],"")</f>
        <v/>
      </c>
      <c r="AG68" s="45" t="str">
        <f>IF(AND(Table1[[#This Row],[Variant]]=$AF$4,Table1[[#This Row],[Kv*T]]&gt;0,Table1[[#This Row],[Term.]]="Y"),Table1[[#This Row],[Kv*T]],"")</f>
        <v/>
      </c>
      <c r="AH68" s="73" t="str">
        <f>IF(AND(Table1[[#This Row],[Kv*T "D"]]="",Table1[[#This Row],[Kv*T "Y"]]=""),"",IF(Table1[[#This Row],[Kv*T "D"]]="",Table1[[#This Row],[Kv*T "Y"]]*3^0.5,Table1[[#This Row],[Kv*T "D"]]))</f>
        <v/>
      </c>
      <c r="AI68" s="147" t="str">
        <f>IF(Table1[[#This Row],[Std Inch per turn]]="","",Table1[[#This Row],[Std Inch per turn]])</f>
        <v/>
      </c>
      <c r="AJ68" s="75" t="str">
        <f>IF(AND(Table1[[#This Row],[Variant]]=$AJ$4,Table1[[#This Row],[Kv*T]]&gt;0,Table1[[#This Row],[Term.]]="D"),Table1[[#This Row],[Kv*T]],"")</f>
        <v/>
      </c>
      <c r="AK68" s="75" t="str">
        <f>IF(AND(Table1[[#This Row],[Variant]]=$AJ$4,Table1[[#This Row],[Kv*T]]&gt;0,Table1[[#This Row],[Term.]]="Y"),Table1[[#This Row],[Kv*T]],"")</f>
        <v/>
      </c>
      <c r="AL68" s="73" t="str">
        <f>IF(AND(Table1[[#This Row],[Kv*T "D"2]]="",Table1[[#This Row],[Kv*T "Y"2]]=""),"",IF(Table1[[#This Row],[Kv*T "D"2]]="",Table1[[#This Row],[Kv*T "Y"2]]*3^0.5,Table1[[#This Row],[Kv*T "D"2]]))</f>
        <v/>
      </c>
      <c r="AM68" s="147" t="str">
        <f>IF(Table1[[#This Row],[Std Inch per turn]]="","",Table1[[#This Row],[Std Inch per turn]])</f>
        <v/>
      </c>
      <c r="AN68" s="75" t="str">
        <f>IF(AND(Table1[[#This Row],[Variant]]=$AN$4,Table1[[#This Row],[Kv*T]]&gt;0,Table1[[#This Row],[Term.]]="D"),Table1[[#This Row],[Kv*T]],"")</f>
        <v/>
      </c>
      <c r="AO68" s="75" t="str">
        <f>IF(AND(Table1[[#This Row],[Variant]]=$AN$4,Table1[[#This Row],[Kv*T]]&gt;0,Table1[[#This Row],[Term.]]="Y"),Table1[[#This Row],[Kv*T]],"")</f>
        <v/>
      </c>
      <c r="AP68" s="73" t="str">
        <f>IF(AND(Table1[[#This Row],[Kv*T "D"3]]="",Table1[[#This Row],[Kv*T "Y"3]]=""),"",IF(Table1[[#This Row],[Kv*T "D"3]]="",Table1[[#This Row],[Kv*T "Y"3]]*3^0.5,Table1[[#This Row],[Kv*T "D"3]]))</f>
        <v/>
      </c>
      <c r="AQ68" s="73"/>
      <c r="AR68" s="75" t="str">
        <f>IF(AND(Table1[[#This Row],[Variant]]=$AR$4,Table1[[#This Row],[Kv*T]]&gt;0,Table1[[#This Row],[Term.]]="D"),Table1[[#This Row],[Kv*T]],"")</f>
        <v/>
      </c>
      <c r="AS68" s="75" t="str">
        <f>IF(AND(Table1[[#This Row],[Variant]]=$AR$4,Table1[[#This Row],[Kv*T]]&gt;0,Table1[[#This Row],[Term.]]="Y"),Table1[[#This Row],[Kv*T]],"")</f>
        <v/>
      </c>
      <c r="AT68" s="73" t="str">
        <f>IF(AND(Table1[[#This Row],[Kv*T "D"4]]="",Table1[[#This Row],[Kv*T "Y"4]]=""),"",IF(Table1[[#This Row],[Kv*T "D"4]]="",Table1[[#This Row],[Kv*T "Y"4]]*3^0.5,Table1[[#This Row],[Kv*T "D"4]]))</f>
        <v/>
      </c>
      <c r="AU68" s="73"/>
      <c r="AV68" s="75" t="str">
        <f>IF(AND(Table1[[#This Row],[Variant]]=$AV$4,Table1[[#This Row],[Kv*T]]&gt;0,Table1[[#This Row],[Term.]]="D"),Table1[[#This Row],[Kv*T]],"")</f>
        <v/>
      </c>
      <c r="AW68" s="75" t="str">
        <f>IF(AND(Table1[[#This Row],[Variant]]=$AV$4,Table1[[#This Row],[Kv*T]]&gt;0,Table1[[#This Row],[Term.]]="Y"),Table1[[#This Row],[Kv*T]],"")</f>
        <v/>
      </c>
      <c r="AX68" s="73" t="str">
        <f>IF(AND(Table1[[#This Row],[Kv*T "D"5]]="",Table1[[#This Row],[Kv*T "Y"5]]=""),"",IF(Table1[[#This Row],[Kv*T "D"5]]="",Table1[[#This Row],[Kv*T "Y"5]]*3^0.5,Table1[[#This Row],[Kv*T "D"5]]))</f>
        <v/>
      </c>
      <c r="AY68" s="73"/>
    </row>
    <row r="69" spans="1:51">
      <c r="A69" s="17"/>
      <c r="B69" s="5"/>
      <c r="C69" s="5"/>
      <c r="D69" s="146"/>
      <c r="E69" s="146"/>
      <c r="F69" s="86" t="str">
        <f t="shared" si="5"/>
        <v/>
      </c>
      <c r="G69" s="5"/>
      <c r="H69" s="5"/>
      <c r="I69" s="98" t="str">
        <f>IF(OR(Table1[[#This Row],[Phys. Turns]]="",Table1[[#This Row],[Wire]]="",Table1[[#This Row],[Parallel]]=""),"",Table1[[#This Row],[Phys. Turns]]*VLOOKUP(Table1[[#This Row],[Wire]],wirelist,4,FALSE))</f>
        <v/>
      </c>
      <c r="J69" s="18"/>
      <c r="K69" s="19"/>
      <c r="L69" s="20"/>
      <c r="M69" s="5"/>
      <c r="N69" s="49"/>
      <c r="O69" s="19"/>
      <c r="P69" s="5"/>
      <c r="Q69" s="19"/>
      <c r="R69" s="19"/>
      <c r="S69" s="49"/>
      <c r="T69" s="43" t="str">
        <f t="shared" si="6"/>
        <v/>
      </c>
      <c r="U69" s="5"/>
      <c r="V69" s="143"/>
      <c r="W69" s="46" t="str">
        <f>IF(OR(P69="",Table1[[#This Row],[Prop.]]="No Load"),"",(Tests!AC69/VLOOKUP(Table1[[#This Row],[Prop.]],proplist,6,FALSE))*VLOOKUP(Table1[[#This Row],[Prop.]],proplist,4,FALSE)/28.3*(Table1[[#This Row],[RPM]]/1000)^VLOOKUP(Table1[[#This Row],[Prop.]],proplist,5,FALSE))</f>
        <v/>
      </c>
      <c r="X69" s="47" t="str">
        <f>IF(OR(P69="",Table1[[#This Row],[Prop.]]="No Load"),"",(AC69/VLOOKUP(Table1[[#This Row],[Prop.]],proplist,9,FALSE))*VLOOKUP(Table1[[#This Row],[Prop.]],proplist,7,FALSE)*(Table1[[#This Row],[RPM]]/1000)^(VLOOKUP(Table1[[#This Row],[Prop.]],proplist,8,FALSE))/Table1[[#This Row],[Pin '[W']]])</f>
        <v/>
      </c>
      <c r="Y69" s="43" t="str">
        <f>IF(OR(P69="",Table1[[#This Row],[Prop.]]="No Load"),"",P69*VLOOKUP(Table1[[#This Row],[Prop.]],proplist,3,FALSE)/1056)</f>
        <v/>
      </c>
      <c r="Z69" s="43" t="str">
        <f t="shared" si="9"/>
        <v/>
      </c>
      <c r="AA69" s="44" t="str">
        <f>IF(OR(AB69="",Table1[[#This Row],[Prop.]]="No Load"),"",AB69*(1-X69))</f>
        <v/>
      </c>
      <c r="AB69" s="103" t="str">
        <f t="shared" si="7"/>
        <v/>
      </c>
      <c r="AC69" s="45" t="str">
        <f t="shared" si="8"/>
        <v/>
      </c>
      <c r="AD69" s="73" t="str">
        <f>IF(Table1[[#This Row],[Prop.]]="No Load",Table1[[#This Row],["T"]]*Table1[[#This Row],[RPM]]/Table1[[#This Row],[V]],"")</f>
        <v/>
      </c>
      <c r="AE69" s="74" t="str">
        <f>IF(OR(C69="",E69="",H69=""),"",IF(Table1[[#This Row],[Prop.]]="No Load",IF(E69=1,(H69-10)/C69,IF(E69=2,2*(H69-10)/C69,4*(H69-10))),""))</f>
        <v/>
      </c>
      <c r="AF69" s="45" t="str">
        <f>IF(AND(Table1[[#This Row],[Variant]]=$AF$4,Table1[[#This Row],[Kv*T]]&gt;0,Table1[[#This Row],[Term.]]="D"),Table1[[#This Row],[Kv*T]],"")</f>
        <v/>
      </c>
      <c r="AG69" s="45" t="str">
        <f>IF(AND(Table1[[#This Row],[Variant]]=$AF$4,Table1[[#This Row],[Kv*T]]&gt;0,Table1[[#This Row],[Term.]]="Y"),Table1[[#This Row],[Kv*T]],"")</f>
        <v/>
      </c>
      <c r="AH69" s="73" t="str">
        <f>IF(AND(Table1[[#This Row],[Kv*T "D"]]="",Table1[[#This Row],[Kv*T "Y"]]=""),"",IF(Table1[[#This Row],[Kv*T "D"]]="",Table1[[#This Row],[Kv*T "Y"]]*3^0.5,Table1[[#This Row],[Kv*T "D"]]))</f>
        <v/>
      </c>
      <c r="AI69" s="147" t="str">
        <f>IF(Table1[[#This Row],[Std Inch per turn]]="","",Table1[[#This Row],[Std Inch per turn]])</f>
        <v/>
      </c>
      <c r="AJ69" s="75" t="str">
        <f>IF(AND(Table1[[#This Row],[Variant]]=$AJ$4,Table1[[#This Row],[Kv*T]]&gt;0,Table1[[#This Row],[Term.]]="D"),Table1[[#This Row],[Kv*T]],"")</f>
        <v/>
      </c>
      <c r="AK69" s="75" t="str">
        <f>IF(AND(Table1[[#This Row],[Variant]]=$AJ$4,Table1[[#This Row],[Kv*T]]&gt;0,Table1[[#This Row],[Term.]]="Y"),Table1[[#This Row],[Kv*T]],"")</f>
        <v/>
      </c>
      <c r="AL69" s="73" t="str">
        <f>IF(AND(Table1[[#This Row],[Kv*T "D"2]]="",Table1[[#This Row],[Kv*T "Y"2]]=""),"",IF(Table1[[#This Row],[Kv*T "D"2]]="",Table1[[#This Row],[Kv*T "Y"2]]*3^0.5,Table1[[#This Row],[Kv*T "D"2]]))</f>
        <v/>
      </c>
      <c r="AM69" s="147" t="str">
        <f>IF(Table1[[#This Row],[Std Inch per turn]]="","",Table1[[#This Row],[Std Inch per turn]])</f>
        <v/>
      </c>
      <c r="AN69" s="75" t="str">
        <f>IF(AND(Table1[[#This Row],[Variant]]=$AN$4,Table1[[#This Row],[Kv*T]]&gt;0,Table1[[#This Row],[Term.]]="D"),Table1[[#This Row],[Kv*T]],"")</f>
        <v/>
      </c>
      <c r="AO69" s="75" t="str">
        <f>IF(AND(Table1[[#This Row],[Variant]]=$AN$4,Table1[[#This Row],[Kv*T]]&gt;0,Table1[[#This Row],[Term.]]="Y"),Table1[[#This Row],[Kv*T]],"")</f>
        <v/>
      </c>
      <c r="AP69" s="73" t="str">
        <f>IF(AND(Table1[[#This Row],[Kv*T "D"3]]="",Table1[[#This Row],[Kv*T "Y"3]]=""),"",IF(Table1[[#This Row],[Kv*T "D"3]]="",Table1[[#This Row],[Kv*T "Y"3]]*3^0.5,Table1[[#This Row],[Kv*T "D"3]]))</f>
        <v/>
      </c>
      <c r="AQ69" s="73"/>
      <c r="AR69" s="75" t="str">
        <f>IF(AND(Table1[[#This Row],[Variant]]=$AR$4,Table1[[#This Row],[Kv*T]]&gt;0,Table1[[#This Row],[Term.]]="D"),Table1[[#This Row],[Kv*T]],"")</f>
        <v/>
      </c>
      <c r="AS69" s="75" t="str">
        <f>IF(AND(Table1[[#This Row],[Variant]]=$AR$4,Table1[[#This Row],[Kv*T]]&gt;0,Table1[[#This Row],[Term.]]="Y"),Table1[[#This Row],[Kv*T]],"")</f>
        <v/>
      </c>
      <c r="AT69" s="73" t="str">
        <f>IF(AND(Table1[[#This Row],[Kv*T "D"4]]="",Table1[[#This Row],[Kv*T "Y"4]]=""),"",IF(Table1[[#This Row],[Kv*T "D"4]]="",Table1[[#This Row],[Kv*T "Y"4]]*3^0.5,Table1[[#This Row],[Kv*T "D"4]]))</f>
        <v/>
      </c>
      <c r="AU69" s="73"/>
      <c r="AV69" s="75" t="str">
        <f>IF(AND(Table1[[#This Row],[Variant]]=$AV$4,Table1[[#This Row],[Kv*T]]&gt;0,Table1[[#This Row],[Term.]]="D"),Table1[[#This Row],[Kv*T]],"")</f>
        <v/>
      </c>
      <c r="AW69" s="75" t="str">
        <f>IF(AND(Table1[[#This Row],[Variant]]=$AV$4,Table1[[#This Row],[Kv*T]]&gt;0,Table1[[#This Row],[Term.]]="Y"),Table1[[#This Row],[Kv*T]],"")</f>
        <v/>
      </c>
      <c r="AX69" s="73" t="str">
        <f>IF(AND(Table1[[#This Row],[Kv*T "D"5]]="",Table1[[#This Row],[Kv*T "Y"5]]=""),"",IF(Table1[[#This Row],[Kv*T "D"5]]="",Table1[[#This Row],[Kv*T "Y"5]]*3^0.5,Table1[[#This Row],[Kv*T "D"5]]))</f>
        <v/>
      </c>
      <c r="AY69" s="73"/>
    </row>
    <row r="70" spans="1:51">
      <c r="A70" s="10"/>
      <c r="B70" s="146"/>
      <c r="C70" s="146"/>
      <c r="D70" s="146"/>
      <c r="E70" s="146"/>
      <c r="F70" s="86" t="str">
        <f t="shared" ref="F70:F101" si="10">IF(E70="","",C70/E70)</f>
        <v/>
      </c>
      <c r="G70" s="146"/>
      <c r="H70" s="5"/>
      <c r="I70" s="98" t="str">
        <f>IF(OR(Table1[[#This Row],[Phys. Turns]]="",Table1[[#This Row],[Wire]]="",Table1[[#This Row],[Parallel]]=""),"",Table1[[#This Row],[Phys. Turns]]*VLOOKUP(Table1[[#This Row],[Wire]],wirelist,4,FALSE))</f>
        <v/>
      </c>
      <c r="J70" s="18"/>
      <c r="K70" s="19"/>
      <c r="L70" s="20"/>
      <c r="M70" s="5"/>
      <c r="N70" s="49"/>
      <c r="O70" s="19"/>
      <c r="P70" s="5"/>
      <c r="Q70" s="19"/>
      <c r="R70" s="19"/>
      <c r="S70" s="49"/>
      <c r="T70" s="43" t="str">
        <f t="shared" ref="T70:T101" si="11">IF(S70="","",S70*28.3/AB70)</f>
        <v/>
      </c>
      <c r="U70" s="5"/>
      <c r="V70" s="143"/>
      <c r="W70" s="46" t="str">
        <f>IF(OR(P70="",Table1[[#This Row],[Prop.]]="No Load"),"",(Tests!AC70/VLOOKUP(Table1[[#This Row],[Prop.]],proplist,6,FALSE))*VLOOKUP(Table1[[#This Row],[Prop.]],proplist,4,FALSE)/28.3*(Table1[[#This Row],[RPM]]/1000)^VLOOKUP(Table1[[#This Row],[Prop.]],proplist,5,FALSE))</f>
        <v/>
      </c>
      <c r="X70" s="47" t="str">
        <f>IF(OR(P70="",Table1[[#This Row],[Prop.]]="No Load"),"",(AC70/VLOOKUP(Table1[[#This Row],[Prop.]],proplist,9,FALSE))*VLOOKUP(Table1[[#This Row],[Prop.]],proplist,7,FALSE)*(Table1[[#This Row],[RPM]]/1000)^(VLOOKUP(Table1[[#This Row],[Prop.]],proplist,8,FALSE))/Table1[[#This Row],[Pin '[W']]])</f>
        <v/>
      </c>
      <c r="Y70" s="43" t="str">
        <f>IF(OR(P70="",Table1[[#This Row],[Prop.]]="No Load"),"",P70*VLOOKUP(Table1[[#This Row],[Prop.]],proplist,3,FALSE)/1056)</f>
        <v/>
      </c>
      <c r="Z70" s="43" t="str">
        <f t="shared" si="9"/>
        <v/>
      </c>
      <c r="AA70" s="44" t="str">
        <f>IF(OR(AB70="",Table1[[#This Row],[Prop.]]="No Load"),"",AB70*(1-X70))</f>
        <v/>
      </c>
      <c r="AB70" s="103" t="str">
        <f t="shared" ref="AB70:AB101" si="12">IF(Q70="","",Q70*R70)</f>
        <v/>
      </c>
      <c r="AC70" s="45" t="str">
        <f t="shared" ref="AC70:AC101" si="13">IF(A70="","",IF(OR(N70="",O70=""),1.2041,352.98/(N70+273.15)*(1-0.0000225577*O70)^5.25578))</f>
        <v/>
      </c>
      <c r="AD70" s="73" t="str">
        <f>IF(Table1[[#This Row],[Prop.]]="No Load",Table1[[#This Row],["T"]]*Table1[[#This Row],[RPM]]/Table1[[#This Row],[V]],"")</f>
        <v/>
      </c>
      <c r="AE70" s="74" t="str">
        <f>IF(OR(C70="",E70="",H70=""),"",IF(Table1[[#This Row],[Prop.]]="No Load",IF(E70=1,(H70-10)/C70,IF(E70=2,2*(H70-10)/C70,4*(H70-10))),""))</f>
        <v/>
      </c>
      <c r="AF70" s="45" t="str">
        <f>IF(AND(Table1[[#This Row],[Variant]]=$AF$4,Table1[[#This Row],[Kv*T]]&gt;0,Table1[[#This Row],[Term.]]="D"),Table1[[#This Row],[Kv*T]],"")</f>
        <v/>
      </c>
      <c r="AG70" s="45" t="str">
        <f>IF(AND(Table1[[#This Row],[Variant]]=$AF$4,Table1[[#This Row],[Kv*T]]&gt;0,Table1[[#This Row],[Term.]]="Y"),Table1[[#This Row],[Kv*T]],"")</f>
        <v/>
      </c>
      <c r="AH70" s="73" t="str">
        <f>IF(AND(Table1[[#This Row],[Kv*T "D"]]="",Table1[[#This Row],[Kv*T "Y"]]=""),"",IF(Table1[[#This Row],[Kv*T "D"]]="",Table1[[#This Row],[Kv*T "Y"]]*3^0.5,Table1[[#This Row],[Kv*T "D"]]))</f>
        <v/>
      </c>
      <c r="AI70" s="147" t="str">
        <f>IF(Table1[[#This Row],[Std Inch per turn]]="","",Table1[[#This Row],[Std Inch per turn]])</f>
        <v/>
      </c>
      <c r="AJ70" s="75" t="str">
        <f>IF(AND(Table1[[#This Row],[Variant]]=$AJ$4,Table1[[#This Row],[Kv*T]]&gt;0,Table1[[#This Row],[Term.]]="D"),Table1[[#This Row],[Kv*T]],"")</f>
        <v/>
      </c>
      <c r="AK70" s="75" t="str">
        <f>IF(AND(Table1[[#This Row],[Variant]]=$AJ$4,Table1[[#This Row],[Kv*T]]&gt;0,Table1[[#This Row],[Term.]]="Y"),Table1[[#This Row],[Kv*T]],"")</f>
        <v/>
      </c>
      <c r="AL70" s="73" t="str">
        <f>IF(AND(Table1[[#This Row],[Kv*T "D"2]]="",Table1[[#This Row],[Kv*T "Y"2]]=""),"",IF(Table1[[#This Row],[Kv*T "D"2]]="",Table1[[#This Row],[Kv*T "Y"2]]*3^0.5,Table1[[#This Row],[Kv*T "D"2]]))</f>
        <v/>
      </c>
      <c r="AM70" s="147" t="str">
        <f>IF(Table1[[#This Row],[Std Inch per turn]]="","",Table1[[#This Row],[Std Inch per turn]])</f>
        <v/>
      </c>
      <c r="AN70" s="75" t="str">
        <f>IF(AND(Table1[[#This Row],[Variant]]=$AN$4,Table1[[#This Row],[Kv*T]]&gt;0,Table1[[#This Row],[Term.]]="D"),Table1[[#This Row],[Kv*T]],"")</f>
        <v/>
      </c>
      <c r="AO70" s="75" t="str">
        <f>IF(AND(Table1[[#This Row],[Variant]]=$AN$4,Table1[[#This Row],[Kv*T]]&gt;0,Table1[[#This Row],[Term.]]="Y"),Table1[[#This Row],[Kv*T]],"")</f>
        <v/>
      </c>
      <c r="AP70" s="73" t="str">
        <f>IF(AND(Table1[[#This Row],[Kv*T "D"3]]="",Table1[[#This Row],[Kv*T "Y"3]]=""),"",IF(Table1[[#This Row],[Kv*T "D"3]]="",Table1[[#This Row],[Kv*T "Y"3]]*3^0.5,Table1[[#This Row],[Kv*T "D"3]]))</f>
        <v/>
      </c>
      <c r="AQ70" s="73"/>
      <c r="AR70" s="75" t="str">
        <f>IF(AND(Table1[[#This Row],[Variant]]=$AR$4,Table1[[#This Row],[Kv*T]]&gt;0,Table1[[#This Row],[Term.]]="D"),Table1[[#This Row],[Kv*T]],"")</f>
        <v/>
      </c>
      <c r="AS70" s="75" t="str">
        <f>IF(AND(Table1[[#This Row],[Variant]]=$AR$4,Table1[[#This Row],[Kv*T]]&gt;0,Table1[[#This Row],[Term.]]="Y"),Table1[[#This Row],[Kv*T]],"")</f>
        <v/>
      </c>
      <c r="AT70" s="73" t="str">
        <f>IF(AND(Table1[[#This Row],[Kv*T "D"4]]="",Table1[[#This Row],[Kv*T "Y"4]]=""),"",IF(Table1[[#This Row],[Kv*T "D"4]]="",Table1[[#This Row],[Kv*T "Y"4]]*3^0.5,Table1[[#This Row],[Kv*T "D"4]]))</f>
        <v/>
      </c>
      <c r="AU70" s="73"/>
      <c r="AV70" s="75" t="str">
        <f>IF(AND(Table1[[#This Row],[Variant]]=$AV$4,Table1[[#This Row],[Kv*T]]&gt;0,Table1[[#This Row],[Term.]]="D"),Table1[[#This Row],[Kv*T]],"")</f>
        <v/>
      </c>
      <c r="AW70" s="75" t="str">
        <f>IF(AND(Table1[[#This Row],[Variant]]=$AV$4,Table1[[#This Row],[Kv*T]]&gt;0,Table1[[#This Row],[Term.]]="Y"),Table1[[#This Row],[Kv*T]],"")</f>
        <v/>
      </c>
      <c r="AX70" s="73" t="str">
        <f>IF(AND(Table1[[#This Row],[Kv*T "D"5]]="",Table1[[#This Row],[Kv*T "Y"5]]=""),"",IF(Table1[[#This Row],[Kv*T "D"5]]="",Table1[[#This Row],[Kv*T "Y"5]]*3^0.5,Table1[[#This Row],[Kv*T "D"5]]))</f>
        <v/>
      </c>
      <c r="AY70" s="73"/>
    </row>
    <row r="71" spans="1:51">
      <c r="A71" s="17"/>
      <c r="B71" s="5"/>
      <c r="C71" s="5"/>
      <c r="D71" s="146"/>
      <c r="E71" s="146"/>
      <c r="F71" s="86" t="str">
        <f t="shared" si="10"/>
        <v/>
      </c>
      <c r="G71" s="5"/>
      <c r="H71" s="5"/>
      <c r="I71" s="98" t="str">
        <f>IF(OR(Table1[[#This Row],[Phys. Turns]]="",Table1[[#This Row],[Wire]]="",Table1[[#This Row],[Parallel]]=""),"",Table1[[#This Row],[Phys. Turns]]*VLOOKUP(Table1[[#This Row],[Wire]],wirelist,4,FALSE))</f>
        <v/>
      </c>
      <c r="J71" s="18"/>
      <c r="K71" s="19"/>
      <c r="L71" s="20"/>
      <c r="M71" s="5"/>
      <c r="N71" s="49"/>
      <c r="O71" s="19"/>
      <c r="P71" s="5"/>
      <c r="Q71" s="19"/>
      <c r="R71" s="19"/>
      <c r="S71" s="49"/>
      <c r="T71" s="43" t="str">
        <f t="shared" si="11"/>
        <v/>
      </c>
      <c r="U71" s="5"/>
      <c r="V71" s="143"/>
      <c r="W71" s="46" t="str">
        <f>IF(OR(P71="",Table1[[#This Row],[Prop.]]="No Load"),"",(Tests!AC71/VLOOKUP(Table1[[#This Row],[Prop.]],proplist,6,FALSE))*VLOOKUP(Table1[[#This Row],[Prop.]],proplist,4,FALSE)/28.3*(Table1[[#This Row],[RPM]]/1000)^VLOOKUP(Table1[[#This Row],[Prop.]],proplist,5,FALSE))</f>
        <v/>
      </c>
      <c r="X71" s="47" t="str">
        <f>IF(OR(P71="",Table1[[#This Row],[Prop.]]="No Load"),"",(AC71/VLOOKUP(Table1[[#This Row],[Prop.]],proplist,9,FALSE))*VLOOKUP(Table1[[#This Row],[Prop.]],proplist,7,FALSE)*(Table1[[#This Row],[RPM]]/1000)^(VLOOKUP(Table1[[#This Row],[Prop.]],proplist,8,FALSE))/Table1[[#This Row],[Pin '[W']]])</f>
        <v/>
      </c>
      <c r="Y71" s="43" t="str">
        <f>IF(OR(P71="",Table1[[#This Row],[Prop.]]="No Load"),"",P71*VLOOKUP(Table1[[#This Row],[Prop.]],proplist,3,FALSE)/1056)</f>
        <v/>
      </c>
      <c r="Z71" s="43" t="str">
        <f t="shared" si="9"/>
        <v/>
      </c>
      <c r="AA71" s="44" t="str">
        <f>IF(OR(AB71="",Table1[[#This Row],[Prop.]]="No Load"),"",AB71*(1-X71))</f>
        <v/>
      </c>
      <c r="AB71" s="103" t="str">
        <f t="shared" si="12"/>
        <v/>
      </c>
      <c r="AC71" s="45" t="str">
        <f t="shared" si="13"/>
        <v/>
      </c>
      <c r="AD71" s="73" t="str">
        <f>IF(Table1[[#This Row],[Prop.]]="No Load",Table1[[#This Row],["T"]]*Table1[[#This Row],[RPM]]/Table1[[#This Row],[V]],"")</f>
        <v/>
      </c>
      <c r="AE71" s="74" t="str">
        <f>IF(OR(C71="",E71="",H71=""),"",IF(Table1[[#This Row],[Prop.]]="No Load",IF(E71=1,(H71-10)/C71,IF(E71=2,2*(H71-10)/C71,4*(H71-10))),""))</f>
        <v/>
      </c>
      <c r="AF71" s="45" t="str">
        <f>IF(AND(Table1[[#This Row],[Variant]]=$AF$4,Table1[[#This Row],[Kv*T]]&gt;0,Table1[[#This Row],[Term.]]="D"),Table1[[#This Row],[Kv*T]],"")</f>
        <v/>
      </c>
      <c r="AG71" s="45" t="str">
        <f>IF(AND(Table1[[#This Row],[Variant]]=$AF$4,Table1[[#This Row],[Kv*T]]&gt;0,Table1[[#This Row],[Term.]]="Y"),Table1[[#This Row],[Kv*T]],"")</f>
        <v/>
      </c>
      <c r="AH71" s="73" t="str">
        <f>IF(AND(Table1[[#This Row],[Kv*T "D"]]="",Table1[[#This Row],[Kv*T "Y"]]=""),"",IF(Table1[[#This Row],[Kv*T "D"]]="",Table1[[#This Row],[Kv*T "Y"]]*3^0.5,Table1[[#This Row],[Kv*T "D"]]))</f>
        <v/>
      </c>
      <c r="AI71" s="147" t="str">
        <f>IF(Table1[[#This Row],[Std Inch per turn]]="","",Table1[[#This Row],[Std Inch per turn]])</f>
        <v/>
      </c>
      <c r="AJ71" s="75" t="str">
        <f>IF(AND(Table1[[#This Row],[Variant]]=$AJ$4,Table1[[#This Row],[Kv*T]]&gt;0,Table1[[#This Row],[Term.]]="D"),Table1[[#This Row],[Kv*T]],"")</f>
        <v/>
      </c>
      <c r="AK71" s="75" t="str">
        <f>IF(AND(Table1[[#This Row],[Variant]]=$AJ$4,Table1[[#This Row],[Kv*T]]&gt;0,Table1[[#This Row],[Term.]]="Y"),Table1[[#This Row],[Kv*T]],"")</f>
        <v/>
      </c>
      <c r="AL71" s="73" t="str">
        <f>IF(AND(Table1[[#This Row],[Kv*T "D"2]]="",Table1[[#This Row],[Kv*T "Y"2]]=""),"",IF(Table1[[#This Row],[Kv*T "D"2]]="",Table1[[#This Row],[Kv*T "Y"2]]*3^0.5,Table1[[#This Row],[Kv*T "D"2]]))</f>
        <v/>
      </c>
      <c r="AM71" s="147" t="str">
        <f>IF(Table1[[#This Row],[Std Inch per turn]]="","",Table1[[#This Row],[Std Inch per turn]])</f>
        <v/>
      </c>
      <c r="AN71" s="75" t="str">
        <f>IF(AND(Table1[[#This Row],[Variant]]=$AN$4,Table1[[#This Row],[Kv*T]]&gt;0,Table1[[#This Row],[Term.]]="D"),Table1[[#This Row],[Kv*T]],"")</f>
        <v/>
      </c>
      <c r="AO71" s="75" t="str">
        <f>IF(AND(Table1[[#This Row],[Variant]]=$AN$4,Table1[[#This Row],[Kv*T]]&gt;0,Table1[[#This Row],[Term.]]="Y"),Table1[[#This Row],[Kv*T]],"")</f>
        <v/>
      </c>
      <c r="AP71" s="73" t="str">
        <f>IF(AND(Table1[[#This Row],[Kv*T "D"3]]="",Table1[[#This Row],[Kv*T "Y"3]]=""),"",IF(Table1[[#This Row],[Kv*T "D"3]]="",Table1[[#This Row],[Kv*T "Y"3]]*3^0.5,Table1[[#This Row],[Kv*T "D"3]]))</f>
        <v/>
      </c>
      <c r="AQ71" s="73"/>
      <c r="AR71" s="75" t="str">
        <f>IF(AND(Table1[[#This Row],[Variant]]=$AR$4,Table1[[#This Row],[Kv*T]]&gt;0,Table1[[#This Row],[Term.]]="D"),Table1[[#This Row],[Kv*T]],"")</f>
        <v/>
      </c>
      <c r="AS71" s="75" t="str">
        <f>IF(AND(Table1[[#This Row],[Variant]]=$AR$4,Table1[[#This Row],[Kv*T]]&gt;0,Table1[[#This Row],[Term.]]="Y"),Table1[[#This Row],[Kv*T]],"")</f>
        <v/>
      </c>
      <c r="AT71" s="73" t="str">
        <f>IF(AND(Table1[[#This Row],[Kv*T "D"4]]="",Table1[[#This Row],[Kv*T "Y"4]]=""),"",IF(Table1[[#This Row],[Kv*T "D"4]]="",Table1[[#This Row],[Kv*T "Y"4]]*3^0.5,Table1[[#This Row],[Kv*T "D"4]]))</f>
        <v/>
      </c>
      <c r="AU71" s="73"/>
      <c r="AV71" s="75" t="str">
        <f>IF(AND(Table1[[#This Row],[Variant]]=$AV$4,Table1[[#This Row],[Kv*T]]&gt;0,Table1[[#This Row],[Term.]]="D"),Table1[[#This Row],[Kv*T]],"")</f>
        <v/>
      </c>
      <c r="AW71" s="75" t="str">
        <f>IF(AND(Table1[[#This Row],[Variant]]=$AV$4,Table1[[#This Row],[Kv*T]]&gt;0,Table1[[#This Row],[Term.]]="Y"),Table1[[#This Row],[Kv*T]],"")</f>
        <v/>
      </c>
      <c r="AX71" s="73" t="str">
        <f>IF(AND(Table1[[#This Row],[Kv*T "D"5]]="",Table1[[#This Row],[Kv*T "Y"5]]=""),"",IF(Table1[[#This Row],[Kv*T "D"5]]="",Table1[[#This Row],[Kv*T "Y"5]]*3^0.5,Table1[[#This Row],[Kv*T "D"5]]))</f>
        <v/>
      </c>
      <c r="AY71" s="73"/>
    </row>
    <row r="72" spans="1:51">
      <c r="A72" s="17"/>
      <c r="B72" s="5"/>
      <c r="C72" s="5"/>
      <c r="D72" s="146"/>
      <c r="E72" s="146"/>
      <c r="F72" s="86" t="str">
        <f t="shared" si="10"/>
        <v/>
      </c>
      <c r="G72" s="5"/>
      <c r="H72" s="5"/>
      <c r="I72" s="98" t="str">
        <f>IF(OR(Table1[[#This Row],[Phys. Turns]]="",Table1[[#This Row],[Wire]]="",Table1[[#This Row],[Parallel]]=""),"",Table1[[#This Row],[Phys. Turns]]*VLOOKUP(Table1[[#This Row],[Wire]],wirelist,4,FALSE))</f>
        <v/>
      </c>
      <c r="J72" s="18"/>
      <c r="K72" s="19"/>
      <c r="L72" s="20"/>
      <c r="M72" s="5"/>
      <c r="N72" s="49"/>
      <c r="O72" s="19"/>
      <c r="P72" s="5"/>
      <c r="Q72" s="19"/>
      <c r="R72" s="19"/>
      <c r="S72" s="49"/>
      <c r="T72" s="43" t="str">
        <f t="shared" si="11"/>
        <v/>
      </c>
      <c r="U72" s="5"/>
      <c r="V72" s="143"/>
      <c r="W72" s="46" t="str">
        <f>IF(OR(P72="",Table1[[#This Row],[Prop.]]="No Load"),"",(Tests!AC72/VLOOKUP(Table1[[#This Row],[Prop.]],proplist,6,FALSE))*VLOOKUP(Table1[[#This Row],[Prop.]],proplist,4,FALSE)/28.3*(Table1[[#This Row],[RPM]]/1000)^VLOOKUP(Table1[[#This Row],[Prop.]],proplist,5,FALSE))</f>
        <v/>
      </c>
      <c r="X72" s="47" t="str">
        <f>IF(OR(P72="",Table1[[#This Row],[Prop.]]="No Load"),"",(AC72/VLOOKUP(Table1[[#This Row],[Prop.]],proplist,9,FALSE))*VLOOKUP(Table1[[#This Row],[Prop.]],proplist,7,FALSE)*(Table1[[#This Row],[RPM]]/1000)^(VLOOKUP(Table1[[#This Row],[Prop.]],proplist,8,FALSE))/Table1[[#This Row],[Pin '[W']]])</f>
        <v/>
      </c>
      <c r="Y72" s="43" t="str">
        <f>IF(OR(P72="",Table1[[#This Row],[Prop.]]="No Load"),"",P72*VLOOKUP(Table1[[#This Row],[Prop.]],proplist,3,FALSE)/1056)</f>
        <v/>
      </c>
      <c r="Z72" s="43" t="str">
        <f t="shared" si="9"/>
        <v/>
      </c>
      <c r="AA72" s="44" t="str">
        <f>IF(OR(AB72="",Table1[[#This Row],[Prop.]]="No Load"),"",AB72*(1-X72))</f>
        <v/>
      </c>
      <c r="AB72" s="103" t="str">
        <f t="shared" si="12"/>
        <v/>
      </c>
      <c r="AC72" s="45" t="str">
        <f t="shared" si="13"/>
        <v/>
      </c>
      <c r="AD72" s="73" t="str">
        <f>IF(Table1[[#This Row],[Prop.]]="No Load",Table1[[#This Row],["T"]]*Table1[[#This Row],[RPM]]/Table1[[#This Row],[V]],"")</f>
        <v/>
      </c>
      <c r="AE72" s="74" t="str">
        <f>IF(OR(C72="",E72="",H72=""),"",IF(Table1[[#This Row],[Prop.]]="No Load",IF(E72=1,(H72-10)/C72,IF(E72=2,2*(H72-10)/C72,4*(H72-10))),""))</f>
        <v/>
      </c>
      <c r="AF72" s="45" t="str">
        <f>IF(AND(Table1[[#This Row],[Variant]]=$AF$4,Table1[[#This Row],[Kv*T]]&gt;0,Table1[[#This Row],[Term.]]="D"),Table1[[#This Row],[Kv*T]],"")</f>
        <v/>
      </c>
      <c r="AG72" s="45" t="str">
        <f>IF(AND(Table1[[#This Row],[Variant]]=$AF$4,Table1[[#This Row],[Kv*T]]&gt;0,Table1[[#This Row],[Term.]]="Y"),Table1[[#This Row],[Kv*T]],"")</f>
        <v/>
      </c>
      <c r="AH72" s="73" t="str">
        <f>IF(AND(Table1[[#This Row],[Kv*T "D"]]="",Table1[[#This Row],[Kv*T "Y"]]=""),"",IF(Table1[[#This Row],[Kv*T "D"]]="",Table1[[#This Row],[Kv*T "Y"]]*3^0.5,Table1[[#This Row],[Kv*T "D"]]))</f>
        <v/>
      </c>
      <c r="AI72" s="147" t="str">
        <f>IF(Table1[[#This Row],[Std Inch per turn]]="","",Table1[[#This Row],[Std Inch per turn]])</f>
        <v/>
      </c>
      <c r="AJ72" s="75" t="str">
        <f>IF(AND(Table1[[#This Row],[Variant]]=$AJ$4,Table1[[#This Row],[Kv*T]]&gt;0,Table1[[#This Row],[Term.]]="D"),Table1[[#This Row],[Kv*T]],"")</f>
        <v/>
      </c>
      <c r="AK72" s="75" t="str">
        <f>IF(AND(Table1[[#This Row],[Variant]]=$AJ$4,Table1[[#This Row],[Kv*T]]&gt;0,Table1[[#This Row],[Term.]]="Y"),Table1[[#This Row],[Kv*T]],"")</f>
        <v/>
      </c>
      <c r="AL72" s="73" t="str">
        <f>IF(AND(Table1[[#This Row],[Kv*T "D"2]]="",Table1[[#This Row],[Kv*T "Y"2]]=""),"",IF(Table1[[#This Row],[Kv*T "D"2]]="",Table1[[#This Row],[Kv*T "Y"2]]*3^0.5,Table1[[#This Row],[Kv*T "D"2]]))</f>
        <v/>
      </c>
      <c r="AM72" s="147" t="str">
        <f>IF(Table1[[#This Row],[Std Inch per turn]]="","",Table1[[#This Row],[Std Inch per turn]])</f>
        <v/>
      </c>
      <c r="AN72" s="75" t="str">
        <f>IF(AND(Table1[[#This Row],[Variant]]=$AN$4,Table1[[#This Row],[Kv*T]]&gt;0,Table1[[#This Row],[Term.]]="D"),Table1[[#This Row],[Kv*T]],"")</f>
        <v/>
      </c>
      <c r="AO72" s="75" t="str">
        <f>IF(AND(Table1[[#This Row],[Variant]]=$AN$4,Table1[[#This Row],[Kv*T]]&gt;0,Table1[[#This Row],[Term.]]="Y"),Table1[[#This Row],[Kv*T]],"")</f>
        <v/>
      </c>
      <c r="AP72" s="73" t="str">
        <f>IF(AND(Table1[[#This Row],[Kv*T "D"3]]="",Table1[[#This Row],[Kv*T "Y"3]]=""),"",IF(Table1[[#This Row],[Kv*T "D"3]]="",Table1[[#This Row],[Kv*T "Y"3]]*3^0.5,Table1[[#This Row],[Kv*T "D"3]]))</f>
        <v/>
      </c>
      <c r="AQ72" s="73"/>
      <c r="AR72" s="75" t="str">
        <f>IF(AND(Table1[[#This Row],[Variant]]=$AR$4,Table1[[#This Row],[Kv*T]]&gt;0,Table1[[#This Row],[Term.]]="D"),Table1[[#This Row],[Kv*T]],"")</f>
        <v/>
      </c>
      <c r="AS72" s="75" t="str">
        <f>IF(AND(Table1[[#This Row],[Variant]]=$AR$4,Table1[[#This Row],[Kv*T]]&gt;0,Table1[[#This Row],[Term.]]="Y"),Table1[[#This Row],[Kv*T]],"")</f>
        <v/>
      </c>
      <c r="AT72" s="73" t="str">
        <f>IF(AND(Table1[[#This Row],[Kv*T "D"4]]="",Table1[[#This Row],[Kv*T "Y"4]]=""),"",IF(Table1[[#This Row],[Kv*T "D"4]]="",Table1[[#This Row],[Kv*T "Y"4]]*3^0.5,Table1[[#This Row],[Kv*T "D"4]]))</f>
        <v/>
      </c>
      <c r="AU72" s="73"/>
      <c r="AV72" s="75" t="str">
        <f>IF(AND(Table1[[#This Row],[Variant]]=$AV$4,Table1[[#This Row],[Kv*T]]&gt;0,Table1[[#This Row],[Term.]]="D"),Table1[[#This Row],[Kv*T]],"")</f>
        <v/>
      </c>
      <c r="AW72" s="75" t="str">
        <f>IF(AND(Table1[[#This Row],[Variant]]=$AV$4,Table1[[#This Row],[Kv*T]]&gt;0,Table1[[#This Row],[Term.]]="Y"),Table1[[#This Row],[Kv*T]],"")</f>
        <v/>
      </c>
      <c r="AX72" s="73" t="str">
        <f>IF(AND(Table1[[#This Row],[Kv*T "D"5]]="",Table1[[#This Row],[Kv*T "Y"5]]=""),"",IF(Table1[[#This Row],[Kv*T "D"5]]="",Table1[[#This Row],[Kv*T "Y"5]]*3^0.5,Table1[[#This Row],[Kv*T "D"5]]))</f>
        <v/>
      </c>
      <c r="AY72" s="73"/>
    </row>
    <row r="73" spans="1:51">
      <c r="A73" s="17"/>
      <c r="B73" s="5"/>
      <c r="C73" s="5"/>
      <c r="D73" s="146"/>
      <c r="E73" s="146"/>
      <c r="F73" s="86" t="str">
        <f t="shared" si="10"/>
        <v/>
      </c>
      <c r="G73" s="5"/>
      <c r="H73" s="5"/>
      <c r="I73" s="98" t="str">
        <f>IF(OR(Table1[[#This Row],[Phys. Turns]]="",Table1[[#This Row],[Wire]]="",Table1[[#This Row],[Parallel]]=""),"",Table1[[#This Row],[Phys. Turns]]*VLOOKUP(Table1[[#This Row],[Wire]],wirelist,4,FALSE))</f>
        <v/>
      </c>
      <c r="J73" s="18"/>
      <c r="K73" s="19"/>
      <c r="L73" s="20"/>
      <c r="M73" s="5"/>
      <c r="N73" s="49"/>
      <c r="O73" s="19"/>
      <c r="P73" s="5"/>
      <c r="Q73" s="19"/>
      <c r="R73" s="19"/>
      <c r="S73" s="49"/>
      <c r="T73" s="43" t="str">
        <f t="shared" si="11"/>
        <v/>
      </c>
      <c r="U73" s="5"/>
      <c r="V73" s="143"/>
      <c r="W73" s="46" t="str">
        <f>IF(OR(P73="",Table1[[#This Row],[Prop.]]="No Load"),"",(Tests!AC73/VLOOKUP(Table1[[#This Row],[Prop.]],proplist,6,FALSE))*VLOOKUP(Table1[[#This Row],[Prop.]],proplist,4,FALSE)/28.3*(Table1[[#This Row],[RPM]]/1000)^VLOOKUP(Table1[[#This Row],[Prop.]],proplist,5,FALSE))</f>
        <v/>
      </c>
      <c r="X73" s="47" t="str">
        <f>IF(OR(P73="",Table1[[#This Row],[Prop.]]="No Load"),"",(AC73/VLOOKUP(Table1[[#This Row],[Prop.]],proplist,9,FALSE))*VLOOKUP(Table1[[#This Row],[Prop.]],proplist,7,FALSE)*(Table1[[#This Row],[RPM]]/1000)^(VLOOKUP(Table1[[#This Row],[Prop.]],proplist,8,FALSE))/Table1[[#This Row],[Pin '[W']]])</f>
        <v/>
      </c>
      <c r="Y73" s="43" t="str">
        <f>IF(OR(P73="",Table1[[#This Row],[Prop.]]="No Load"),"",P73*VLOOKUP(Table1[[#This Row],[Prop.]],proplist,3,FALSE)/1056)</f>
        <v/>
      </c>
      <c r="Z73" s="43" t="str">
        <f t="shared" si="9"/>
        <v/>
      </c>
      <c r="AA73" s="44" t="str">
        <f>IF(OR(AB73="",Table1[[#This Row],[Prop.]]="No Load"),"",AB73*(1-X73))</f>
        <v/>
      </c>
      <c r="AB73" s="103" t="str">
        <f t="shared" si="12"/>
        <v/>
      </c>
      <c r="AC73" s="45" t="str">
        <f t="shared" si="13"/>
        <v/>
      </c>
      <c r="AD73" s="73" t="str">
        <f>IF(Table1[[#This Row],[Prop.]]="No Load",Table1[[#This Row],["T"]]*Table1[[#This Row],[RPM]]/Table1[[#This Row],[V]],"")</f>
        <v/>
      </c>
      <c r="AE73" s="74" t="str">
        <f>IF(OR(C73="",E73="",H73=""),"",IF(Table1[[#This Row],[Prop.]]="No Load",IF(E73=1,(H73-10)/C73,IF(E73=2,2*(H73-10)/C73,4*(H73-10))),""))</f>
        <v/>
      </c>
      <c r="AF73" s="45" t="str">
        <f>IF(AND(Table1[[#This Row],[Variant]]=$AF$4,Table1[[#This Row],[Kv*T]]&gt;0,Table1[[#This Row],[Term.]]="D"),Table1[[#This Row],[Kv*T]],"")</f>
        <v/>
      </c>
      <c r="AG73" s="45" t="str">
        <f>IF(AND(Table1[[#This Row],[Variant]]=$AF$4,Table1[[#This Row],[Kv*T]]&gt;0,Table1[[#This Row],[Term.]]="Y"),Table1[[#This Row],[Kv*T]],"")</f>
        <v/>
      </c>
      <c r="AH73" s="73" t="str">
        <f>IF(AND(Table1[[#This Row],[Kv*T "D"]]="",Table1[[#This Row],[Kv*T "Y"]]=""),"",IF(Table1[[#This Row],[Kv*T "D"]]="",Table1[[#This Row],[Kv*T "Y"]]*3^0.5,Table1[[#This Row],[Kv*T "D"]]))</f>
        <v/>
      </c>
      <c r="AI73" s="147" t="str">
        <f>IF(Table1[[#This Row],[Std Inch per turn]]="","",Table1[[#This Row],[Std Inch per turn]])</f>
        <v/>
      </c>
      <c r="AJ73" s="75" t="str">
        <f>IF(AND(Table1[[#This Row],[Variant]]=$AJ$4,Table1[[#This Row],[Kv*T]]&gt;0,Table1[[#This Row],[Term.]]="D"),Table1[[#This Row],[Kv*T]],"")</f>
        <v/>
      </c>
      <c r="AK73" s="75" t="str">
        <f>IF(AND(Table1[[#This Row],[Variant]]=$AJ$4,Table1[[#This Row],[Kv*T]]&gt;0,Table1[[#This Row],[Term.]]="Y"),Table1[[#This Row],[Kv*T]],"")</f>
        <v/>
      </c>
      <c r="AL73" s="73" t="str">
        <f>IF(AND(Table1[[#This Row],[Kv*T "D"2]]="",Table1[[#This Row],[Kv*T "Y"2]]=""),"",IF(Table1[[#This Row],[Kv*T "D"2]]="",Table1[[#This Row],[Kv*T "Y"2]]*3^0.5,Table1[[#This Row],[Kv*T "D"2]]))</f>
        <v/>
      </c>
      <c r="AM73" s="147" t="str">
        <f>IF(Table1[[#This Row],[Std Inch per turn]]="","",Table1[[#This Row],[Std Inch per turn]])</f>
        <v/>
      </c>
      <c r="AN73" s="75" t="str">
        <f>IF(AND(Table1[[#This Row],[Variant]]=$AN$4,Table1[[#This Row],[Kv*T]]&gt;0,Table1[[#This Row],[Term.]]="D"),Table1[[#This Row],[Kv*T]],"")</f>
        <v/>
      </c>
      <c r="AO73" s="75" t="str">
        <f>IF(AND(Table1[[#This Row],[Variant]]=$AN$4,Table1[[#This Row],[Kv*T]]&gt;0,Table1[[#This Row],[Term.]]="Y"),Table1[[#This Row],[Kv*T]],"")</f>
        <v/>
      </c>
      <c r="AP73" s="73" t="str">
        <f>IF(AND(Table1[[#This Row],[Kv*T "D"3]]="",Table1[[#This Row],[Kv*T "Y"3]]=""),"",IF(Table1[[#This Row],[Kv*T "D"3]]="",Table1[[#This Row],[Kv*T "Y"3]]*3^0.5,Table1[[#This Row],[Kv*T "D"3]]))</f>
        <v/>
      </c>
      <c r="AQ73" s="73"/>
      <c r="AR73" s="75" t="str">
        <f>IF(AND(Table1[[#This Row],[Variant]]=$AR$4,Table1[[#This Row],[Kv*T]]&gt;0,Table1[[#This Row],[Term.]]="D"),Table1[[#This Row],[Kv*T]],"")</f>
        <v/>
      </c>
      <c r="AS73" s="75" t="str">
        <f>IF(AND(Table1[[#This Row],[Variant]]=$AR$4,Table1[[#This Row],[Kv*T]]&gt;0,Table1[[#This Row],[Term.]]="Y"),Table1[[#This Row],[Kv*T]],"")</f>
        <v/>
      </c>
      <c r="AT73" s="73" t="str">
        <f>IF(AND(Table1[[#This Row],[Kv*T "D"4]]="",Table1[[#This Row],[Kv*T "Y"4]]=""),"",IF(Table1[[#This Row],[Kv*T "D"4]]="",Table1[[#This Row],[Kv*T "Y"4]]*3^0.5,Table1[[#This Row],[Kv*T "D"4]]))</f>
        <v/>
      </c>
      <c r="AU73" s="73"/>
      <c r="AV73" s="75" t="str">
        <f>IF(AND(Table1[[#This Row],[Variant]]=$AV$4,Table1[[#This Row],[Kv*T]]&gt;0,Table1[[#This Row],[Term.]]="D"),Table1[[#This Row],[Kv*T]],"")</f>
        <v/>
      </c>
      <c r="AW73" s="75" t="str">
        <f>IF(AND(Table1[[#This Row],[Variant]]=$AV$4,Table1[[#This Row],[Kv*T]]&gt;0,Table1[[#This Row],[Term.]]="Y"),Table1[[#This Row],[Kv*T]],"")</f>
        <v/>
      </c>
      <c r="AX73" s="73" t="str">
        <f>IF(AND(Table1[[#This Row],[Kv*T "D"5]]="",Table1[[#This Row],[Kv*T "Y"5]]=""),"",IF(Table1[[#This Row],[Kv*T "D"5]]="",Table1[[#This Row],[Kv*T "Y"5]]*3^0.5,Table1[[#This Row],[Kv*T "D"5]]))</f>
        <v/>
      </c>
      <c r="AY73" s="73"/>
    </row>
    <row r="74" spans="1:51">
      <c r="A74" s="17"/>
      <c r="B74" s="5"/>
      <c r="C74" s="5"/>
      <c r="D74" s="146"/>
      <c r="E74" s="146"/>
      <c r="F74" s="86" t="str">
        <f t="shared" si="10"/>
        <v/>
      </c>
      <c r="G74" s="5"/>
      <c r="H74" s="5"/>
      <c r="I74" s="98" t="str">
        <f>IF(OR(Table1[[#This Row],[Phys. Turns]]="",Table1[[#This Row],[Wire]]="",Table1[[#This Row],[Parallel]]=""),"",Table1[[#This Row],[Phys. Turns]]*VLOOKUP(Table1[[#This Row],[Wire]],wirelist,4,FALSE))</f>
        <v/>
      </c>
      <c r="J74" s="18"/>
      <c r="K74" s="19"/>
      <c r="L74" s="20"/>
      <c r="M74" s="5"/>
      <c r="N74" s="49"/>
      <c r="O74" s="19"/>
      <c r="P74" s="5"/>
      <c r="Q74" s="19"/>
      <c r="R74" s="19"/>
      <c r="S74" s="49"/>
      <c r="T74" s="43" t="str">
        <f t="shared" si="11"/>
        <v/>
      </c>
      <c r="U74" s="5"/>
      <c r="V74" s="143"/>
      <c r="W74" s="46" t="str">
        <f>IF(OR(P74="",Table1[[#This Row],[Prop.]]="No Load"),"",(Tests!AC74/VLOOKUP(Table1[[#This Row],[Prop.]],proplist,6,FALSE))*VLOOKUP(Table1[[#This Row],[Prop.]],proplist,4,FALSE)/28.3*(Table1[[#This Row],[RPM]]/1000)^VLOOKUP(Table1[[#This Row],[Prop.]],proplist,5,FALSE))</f>
        <v/>
      </c>
      <c r="X74" s="47" t="str">
        <f>IF(OR(P74="",Table1[[#This Row],[Prop.]]="No Load"),"",(AC74/VLOOKUP(Table1[[#This Row],[Prop.]],proplist,9,FALSE))*VLOOKUP(Table1[[#This Row],[Prop.]],proplist,7,FALSE)*(Table1[[#This Row],[RPM]]/1000)^(VLOOKUP(Table1[[#This Row],[Prop.]],proplist,8,FALSE))/Table1[[#This Row],[Pin '[W']]])</f>
        <v/>
      </c>
      <c r="Y74" s="43" t="str">
        <f>IF(OR(P74="",Table1[[#This Row],[Prop.]]="No Load"),"",P74*VLOOKUP(Table1[[#This Row],[Prop.]],proplist,3,FALSE)/1056)</f>
        <v/>
      </c>
      <c r="Z74" s="43" t="str">
        <f t="shared" si="9"/>
        <v/>
      </c>
      <c r="AA74" s="44" t="str">
        <f>IF(OR(AB74="",Table1[[#This Row],[Prop.]]="No Load"),"",AB74*(1-X74))</f>
        <v/>
      </c>
      <c r="AB74" s="103" t="str">
        <f t="shared" si="12"/>
        <v/>
      </c>
      <c r="AC74" s="45" t="str">
        <f t="shared" si="13"/>
        <v/>
      </c>
      <c r="AD74" s="73" t="str">
        <f>IF(Table1[[#This Row],[Prop.]]="No Load",Table1[[#This Row],["T"]]*Table1[[#This Row],[RPM]]/Table1[[#This Row],[V]],"")</f>
        <v/>
      </c>
      <c r="AE74" s="74" t="str">
        <f>IF(OR(C74="",E74="",H74=""),"",IF(Table1[[#This Row],[Prop.]]="No Load",IF(E74=1,(H74-10)/C74,IF(E74=2,2*(H74-10)/C74,4*(H74-10))),""))</f>
        <v/>
      </c>
      <c r="AF74" s="45" t="str">
        <f>IF(AND(Table1[[#This Row],[Variant]]=$AF$4,Table1[[#This Row],[Kv*T]]&gt;0,Table1[[#This Row],[Term.]]="D"),Table1[[#This Row],[Kv*T]],"")</f>
        <v/>
      </c>
      <c r="AG74" s="45" t="str">
        <f>IF(AND(Table1[[#This Row],[Variant]]=$AF$4,Table1[[#This Row],[Kv*T]]&gt;0,Table1[[#This Row],[Term.]]="Y"),Table1[[#This Row],[Kv*T]],"")</f>
        <v/>
      </c>
      <c r="AH74" s="73" t="str">
        <f>IF(AND(Table1[[#This Row],[Kv*T "D"]]="",Table1[[#This Row],[Kv*T "Y"]]=""),"",IF(Table1[[#This Row],[Kv*T "D"]]="",Table1[[#This Row],[Kv*T "Y"]]*3^0.5,Table1[[#This Row],[Kv*T "D"]]))</f>
        <v/>
      </c>
      <c r="AI74" s="147" t="str">
        <f>IF(Table1[[#This Row],[Std Inch per turn]]="","",Table1[[#This Row],[Std Inch per turn]])</f>
        <v/>
      </c>
      <c r="AJ74" s="75" t="str">
        <f>IF(AND(Table1[[#This Row],[Variant]]=$AJ$4,Table1[[#This Row],[Kv*T]]&gt;0,Table1[[#This Row],[Term.]]="D"),Table1[[#This Row],[Kv*T]],"")</f>
        <v/>
      </c>
      <c r="AK74" s="75" t="str">
        <f>IF(AND(Table1[[#This Row],[Variant]]=$AJ$4,Table1[[#This Row],[Kv*T]]&gt;0,Table1[[#This Row],[Term.]]="Y"),Table1[[#This Row],[Kv*T]],"")</f>
        <v/>
      </c>
      <c r="AL74" s="73" t="str">
        <f>IF(AND(Table1[[#This Row],[Kv*T "D"2]]="",Table1[[#This Row],[Kv*T "Y"2]]=""),"",IF(Table1[[#This Row],[Kv*T "D"2]]="",Table1[[#This Row],[Kv*T "Y"2]]*3^0.5,Table1[[#This Row],[Kv*T "D"2]]))</f>
        <v/>
      </c>
      <c r="AM74" s="147" t="str">
        <f>IF(Table1[[#This Row],[Std Inch per turn]]="","",Table1[[#This Row],[Std Inch per turn]])</f>
        <v/>
      </c>
      <c r="AN74" s="75" t="str">
        <f>IF(AND(Table1[[#This Row],[Variant]]=$AN$4,Table1[[#This Row],[Kv*T]]&gt;0,Table1[[#This Row],[Term.]]="D"),Table1[[#This Row],[Kv*T]],"")</f>
        <v/>
      </c>
      <c r="AO74" s="75" t="str">
        <f>IF(AND(Table1[[#This Row],[Variant]]=$AN$4,Table1[[#This Row],[Kv*T]]&gt;0,Table1[[#This Row],[Term.]]="Y"),Table1[[#This Row],[Kv*T]],"")</f>
        <v/>
      </c>
      <c r="AP74" s="73" t="str">
        <f>IF(AND(Table1[[#This Row],[Kv*T "D"3]]="",Table1[[#This Row],[Kv*T "Y"3]]=""),"",IF(Table1[[#This Row],[Kv*T "D"3]]="",Table1[[#This Row],[Kv*T "Y"3]]*3^0.5,Table1[[#This Row],[Kv*T "D"3]]))</f>
        <v/>
      </c>
      <c r="AQ74" s="73"/>
      <c r="AR74" s="75" t="str">
        <f>IF(AND(Table1[[#This Row],[Variant]]=$AR$4,Table1[[#This Row],[Kv*T]]&gt;0,Table1[[#This Row],[Term.]]="D"),Table1[[#This Row],[Kv*T]],"")</f>
        <v/>
      </c>
      <c r="AS74" s="75" t="str">
        <f>IF(AND(Table1[[#This Row],[Variant]]=$AR$4,Table1[[#This Row],[Kv*T]]&gt;0,Table1[[#This Row],[Term.]]="Y"),Table1[[#This Row],[Kv*T]],"")</f>
        <v/>
      </c>
      <c r="AT74" s="73" t="str">
        <f>IF(AND(Table1[[#This Row],[Kv*T "D"4]]="",Table1[[#This Row],[Kv*T "Y"4]]=""),"",IF(Table1[[#This Row],[Kv*T "D"4]]="",Table1[[#This Row],[Kv*T "Y"4]]*3^0.5,Table1[[#This Row],[Kv*T "D"4]]))</f>
        <v/>
      </c>
      <c r="AU74" s="73"/>
      <c r="AV74" s="75" t="str">
        <f>IF(AND(Table1[[#This Row],[Variant]]=$AV$4,Table1[[#This Row],[Kv*T]]&gt;0,Table1[[#This Row],[Term.]]="D"),Table1[[#This Row],[Kv*T]],"")</f>
        <v/>
      </c>
      <c r="AW74" s="75" t="str">
        <f>IF(AND(Table1[[#This Row],[Variant]]=$AV$4,Table1[[#This Row],[Kv*T]]&gt;0,Table1[[#This Row],[Term.]]="Y"),Table1[[#This Row],[Kv*T]],"")</f>
        <v/>
      </c>
      <c r="AX74" s="73" t="str">
        <f>IF(AND(Table1[[#This Row],[Kv*T "D"5]]="",Table1[[#This Row],[Kv*T "Y"5]]=""),"",IF(Table1[[#This Row],[Kv*T "D"5]]="",Table1[[#This Row],[Kv*T "Y"5]]*3^0.5,Table1[[#This Row],[Kv*T "D"5]]))</f>
        <v/>
      </c>
      <c r="AY74" s="73"/>
    </row>
    <row r="75" spans="1:51">
      <c r="A75" s="17"/>
      <c r="B75" s="5"/>
      <c r="C75" s="5"/>
      <c r="D75" s="146"/>
      <c r="E75" s="146"/>
      <c r="F75" s="86" t="str">
        <f t="shared" si="10"/>
        <v/>
      </c>
      <c r="G75" s="5"/>
      <c r="H75" s="5"/>
      <c r="I75" s="98" t="str">
        <f>IF(OR(Table1[[#This Row],[Phys. Turns]]="",Table1[[#This Row],[Wire]]="",Table1[[#This Row],[Parallel]]=""),"",Table1[[#This Row],[Phys. Turns]]*VLOOKUP(Table1[[#This Row],[Wire]],wirelist,4,FALSE))</f>
        <v/>
      </c>
      <c r="J75" s="18"/>
      <c r="K75" s="19"/>
      <c r="L75" s="20"/>
      <c r="M75" s="5"/>
      <c r="N75" s="49"/>
      <c r="O75" s="19"/>
      <c r="P75" s="5"/>
      <c r="Q75" s="19"/>
      <c r="R75" s="19"/>
      <c r="S75" s="49"/>
      <c r="T75" s="43" t="str">
        <f t="shared" si="11"/>
        <v/>
      </c>
      <c r="U75" s="5"/>
      <c r="V75" s="143"/>
      <c r="W75" s="46" t="str">
        <f>IF(OR(P75="",Table1[[#This Row],[Prop.]]="No Load"),"",(Tests!AC75/VLOOKUP(Table1[[#This Row],[Prop.]],proplist,6,FALSE))*VLOOKUP(Table1[[#This Row],[Prop.]],proplist,4,FALSE)/28.3*(Table1[[#This Row],[RPM]]/1000)^VLOOKUP(Table1[[#This Row],[Prop.]],proplist,5,FALSE))</f>
        <v/>
      </c>
      <c r="X75" s="47" t="str">
        <f>IF(OR(P75="",Table1[[#This Row],[Prop.]]="No Load"),"",(AC75/VLOOKUP(Table1[[#This Row],[Prop.]],proplist,9,FALSE))*VLOOKUP(Table1[[#This Row],[Prop.]],proplist,7,FALSE)*(Table1[[#This Row],[RPM]]/1000)^(VLOOKUP(Table1[[#This Row],[Prop.]],proplist,8,FALSE))/Table1[[#This Row],[Pin '[W']]])</f>
        <v/>
      </c>
      <c r="Y75" s="43" t="str">
        <f>IF(OR(P75="",Table1[[#This Row],[Prop.]]="No Load"),"",P75*VLOOKUP(Table1[[#This Row],[Prop.]],proplist,3,FALSE)/1056)</f>
        <v/>
      </c>
      <c r="Z75" s="43" t="str">
        <f t="shared" si="9"/>
        <v/>
      </c>
      <c r="AA75" s="44" t="str">
        <f>IF(OR(AB75="",Table1[[#This Row],[Prop.]]="No Load"),"",AB75*(1-X75))</f>
        <v/>
      </c>
      <c r="AB75" s="103" t="str">
        <f t="shared" si="12"/>
        <v/>
      </c>
      <c r="AC75" s="45" t="str">
        <f t="shared" si="13"/>
        <v/>
      </c>
      <c r="AD75" s="73" t="str">
        <f>IF(Table1[[#This Row],[Prop.]]="No Load",Table1[[#This Row],["T"]]*Table1[[#This Row],[RPM]]/Table1[[#This Row],[V]],"")</f>
        <v/>
      </c>
      <c r="AE75" s="74" t="str">
        <f>IF(OR(C75="",E75="",H75=""),"",IF(Table1[[#This Row],[Prop.]]="No Load",IF(E75=1,(H75-10)/C75,IF(E75=2,2*(H75-10)/C75,4*(H75-10))),""))</f>
        <v/>
      </c>
      <c r="AF75" s="45" t="str">
        <f>IF(AND(Table1[[#This Row],[Variant]]=$AF$4,Table1[[#This Row],[Kv*T]]&gt;0,Table1[[#This Row],[Term.]]="D"),Table1[[#This Row],[Kv*T]],"")</f>
        <v/>
      </c>
      <c r="AG75" s="45" t="str">
        <f>IF(AND(Table1[[#This Row],[Variant]]=$AF$4,Table1[[#This Row],[Kv*T]]&gt;0,Table1[[#This Row],[Term.]]="Y"),Table1[[#This Row],[Kv*T]],"")</f>
        <v/>
      </c>
      <c r="AH75" s="73" t="str">
        <f>IF(AND(Table1[[#This Row],[Kv*T "D"]]="",Table1[[#This Row],[Kv*T "Y"]]=""),"",IF(Table1[[#This Row],[Kv*T "D"]]="",Table1[[#This Row],[Kv*T "Y"]]*3^0.5,Table1[[#This Row],[Kv*T "D"]]))</f>
        <v/>
      </c>
      <c r="AI75" s="147" t="str">
        <f>IF(Table1[[#This Row],[Std Inch per turn]]="","",Table1[[#This Row],[Std Inch per turn]])</f>
        <v/>
      </c>
      <c r="AJ75" s="75" t="str">
        <f>IF(AND(Table1[[#This Row],[Variant]]=$AJ$4,Table1[[#This Row],[Kv*T]]&gt;0,Table1[[#This Row],[Term.]]="D"),Table1[[#This Row],[Kv*T]],"")</f>
        <v/>
      </c>
      <c r="AK75" s="75" t="str">
        <f>IF(AND(Table1[[#This Row],[Variant]]=$AJ$4,Table1[[#This Row],[Kv*T]]&gt;0,Table1[[#This Row],[Term.]]="Y"),Table1[[#This Row],[Kv*T]],"")</f>
        <v/>
      </c>
      <c r="AL75" s="73" t="str">
        <f>IF(AND(Table1[[#This Row],[Kv*T "D"2]]="",Table1[[#This Row],[Kv*T "Y"2]]=""),"",IF(Table1[[#This Row],[Kv*T "D"2]]="",Table1[[#This Row],[Kv*T "Y"2]]*3^0.5,Table1[[#This Row],[Kv*T "D"2]]))</f>
        <v/>
      </c>
      <c r="AM75" s="147" t="str">
        <f>IF(Table1[[#This Row],[Std Inch per turn]]="","",Table1[[#This Row],[Std Inch per turn]])</f>
        <v/>
      </c>
      <c r="AN75" s="75" t="str">
        <f>IF(AND(Table1[[#This Row],[Variant]]=$AN$4,Table1[[#This Row],[Kv*T]]&gt;0,Table1[[#This Row],[Term.]]="D"),Table1[[#This Row],[Kv*T]],"")</f>
        <v/>
      </c>
      <c r="AO75" s="75" t="str">
        <f>IF(AND(Table1[[#This Row],[Variant]]=$AN$4,Table1[[#This Row],[Kv*T]]&gt;0,Table1[[#This Row],[Term.]]="Y"),Table1[[#This Row],[Kv*T]],"")</f>
        <v/>
      </c>
      <c r="AP75" s="73" t="str">
        <f>IF(AND(Table1[[#This Row],[Kv*T "D"3]]="",Table1[[#This Row],[Kv*T "Y"3]]=""),"",IF(Table1[[#This Row],[Kv*T "D"3]]="",Table1[[#This Row],[Kv*T "Y"3]]*3^0.5,Table1[[#This Row],[Kv*T "D"3]]))</f>
        <v/>
      </c>
      <c r="AQ75" s="73"/>
      <c r="AR75" s="75" t="str">
        <f>IF(AND(Table1[[#This Row],[Variant]]=$AR$4,Table1[[#This Row],[Kv*T]]&gt;0,Table1[[#This Row],[Term.]]="D"),Table1[[#This Row],[Kv*T]],"")</f>
        <v/>
      </c>
      <c r="AS75" s="75" t="str">
        <f>IF(AND(Table1[[#This Row],[Variant]]=$AR$4,Table1[[#This Row],[Kv*T]]&gt;0,Table1[[#This Row],[Term.]]="Y"),Table1[[#This Row],[Kv*T]],"")</f>
        <v/>
      </c>
      <c r="AT75" s="73" t="str">
        <f>IF(AND(Table1[[#This Row],[Kv*T "D"4]]="",Table1[[#This Row],[Kv*T "Y"4]]=""),"",IF(Table1[[#This Row],[Kv*T "D"4]]="",Table1[[#This Row],[Kv*T "Y"4]]*3^0.5,Table1[[#This Row],[Kv*T "D"4]]))</f>
        <v/>
      </c>
      <c r="AU75" s="73"/>
      <c r="AV75" s="75" t="str">
        <f>IF(AND(Table1[[#This Row],[Variant]]=$AV$4,Table1[[#This Row],[Kv*T]]&gt;0,Table1[[#This Row],[Term.]]="D"),Table1[[#This Row],[Kv*T]],"")</f>
        <v/>
      </c>
      <c r="AW75" s="75" t="str">
        <f>IF(AND(Table1[[#This Row],[Variant]]=$AV$4,Table1[[#This Row],[Kv*T]]&gt;0,Table1[[#This Row],[Term.]]="Y"),Table1[[#This Row],[Kv*T]],"")</f>
        <v/>
      </c>
      <c r="AX75" s="73" t="str">
        <f>IF(AND(Table1[[#This Row],[Kv*T "D"5]]="",Table1[[#This Row],[Kv*T "Y"5]]=""),"",IF(Table1[[#This Row],[Kv*T "D"5]]="",Table1[[#This Row],[Kv*T "Y"5]]*3^0.5,Table1[[#This Row],[Kv*T "D"5]]))</f>
        <v/>
      </c>
      <c r="AY75" s="73"/>
    </row>
    <row r="76" spans="1:51">
      <c r="A76" s="17"/>
      <c r="B76" s="5"/>
      <c r="C76" s="5"/>
      <c r="D76" s="146"/>
      <c r="E76" s="146"/>
      <c r="F76" s="86" t="str">
        <f t="shared" si="10"/>
        <v/>
      </c>
      <c r="G76" s="5"/>
      <c r="H76" s="5"/>
      <c r="I76" s="98" t="str">
        <f>IF(OR(Table1[[#This Row],[Phys. Turns]]="",Table1[[#This Row],[Wire]]="",Table1[[#This Row],[Parallel]]=""),"",Table1[[#This Row],[Phys. Turns]]*VLOOKUP(Table1[[#This Row],[Wire]],wirelist,4,FALSE))</f>
        <v/>
      </c>
      <c r="J76" s="18"/>
      <c r="K76" s="19"/>
      <c r="L76" s="20"/>
      <c r="M76" s="5"/>
      <c r="N76" s="49"/>
      <c r="O76" s="19"/>
      <c r="P76" s="5"/>
      <c r="Q76" s="19"/>
      <c r="R76" s="19"/>
      <c r="S76" s="49"/>
      <c r="T76" s="43" t="str">
        <f t="shared" si="11"/>
        <v/>
      </c>
      <c r="U76" s="5"/>
      <c r="V76" s="143"/>
      <c r="W76" s="46" t="str">
        <f>IF(OR(P76="",Table1[[#This Row],[Prop.]]="No Load"),"",(Tests!AC76/VLOOKUP(Table1[[#This Row],[Prop.]],proplist,6,FALSE))*VLOOKUP(Table1[[#This Row],[Prop.]],proplist,4,FALSE)/28.3*(Table1[[#This Row],[RPM]]/1000)^VLOOKUP(Table1[[#This Row],[Prop.]],proplist,5,FALSE))</f>
        <v/>
      </c>
      <c r="X76" s="47" t="str">
        <f>IF(OR(P76="",Table1[[#This Row],[Prop.]]="No Load"),"",(AC76/VLOOKUP(Table1[[#This Row],[Prop.]],proplist,9,FALSE))*VLOOKUP(Table1[[#This Row],[Prop.]],proplist,7,FALSE)*(Table1[[#This Row],[RPM]]/1000)^(VLOOKUP(Table1[[#This Row],[Prop.]],proplist,8,FALSE))/Table1[[#This Row],[Pin '[W']]])</f>
        <v/>
      </c>
      <c r="Y76" s="43" t="str">
        <f>IF(OR(P76="",Table1[[#This Row],[Prop.]]="No Load"),"",P76*VLOOKUP(Table1[[#This Row],[Prop.]],proplist,3,FALSE)/1056)</f>
        <v/>
      </c>
      <c r="Z76" s="43" t="str">
        <f t="shared" si="9"/>
        <v/>
      </c>
      <c r="AA76" s="44" t="str">
        <f>IF(OR(AB76="",Table1[[#This Row],[Prop.]]="No Load"),"",AB76*(1-X76))</f>
        <v/>
      </c>
      <c r="AB76" s="103" t="str">
        <f t="shared" si="12"/>
        <v/>
      </c>
      <c r="AC76" s="45" t="str">
        <f t="shared" si="13"/>
        <v/>
      </c>
      <c r="AD76" s="73" t="str">
        <f>IF(Table1[[#This Row],[Prop.]]="No Load",Table1[[#This Row],["T"]]*Table1[[#This Row],[RPM]]/Table1[[#This Row],[V]],"")</f>
        <v/>
      </c>
      <c r="AE76" s="74" t="str">
        <f>IF(OR(C76="",E76="",H76=""),"",IF(Table1[[#This Row],[Prop.]]="No Load",IF(E76=1,(H76-10)/C76,IF(E76=2,2*(H76-10)/C76,4*(H76-10))),""))</f>
        <v/>
      </c>
      <c r="AF76" s="45" t="str">
        <f>IF(AND(Table1[[#This Row],[Variant]]=$AF$4,Table1[[#This Row],[Kv*T]]&gt;0,Table1[[#This Row],[Term.]]="D"),Table1[[#This Row],[Kv*T]],"")</f>
        <v/>
      </c>
      <c r="AG76" s="45" t="str">
        <f>IF(AND(Table1[[#This Row],[Variant]]=$AF$4,Table1[[#This Row],[Kv*T]]&gt;0,Table1[[#This Row],[Term.]]="Y"),Table1[[#This Row],[Kv*T]],"")</f>
        <v/>
      </c>
      <c r="AH76" s="73" t="str">
        <f>IF(AND(Table1[[#This Row],[Kv*T "D"]]="",Table1[[#This Row],[Kv*T "Y"]]=""),"",IF(Table1[[#This Row],[Kv*T "D"]]="",Table1[[#This Row],[Kv*T "Y"]]*3^0.5,Table1[[#This Row],[Kv*T "D"]]))</f>
        <v/>
      </c>
      <c r="AI76" s="147" t="str">
        <f>IF(Table1[[#This Row],[Std Inch per turn]]="","",Table1[[#This Row],[Std Inch per turn]])</f>
        <v/>
      </c>
      <c r="AJ76" s="75" t="str">
        <f>IF(AND(Table1[[#This Row],[Variant]]=$AJ$4,Table1[[#This Row],[Kv*T]]&gt;0,Table1[[#This Row],[Term.]]="D"),Table1[[#This Row],[Kv*T]],"")</f>
        <v/>
      </c>
      <c r="AK76" s="75" t="str">
        <f>IF(AND(Table1[[#This Row],[Variant]]=$AJ$4,Table1[[#This Row],[Kv*T]]&gt;0,Table1[[#This Row],[Term.]]="Y"),Table1[[#This Row],[Kv*T]],"")</f>
        <v/>
      </c>
      <c r="AL76" s="73" t="str">
        <f>IF(AND(Table1[[#This Row],[Kv*T "D"2]]="",Table1[[#This Row],[Kv*T "Y"2]]=""),"",IF(Table1[[#This Row],[Kv*T "D"2]]="",Table1[[#This Row],[Kv*T "Y"2]]*3^0.5,Table1[[#This Row],[Kv*T "D"2]]))</f>
        <v/>
      </c>
      <c r="AM76" s="147" t="str">
        <f>IF(Table1[[#This Row],[Std Inch per turn]]="","",Table1[[#This Row],[Std Inch per turn]])</f>
        <v/>
      </c>
      <c r="AN76" s="75" t="str">
        <f>IF(AND(Table1[[#This Row],[Variant]]=$AN$4,Table1[[#This Row],[Kv*T]]&gt;0,Table1[[#This Row],[Term.]]="D"),Table1[[#This Row],[Kv*T]],"")</f>
        <v/>
      </c>
      <c r="AO76" s="75" t="str">
        <f>IF(AND(Table1[[#This Row],[Variant]]=$AN$4,Table1[[#This Row],[Kv*T]]&gt;0,Table1[[#This Row],[Term.]]="Y"),Table1[[#This Row],[Kv*T]],"")</f>
        <v/>
      </c>
      <c r="AP76" s="73" t="str">
        <f>IF(AND(Table1[[#This Row],[Kv*T "D"3]]="",Table1[[#This Row],[Kv*T "Y"3]]=""),"",IF(Table1[[#This Row],[Kv*T "D"3]]="",Table1[[#This Row],[Kv*T "Y"3]]*3^0.5,Table1[[#This Row],[Kv*T "D"3]]))</f>
        <v/>
      </c>
      <c r="AQ76" s="73"/>
      <c r="AR76" s="75" t="str">
        <f>IF(AND(Table1[[#This Row],[Variant]]=$AR$4,Table1[[#This Row],[Kv*T]]&gt;0,Table1[[#This Row],[Term.]]="D"),Table1[[#This Row],[Kv*T]],"")</f>
        <v/>
      </c>
      <c r="AS76" s="75" t="str">
        <f>IF(AND(Table1[[#This Row],[Variant]]=$AR$4,Table1[[#This Row],[Kv*T]]&gt;0,Table1[[#This Row],[Term.]]="Y"),Table1[[#This Row],[Kv*T]],"")</f>
        <v/>
      </c>
      <c r="AT76" s="73" t="str">
        <f>IF(AND(Table1[[#This Row],[Kv*T "D"4]]="",Table1[[#This Row],[Kv*T "Y"4]]=""),"",IF(Table1[[#This Row],[Kv*T "D"4]]="",Table1[[#This Row],[Kv*T "Y"4]]*3^0.5,Table1[[#This Row],[Kv*T "D"4]]))</f>
        <v/>
      </c>
      <c r="AU76" s="73"/>
      <c r="AV76" s="75" t="str">
        <f>IF(AND(Table1[[#This Row],[Variant]]=$AV$4,Table1[[#This Row],[Kv*T]]&gt;0,Table1[[#This Row],[Term.]]="D"),Table1[[#This Row],[Kv*T]],"")</f>
        <v/>
      </c>
      <c r="AW76" s="75" t="str">
        <f>IF(AND(Table1[[#This Row],[Variant]]=$AV$4,Table1[[#This Row],[Kv*T]]&gt;0,Table1[[#This Row],[Term.]]="Y"),Table1[[#This Row],[Kv*T]],"")</f>
        <v/>
      </c>
      <c r="AX76" s="73" t="str">
        <f>IF(AND(Table1[[#This Row],[Kv*T "D"5]]="",Table1[[#This Row],[Kv*T "Y"5]]=""),"",IF(Table1[[#This Row],[Kv*T "D"5]]="",Table1[[#This Row],[Kv*T "Y"5]]*3^0.5,Table1[[#This Row],[Kv*T "D"5]]))</f>
        <v/>
      </c>
      <c r="AY76" s="73"/>
    </row>
    <row r="77" spans="1:51">
      <c r="A77" s="10"/>
      <c r="B77" s="146"/>
      <c r="C77" s="146"/>
      <c r="D77" s="146"/>
      <c r="E77" s="146"/>
      <c r="F77" s="86" t="str">
        <f t="shared" si="10"/>
        <v/>
      </c>
      <c r="G77" s="146"/>
      <c r="H77" s="146"/>
      <c r="I77" s="97" t="str">
        <f>IF(OR(Table1[[#This Row],[Phys. Turns]]="",Table1[[#This Row],[Wire]]="",Table1[[#This Row],[Parallel]]=""),"",Table1[[#This Row],[Phys. Turns]]*VLOOKUP(Table1[[#This Row],[Wire]],wirelist,4,FALSE))</f>
        <v/>
      </c>
      <c r="J77" s="11"/>
      <c r="K77" s="12"/>
      <c r="L77" s="13"/>
      <c r="M77" s="5"/>
      <c r="N77" s="48"/>
      <c r="O77" s="146"/>
      <c r="P77" s="146"/>
      <c r="Q77" s="12"/>
      <c r="R77" s="12"/>
      <c r="S77" s="48"/>
      <c r="T77" s="43" t="str">
        <f t="shared" si="11"/>
        <v/>
      </c>
      <c r="U77" s="146"/>
      <c r="V77" s="142"/>
      <c r="W77" s="46" t="str">
        <f>IF(OR(P77="",Table1[[#This Row],[Prop.]]="No Load"),"",(Tests!AC77/VLOOKUP(Table1[[#This Row],[Prop.]],proplist,6,FALSE))*VLOOKUP(Table1[[#This Row],[Prop.]],proplist,4,FALSE)/28.3*(Table1[[#This Row],[RPM]]/1000)^VLOOKUP(Table1[[#This Row],[Prop.]],proplist,5,FALSE))</f>
        <v/>
      </c>
      <c r="X77" s="47" t="str">
        <f>IF(OR(P77="",Table1[[#This Row],[Prop.]]="No Load"),"",(AC77/VLOOKUP(Table1[[#This Row],[Prop.]],proplist,9,FALSE))*VLOOKUP(Table1[[#This Row],[Prop.]],proplist,7,FALSE)*(Table1[[#This Row],[RPM]]/1000)^(VLOOKUP(Table1[[#This Row],[Prop.]],proplist,8,FALSE))/Table1[[#This Row],[Pin '[W']]])</f>
        <v/>
      </c>
      <c r="Y77" s="43" t="str">
        <f>IF(OR(P77="",Table1[[#This Row],[Prop.]]="No Load"),"",P77*VLOOKUP(Table1[[#This Row],[Prop.]],proplist,3,FALSE)/1056)</f>
        <v/>
      </c>
      <c r="Z77" s="43" t="str">
        <f t="shared" si="9"/>
        <v/>
      </c>
      <c r="AA77" s="44" t="str">
        <f>IF(OR(AB77="",Table1[[#This Row],[Prop.]]="No Load"),"",AB77*(1-X77))</f>
        <v/>
      </c>
      <c r="AB77" s="103" t="str">
        <f t="shared" si="12"/>
        <v/>
      </c>
      <c r="AC77" s="45" t="str">
        <f t="shared" si="13"/>
        <v/>
      </c>
      <c r="AD77" s="73" t="str">
        <f>IF(Table1[[#This Row],[Prop.]]="No Load",Table1[[#This Row],["T"]]*Table1[[#This Row],[RPM]]/Table1[[#This Row],[V]],"")</f>
        <v/>
      </c>
      <c r="AE77" s="74" t="str">
        <f>IF(OR(C77="",E77="",H77=""),"",IF(Table1[[#This Row],[Prop.]]="No Load",IF(E77=1,(H77-10)/C77,IF(E77=2,2*(H77-10)/C77,4*(H77-10))),""))</f>
        <v/>
      </c>
      <c r="AF77" s="45" t="str">
        <f>IF(AND(Table1[[#This Row],[Variant]]=$AF$4,Table1[[#This Row],[Kv*T]]&gt;0,Table1[[#This Row],[Term.]]="D"),Table1[[#This Row],[Kv*T]],"")</f>
        <v/>
      </c>
      <c r="AG77" s="45" t="str">
        <f>IF(AND(Table1[[#This Row],[Variant]]=$AF$4,Table1[[#This Row],[Kv*T]]&gt;0,Table1[[#This Row],[Term.]]="Y"),Table1[[#This Row],[Kv*T]],"")</f>
        <v/>
      </c>
      <c r="AH77" s="73" t="str">
        <f>IF(AND(Table1[[#This Row],[Kv*T "D"]]="",Table1[[#This Row],[Kv*T "Y"]]=""),"",IF(Table1[[#This Row],[Kv*T "D"]]="",Table1[[#This Row],[Kv*T "Y"]]*3^0.5,Table1[[#This Row],[Kv*T "D"]]))</f>
        <v/>
      </c>
      <c r="AI77" s="147" t="str">
        <f>IF(Table1[[#This Row],[Std Inch per turn]]="","",Table1[[#This Row],[Std Inch per turn]])</f>
        <v/>
      </c>
      <c r="AJ77" s="75" t="str">
        <f>IF(AND(Table1[[#This Row],[Variant]]=$AJ$4,Table1[[#This Row],[Kv*T]]&gt;0,Table1[[#This Row],[Term.]]="D"),Table1[[#This Row],[Kv*T]],"")</f>
        <v/>
      </c>
      <c r="AK77" s="75" t="str">
        <f>IF(AND(Table1[[#This Row],[Variant]]=$AJ$4,Table1[[#This Row],[Kv*T]]&gt;0,Table1[[#This Row],[Term.]]="Y"),Table1[[#This Row],[Kv*T]],"")</f>
        <v/>
      </c>
      <c r="AL77" s="73" t="str">
        <f>IF(AND(Table1[[#This Row],[Kv*T "D"2]]="",Table1[[#This Row],[Kv*T "Y"2]]=""),"",IF(Table1[[#This Row],[Kv*T "D"2]]="",Table1[[#This Row],[Kv*T "Y"2]]*3^0.5,Table1[[#This Row],[Kv*T "D"2]]))</f>
        <v/>
      </c>
      <c r="AM77" s="147" t="str">
        <f>IF(Table1[[#This Row],[Std Inch per turn]]="","",Table1[[#This Row],[Std Inch per turn]])</f>
        <v/>
      </c>
      <c r="AN77" s="75" t="str">
        <f>IF(AND(Table1[[#This Row],[Variant]]=$AN$4,Table1[[#This Row],[Kv*T]]&gt;0,Table1[[#This Row],[Term.]]="D"),Table1[[#This Row],[Kv*T]],"")</f>
        <v/>
      </c>
      <c r="AO77" s="75" t="str">
        <f>IF(AND(Table1[[#This Row],[Variant]]=$AN$4,Table1[[#This Row],[Kv*T]]&gt;0,Table1[[#This Row],[Term.]]="Y"),Table1[[#This Row],[Kv*T]],"")</f>
        <v/>
      </c>
      <c r="AP77" s="73" t="str">
        <f>IF(AND(Table1[[#This Row],[Kv*T "D"3]]="",Table1[[#This Row],[Kv*T "Y"3]]=""),"",IF(Table1[[#This Row],[Kv*T "D"3]]="",Table1[[#This Row],[Kv*T "Y"3]]*3^0.5,Table1[[#This Row],[Kv*T "D"3]]))</f>
        <v/>
      </c>
      <c r="AQ77" s="73"/>
      <c r="AR77" s="75" t="str">
        <f>IF(AND(Table1[[#This Row],[Variant]]=$AR$4,Table1[[#This Row],[Kv*T]]&gt;0,Table1[[#This Row],[Term.]]="D"),Table1[[#This Row],[Kv*T]],"")</f>
        <v/>
      </c>
      <c r="AS77" s="75" t="str">
        <f>IF(AND(Table1[[#This Row],[Variant]]=$AR$4,Table1[[#This Row],[Kv*T]]&gt;0,Table1[[#This Row],[Term.]]="Y"),Table1[[#This Row],[Kv*T]],"")</f>
        <v/>
      </c>
      <c r="AT77" s="73" t="str">
        <f>IF(AND(Table1[[#This Row],[Kv*T "D"4]]="",Table1[[#This Row],[Kv*T "Y"4]]=""),"",IF(Table1[[#This Row],[Kv*T "D"4]]="",Table1[[#This Row],[Kv*T "Y"4]]*3^0.5,Table1[[#This Row],[Kv*T "D"4]]))</f>
        <v/>
      </c>
      <c r="AU77" s="73"/>
      <c r="AV77" s="75" t="str">
        <f>IF(AND(Table1[[#This Row],[Variant]]=$AV$4,Table1[[#This Row],[Kv*T]]&gt;0,Table1[[#This Row],[Term.]]="D"),Table1[[#This Row],[Kv*T]],"")</f>
        <v/>
      </c>
      <c r="AW77" s="75" t="str">
        <f>IF(AND(Table1[[#This Row],[Variant]]=$AV$4,Table1[[#This Row],[Kv*T]]&gt;0,Table1[[#This Row],[Term.]]="Y"),Table1[[#This Row],[Kv*T]],"")</f>
        <v/>
      </c>
      <c r="AX77" s="73" t="str">
        <f>IF(AND(Table1[[#This Row],[Kv*T "D"5]]="",Table1[[#This Row],[Kv*T "Y"5]]=""),"",IF(Table1[[#This Row],[Kv*T "D"5]]="",Table1[[#This Row],[Kv*T "Y"5]]*3^0.5,Table1[[#This Row],[Kv*T "D"5]]))</f>
        <v/>
      </c>
      <c r="AY77" s="73"/>
    </row>
    <row r="78" spans="1:51">
      <c r="A78" s="17"/>
      <c r="B78" s="5"/>
      <c r="C78" s="5"/>
      <c r="D78" s="146"/>
      <c r="E78" s="146"/>
      <c r="F78" s="86" t="str">
        <f t="shared" si="10"/>
        <v/>
      </c>
      <c r="G78" s="5"/>
      <c r="H78" s="5"/>
      <c r="I78" s="98" t="str">
        <f>IF(OR(Table1[[#This Row],[Phys. Turns]]="",Table1[[#This Row],[Wire]]="",Table1[[#This Row],[Parallel]]=""),"",Table1[[#This Row],[Phys. Turns]]*VLOOKUP(Table1[[#This Row],[Wire]],wirelist,4,FALSE))</f>
        <v/>
      </c>
      <c r="J78" s="18"/>
      <c r="K78" s="19"/>
      <c r="L78" s="20"/>
      <c r="M78" s="5"/>
      <c r="N78" s="49"/>
      <c r="O78" s="19"/>
      <c r="P78" s="5"/>
      <c r="Q78" s="19"/>
      <c r="R78" s="19"/>
      <c r="S78" s="49"/>
      <c r="T78" s="43" t="str">
        <f t="shared" si="11"/>
        <v/>
      </c>
      <c r="U78" s="5"/>
      <c r="V78" s="143"/>
      <c r="W78" s="46" t="str">
        <f>IF(OR(P78="",Table1[[#This Row],[Prop.]]="No Load"),"",(Tests!AC78/VLOOKUP(Table1[[#This Row],[Prop.]],proplist,6,FALSE))*VLOOKUP(Table1[[#This Row],[Prop.]],proplist,4,FALSE)/28.3*(Table1[[#This Row],[RPM]]/1000)^VLOOKUP(Table1[[#This Row],[Prop.]],proplist,5,FALSE))</f>
        <v/>
      </c>
      <c r="X78" s="47" t="str">
        <f>IF(OR(P78="",Table1[[#This Row],[Prop.]]="No Load"),"",(AC78/VLOOKUP(Table1[[#This Row],[Prop.]],proplist,9,FALSE))*VLOOKUP(Table1[[#This Row],[Prop.]],proplist,7,FALSE)*(Table1[[#This Row],[RPM]]/1000)^(VLOOKUP(Table1[[#This Row],[Prop.]],proplist,8,FALSE))/Table1[[#This Row],[Pin '[W']]])</f>
        <v/>
      </c>
      <c r="Y78" s="43" t="str">
        <f>IF(OR(P78="",Table1[[#This Row],[Prop.]]="No Load"),"",P78*VLOOKUP(Table1[[#This Row],[Prop.]],proplist,3,FALSE)/1056)</f>
        <v/>
      </c>
      <c r="Z78" s="43" t="str">
        <f t="shared" si="9"/>
        <v/>
      </c>
      <c r="AA78" s="44" t="str">
        <f>IF(OR(AB78="",Table1[[#This Row],[Prop.]]="No Load"),"",AB78*(1-X78))</f>
        <v/>
      </c>
      <c r="AB78" s="103" t="str">
        <f t="shared" si="12"/>
        <v/>
      </c>
      <c r="AC78" s="45" t="str">
        <f t="shared" si="13"/>
        <v/>
      </c>
      <c r="AD78" s="73" t="str">
        <f>IF(Table1[[#This Row],[Prop.]]="No Load",Table1[[#This Row],["T"]]*Table1[[#This Row],[RPM]]/Table1[[#This Row],[V]],"")</f>
        <v/>
      </c>
      <c r="AE78" s="74" t="str">
        <f>IF(OR(C78="",E78="",H78=""),"",IF(Table1[[#This Row],[Prop.]]="No Load",IF(E78=1,(H78-10)/C78,IF(E78=2,2*(H78-10)/C78,4*(H78-10))),""))</f>
        <v/>
      </c>
      <c r="AF78" s="45" t="str">
        <f>IF(AND(Table1[[#This Row],[Variant]]=$AF$4,Table1[[#This Row],[Kv*T]]&gt;0,Table1[[#This Row],[Term.]]="D"),Table1[[#This Row],[Kv*T]],"")</f>
        <v/>
      </c>
      <c r="AG78" s="45" t="str">
        <f>IF(AND(Table1[[#This Row],[Variant]]=$AF$4,Table1[[#This Row],[Kv*T]]&gt;0,Table1[[#This Row],[Term.]]="Y"),Table1[[#This Row],[Kv*T]],"")</f>
        <v/>
      </c>
      <c r="AH78" s="73" t="str">
        <f>IF(AND(Table1[[#This Row],[Kv*T "D"]]="",Table1[[#This Row],[Kv*T "Y"]]=""),"",IF(Table1[[#This Row],[Kv*T "D"]]="",Table1[[#This Row],[Kv*T "Y"]]*3^0.5,Table1[[#This Row],[Kv*T "D"]]))</f>
        <v/>
      </c>
      <c r="AI78" s="147" t="str">
        <f>IF(Table1[[#This Row],[Std Inch per turn]]="","",Table1[[#This Row],[Std Inch per turn]])</f>
        <v/>
      </c>
      <c r="AJ78" s="75" t="str">
        <f>IF(AND(Table1[[#This Row],[Variant]]=$AJ$4,Table1[[#This Row],[Kv*T]]&gt;0,Table1[[#This Row],[Term.]]="D"),Table1[[#This Row],[Kv*T]],"")</f>
        <v/>
      </c>
      <c r="AK78" s="75" t="str">
        <f>IF(AND(Table1[[#This Row],[Variant]]=$AJ$4,Table1[[#This Row],[Kv*T]]&gt;0,Table1[[#This Row],[Term.]]="Y"),Table1[[#This Row],[Kv*T]],"")</f>
        <v/>
      </c>
      <c r="AL78" s="73" t="str">
        <f>IF(AND(Table1[[#This Row],[Kv*T "D"2]]="",Table1[[#This Row],[Kv*T "Y"2]]=""),"",IF(Table1[[#This Row],[Kv*T "D"2]]="",Table1[[#This Row],[Kv*T "Y"2]]*3^0.5,Table1[[#This Row],[Kv*T "D"2]]))</f>
        <v/>
      </c>
      <c r="AM78" s="147" t="str">
        <f>IF(Table1[[#This Row],[Std Inch per turn]]="","",Table1[[#This Row],[Std Inch per turn]])</f>
        <v/>
      </c>
      <c r="AN78" s="75" t="str">
        <f>IF(AND(Table1[[#This Row],[Variant]]=$AN$4,Table1[[#This Row],[Kv*T]]&gt;0,Table1[[#This Row],[Term.]]="D"),Table1[[#This Row],[Kv*T]],"")</f>
        <v/>
      </c>
      <c r="AO78" s="75" t="str">
        <f>IF(AND(Table1[[#This Row],[Variant]]=$AN$4,Table1[[#This Row],[Kv*T]]&gt;0,Table1[[#This Row],[Term.]]="Y"),Table1[[#This Row],[Kv*T]],"")</f>
        <v/>
      </c>
      <c r="AP78" s="73" t="str">
        <f>IF(AND(Table1[[#This Row],[Kv*T "D"3]]="",Table1[[#This Row],[Kv*T "Y"3]]=""),"",IF(Table1[[#This Row],[Kv*T "D"3]]="",Table1[[#This Row],[Kv*T "Y"3]]*3^0.5,Table1[[#This Row],[Kv*T "D"3]]))</f>
        <v/>
      </c>
      <c r="AQ78" s="73"/>
      <c r="AR78" s="75" t="str">
        <f>IF(AND(Table1[[#This Row],[Variant]]=$AR$4,Table1[[#This Row],[Kv*T]]&gt;0,Table1[[#This Row],[Term.]]="D"),Table1[[#This Row],[Kv*T]],"")</f>
        <v/>
      </c>
      <c r="AS78" s="75" t="str">
        <f>IF(AND(Table1[[#This Row],[Variant]]=$AR$4,Table1[[#This Row],[Kv*T]]&gt;0,Table1[[#This Row],[Term.]]="Y"),Table1[[#This Row],[Kv*T]],"")</f>
        <v/>
      </c>
      <c r="AT78" s="73" t="str">
        <f>IF(AND(Table1[[#This Row],[Kv*T "D"4]]="",Table1[[#This Row],[Kv*T "Y"4]]=""),"",IF(Table1[[#This Row],[Kv*T "D"4]]="",Table1[[#This Row],[Kv*T "Y"4]]*3^0.5,Table1[[#This Row],[Kv*T "D"4]]))</f>
        <v/>
      </c>
      <c r="AU78" s="73"/>
      <c r="AV78" s="75" t="str">
        <f>IF(AND(Table1[[#This Row],[Variant]]=$AV$4,Table1[[#This Row],[Kv*T]]&gt;0,Table1[[#This Row],[Term.]]="D"),Table1[[#This Row],[Kv*T]],"")</f>
        <v/>
      </c>
      <c r="AW78" s="75" t="str">
        <f>IF(AND(Table1[[#This Row],[Variant]]=$AV$4,Table1[[#This Row],[Kv*T]]&gt;0,Table1[[#This Row],[Term.]]="Y"),Table1[[#This Row],[Kv*T]],"")</f>
        <v/>
      </c>
      <c r="AX78" s="73" t="str">
        <f>IF(AND(Table1[[#This Row],[Kv*T "D"5]]="",Table1[[#This Row],[Kv*T "Y"5]]=""),"",IF(Table1[[#This Row],[Kv*T "D"5]]="",Table1[[#This Row],[Kv*T "Y"5]]*3^0.5,Table1[[#This Row],[Kv*T "D"5]]))</f>
        <v/>
      </c>
      <c r="AY78" s="73"/>
    </row>
    <row r="79" spans="1:51">
      <c r="A79" s="10"/>
      <c r="B79" s="146"/>
      <c r="C79" s="146"/>
      <c r="D79" s="146"/>
      <c r="E79" s="146"/>
      <c r="F79" s="86" t="str">
        <f t="shared" si="10"/>
        <v/>
      </c>
      <c r="G79" s="146"/>
      <c r="H79" s="146"/>
      <c r="I79" s="97" t="str">
        <f>IF(OR(Table1[[#This Row],[Phys. Turns]]="",Table1[[#This Row],[Wire]]="",Table1[[#This Row],[Parallel]]=""),"",Table1[[#This Row],[Phys. Turns]]*VLOOKUP(Table1[[#This Row],[Wire]],wirelist,4,FALSE))</f>
        <v/>
      </c>
      <c r="J79" s="11"/>
      <c r="K79" s="12"/>
      <c r="L79" s="13"/>
      <c r="M79" s="5"/>
      <c r="N79" s="48"/>
      <c r="O79" s="12"/>
      <c r="P79" s="146"/>
      <c r="Q79" s="12"/>
      <c r="R79" s="12"/>
      <c r="S79" s="48"/>
      <c r="T79" s="43" t="str">
        <f t="shared" si="11"/>
        <v/>
      </c>
      <c r="U79" s="146"/>
      <c r="V79" s="142"/>
      <c r="W79" s="46" t="str">
        <f>IF(OR(P79="",Table1[[#This Row],[Prop.]]="No Load"),"",(Tests!AC79/VLOOKUP(Table1[[#This Row],[Prop.]],proplist,6,FALSE))*VLOOKUP(Table1[[#This Row],[Prop.]],proplist,4,FALSE)/28.3*(Table1[[#This Row],[RPM]]/1000)^VLOOKUP(Table1[[#This Row],[Prop.]],proplist,5,FALSE))</f>
        <v/>
      </c>
      <c r="X79" s="47" t="str">
        <f>IF(OR(P79="",Table1[[#This Row],[Prop.]]="No Load"),"",(AC79/VLOOKUP(Table1[[#This Row],[Prop.]],proplist,9,FALSE))*VLOOKUP(Table1[[#This Row],[Prop.]],proplist,7,FALSE)*(Table1[[#This Row],[RPM]]/1000)^(VLOOKUP(Table1[[#This Row],[Prop.]],proplist,8,FALSE))/Table1[[#This Row],[Pin '[W']]])</f>
        <v/>
      </c>
      <c r="Y79" s="43" t="str">
        <f>IF(OR(P79="",Table1[[#This Row],[Prop.]]="No Load"),"",P79*VLOOKUP(Table1[[#This Row],[Prop.]],proplist,3,FALSE)/1056)</f>
        <v/>
      </c>
      <c r="Z79" s="43" t="str">
        <f t="shared" si="9"/>
        <v/>
      </c>
      <c r="AA79" s="44" t="str">
        <f>IF(OR(AB79="",Table1[[#This Row],[Prop.]]="No Load"),"",AB79*(1-X79))</f>
        <v/>
      </c>
      <c r="AB79" s="103" t="str">
        <f t="shared" si="12"/>
        <v/>
      </c>
      <c r="AC79" s="45" t="str">
        <f t="shared" si="13"/>
        <v/>
      </c>
      <c r="AD79" s="73" t="str">
        <f>IF(Table1[[#This Row],[Prop.]]="No Load",Table1[[#This Row],["T"]]*Table1[[#This Row],[RPM]]/Table1[[#This Row],[V]],"")</f>
        <v/>
      </c>
      <c r="AE79" s="74" t="str">
        <f>IF(OR(C79="",E79="",H79=""),"",IF(Table1[[#This Row],[Prop.]]="No Load",IF(E79=1,(H79-10)/C79,IF(E79=2,2*(H79-10)/C79,4*(H79-10))),""))</f>
        <v/>
      </c>
      <c r="AF79" s="45" t="str">
        <f>IF(AND(Table1[[#This Row],[Variant]]=$AF$4,Table1[[#This Row],[Kv*T]]&gt;0,Table1[[#This Row],[Term.]]="D"),Table1[[#This Row],[Kv*T]],"")</f>
        <v/>
      </c>
      <c r="AG79" s="45" t="str">
        <f>IF(AND(Table1[[#This Row],[Variant]]=$AF$4,Table1[[#This Row],[Kv*T]]&gt;0,Table1[[#This Row],[Term.]]="Y"),Table1[[#This Row],[Kv*T]],"")</f>
        <v/>
      </c>
      <c r="AH79" s="73" t="str">
        <f>IF(AND(Table1[[#This Row],[Kv*T "D"]]="",Table1[[#This Row],[Kv*T "Y"]]=""),"",IF(Table1[[#This Row],[Kv*T "D"]]="",Table1[[#This Row],[Kv*T "Y"]]*3^0.5,Table1[[#This Row],[Kv*T "D"]]))</f>
        <v/>
      </c>
      <c r="AI79" s="147" t="str">
        <f>IF(Table1[[#This Row],[Std Inch per turn]]="","",Table1[[#This Row],[Std Inch per turn]])</f>
        <v/>
      </c>
      <c r="AJ79" s="75" t="str">
        <f>IF(AND(Table1[[#This Row],[Variant]]=$AJ$4,Table1[[#This Row],[Kv*T]]&gt;0,Table1[[#This Row],[Term.]]="D"),Table1[[#This Row],[Kv*T]],"")</f>
        <v/>
      </c>
      <c r="AK79" s="75" t="str">
        <f>IF(AND(Table1[[#This Row],[Variant]]=$AJ$4,Table1[[#This Row],[Kv*T]]&gt;0,Table1[[#This Row],[Term.]]="Y"),Table1[[#This Row],[Kv*T]],"")</f>
        <v/>
      </c>
      <c r="AL79" s="73" t="str">
        <f>IF(AND(Table1[[#This Row],[Kv*T "D"2]]="",Table1[[#This Row],[Kv*T "Y"2]]=""),"",IF(Table1[[#This Row],[Kv*T "D"2]]="",Table1[[#This Row],[Kv*T "Y"2]]*3^0.5,Table1[[#This Row],[Kv*T "D"2]]))</f>
        <v/>
      </c>
      <c r="AM79" s="147" t="str">
        <f>IF(Table1[[#This Row],[Std Inch per turn]]="","",Table1[[#This Row],[Std Inch per turn]])</f>
        <v/>
      </c>
      <c r="AN79" s="75" t="str">
        <f>IF(AND(Table1[[#This Row],[Variant]]=$AN$4,Table1[[#This Row],[Kv*T]]&gt;0,Table1[[#This Row],[Term.]]="D"),Table1[[#This Row],[Kv*T]],"")</f>
        <v/>
      </c>
      <c r="AO79" s="75" t="str">
        <f>IF(AND(Table1[[#This Row],[Variant]]=$AN$4,Table1[[#This Row],[Kv*T]]&gt;0,Table1[[#This Row],[Term.]]="Y"),Table1[[#This Row],[Kv*T]],"")</f>
        <v/>
      </c>
      <c r="AP79" s="73" t="str">
        <f>IF(AND(Table1[[#This Row],[Kv*T "D"3]]="",Table1[[#This Row],[Kv*T "Y"3]]=""),"",IF(Table1[[#This Row],[Kv*T "D"3]]="",Table1[[#This Row],[Kv*T "Y"3]]*3^0.5,Table1[[#This Row],[Kv*T "D"3]]))</f>
        <v/>
      </c>
      <c r="AQ79" s="73"/>
      <c r="AR79" s="75" t="str">
        <f>IF(AND(Table1[[#This Row],[Variant]]=$AR$4,Table1[[#This Row],[Kv*T]]&gt;0,Table1[[#This Row],[Term.]]="D"),Table1[[#This Row],[Kv*T]],"")</f>
        <v/>
      </c>
      <c r="AS79" s="75" t="str">
        <f>IF(AND(Table1[[#This Row],[Variant]]=$AR$4,Table1[[#This Row],[Kv*T]]&gt;0,Table1[[#This Row],[Term.]]="Y"),Table1[[#This Row],[Kv*T]],"")</f>
        <v/>
      </c>
      <c r="AT79" s="73" t="str">
        <f>IF(AND(Table1[[#This Row],[Kv*T "D"4]]="",Table1[[#This Row],[Kv*T "Y"4]]=""),"",IF(Table1[[#This Row],[Kv*T "D"4]]="",Table1[[#This Row],[Kv*T "Y"4]]*3^0.5,Table1[[#This Row],[Kv*T "D"4]]))</f>
        <v/>
      </c>
      <c r="AU79" s="73"/>
      <c r="AV79" s="75" t="str">
        <f>IF(AND(Table1[[#This Row],[Variant]]=$AV$4,Table1[[#This Row],[Kv*T]]&gt;0,Table1[[#This Row],[Term.]]="D"),Table1[[#This Row],[Kv*T]],"")</f>
        <v/>
      </c>
      <c r="AW79" s="75" t="str">
        <f>IF(AND(Table1[[#This Row],[Variant]]=$AV$4,Table1[[#This Row],[Kv*T]]&gt;0,Table1[[#This Row],[Term.]]="Y"),Table1[[#This Row],[Kv*T]],"")</f>
        <v/>
      </c>
      <c r="AX79" s="73" t="str">
        <f>IF(AND(Table1[[#This Row],[Kv*T "D"5]]="",Table1[[#This Row],[Kv*T "Y"5]]=""),"",IF(Table1[[#This Row],[Kv*T "D"5]]="",Table1[[#This Row],[Kv*T "Y"5]]*3^0.5,Table1[[#This Row],[Kv*T "D"5]]))</f>
        <v/>
      </c>
      <c r="AY79" s="73"/>
    </row>
    <row r="80" spans="1:51">
      <c r="A80" s="17"/>
      <c r="B80" s="5"/>
      <c r="C80" s="5"/>
      <c r="D80" s="146"/>
      <c r="E80" s="146"/>
      <c r="F80" s="86" t="str">
        <f t="shared" si="10"/>
        <v/>
      </c>
      <c r="G80" s="5"/>
      <c r="H80" s="5"/>
      <c r="I80" s="98" t="str">
        <f>IF(OR(Table1[[#This Row],[Phys. Turns]]="",Table1[[#This Row],[Wire]]="",Table1[[#This Row],[Parallel]]=""),"",Table1[[#This Row],[Phys. Turns]]*VLOOKUP(Table1[[#This Row],[Wire]],wirelist,4,FALSE))</f>
        <v/>
      </c>
      <c r="J80" s="18"/>
      <c r="K80" s="19"/>
      <c r="L80" s="20"/>
      <c r="M80" s="5"/>
      <c r="N80" s="49"/>
      <c r="O80" s="19"/>
      <c r="P80" s="5"/>
      <c r="Q80" s="19"/>
      <c r="R80" s="19"/>
      <c r="S80" s="49"/>
      <c r="T80" s="43" t="str">
        <f t="shared" si="11"/>
        <v/>
      </c>
      <c r="U80" s="5"/>
      <c r="V80" s="143"/>
      <c r="W80" s="46" t="str">
        <f>IF(OR(P80="",Table1[[#This Row],[Prop.]]="No Load"),"",(Tests!AC80/VLOOKUP(Table1[[#This Row],[Prop.]],proplist,6,FALSE))*VLOOKUP(Table1[[#This Row],[Prop.]],proplist,4,FALSE)/28.3*(Table1[[#This Row],[RPM]]/1000)^VLOOKUP(Table1[[#This Row],[Prop.]],proplist,5,FALSE))</f>
        <v/>
      </c>
      <c r="X80" s="47" t="str">
        <f>IF(OR(P80="",Table1[[#This Row],[Prop.]]="No Load"),"",(AC80/VLOOKUP(Table1[[#This Row],[Prop.]],proplist,9,FALSE))*VLOOKUP(Table1[[#This Row],[Prop.]],proplist,7,FALSE)*(Table1[[#This Row],[RPM]]/1000)^(VLOOKUP(Table1[[#This Row],[Prop.]],proplist,8,FALSE))/Table1[[#This Row],[Pin '[W']]])</f>
        <v/>
      </c>
      <c r="Y80" s="43" t="str">
        <f>IF(OR(P80="",Table1[[#This Row],[Prop.]]="No Load"),"",P80*VLOOKUP(Table1[[#This Row],[Prop.]],proplist,3,FALSE)/1056)</f>
        <v/>
      </c>
      <c r="Z80" s="43" t="str">
        <f t="shared" si="9"/>
        <v/>
      </c>
      <c r="AA80" s="44" t="str">
        <f>IF(OR(AB80="",Table1[[#This Row],[Prop.]]="No Load"),"",AB80*(1-X80))</f>
        <v/>
      </c>
      <c r="AB80" s="103" t="str">
        <f t="shared" si="12"/>
        <v/>
      </c>
      <c r="AC80" s="45" t="str">
        <f t="shared" si="13"/>
        <v/>
      </c>
      <c r="AD80" s="73" t="str">
        <f>IF(Table1[[#This Row],[Prop.]]="No Load",Table1[[#This Row],["T"]]*Table1[[#This Row],[RPM]]/Table1[[#This Row],[V]],"")</f>
        <v/>
      </c>
      <c r="AE80" s="74" t="str">
        <f>IF(OR(C80="",E80="",H80=""),"",IF(Table1[[#This Row],[Prop.]]="No Load",IF(E80=1,(H80-10)/C80,IF(E80=2,2*(H80-10)/C80,4*(H80-10))),""))</f>
        <v/>
      </c>
      <c r="AF80" s="45" t="str">
        <f>IF(AND(Table1[[#This Row],[Variant]]=$AF$4,Table1[[#This Row],[Kv*T]]&gt;0,Table1[[#This Row],[Term.]]="D"),Table1[[#This Row],[Kv*T]],"")</f>
        <v/>
      </c>
      <c r="AG80" s="45" t="str">
        <f>IF(AND(Table1[[#This Row],[Variant]]=$AF$4,Table1[[#This Row],[Kv*T]]&gt;0,Table1[[#This Row],[Term.]]="Y"),Table1[[#This Row],[Kv*T]],"")</f>
        <v/>
      </c>
      <c r="AH80" s="73" t="str">
        <f>IF(AND(Table1[[#This Row],[Kv*T "D"]]="",Table1[[#This Row],[Kv*T "Y"]]=""),"",IF(Table1[[#This Row],[Kv*T "D"]]="",Table1[[#This Row],[Kv*T "Y"]]*3^0.5,Table1[[#This Row],[Kv*T "D"]]))</f>
        <v/>
      </c>
      <c r="AI80" s="147" t="str">
        <f>IF(Table1[[#This Row],[Std Inch per turn]]="","",Table1[[#This Row],[Std Inch per turn]])</f>
        <v/>
      </c>
      <c r="AJ80" s="75" t="str">
        <f>IF(AND(Table1[[#This Row],[Variant]]=$AJ$4,Table1[[#This Row],[Kv*T]]&gt;0,Table1[[#This Row],[Term.]]="D"),Table1[[#This Row],[Kv*T]],"")</f>
        <v/>
      </c>
      <c r="AK80" s="75" t="str">
        <f>IF(AND(Table1[[#This Row],[Variant]]=$AJ$4,Table1[[#This Row],[Kv*T]]&gt;0,Table1[[#This Row],[Term.]]="Y"),Table1[[#This Row],[Kv*T]],"")</f>
        <v/>
      </c>
      <c r="AL80" s="73" t="str">
        <f>IF(AND(Table1[[#This Row],[Kv*T "D"2]]="",Table1[[#This Row],[Kv*T "Y"2]]=""),"",IF(Table1[[#This Row],[Kv*T "D"2]]="",Table1[[#This Row],[Kv*T "Y"2]]*3^0.5,Table1[[#This Row],[Kv*T "D"2]]))</f>
        <v/>
      </c>
      <c r="AM80" s="147" t="str">
        <f>IF(Table1[[#This Row],[Std Inch per turn]]="","",Table1[[#This Row],[Std Inch per turn]])</f>
        <v/>
      </c>
      <c r="AN80" s="75" t="str">
        <f>IF(AND(Table1[[#This Row],[Variant]]=$AN$4,Table1[[#This Row],[Kv*T]]&gt;0,Table1[[#This Row],[Term.]]="D"),Table1[[#This Row],[Kv*T]],"")</f>
        <v/>
      </c>
      <c r="AO80" s="75" t="str">
        <f>IF(AND(Table1[[#This Row],[Variant]]=$AN$4,Table1[[#This Row],[Kv*T]]&gt;0,Table1[[#This Row],[Term.]]="Y"),Table1[[#This Row],[Kv*T]],"")</f>
        <v/>
      </c>
      <c r="AP80" s="73" t="str">
        <f>IF(AND(Table1[[#This Row],[Kv*T "D"3]]="",Table1[[#This Row],[Kv*T "Y"3]]=""),"",IF(Table1[[#This Row],[Kv*T "D"3]]="",Table1[[#This Row],[Kv*T "Y"3]]*3^0.5,Table1[[#This Row],[Kv*T "D"3]]))</f>
        <v/>
      </c>
      <c r="AQ80" s="73"/>
      <c r="AR80" s="75" t="str">
        <f>IF(AND(Table1[[#This Row],[Variant]]=$AR$4,Table1[[#This Row],[Kv*T]]&gt;0,Table1[[#This Row],[Term.]]="D"),Table1[[#This Row],[Kv*T]],"")</f>
        <v/>
      </c>
      <c r="AS80" s="75" t="str">
        <f>IF(AND(Table1[[#This Row],[Variant]]=$AR$4,Table1[[#This Row],[Kv*T]]&gt;0,Table1[[#This Row],[Term.]]="Y"),Table1[[#This Row],[Kv*T]],"")</f>
        <v/>
      </c>
      <c r="AT80" s="73" t="str">
        <f>IF(AND(Table1[[#This Row],[Kv*T "D"4]]="",Table1[[#This Row],[Kv*T "Y"4]]=""),"",IF(Table1[[#This Row],[Kv*T "D"4]]="",Table1[[#This Row],[Kv*T "Y"4]]*3^0.5,Table1[[#This Row],[Kv*T "D"4]]))</f>
        <v/>
      </c>
      <c r="AU80" s="73"/>
      <c r="AV80" s="75" t="str">
        <f>IF(AND(Table1[[#This Row],[Variant]]=$AV$4,Table1[[#This Row],[Kv*T]]&gt;0,Table1[[#This Row],[Term.]]="D"),Table1[[#This Row],[Kv*T]],"")</f>
        <v/>
      </c>
      <c r="AW80" s="75" t="str">
        <f>IF(AND(Table1[[#This Row],[Variant]]=$AV$4,Table1[[#This Row],[Kv*T]]&gt;0,Table1[[#This Row],[Term.]]="Y"),Table1[[#This Row],[Kv*T]],"")</f>
        <v/>
      </c>
      <c r="AX80" s="73" t="str">
        <f>IF(AND(Table1[[#This Row],[Kv*T "D"5]]="",Table1[[#This Row],[Kv*T "Y"5]]=""),"",IF(Table1[[#This Row],[Kv*T "D"5]]="",Table1[[#This Row],[Kv*T "Y"5]]*3^0.5,Table1[[#This Row],[Kv*T "D"5]]))</f>
        <v/>
      </c>
      <c r="AY80" s="73"/>
    </row>
    <row r="81" spans="1:51">
      <c r="A81" s="17"/>
      <c r="B81" s="5"/>
      <c r="C81" s="5"/>
      <c r="D81" s="146"/>
      <c r="E81" s="146"/>
      <c r="F81" s="86" t="str">
        <f t="shared" si="10"/>
        <v/>
      </c>
      <c r="G81" s="5"/>
      <c r="H81" s="5"/>
      <c r="I81" s="98" t="str">
        <f>IF(OR(Table1[[#This Row],[Phys. Turns]]="",Table1[[#This Row],[Wire]]="",Table1[[#This Row],[Parallel]]=""),"",Table1[[#This Row],[Phys. Turns]]*VLOOKUP(Table1[[#This Row],[Wire]],wirelist,4,FALSE))</f>
        <v/>
      </c>
      <c r="J81" s="18"/>
      <c r="K81" s="19"/>
      <c r="L81" s="20"/>
      <c r="M81" s="5"/>
      <c r="N81" s="49"/>
      <c r="O81" s="19"/>
      <c r="P81" s="5"/>
      <c r="Q81" s="19"/>
      <c r="R81" s="19"/>
      <c r="S81" s="49"/>
      <c r="T81" s="43" t="str">
        <f t="shared" si="11"/>
        <v/>
      </c>
      <c r="U81" s="5"/>
      <c r="V81" s="143"/>
      <c r="W81" s="46" t="str">
        <f>IF(OR(P81="",Table1[[#This Row],[Prop.]]="No Load"),"",(Tests!AC81/VLOOKUP(Table1[[#This Row],[Prop.]],proplist,6,FALSE))*VLOOKUP(Table1[[#This Row],[Prop.]],proplist,4,FALSE)/28.3*(Table1[[#This Row],[RPM]]/1000)^VLOOKUP(Table1[[#This Row],[Prop.]],proplist,5,FALSE))</f>
        <v/>
      </c>
      <c r="X81" s="47" t="str">
        <f>IF(OR(P81="",Table1[[#This Row],[Prop.]]="No Load"),"",(AC81/VLOOKUP(Table1[[#This Row],[Prop.]],proplist,9,FALSE))*VLOOKUP(Table1[[#This Row],[Prop.]],proplist,7,FALSE)*(Table1[[#This Row],[RPM]]/1000)^(VLOOKUP(Table1[[#This Row],[Prop.]],proplist,8,FALSE))/Table1[[#This Row],[Pin '[W']]])</f>
        <v/>
      </c>
      <c r="Y81" s="43" t="str">
        <f>IF(OR(P81="",Table1[[#This Row],[Prop.]]="No Load"),"",P81*VLOOKUP(Table1[[#This Row],[Prop.]],proplist,3,FALSE)/1056)</f>
        <v/>
      </c>
      <c r="Z81" s="43" t="str">
        <f t="shared" si="9"/>
        <v/>
      </c>
      <c r="AA81" s="44" t="str">
        <f>IF(OR(AB81="",Table1[[#This Row],[Prop.]]="No Load"),"",AB81*(1-X81))</f>
        <v/>
      </c>
      <c r="AB81" s="103" t="str">
        <f t="shared" si="12"/>
        <v/>
      </c>
      <c r="AC81" s="45" t="str">
        <f t="shared" si="13"/>
        <v/>
      </c>
      <c r="AD81" s="73" t="str">
        <f>IF(Table1[[#This Row],[Prop.]]="No Load",Table1[[#This Row],["T"]]*Table1[[#This Row],[RPM]]/Table1[[#This Row],[V]],"")</f>
        <v/>
      </c>
      <c r="AE81" s="74" t="str">
        <f>IF(OR(C81="",E81="",H81=""),"",IF(Table1[[#This Row],[Prop.]]="No Load",IF(E81=1,(H81-10)/C81,IF(E81=2,2*(H81-10)/C81,4*(H81-10))),""))</f>
        <v/>
      </c>
      <c r="AF81" s="45" t="str">
        <f>IF(AND(Table1[[#This Row],[Variant]]=$AF$4,Table1[[#This Row],[Kv*T]]&gt;0,Table1[[#This Row],[Term.]]="D"),Table1[[#This Row],[Kv*T]],"")</f>
        <v/>
      </c>
      <c r="AG81" s="45" t="str">
        <f>IF(AND(Table1[[#This Row],[Variant]]=$AF$4,Table1[[#This Row],[Kv*T]]&gt;0,Table1[[#This Row],[Term.]]="Y"),Table1[[#This Row],[Kv*T]],"")</f>
        <v/>
      </c>
      <c r="AH81" s="73" t="str">
        <f>IF(AND(Table1[[#This Row],[Kv*T "D"]]="",Table1[[#This Row],[Kv*T "Y"]]=""),"",IF(Table1[[#This Row],[Kv*T "D"]]="",Table1[[#This Row],[Kv*T "Y"]]*3^0.5,Table1[[#This Row],[Kv*T "D"]]))</f>
        <v/>
      </c>
      <c r="AI81" s="147" t="str">
        <f>IF(Table1[[#This Row],[Std Inch per turn]]="","",Table1[[#This Row],[Std Inch per turn]])</f>
        <v/>
      </c>
      <c r="AJ81" s="75" t="str">
        <f>IF(AND(Table1[[#This Row],[Variant]]=$AJ$4,Table1[[#This Row],[Kv*T]]&gt;0,Table1[[#This Row],[Term.]]="D"),Table1[[#This Row],[Kv*T]],"")</f>
        <v/>
      </c>
      <c r="AK81" s="75" t="str">
        <f>IF(AND(Table1[[#This Row],[Variant]]=$AJ$4,Table1[[#This Row],[Kv*T]]&gt;0,Table1[[#This Row],[Term.]]="Y"),Table1[[#This Row],[Kv*T]],"")</f>
        <v/>
      </c>
      <c r="AL81" s="73" t="str">
        <f>IF(AND(Table1[[#This Row],[Kv*T "D"2]]="",Table1[[#This Row],[Kv*T "Y"2]]=""),"",IF(Table1[[#This Row],[Kv*T "D"2]]="",Table1[[#This Row],[Kv*T "Y"2]]*3^0.5,Table1[[#This Row],[Kv*T "D"2]]))</f>
        <v/>
      </c>
      <c r="AM81" s="147" t="str">
        <f>IF(Table1[[#This Row],[Std Inch per turn]]="","",Table1[[#This Row],[Std Inch per turn]])</f>
        <v/>
      </c>
      <c r="AN81" s="75" t="str">
        <f>IF(AND(Table1[[#This Row],[Variant]]=$AN$4,Table1[[#This Row],[Kv*T]]&gt;0,Table1[[#This Row],[Term.]]="D"),Table1[[#This Row],[Kv*T]],"")</f>
        <v/>
      </c>
      <c r="AO81" s="75" t="str">
        <f>IF(AND(Table1[[#This Row],[Variant]]=$AN$4,Table1[[#This Row],[Kv*T]]&gt;0,Table1[[#This Row],[Term.]]="Y"),Table1[[#This Row],[Kv*T]],"")</f>
        <v/>
      </c>
      <c r="AP81" s="73" t="str">
        <f>IF(AND(Table1[[#This Row],[Kv*T "D"3]]="",Table1[[#This Row],[Kv*T "Y"3]]=""),"",IF(Table1[[#This Row],[Kv*T "D"3]]="",Table1[[#This Row],[Kv*T "Y"3]]*3^0.5,Table1[[#This Row],[Kv*T "D"3]]))</f>
        <v/>
      </c>
      <c r="AQ81" s="73"/>
      <c r="AR81" s="75" t="str">
        <f>IF(AND(Table1[[#This Row],[Variant]]=$AR$4,Table1[[#This Row],[Kv*T]]&gt;0,Table1[[#This Row],[Term.]]="D"),Table1[[#This Row],[Kv*T]],"")</f>
        <v/>
      </c>
      <c r="AS81" s="75" t="str">
        <f>IF(AND(Table1[[#This Row],[Variant]]=$AR$4,Table1[[#This Row],[Kv*T]]&gt;0,Table1[[#This Row],[Term.]]="Y"),Table1[[#This Row],[Kv*T]],"")</f>
        <v/>
      </c>
      <c r="AT81" s="73" t="str">
        <f>IF(AND(Table1[[#This Row],[Kv*T "D"4]]="",Table1[[#This Row],[Kv*T "Y"4]]=""),"",IF(Table1[[#This Row],[Kv*T "D"4]]="",Table1[[#This Row],[Kv*T "Y"4]]*3^0.5,Table1[[#This Row],[Kv*T "D"4]]))</f>
        <v/>
      </c>
      <c r="AU81" s="73"/>
      <c r="AV81" s="75" t="str">
        <f>IF(AND(Table1[[#This Row],[Variant]]=$AV$4,Table1[[#This Row],[Kv*T]]&gt;0,Table1[[#This Row],[Term.]]="D"),Table1[[#This Row],[Kv*T]],"")</f>
        <v/>
      </c>
      <c r="AW81" s="75" t="str">
        <f>IF(AND(Table1[[#This Row],[Variant]]=$AV$4,Table1[[#This Row],[Kv*T]]&gt;0,Table1[[#This Row],[Term.]]="Y"),Table1[[#This Row],[Kv*T]],"")</f>
        <v/>
      </c>
      <c r="AX81" s="73" t="str">
        <f>IF(AND(Table1[[#This Row],[Kv*T "D"5]]="",Table1[[#This Row],[Kv*T "Y"5]]=""),"",IF(Table1[[#This Row],[Kv*T "D"5]]="",Table1[[#This Row],[Kv*T "Y"5]]*3^0.5,Table1[[#This Row],[Kv*T "D"5]]))</f>
        <v/>
      </c>
      <c r="AY81" s="73"/>
    </row>
    <row r="82" spans="1:51">
      <c r="A82" s="17"/>
      <c r="B82" s="5"/>
      <c r="C82" s="5"/>
      <c r="D82" s="146"/>
      <c r="E82" s="146"/>
      <c r="F82" s="86" t="str">
        <f t="shared" si="10"/>
        <v/>
      </c>
      <c r="G82" s="5"/>
      <c r="H82" s="5"/>
      <c r="I82" s="98" t="str">
        <f>IF(OR(Table1[[#This Row],[Phys. Turns]]="",Table1[[#This Row],[Wire]]="",Table1[[#This Row],[Parallel]]=""),"",Table1[[#This Row],[Phys. Turns]]*VLOOKUP(Table1[[#This Row],[Wire]],wirelist,4,FALSE))</f>
        <v/>
      </c>
      <c r="J82" s="18"/>
      <c r="K82" s="19"/>
      <c r="L82" s="20"/>
      <c r="M82" s="5"/>
      <c r="N82" s="49"/>
      <c r="O82" s="19"/>
      <c r="P82" s="5"/>
      <c r="Q82" s="19"/>
      <c r="R82" s="19"/>
      <c r="S82" s="49"/>
      <c r="T82" s="43" t="str">
        <f t="shared" si="11"/>
        <v/>
      </c>
      <c r="U82" s="5"/>
      <c r="V82" s="143"/>
      <c r="W82" s="46" t="str">
        <f>IF(OR(P82="",Table1[[#This Row],[Prop.]]="No Load"),"",(Tests!AC82/VLOOKUP(Table1[[#This Row],[Prop.]],proplist,6,FALSE))*VLOOKUP(Table1[[#This Row],[Prop.]],proplist,4,FALSE)/28.3*(Table1[[#This Row],[RPM]]/1000)^VLOOKUP(Table1[[#This Row],[Prop.]],proplist,5,FALSE))</f>
        <v/>
      </c>
      <c r="X82" s="47" t="str">
        <f>IF(OR(P82="",Table1[[#This Row],[Prop.]]="No Load"),"",(AC82/VLOOKUP(Table1[[#This Row],[Prop.]],proplist,9,FALSE))*VLOOKUP(Table1[[#This Row],[Prop.]],proplist,7,FALSE)*(Table1[[#This Row],[RPM]]/1000)^(VLOOKUP(Table1[[#This Row],[Prop.]],proplist,8,FALSE))/Table1[[#This Row],[Pin '[W']]])</f>
        <v/>
      </c>
      <c r="Y82" s="43" t="str">
        <f>IF(OR(P82="",Table1[[#This Row],[Prop.]]="No Load"),"",P82*VLOOKUP(Table1[[#This Row],[Prop.]],proplist,3,FALSE)/1056)</f>
        <v/>
      </c>
      <c r="Z82" s="43" t="str">
        <f t="shared" si="9"/>
        <v/>
      </c>
      <c r="AA82" s="44" t="str">
        <f>IF(OR(AB82="",Table1[[#This Row],[Prop.]]="No Load"),"",AB82*(1-X82))</f>
        <v/>
      </c>
      <c r="AB82" s="103" t="str">
        <f t="shared" si="12"/>
        <v/>
      </c>
      <c r="AC82" s="45" t="str">
        <f t="shared" si="13"/>
        <v/>
      </c>
      <c r="AD82" s="73" t="str">
        <f>IF(Table1[[#This Row],[Prop.]]="No Load",Table1[[#This Row],["T"]]*Table1[[#This Row],[RPM]]/Table1[[#This Row],[V]],"")</f>
        <v/>
      </c>
      <c r="AE82" s="74" t="str">
        <f>IF(OR(C82="",E82="",H82=""),"",IF(Table1[[#This Row],[Prop.]]="No Load",IF(E82=1,(H82-10)/C82,IF(E82=2,2*(H82-10)/C82,4*(H82-10))),""))</f>
        <v/>
      </c>
      <c r="AF82" s="45" t="str">
        <f>IF(AND(Table1[[#This Row],[Variant]]=$AF$4,Table1[[#This Row],[Kv*T]]&gt;0,Table1[[#This Row],[Term.]]="D"),Table1[[#This Row],[Kv*T]],"")</f>
        <v/>
      </c>
      <c r="AG82" s="45" t="str">
        <f>IF(AND(Table1[[#This Row],[Variant]]=$AF$4,Table1[[#This Row],[Kv*T]]&gt;0,Table1[[#This Row],[Term.]]="Y"),Table1[[#This Row],[Kv*T]],"")</f>
        <v/>
      </c>
      <c r="AH82" s="73" t="str">
        <f>IF(AND(Table1[[#This Row],[Kv*T "D"]]="",Table1[[#This Row],[Kv*T "Y"]]=""),"",IF(Table1[[#This Row],[Kv*T "D"]]="",Table1[[#This Row],[Kv*T "Y"]]*3^0.5,Table1[[#This Row],[Kv*T "D"]]))</f>
        <v/>
      </c>
      <c r="AI82" s="147" t="str">
        <f>IF(Table1[[#This Row],[Std Inch per turn]]="","",Table1[[#This Row],[Std Inch per turn]])</f>
        <v/>
      </c>
      <c r="AJ82" s="75" t="str">
        <f>IF(AND(Table1[[#This Row],[Variant]]=$AJ$4,Table1[[#This Row],[Kv*T]]&gt;0,Table1[[#This Row],[Term.]]="D"),Table1[[#This Row],[Kv*T]],"")</f>
        <v/>
      </c>
      <c r="AK82" s="75" t="str">
        <f>IF(AND(Table1[[#This Row],[Variant]]=$AJ$4,Table1[[#This Row],[Kv*T]]&gt;0,Table1[[#This Row],[Term.]]="Y"),Table1[[#This Row],[Kv*T]],"")</f>
        <v/>
      </c>
      <c r="AL82" s="73" t="str">
        <f>IF(AND(Table1[[#This Row],[Kv*T "D"2]]="",Table1[[#This Row],[Kv*T "Y"2]]=""),"",IF(Table1[[#This Row],[Kv*T "D"2]]="",Table1[[#This Row],[Kv*T "Y"2]]*3^0.5,Table1[[#This Row],[Kv*T "D"2]]))</f>
        <v/>
      </c>
      <c r="AM82" s="147" t="str">
        <f>IF(Table1[[#This Row],[Std Inch per turn]]="","",Table1[[#This Row],[Std Inch per turn]])</f>
        <v/>
      </c>
      <c r="AN82" s="75" t="str">
        <f>IF(AND(Table1[[#This Row],[Variant]]=$AN$4,Table1[[#This Row],[Kv*T]]&gt;0,Table1[[#This Row],[Term.]]="D"),Table1[[#This Row],[Kv*T]],"")</f>
        <v/>
      </c>
      <c r="AO82" s="75" t="str">
        <f>IF(AND(Table1[[#This Row],[Variant]]=$AN$4,Table1[[#This Row],[Kv*T]]&gt;0,Table1[[#This Row],[Term.]]="Y"),Table1[[#This Row],[Kv*T]],"")</f>
        <v/>
      </c>
      <c r="AP82" s="73" t="str">
        <f>IF(AND(Table1[[#This Row],[Kv*T "D"3]]="",Table1[[#This Row],[Kv*T "Y"3]]=""),"",IF(Table1[[#This Row],[Kv*T "D"3]]="",Table1[[#This Row],[Kv*T "Y"3]]*3^0.5,Table1[[#This Row],[Kv*T "D"3]]))</f>
        <v/>
      </c>
      <c r="AQ82" s="73"/>
      <c r="AR82" s="75" t="str">
        <f>IF(AND(Table1[[#This Row],[Variant]]=$AR$4,Table1[[#This Row],[Kv*T]]&gt;0,Table1[[#This Row],[Term.]]="D"),Table1[[#This Row],[Kv*T]],"")</f>
        <v/>
      </c>
      <c r="AS82" s="75" t="str">
        <f>IF(AND(Table1[[#This Row],[Variant]]=$AR$4,Table1[[#This Row],[Kv*T]]&gt;0,Table1[[#This Row],[Term.]]="Y"),Table1[[#This Row],[Kv*T]],"")</f>
        <v/>
      </c>
      <c r="AT82" s="73" t="str">
        <f>IF(AND(Table1[[#This Row],[Kv*T "D"4]]="",Table1[[#This Row],[Kv*T "Y"4]]=""),"",IF(Table1[[#This Row],[Kv*T "D"4]]="",Table1[[#This Row],[Kv*T "Y"4]]*3^0.5,Table1[[#This Row],[Kv*T "D"4]]))</f>
        <v/>
      </c>
      <c r="AU82" s="73"/>
      <c r="AV82" s="75" t="str">
        <f>IF(AND(Table1[[#This Row],[Variant]]=$AV$4,Table1[[#This Row],[Kv*T]]&gt;0,Table1[[#This Row],[Term.]]="D"),Table1[[#This Row],[Kv*T]],"")</f>
        <v/>
      </c>
      <c r="AW82" s="75" t="str">
        <f>IF(AND(Table1[[#This Row],[Variant]]=$AV$4,Table1[[#This Row],[Kv*T]]&gt;0,Table1[[#This Row],[Term.]]="Y"),Table1[[#This Row],[Kv*T]],"")</f>
        <v/>
      </c>
      <c r="AX82" s="73" t="str">
        <f>IF(AND(Table1[[#This Row],[Kv*T "D"5]]="",Table1[[#This Row],[Kv*T "Y"5]]=""),"",IF(Table1[[#This Row],[Kv*T "D"5]]="",Table1[[#This Row],[Kv*T "Y"5]]*3^0.5,Table1[[#This Row],[Kv*T "D"5]]))</f>
        <v/>
      </c>
      <c r="AY82" s="73"/>
    </row>
    <row r="83" spans="1:51">
      <c r="A83" s="17"/>
      <c r="B83" s="5"/>
      <c r="C83" s="5"/>
      <c r="D83" s="87"/>
      <c r="E83" s="87"/>
      <c r="F83" s="86" t="str">
        <f t="shared" si="10"/>
        <v/>
      </c>
      <c r="G83" s="5"/>
      <c r="H83" s="5"/>
      <c r="I83" s="98" t="str">
        <f>IF(OR(Table1[[#This Row],[Phys. Turns]]="",Table1[[#This Row],[Wire]]="",Table1[[#This Row],[Parallel]]=""),"",Table1[[#This Row],[Phys. Turns]]*VLOOKUP(Table1[[#This Row],[Wire]],wirelist,4,FALSE))</f>
        <v/>
      </c>
      <c r="J83" s="18"/>
      <c r="K83" s="19"/>
      <c r="L83" s="20"/>
      <c r="M83" s="5"/>
      <c r="N83" s="49"/>
      <c r="O83" s="19"/>
      <c r="P83" s="5"/>
      <c r="Q83" s="19"/>
      <c r="R83" s="19"/>
      <c r="S83" s="49"/>
      <c r="T83" s="43" t="str">
        <f t="shared" si="11"/>
        <v/>
      </c>
      <c r="U83" s="5"/>
      <c r="V83" s="143"/>
      <c r="W83" s="46" t="str">
        <f>IF(OR(P83="",Table1[[#This Row],[Prop.]]="No Load"),"",(Tests!AC83/VLOOKUP(Table1[[#This Row],[Prop.]],proplist,6,FALSE))*VLOOKUP(Table1[[#This Row],[Prop.]],proplist,4,FALSE)/28.3*(Table1[[#This Row],[RPM]]/1000)^VLOOKUP(Table1[[#This Row],[Prop.]],proplist,5,FALSE))</f>
        <v/>
      </c>
      <c r="X83" s="47" t="str">
        <f>IF(OR(P83="",Table1[[#This Row],[Prop.]]="No Load"),"",(AC83/VLOOKUP(Table1[[#This Row],[Prop.]],proplist,9,FALSE))*VLOOKUP(Table1[[#This Row],[Prop.]],proplist,7,FALSE)*(Table1[[#This Row],[RPM]]/1000)^(VLOOKUP(Table1[[#This Row],[Prop.]],proplist,8,FALSE))/Table1[[#This Row],[Pin '[W']]])</f>
        <v/>
      </c>
      <c r="Y83" s="43" t="str">
        <f>IF(OR(P83="",Table1[[#This Row],[Prop.]]="No Load"),"",P83*VLOOKUP(Table1[[#This Row],[Prop.]],proplist,3,FALSE)/1056)</f>
        <v/>
      </c>
      <c r="Z83" s="43" t="str">
        <f t="shared" si="9"/>
        <v/>
      </c>
      <c r="AA83" s="44" t="str">
        <f>IF(OR(AB83="",Table1[[#This Row],[Prop.]]="No Load"),"",AB83*(1-X83))</f>
        <v/>
      </c>
      <c r="AB83" s="103" t="str">
        <f t="shared" si="12"/>
        <v/>
      </c>
      <c r="AC83" s="45" t="str">
        <f t="shared" si="13"/>
        <v/>
      </c>
      <c r="AD83" s="73" t="str">
        <f>IF(Table1[[#This Row],[Prop.]]="No Load",Table1[[#This Row],["T"]]*Table1[[#This Row],[RPM]]/Table1[[#This Row],[V]],"")</f>
        <v/>
      </c>
      <c r="AE83" s="74" t="str">
        <f>IF(OR(C83="",E83="",H83=""),"",IF(Table1[[#This Row],[Prop.]]="No Load",IF(E83=1,(H83-10)/C83,IF(E83=2,2*(H83-10)/C83,4*(H83-10))),""))</f>
        <v/>
      </c>
      <c r="AF83" s="45" t="str">
        <f>IF(AND(Table1[[#This Row],[Variant]]=$AF$4,Table1[[#This Row],[Kv*T]]&gt;0,Table1[[#This Row],[Term.]]="D"),Table1[[#This Row],[Kv*T]],"")</f>
        <v/>
      </c>
      <c r="AG83" s="45" t="str">
        <f>IF(AND(Table1[[#This Row],[Variant]]=$AF$4,Table1[[#This Row],[Kv*T]]&gt;0,Table1[[#This Row],[Term.]]="Y"),Table1[[#This Row],[Kv*T]],"")</f>
        <v/>
      </c>
      <c r="AH83" s="73" t="str">
        <f>IF(AND(Table1[[#This Row],[Kv*T "D"]]="",Table1[[#This Row],[Kv*T "Y"]]=""),"",IF(Table1[[#This Row],[Kv*T "D"]]="",Table1[[#This Row],[Kv*T "Y"]]*3^0.5,Table1[[#This Row],[Kv*T "D"]]))</f>
        <v/>
      </c>
      <c r="AI83" s="147" t="str">
        <f>IF(Table1[[#This Row],[Std Inch per turn]]="","",Table1[[#This Row],[Std Inch per turn]])</f>
        <v/>
      </c>
      <c r="AJ83" s="75" t="str">
        <f>IF(AND(Table1[[#This Row],[Variant]]=$AJ$4,Table1[[#This Row],[Kv*T]]&gt;0,Table1[[#This Row],[Term.]]="D"),Table1[[#This Row],[Kv*T]],"")</f>
        <v/>
      </c>
      <c r="AK83" s="75" t="str">
        <f>IF(AND(Table1[[#This Row],[Variant]]=$AJ$4,Table1[[#This Row],[Kv*T]]&gt;0,Table1[[#This Row],[Term.]]="Y"),Table1[[#This Row],[Kv*T]],"")</f>
        <v/>
      </c>
      <c r="AL83" s="73" t="str">
        <f>IF(AND(Table1[[#This Row],[Kv*T "D"2]]="",Table1[[#This Row],[Kv*T "Y"2]]=""),"",IF(Table1[[#This Row],[Kv*T "D"2]]="",Table1[[#This Row],[Kv*T "Y"2]]*3^0.5,Table1[[#This Row],[Kv*T "D"2]]))</f>
        <v/>
      </c>
      <c r="AM83" s="147" t="str">
        <f>IF(Table1[[#This Row],[Std Inch per turn]]="","",Table1[[#This Row],[Std Inch per turn]])</f>
        <v/>
      </c>
      <c r="AN83" s="75" t="str">
        <f>IF(AND(Table1[[#This Row],[Variant]]=$AN$4,Table1[[#This Row],[Kv*T]]&gt;0,Table1[[#This Row],[Term.]]="D"),Table1[[#This Row],[Kv*T]],"")</f>
        <v/>
      </c>
      <c r="AO83" s="75" t="str">
        <f>IF(AND(Table1[[#This Row],[Variant]]=$AN$4,Table1[[#This Row],[Kv*T]]&gt;0,Table1[[#This Row],[Term.]]="Y"),Table1[[#This Row],[Kv*T]],"")</f>
        <v/>
      </c>
      <c r="AP83" s="73" t="str">
        <f>IF(AND(Table1[[#This Row],[Kv*T "D"3]]="",Table1[[#This Row],[Kv*T "Y"3]]=""),"",IF(Table1[[#This Row],[Kv*T "D"3]]="",Table1[[#This Row],[Kv*T "Y"3]]*3^0.5,Table1[[#This Row],[Kv*T "D"3]]))</f>
        <v/>
      </c>
      <c r="AQ83" s="73"/>
      <c r="AR83" s="75" t="str">
        <f>IF(AND(Table1[[#This Row],[Variant]]=$AR$4,Table1[[#This Row],[Kv*T]]&gt;0,Table1[[#This Row],[Term.]]="D"),Table1[[#This Row],[Kv*T]],"")</f>
        <v/>
      </c>
      <c r="AS83" s="75" t="str">
        <f>IF(AND(Table1[[#This Row],[Variant]]=$AR$4,Table1[[#This Row],[Kv*T]]&gt;0,Table1[[#This Row],[Term.]]="Y"),Table1[[#This Row],[Kv*T]],"")</f>
        <v/>
      </c>
      <c r="AT83" s="73" t="str">
        <f>IF(AND(Table1[[#This Row],[Kv*T "D"4]]="",Table1[[#This Row],[Kv*T "Y"4]]=""),"",IF(Table1[[#This Row],[Kv*T "D"4]]="",Table1[[#This Row],[Kv*T "Y"4]]*3^0.5,Table1[[#This Row],[Kv*T "D"4]]))</f>
        <v/>
      </c>
      <c r="AU83" s="73"/>
      <c r="AV83" s="75" t="str">
        <f>IF(AND(Table1[[#This Row],[Variant]]=$AV$4,Table1[[#This Row],[Kv*T]]&gt;0,Table1[[#This Row],[Term.]]="D"),Table1[[#This Row],[Kv*T]],"")</f>
        <v/>
      </c>
      <c r="AW83" s="75" t="str">
        <f>IF(AND(Table1[[#This Row],[Variant]]=$AV$4,Table1[[#This Row],[Kv*T]]&gt;0,Table1[[#This Row],[Term.]]="Y"),Table1[[#This Row],[Kv*T]],"")</f>
        <v/>
      </c>
      <c r="AX83" s="73" t="str">
        <f>IF(AND(Table1[[#This Row],[Kv*T "D"5]]="",Table1[[#This Row],[Kv*T "Y"5]]=""),"",IF(Table1[[#This Row],[Kv*T "D"5]]="",Table1[[#This Row],[Kv*T "Y"5]]*3^0.5,Table1[[#This Row],[Kv*T "D"5]]))</f>
        <v/>
      </c>
      <c r="AY83" s="73"/>
    </row>
    <row r="84" spans="1:51">
      <c r="A84" s="17"/>
      <c r="B84" s="5"/>
      <c r="C84" s="5"/>
      <c r="D84" s="87"/>
      <c r="E84" s="87"/>
      <c r="F84" s="86" t="str">
        <f t="shared" si="10"/>
        <v/>
      </c>
      <c r="G84" s="5"/>
      <c r="H84" s="5"/>
      <c r="I84" s="98" t="str">
        <f>IF(OR(Table1[[#This Row],[Phys. Turns]]="",Table1[[#This Row],[Wire]]="",Table1[[#This Row],[Parallel]]=""),"",Table1[[#This Row],[Phys. Turns]]*VLOOKUP(Table1[[#This Row],[Wire]],wirelist,4,FALSE))</f>
        <v/>
      </c>
      <c r="J84" s="18"/>
      <c r="K84" s="19"/>
      <c r="L84" s="20"/>
      <c r="M84" s="5"/>
      <c r="N84" s="49"/>
      <c r="O84" s="19"/>
      <c r="P84" s="5"/>
      <c r="Q84" s="19"/>
      <c r="R84" s="19"/>
      <c r="S84" s="49"/>
      <c r="T84" s="43" t="str">
        <f t="shared" si="11"/>
        <v/>
      </c>
      <c r="U84" s="5"/>
      <c r="V84" s="143"/>
      <c r="W84" s="46" t="str">
        <f>IF(OR(P84="",Table1[[#This Row],[Prop.]]="No Load"),"",(Tests!AC84/VLOOKUP(Table1[[#This Row],[Prop.]],proplist,6,FALSE))*VLOOKUP(Table1[[#This Row],[Prop.]],proplist,4,FALSE)/28.3*(Table1[[#This Row],[RPM]]/1000)^VLOOKUP(Table1[[#This Row],[Prop.]],proplist,5,FALSE))</f>
        <v/>
      </c>
      <c r="X84" s="47" t="str">
        <f>IF(OR(P84="",Table1[[#This Row],[Prop.]]="No Load"),"",(AC84/VLOOKUP(Table1[[#This Row],[Prop.]],proplist,9,FALSE))*VLOOKUP(Table1[[#This Row],[Prop.]],proplist,7,FALSE)*(Table1[[#This Row],[RPM]]/1000)^(VLOOKUP(Table1[[#This Row],[Prop.]],proplist,8,FALSE))/Table1[[#This Row],[Pin '[W']]])</f>
        <v/>
      </c>
      <c r="Y84" s="43" t="str">
        <f>IF(OR(P84="",Table1[[#This Row],[Prop.]]="No Load"),"",P84*VLOOKUP(Table1[[#This Row],[Prop.]],proplist,3,FALSE)/1056)</f>
        <v/>
      </c>
      <c r="Z84" s="43" t="str">
        <f t="shared" ref="Z84:Z120" si="14">IF(W84="","",W84*28.37/AB84)</f>
        <v/>
      </c>
      <c r="AA84" s="44" t="str">
        <f>IF(OR(AB84="",Table1[[#This Row],[Prop.]]="No Load"),"",AB84*(1-X84))</f>
        <v/>
      </c>
      <c r="AB84" s="103" t="str">
        <f t="shared" si="12"/>
        <v/>
      </c>
      <c r="AC84" s="45" t="str">
        <f t="shared" si="13"/>
        <v/>
      </c>
      <c r="AD84" s="73" t="str">
        <f>IF(Table1[[#This Row],[Prop.]]="No Load",Table1[[#This Row],["T"]]*Table1[[#This Row],[RPM]]/Table1[[#This Row],[V]],"")</f>
        <v/>
      </c>
      <c r="AE84" s="74" t="str">
        <f>IF(OR(C84="",E84="",H84=""),"",IF(Table1[[#This Row],[Prop.]]="No Load",IF(E84=1,(H84-10)/C84,IF(E84=2,2*(H84-10)/C84,4*(H84-10))),""))</f>
        <v/>
      </c>
      <c r="AF84" s="45" t="str">
        <f>IF(AND(Table1[[#This Row],[Variant]]=$AF$4,Table1[[#This Row],[Kv*T]]&gt;0,Table1[[#This Row],[Term.]]="D"),Table1[[#This Row],[Kv*T]],"")</f>
        <v/>
      </c>
      <c r="AG84" s="45" t="str">
        <f>IF(AND(Table1[[#This Row],[Variant]]=$AF$4,Table1[[#This Row],[Kv*T]]&gt;0,Table1[[#This Row],[Term.]]="Y"),Table1[[#This Row],[Kv*T]],"")</f>
        <v/>
      </c>
      <c r="AH84" s="73" t="str">
        <f>IF(AND(Table1[[#This Row],[Kv*T "D"]]="",Table1[[#This Row],[Kv*T "Y"]]=""),"",IF(Table1[[#This Row],[Kv*T "D"]]="",Table1[[#This Row],[Kv*T "Y"]]*3^0.5,Table1[[#This Row],[Kv*T "D"]]))</f>
        <v/>
      </c>
      <c r="AI84" s="147" t="str">
        <f>IF(Table1[[#This Row],[Std Inch per turn]]="","",Table1[[#This Row],[Std Inch per turn]])</f>
        <v/>
      </c>
      <c r="AJ84" s="75" t="str">
        <f>IF(AND(Table1[[#This Row],[Variant]]=$AJ$4,Table1[[#This Row],[Kv*T]]&gt;0,Table1[[#This Row],[Term.]]="D"),Table1[[#This Row],[Kv*T]],"")</f>
        <v/>
      </c>
      <c r="AK84" s="75" t="str">
        <f>IF(AND(Table1[[#This Row],[Variant]]=$AJ$4,Table1[[#This Row],[Kv*T]]&gt;0,Table1[[#This Row],[Term.]]="Y"),Table1[[#This Row],[Kv*T]],"")</f>
        <v/>
      </c>
      <c r="AL84" s="73" t="str">
        <f>IF(AND(Table1[[#This Row],[Kv*T "D"2]]="",Table1[[#This Row],[Kv*T "Y"2]]=""),"",IF(Table1[[#This Row],[Kv*T "D"2]]="",Table1[[#This Row],[Kv*T "Y"2]]*3^0.5,Table1[[#This Row],[Kv*T "D"2]]))</f>
        <v/>
      </c>
      <c r="AM84" s="147" t="str">
        <f>IF(Table1[[#This Row],[Std Inch per turn]]="","",Table1[[#This Row],[Std Inch per turn]])</f>
        <v/>
      </c>
      <c r="AN84" s="75" t="str">
        <f>IF(AND(Table1[[#This Row],[Variant]]=$AN$4,Table1[[#This Row],[Kv*T]]&gt;0,Table1[[#This Row],[Term.]]="D"),Table1[[#This Row],[Kv*T]],"")</f>
        <v/>
      </c>
      <c r="AO84" s="75" t="str">
        <f>IF(AND(Table1[[#This Row],[Variant]]=$AN$4,Table1[[#This Row],[Kv*T]]&gt;0,Table1[[#This Row],[Term.]]="Y"),Table1[[#This Row],[Kv*T]],"")</f>
        <v/>
      </c>
      <c r="AP84" s="73" t="str">
        <f>IF(AND(Table1[[#This Row],[Kv*T "D"3]]="",Table1[[#This Row],[Kv*T "Y"3]]=""),"",IF(Table1[[#This Row],[Kv*T "D"3]]="",Table1[[#This Row],[Kv*T "Y"3]]*3^0.5,Table1[[#This Row],[Kv*T "D"3]]))</f>
        <v/>
      </c>
      <c r="AQ84" s="73"/>
      <c r="AR84" s="75" t="str">
        <f>IF(AND(Table1[[#This Row],[Variant]]=$AR$4,Table1[[#This Row],[Kv*T]]&gt;0,Table1[[#This Row],[Term.]]="D"),Table1[[#This Row],[Kv*T]],"")</f>
        <v/>
      </c>
      <c r="AS84" s="75" t="str">
        <f>IF(AND(Table1[[#This Row],[Variant]]=$AR$4,Table1[[#This Row],[Kv*T]]&gt;0,Table1[[#This Row],[Term.]]="Y"),Table1[[#This Row],[Kv*T]],"")</f>
        <v/>
      </c>
      <c r="AT84" s="73" t="str">
        <f>IF(AND(Table1[[#This Row],[Kv*T "D"4]]="",Table1[[#This Row],[Kv*T "Y"4]]=""),"",IF(Table1[[#This Row],[Kv*T "D"4]]="",Table1[[#This Row],[Kv*T "Y"4]]*3^0.5,Table1[[#This Row],[Kv*T "D"4]]))</f>
        <v/>
      </c>
      <c r="AU84" s="73"/>
      <c r="AV84" s="75" t="str">
        <f>IF(AND(Table1[[#This Row],[Variant]]=$AV$4,Table1[[#This Row],[Kv*T]]&gt;0,Table1[[#This Row],[Term.]]="D"),Table1[[#This Row],[Kv*T]],"")</f>
        <v/>
      </c>
      <c r="AW84" s="75" t="str">
        <f>IF(AND(Table1[[#This Row],[Variant]]=$AV$4,Table1[[#This Row],[Kv*T]]&gt;0,Table1[[#This Row],[Term.]]="Y"),Table1[[#This Row],[Kv*T]],"")</f>
        <v/>
      </c>
      <c r="AX84" s="73" t="str">
        <f>IF(AND(Table1[[#This Row],[Kv*T "D"5]]="",Table1[[#This Row],[Kv*T "Y"5]]=""),"",IF(Table1[[#This Row],[Kv*T "D"5]]="",Table1[[#This Row],[Kv*T "Y"5]]*3^0.5,Table1[[#This Row],[Kv*T "D"5]]))</f>
        <v/>
      </c>
      <c r="AY84" s="73"/>
    </row>
    <row r="85" spans="1:51">
      <c r="A85" s="17"/>
      <c r="B85" s="5"/>
      <c r="C85" s="5"/>
      <c r="D85" s="87"/>
      <c r="E85" s="87"/>
      <c r="F85" s="86" t="str">
        <f t="shared" si="10"/>
        <v/>
      </c>
      <c r="G85" s="5"/>
      <c r="H85" s="5"/>
      <c r="I85" s="98" t="str">
        <f>IF(OR(Table1[[#This Row],[Phys. Turns]]="",Table1[[#This Row],[Wire]]="",Table1[[#This Row],[Parallel]]=""),"",Table1[[#This Row],[Phys. Turns]]*VLOOKUP(Table1[[#This Row],[Wire]],wirelist,4,FALSE))</f>
        <v/>
      </c>
      <c r="J85" s="18"/>
      <c r="K85" s="19"/>
      <c r="L85" s="20"/>
      <c r="M85" s="5"/>
      <c r="N85" s="49"/>
      <c r="O85" s="19"/>
      <c r="P85" s="5"/>
      <c r="Q85" s="19"/>
      <c r="R85" s="19"/>
      <c r="S85" s="49"/>
      <c r="T85" s="43" t="str">
        <f t="shared" si="11"/>
        <v/>
      </c>
      <c r="U85" s="5"/>
      <c r="V85" s="143"/>
      <c r="W85" s="46" t="str">
        <f>IF(OR(P85="",Table1[[#This Row],[Prop.]]="No Load"),"",(Tests!AC85/VLOOKUP(Table1[[#This Row],[Prop.]],proplist,6,FALSE))*VLOOKUP(Table1[[#This Row],[Prop.]],proplist,4,FALSE)/28.3*(Table1[[#This Row],[RPM]]/1000)^VLOOKUP(Table1[[#This Row],[Prop.]],proplist,5,FALSE))</f>
        <v/>
      </c>
      <c r="X85" s="47" t="str">
        <f>IF(OR(P85="",Table1[[#This Row],[Prop.]]="No Load"),"",(AC85/VLOOKUP(Table1[[#This Row],[Prop.]],proplist,9,FALSE))*VLOOKUP(Table1[[#This Row],[Prop.]],proplist,7,FALSE)*(Table1[[#This Row],[RPM]]/1000)^(VLOOKUP(Table1[[#This Row],[Prop.]],proplist,8,FALSE))/Table1[[#This Row],[Pin '[W']]])</f>
        <v/>
      </c>
      <c r="Y85" s="43" t="str">
        <f>IF(OR(P85="",Table1[[#This Row],[Prop.]]="No Load"),"",P85*VLOOKUP(Table1[[#This Row],[Prop.]],proplist,3,FALSE)/1056)</f>
        <v/>
      </c>
      <c r="Z85" s="43" t="str">
        <f t="shared" si="14"/>
        <v/>
      </c>
      <c r="AA85" s="44" t="str">
        <f>IF(OR(AB85="",Table1[[#This Row],[Prop.]]="No Load"),"",AB85*(1-X85))</f>
        <v/>
      </c>
      <c r="AB85" s="103" t="str">
        <f t="shared" si="12"/>
        <v/>
      </c>
      <c r="AC85" s="45" t="str">
        <f t="shared" si="13"/>
        <v/>
      </c>
      <c r="AD85" s="73" t="str">
        <f>IF(Table1[[#This Row],[Prop.]]="No Load",Table1[[#This Row],["T"]]*Table1[[#This Row],[RPM]]/Table1[[#This Row],[V]],"")</f>
        <v/>
      </c>
      <c r="AE85" s="74" t="str">
        <f>IF(OR(C85="",E85="",H85=""),"",IF(Table1[[#This Row],[Prop.]]="No Load",IF(E85=1,(H85-10)/C85,IF(E85=2,2*(H85-10)/C85,4*(H85-10))),""))</f>
        <v/>
      </c>
      <c r="AF85" s="45" t="str">
        <f>IF(AND(Table1[[#This Row],[Variant]]=$AF$4,Table1[[#This Row],[Kv*T]]&gt;0,Table1[[#This Row],[Term.]]="D"),Table1[[#This Row],[Kv*T]],"")</f>
        <v/>
      </c>
      <c r="AG85" s="45" t="str">
        <f>IF(AND(Table1[[#This Row],[Variant]]=$AF$4,Table1[[#This Row],[Kv*T]]&gt;0,Table1[[#This Row],[Term.]]="Y"),Table1[[#This Row],[Kv*T]],"")</f>
        <v/>
      </c>
      <c r="AH85" s="73" t="str">
        <f>IF(AND(Table1[[#This Row],[Kv*T "D"]]="",Table1[[#This Row],[Kv*T "Y"]]=""),"",IF(Table1[[#This Row],[Kv*T "D"]]="",Table1[[#This Row],[Kv*T "Y"]]*3^0.5,Table1[[#This Row],[Kv*T "D"]]))</f>
        <v/>
      </c>
      <c r="AI85" s="147" t="str">
        <f>IF(Table1[[#This Row],[Std Inch per turn]]="","",Table1[[#This Row],[Std Inch per turn]])</f>
        <v/>
      </c>
      <c r="AJ85" s="75" t="str">
        <f>IF(AND(Table1[[#This Row],[Variant]]=$AJ$4,Table1[[#This Row],[Kv*T]]&gt;0,Table1[[#This Row],[Term.]]="D"),Table1[[#This Row],[Kv*T]],"")</f>
        <v/>
      </c>
      <c r="AK85" s="75" t="str">
        <f>IF(AND(Table1[[#This Row],[Variant]]=$AJ$4,Table1[[#This Row],[Kv*T]]&gt;0,Table1[[#This Row],[Term.]]="Y"),Table1[[#This Row],[Kv*T]],"")</f>
        <v/>
      </c>
      <c r="AL85" s="73" t="str">
        <f>IF(AND(Table1[[#This Row],[Kv*T "D"2]]="",Table1[[#This Row],[Kv*T "Y"2]]=""),"",IF(Table1[[#This Row],[Kv*T "D"2]]="",Table1[[#This Row],[Kv*T "Y"2]]*3^0.5,Table1[[#This Row],[Kv*T "D"2]]))</f>
        <v/>
      </c>
      <c r="AM85" s="147" t="str">
        <f>IF(Table1[[#This Row],[Std Inch per turn]]="","",Table1[[#This Row],[Std Inch per turn]])</f>
        <v/>
      </c>
      <c r="AN85" s="75" t="str">
        <f>IF(AND(Table1[[#This Row],[Variant]]=$AN$4,Table1[[#This Row],[Kv*T]]&gt;0,Table1[[#This Row],[Term.]]="D"),Table1[[#This Row],[Kv*T]],"")</f>
        <v/>
      </c>
      <c r="AO85" s="75" t="str">
        <f>IF(AND(Table1[[#This Row],[Variant]]=$AN$4,Table1[[#This Row],[Kv*T]]&gt;0,Table1[[#This Row],[Term.]]="Y"),Table1[[#This Row],[Kv*T]],"")</f>
        <v/>
      </c>
      <c r="AP85" s="73" t="str">
        <f>IF(AND(Table1[[#This Row],[Kv*T "D"3]]="",Table1[[#This Row],[Kv*T "Y"3]]=""),"",IF(Table1[[#This Row],[Kv*T "D"3]]="",Table1[[#This Row],[Kv*T "Y"3]]*3^0.5,Table1[[#This Row],[Kv*T "D"3]]))</f>
        <v/>
      </c>
      <c r="AQ85" s="73"/>
      <c r="AR85" s="75" t="str">
        <f>IF(AND(Table1[[#This Row],[Variant]]=$AR$4,Table1[[#This Row],[Kv*T]]&gt;0,Table1[[#This Row],[Term.]]="D"),Table1[[#This Row],[Kv*T]],"")</f>
        <v/>
      </c>
      <c r="AS85" s="75" t="str">
        <f>IF(AND(Table1[[#This Row],[Variant]]=$AR$4,Table1[[#This Row],[Kv*T]]&gt;0,Table1[[#This Row],[Term.]]="Y"),Table1[[#This Row],[Kv*T]],"")</f>
        <v/>
      </c>
      <c r="AT85" s="73" t="str">
        <f>IF(AND(Table1[[#This Row],[Kv*T "D"4]]="",Table1[[#This Row],[Kv*T "Y"4]]=""),"",IF(Table1[[#This Row],[Kv*T "D"4]]="",Table1[[#This Row],[Kv*T "Y"4]]*3^0.5,Table1[[#This Row],[Kv*T "D"4]]))</f>
        <v/>
      </c>
      <c r="AU85" s="73"/>
      <c r="AV85" s="75" t="str">
        <f>IF(AND(Table1[[#This Row],[Variant]]=$AV$4,Table1[[#This Row],[Kv*T]]&gt;0,Table1[[#This Row],[Term.]]="D"),Table1[[#This Row],[Kv*T]],"")</f>
        <v/>
      </c>
      <c r="AW85" s="75" t="str">
        <f>IF(AND(Table1[[#This Row],[Variant]]=$AV$4,Table1[[#This Row],[Kv*T]]&gt;0,Table1[[#This Row],[Term.]]="Y"),Table1[[#This Row],[Kv*T]],"")</f>
        <v/>
      </c>
      <c r="AX85" s="73" t="str">
        <f>IF(AND(Table1[[#This Row],[Kv*T "D"5]]="",Table1[[#This Row],[Kv*T "Y"5]]=""),"",IF(Table1[[#This Row],[Kv*T "D"5]]="",Table1[[#This Row],[Kv*T "Y"5]]*3^0.5,Table1[[#This Row],[Kv*T "D"5]]))</f>
        <v/>
      </c>
      <c r="AY85" s="73"/>
    </row>
    <row r="86" spans="1:51">
      <c r="A86" s="17"/>
      <c r="B86" s="5"/>
      <c r="C86" s="5"/>
      <c r="D86" s="87"/>
      <c r="E86" s="87"/>
      <c r="F86" s="86" t="str">
        <f t="shared" si="10"/>
        <v/>
      </c>
      <c r="G86" s="5"/>
      <c r="H86" s="5"/>
      <c r="I86" s="98" t="str">
        <f>IF(OR(Table1[[#This Row],[Phys. Turns]]="",Table1[[#This Row],[Wire]]="",Table1[[#This Row],[Parallel]]=""),"",Table1[[#This Row],[Phys. Turns]]*VLOOKUP(Table1[[#This Row],[Wire]],wirelist,4,FALSE))</f>
        <v/>
      </c>
      <c r="J86" s="18"/>
      <c r="K86" s="19"/>
      <c r="L86" s="20"/>
      <c r="M86" s="5"/>
      <c r="N86" s="49"/>
      <c r="O86" s="19"/>
      <c r="P86" s="5"/>
      <c r="Q86" s="19"/>
      <c r="R86" s="19"/>
      <c r="S86" s="49"/>
      <c r="T86" s="43" t="str">
        <f t="shared" si="11"/>
        <v/>
      </c>
      <c r="U86" s="5"/>
      <c r="V86" s="143"/>
      <c r="W86" s="46" t="str">
        <f>IF(OR(P86="",Table1[[#This Row],[Prop.]]="No Load"),"",(Tests!AC86/VLOOKUP(Table1[[#This Row],[Prop.]],proplist,6,FALSE))*VLOOKUP(Table1[[#This Row],[Prop.]],proplist,4,FALSE)/28.3*(Table1[[#This Row],[RPM]]/1000)^VLOOKUP(Table1[[#This Row],[Prop.]],proplist,5,FALSE))</f>
        <v/>
      </c>
      <c r="X86" s="47" t="str">
        <f>IF(OR(P86="",Table1[[#This Row],[Prop.]]="No Load"),"",(AC86/VLOOKUP(Table1[[#This Row],[Prop.]],proplist,9,FALSE))*VLOOKUP(Table1[[#This Row],[Prop.]],proplist,7,FALSE)*(Table1[[#This Row],[RPM]]/1000)^(VLOOKUP(Table1[[#This Row],[Prop.]],proplist,8,FALSE))/Table1[[#This Row],[Pin '[W']]])</f>
        <v/>
      </c>
      <c r="Y86" s="43" t="str">
        <f>IF(OR(P86="",Table1[[#This Row],[Prop.]]="No Load"),"",P86*VLOOKUP(Table1[[#This Row],[Prop.]],proplist,3,FALSE)/1056)</f>
        <v/>
      </c>
      <c r="Z86" s="43" t="str">
        <f t="shared" si="14"/>
        <v/>
      </c>
      <c r="AA86" s="44" t="str">
        <f>IF(OR(AB86="",Table1[[#This Row],[Prop.]]="No Load"),"",AB86*(1-X86))</f>
        <v/>
      </c>
      <c r="AB86" s="103" t="str">
        <f t="shared" si="12"/>
        <v/>
      </c>
      <c r="AC86" s="45" t="str">
        <f t="shared" si="13"/>
        <v/>
      </c>
      <c r="AD86" s="73" t="str">
        <f>IF(Table1[[#This Row],[Prop.]]="No Load",Table1[[#This Row],["T"]]*Table1[[#This Row],[RPM]]/Table1[[#This Row],[V]],"")</f>
        <v/>
      </c>
      <c r="AE86" s="74" t="str">
        <f>IF(OR(C86="",E86="",H86=""),"",IF(Table1[[#This Row],[Prop.]]="No Load",IF(E86=1,(H86-10)/C86,IF(E86=2,2*(H86-10)/C86,4*(H86-10))),""))</f>
        <v/>
      </c>
      <c r="AF86" s="45" t="str">
        <f>IF(AND(Table1[[#This Row],[Variant]]=$AF$4,Table1[[#This Row],[Kv*T]]&gt;0,Table1[[#This Row],[Term.]]="D"),Table1[[#This Row],[Kv*T]],"")</f>
        <v/>
      </c>
      <c r="AG86" s="45" t="str">
        <f>IF(AND(Table1[[#This Row],[Variant]]=$AF$4,Table1[[#This Row],[Kv*T]]&gt;0,Table1[[#This Row],[Term.]]="Y"),Table1[[#This Row],[Kv*T]],"")</f>
        <v/>
      </c>
      <c r="AH86" s="73" t="str">
        <f>IF(AND(Table1[[#This Row],[Kv*T "D"]]="",Table1[[#This Row],[Kv*T "Y"]]=""),"",IF(Table1[[#This Row],[Kv*T "D"]]="",Table1[[#This Row],[Kv*T "Y"]]*3^0.5,Table1[[#This Row],[Kv*T "D"]]))</f>
        <v/>
      </c>
      <c r="AI86" s="147" t="str">
        <f>IF(Table1[[#This Row],[Std Inch per turn]]="","",Table1[[#This Row],[Std Inch per turn]])</f>
        <v/>
      </c>
      <c r="AJ86" s="75" t="str">
        <f>IF(AND(Table1[[#This Row],[Variant]]=$AJ$4,Table1[[#This Row],[Kv*T]]&gt;0,Table1[[#This Row],[Term.]]="D"),Table1[[#This Row],[Kv*T]],"")</f>
        <v/>
      </c>
      <c r="AK86" s="75" t="str">
        <f>IF(AND(Table1[[#This Row],[Variant]]=$AJ$4,Table1[[#This Row],[Kv*T]]&gt;0,Table1[[#This Row],[Term.]]="Y"),Table1[[#This Row],[Kv*T]],"")</f>
        <v/>
      </c>
      <c r="AL86" s="73" t="str">
        <f>IF(AND(Table1[[#This Row],[Kv*T "D"2]]="",Table1[[#This Row],[Kv*T "Y"2]]=""),"",IF(Table1[[#This Row],[Kv*T "D"2]]="",Table1[[#This Row],[Kv*T "Y"2]]*3^0.5,Table1[[#This Row],[Kv*T "D"2]]))</f>
        <v/>
      </c>
      <c r="AM86" s="147" t="str">
        <f>IF(Table1[[#This Row],[Std Inch per turn]]="","",Table1[[#This Row],[Std Inch per turn]])</f>
        <v/>
      </c>
      <c r="AN86" s="75" t="str">
        <f>IF(AND(Table1[[#This Row],[Variant]]=$AN$4,Table1[[#This Row],[Kv*T]]&gt;0,Table1[[#This Row],[Term.]]="D"),Table1[[#This Row],[Kv*T]],"")</f>
        <v/>
      </c>
      <c r="AO86" s="75" t="str">
        <f>IF(AND(Table1[[#This Row],[Variant]]=$AN$4,Table1[[#This Row],[Kv*T]]&gt;0,Table1[[#This Row],[Term.]]="Y"),Table1[[#This Row],[Kv*T]],"")</f>
        <v/>
      </c>
      <c r="AP86" s="73" t="str">
        <f>IF(AND(Table1[[#This Row],[Kv*T "D"3]]="",Table1[[#This Row],[Kv*T "Y"3]]=""),"",IF(Table1[[#This Row],[Kv*T "D"3]]="",Table1[[#This Row],[Kv*T "Y"3]]*3^0.5,Table1[[#This Row],[Kv*T "D"3]]))</f>
        <v/>
      </c>
      <c r="AQ86" s="73"/>
      <c r="AR86" s="75" t="str">
        <f>IF(AND(Table1[[#This Row],[Variant]]=$AR$4,Table1[[#This Row],[Kv*T]]&gt;0,Table1[[#This Row],[Term.]]="D"),Table1[[#This Row],[Kv*T]],"")</f>
        <v/>
      </c>
      <c r="AS86" s="75" t="str">
        <f>IF(AND(Table1[[#This Row],[Variant]]=$AR$4,Table1[[#This Row],[Kv*T]]&gt;0,Table1[[#This Row],[Term.]]="Y"),Table1[[#This Row],[Kv*T]],"")</f>
        <v/>
      </c>
      <c r="AT86" s="73" t="str">
        <f>IF(AND(Table1[[#This Row],[Kv*T "D"4]]="",Table1[[#This Row],[Kv*T "Y"4]]=""),"",IF(Table1[[#This Row],[Kv*T "D"4]]="",Table1[[#This Row],[Kv*T "Y"4]]*3^0.5,Table1[[#This Row],[Kv*T "D"4]]))</f>
        <v/>
      </c>
      <c r="AU86" s="73"/>
      <c r="AV86" s="75" t="str">
        <f>IF(AND(Table1[[#This Row],[Variant]]=$AV$4,Table1[[#This Row],[Kv*T]]&gt;0,Table1[[#This Row],[Term.]]="D"),Table1[[#This Row],[Kv*T]],"")</f>
        <v/>
      </c>
      <c r="AW86" s="75" t="str">
        <f>IF(AND(Table1[[#This Row],[Variant]]=$AV$4,Table1[[#This Row],[Kv*T]]&gt;0,Table1[[#This Row],[Term.]]="Y"),Table1[[#This Row],[Kv*T]],"")</f>
        <v/>
      </c>
      <c r="AX86" s="73" t="str">
        <f>IF(AND(Table1[[#This Row],[Kv*T "D"5]]="",Table1[[#This Row],[Kv*T "Y"5]]=""),"",IF(Table1[[#This Row],[Kv*T "D"5]]="",Table1[[#This Row],[Kv*T "Y"5]]*3^0.5,Table1[[#This Row],[Kv*T "D"5]]))</f>
        <v/>
      </c>
      <c r="AY86" s="73"/>
    </row>
    <row r="87" spans="1:51">
      <c r="A87" s="10"/>
      <c r="B87" s="87"/>
      <c r="C87" s="87"/>
      <c r="D87" s="87"/>
      <c r="E87" s="87"/>
      <c r="F87" s="86" t="str">
        <f t="shared" si="10"/>
        <v/>
      </c>
      <c r="G87" s="87"/>
      <c r="H87" s="87"/>
      <c r="I87" s="97" t="str">
        <f>IF(OR(Table1[[#This Row],[Phys. Turns]]="",Table1[[#This Row],[Wire]]="",Table1[[#This Row],[Parallel]]=""),"",Table1[[#This Row],[Phys. Turns]]*VLOOKUP(Table1[[#This Row],[Wire]],wirelist,4,FALSE))</f>
        <v/>
      </c>
      <c r="J87" s="11"/>
      <c r="K87" s="12"/>
      <c r="L87" s="13"/>
      <c r="M87" s="5"/>
      <c r="N87" s="48"/>
      <c r="O87" s="87"/>
      <c r="P87" s="87"/>
      <c r="Q87" s="12"/>
      <c r="R87" s="12"/>
      <c r="S87" s="48"/>
      <c r="T87" s="43" t="str">
        <f t="shared" si="11"/>
        <v/>
      </c>
      <c r="U87" s="146"/>
      <c r="V87" s="142"/>
      <c r="W87" s="46" t="str">
        <f>IF(OR(P87="",Table1[[#This Row],[Prop.]]="No Load"),"",(Tests!AC87/VLOOKUP(Table1[[#This Row],[Prop.]],proplist,6,FALSE))*VLOOKUP(Table1[[#This Row],[Prop.]],proplist,4,FALSE)/28.3*(Table1[[#This Row],[RPM]]/1000)^VLOOKUP(Table1[[#This Row],[Prop.]],proplist,5,FALSE))</f>
        <v/>
      </c>
      <c r="X87" s="47" t="str">
        <f>IF(OR(P87="",Table1[[#This Row],[Prop.]]="No Load"),"",(AC87/VLOOKUP(Table1[[#This Row],[Prop.]],proplist,9,FALSE))*VLOOKUP(Table1[[#This Row],[Prop.]],proplist,7,FALSE)*(Table1[[#This Row],[RPM]]/1000)^(VLOOKUP(Table1[[#This Row],[Prop.]],proplist,8,FALSE))/Table1[[#This Row],[Pin '[W']]])</f>
        <v/>
      </c>
      <c r="Y87" s="43" t="str">
        <f>IF(OR(P87="",Table1[[#This Row],[Prop.]]="No Load"),"",P87*VLOOKUP(Table1[[#This Row],[Prop.]],proplist,3,FALSE)/1056)</f>
        <v/>
      </c>
      <c r="Z87" s="43" t="str">
        <f t="shared" si="14"/>
        <v/>
      </c>
      <c r="AA87" s="44" t="str">
        <f>IF(OR(AB87="",Table1[[#This Row],[Prop.]]="No Load"),"",AB87*(1-X87))</f>
        <v/>
      </c>
      <c r="AB87" s="103" t="str">
        <f t="shared" si="12"/>
        <v/>
      </c>
      <c r="AC87" s="45" t="str">
        <f t="shared" si="13"/>
        <v/>
      </c>
      <c r="AD87" s="73" t="str">
        <f>IF(Table1[[#This Row],[Prop.]]="No Load",Table1[[#This Row],["T"]]*Table1[[#This Row],[RPM]]/Table1[[#This Row],[V]],"")</f>
        <v/>
      </c>
      <c r="AE87" s="74" t="str">
        <f>IF(OR(C87="",E87="",H87=""),"",IF(Table1[[#This Row],[Prop.]]="No Load",IF(E87=1,(H87-10)/C87,IF(E87=2,2*(H87-10)/C87,4*(H87-10))),""))</f>
        <v/>
      </c>
      <c r="AF87" s="45" t="str">
        <f>IF(AND(Table1[[#This Row],[Variant]]=$AF$4,Table1[[#This Row],[Kv*T]]&gt;0,Table1[[#This Row],[Term.]]="D"),Table1[[#This Row],[Kv*T]],"")</f>
        <v/>
      </c>
      <c r="AG87" s="45" t="str">
        <f>IF(AND(Table1[[#This Row],[Variant]]=$AF$4,Table1[[#This Row],[Kv*T]]&gt;0,Table1[[#This Row],[Term.]]="Y"),Table1[[#This Row],[Kv*T]],"")</f>
        <v/>
      </c>
      <c r="AH87" s="73" t="str">
        <f>IF(AND(Table1[[#This Row],[Kv*T "D"]]="",Table1[[#This Row],[Kv*T "Y"]]=""),"",IF(Table1[[#This Row],[Kv*T "D"]]="",Table1[[#This Row],[Kv*T "Y"]]*3^0.5,Table1[[#This Row],[Kv*T "D"]]))</f>
        <v/>
      </c>
      <c r="AI87" s="147" t="str">
        <f>IF(Table1[[#This Row],[Std Inch per turn]]="","",Table1[[#This Row],[Std Inch per turn]])</f>
        <v/>
      </c>
      <c r="AJ87" s="75" t="str">
        <f>IF(AND(Table1[[#This Row],[Variant]]=$AJ$4,Table1[[#This Row],[Kv*T]]&gt;0,Table1[[#This Row],[Term.]]="D"),Table1[[#This Row],[Kv*T]],"")</f>
        <v/>
      </c>
      <c r="AK87" s="75" t="str">
        <f>IF(AND(Table1[[#This Row],[Variant]]=$AJ$4,Table1[[#This Row],[Kv*T]]&gt;0,Table1[[#This Row],[Term.]]="Y"),Table1[[#This Row],[Kv*T]],"")</f>
        <v/>
      </c>
      <c r="AL87" s="73" t="str">
        <f>IF(AND(Table1[[#This Row],[Kv*T "D"2]]="",Table1[[#This Row],[Kv*T "Y"2]]=""),"",IF(Table1[[#This Row],[Kv*T "D"2]]="",Table1[[#This Row],[Kv*T "Y"2]]*3^0.5,Table1[[#This Row],[Kv*T "D"2]]))</f>
        <v/>
      </c>
      <c r="AM87" s="147" t="str">
        <f>IF(Table1[[#This Row],[Std Inch per turn]]="","",Table1[[#This Row],[Std Inch per turn]])</f>
        <v/>
      </c>
      <c r="AN87" s="75" t="str">
        <f>IF(AND(Table1[[#This Row],[Variant]]=$AN$4,Table1[[#This Row],[Kv*T]]&gt;0,Table1[[#This Row],[Term.]]="D"),Table1[[#This Row],[Kv*T]],"")</f>
        <v/>
      </c>
      <c r="AO87" s="75" t="str">
        <f>IF(AND(Table1[[#This Row],[Variant]]=$AN$4,Table1[[#This Row],[Kv*T]]&gt;0,Table1[[#This Row],[Term.]]="Y"),Table1[[#This Row],[Kv*T]],"")</f>
        <v/>
      </c>
      <c r="AP87" s="73" t="str">
        <f>IF(AND(Table1[[#This Row],[Kv*T "D"3]]="",Table1[[#This Row],[Kv*T "Y"3]]=""),"",IF(Table1[[#This Row],[Kv*T "D"3]]="",Table1[[#This Row],[Kv*T "Y"3]]*3^0.5,Table1[[#This Row],[Kv*T "D"3]]))</f>
        <v/>
      </c>
      <c r="AQ87" s="73"/>
      <c r="AR87" s="75" t="str">
        <f>IF(AND(Table1[[#This Row],[Variant]]=$AR$4,Table1[[#This Row],[Kv*T]]&gt;0,Table1[[#This Row],[Term.]]="D"),Table1[[#This Row],[Kv*T]],"")</f>
        <v/>
      </c>
      <c r="AS87" s="75" t="str">
        <f>IF(AND(Table1[[#This Row],[Variant]]=$AR$4,Table1[[#This Row],[Kv*T]]&gt;0,Table1[[#This Row],[Term.]]="Y"),Table1[[#This Row],[Kv*T]],"")</f>
        <v/>
      </c>
      <c r="AT87" s="73" t="str">
        <f>IF(AND(Table1[[#This Row],[Kv*T "D"4]]="",Table1[[#This Row],[Kv*T "Y"4]]=""),"",IF(Table1[[#This Row],[Kv*T "D"4]]="",Table1[[#This Row],[Kv*T "Y"4]]*3^0.5,Table1[[#This Row],[Kv*T "D"4]]))</f>
        <v/>
      </c>
      <c r="AU87" s="73"/>
      <c r="AV87" s="75" t="str">
        <f>IF(AND(Table1[[#This Row],[Variant]]=$AV$4,Table1[[#This Row],[Kv*T]]&gt;0,Table1[[#This Row],[Term.]]="D"),Table1[[#This Row],[Kv*T]],"")</f>
        <v/>
      </c>
      <c r="AW87" s="75" t="str">
        <f>IF(AND(Table1[[#This Row],[Variant]]=$AV$4,Table1[[#This Row],[Kv*T]]&gt;0,Table1[[#This Row],[Term.]]="Y"),Table1[[#This Row],[Kv*T]],"")</f>
        <v/>
      </c>
      <c r="AX87" s="73" t="str">
        <f>IF(AND(Table1[[#This Row],[Kv*T "D"5]]="",Table1[[#This Row],[Kv*T "Y"5]]=""),"",IF(Table1[[#This Row],[Kv*T "D"5]]="",Table1[[#This Row],[Kv*T "Y"5]]*3^0.5,Table1[[#This Row],[Kv*T "D"5]]))</f>
        <v/>
      </c>
      <c r="AY87" s="73"/>
    </row>
    <row r="88" spans="1:51">
      <c r="A88" s="10"/>
      <c r="B88" s="146"/>
      <c r="C88" s="146"/>
      <c r="D88" s="146"/>
      <c r="E88" s="146"/>
      <c r="F88" s="86" t="str">
        <f t="shared" si="10"/>
        <v/>
      </c>
      <c r="G88" s="146"/>
      <c r="H88" s="146"/>
      <c r="I88" s="97" t="str">
        <f>IF(OR(Table1[[#This Row],[Phys. Turns]]="",Table1[[#This Row],[Wire]]="",Table1[[#This Row],[Parallel]]=""),"",Table1[[#This Row],[Phys. Turns]]*VLOOKUP(Table1[[#This Row],[Wire]],wirelist,4,FALSE))</f>
        <v/>
      </c>
      <c r="J88" s="11"/>
      <c r="K88" s="12"/>
      <c r="L88" s="13"/>
      <c r="M88" s="5"/>
      <c r="N88" s="48"/>
      <c r="O88" s="146"/>
      <c r="P88" s="87"/>
      <c r="Q88" s="12"/>
      <c r="R88" s="12"/>
      <c r="S88" s="48"/>
      <c r="T88" s="43" t="str">
        <f t="shared" si="11"/>
        <v/>
      </c>
      <c r="U88" s="146"/>
      <c r="V88" s="142"/>
      <c r="W88" s="46" t="str">
        <f>IF(OR(P88="",Table1[[#This Row],[Prop.]]="No Load"),"",(Tests!AC88/VLOOKUP(Table1[[#This Row],[Prop.]],proplist,6,FALSE))*VLOOKUP(Table1[[#This Row],[Prop.]],proplist,4,FALSE)/28.3*(Table1[[#This Row],[RPM]]/1000)^VLOOKUP(Table1[[#This Row],[Prop.]],proplist,5,FALSE))</f>
        <v/>
      </c>
      <c r="X88" s="47" t="str">
        <f>IF(OR(P88="",Table1[[#This Row],[Prop.]]="No Load"),"",(AC88/VLOOKUP(Table1[[#This Row],[Prop.]],proplist,9,FALSE))*VLOOKUP(Table1[[#This Row],[Prop.]],proplist,7,FALSE)*(Table1[[#This Row],[RPM]]/1000)^(VLOOKUP(Table1[[#This Row],[Prop.]],proplist,8,FALSE))/Table1[[#This Row],[Pin '[W']]])</f>
        <v/>
      </c>
      <c r="Y88" s="43" t="str">
        <f>IF(OR(P88="",Table1[[#This Row],[Prop.]]="No Load"),"",P88*VLOOKUP(Table1[[#This Row],[Prop.]],proplist,3,FALSE)/1056)</f>
        <v/>
      </c>
      <c r="Z88" s="43" t="str">
        <f t="shared" si="14"/>
        <v/>
      </c>
      <c r="AA88" s="44" t="str">
        <f>IF(OR(AB88="",Table1[[#This Row],[Prop.]]="No Load"),"",AB88*(1-X88))</f>
        <v/>
      </c>
      <c r="AB88" s="103" t="str">
        <f t="shared" si="12"/>
        <v/>
      </c>
      <c r="AC88" s="45" t="str">
        <f t="shared" si="13"/>
        <v/>
      </c>
      <c r="AD88" s="73" t="str">
        <f>IF(Table1[[#This Row],[Prop.]]="No Load",Table1[[#This Row],["T"]]*Table1[[#This Row],[RPM]]/Table1[[#This Row],[V]],"")</f>
        <v/>
      </c>
      <c r="AE88" s="74" t="str">
        <f>IF(OR(C88="",E88="",H88=""),"",IF(Table1[[#This Row],[Prop.]]="No Load",IF(E88=1,(H88-10)/C88,IF(E88=2,2*(H88-10)/C88,4*(H88-10))),""))</f>
        <v/>
      </c>
      <c r="AF88" s="45" t="str">
        <f>IF(AND(Table1[[#This Row],[Variant]]=$AF$4,Table1[[#This Row],[Kv*T]]&gt;0,Table1[[#This Row],[Term.]]="D"),Table1[[#This Row],[Kv*T]],"")</f>
        <v/>
      </c>
      <c r="AG88" s="45" t="str">
        <f>IF(AND(Table1[[#This Row],[Variant]]=$AF$4,Table1[[#This Row],[Kv*T]]&gt;0,Table1[[#This Row],[Term.]]="Y"),Table1[[#This Row],[Kv*T]],"")</f>
        <v/>
      </c>
      <c r="AH88" s="73" t="str">
        <f>IF(AND(Table1[[#This Row],[Kv*T "D"]]="",Table1[[#This Row],[Kv*T "Y"]]=""),"",IF(Table1[[#This Row],[Kv*T "D"]]="",Table1[[#This Row],[Kv*T "Y"]]*3^0.5,Table1[[#This Row],[Kv*T "D"]]))</f>
        <v/>
      </c>
      <c r="AI88" s="147" t="str">
        <f>IF(Table1[[#This Row],[Std Inch per turn]]="","",Table1[[#This Row],[Std Inch per turn]])</f>
        <v/>
      </c>
      <c r="AJ88" s="75" t="str">
        <f>IF(AND(Table1[[#This Row],[Variant]]=$AJ$4,Table1[[#This Row],[Kv*T]]&gt;0,Table1[[#This Row],[Term.]]="D"),Table1[[#This Row],[Kv*T]],"")</f>
        <v/>
      </c>
      <c r="AK88" s="75" t="str">
        <f>IF(AND(Table1[[#This Row],[Variant]]=$AJ$4,Table1[[#This Row],[Kv*T]]&gt;0,Table1[[#This Row],[Term.]]="Y"),Table1[[#This Row],[Kv*T]],"")</f>
        <v/>
      </c>
      <c r="AL88" s="73" t="str">
        <f>IF(AND(Table1[[#This Row],[Kv*T "D"2]]="",Table1[[#This Row],[Kv*T "Y"2]]=""),"",IF(Table1[[#This Row],[Kv*T "D"2]]="",Table1[[#This Row],[Kv*T "Y"2]]*3^0.5,Table1[[#This Row],[Kv*T "D"2]]))</f>
        <v/>
      </c>
      <c r="AM88" s="147" t="str">
        <f>IF(Table1[[#This Row],[Std Inch per turn]]="","",Table1[[#This Row],[Std Inch per turn]])</f>
        <v/>
      </c>
      <c r="AN88" s="75" t="str">
        <f>IF(AND(Table1[[#This Row],[Variant]]=$AN$4,Table1[[#This Row],[Kv*T]]&gt;0,Table1[[#This Row],[Term.]]="D"),Table1[[#This Row],[Kv*T]],"")</f>
        <v/>
      </c>
      <c r="AO88" s="75" t="str">
        <f>IF(AND(Table1[[#This Row],[Variant]]=$AN$4,Table1[[#This Row],[Kv*T]]&gt;0,Table1[[#This Row],[Term.]]="Y"),Table1[[#This Row],[Kv*T]],"")</f>
        <v/>
      </c>
      <c r="AP88" s="73" t="str">
        <f>IF(AND(Table1[[#This Row],[Kv*T "D"3]]="",Table1[[#This Row],[Kv*T "Y"3]]=""),"",IF(Table1[[#This Row],[Kv*T "D"3]]="",Table1[[#This Row],[Kv*T "Y"3]]*3^0.5,Table1[[#This Row],[Kv*T "D"3]]))</f>
        <v/>
      </c>
      <c r="AQ88" s="73"/>
      <c r="AR88" s="75" t="str">
        <f>IF(AND(Table1[[#This Row],[Variant]]=$AR$4,Table1[[#This Row],[Kv*T]]&gt;0,Table1[[#This Row],[Term.]]="D"),Table1[[#This Row],[Kv*T]],"")</f>
        <v/>
      </c>
      <c r="AS88" s="75" t="str">
        <f>IF(AND(Table1[[#This Row],[Variant]]=$AR$4,Table1[[#This Row],[Kv*T]]&gt;0,Table1[[#This Row],[Term.]]="Y"),Table1[[#This Row],[Kv*T]],"")</f>
        <v/>
      </c>
      <c r="AT88" s="73" t="str">
        <f>IF(AND(Table1[[#This Row],[Kv*T "D"4]]="",Table1[[#This Row],[Kv*T "Y"4]]=""),"",IF(Table1[[#This Row],[Kv*T "D"4]]="",Table1[[#This Row],[Kv*T "Y"4]]*3^0.5,Table1[[#This Row],[Kv*T "D"4]]))</f>
        <v/>
      </c>
      <c r="AU88" s="73"/>
      <c r="AV88" s="75" t="str">
        <f>IF(AND(Table1[[#This Row],[Variant]]=$AV$4,Table1[[#This Row],[Kv*T]]&gt;0,Table1[[#This Row],[Term.]]="D"),Table1[[#This Row],[Kv*T]],"")</f>
        <v/>
      </c>
      <c r="AW88" s="75" t="str">
        <f>IF(AND(Table1[[#This Row],[Variant]]=$AV$4,Table1[[#This Row],[Kv*T]]&gt;0,Table1[[#This Row],[Term.]]="Y"),Table1[[#This Row],[Kv*T]],"")</f>
        <v/>
      </c>
      <c r="AX88" s="73" t="str">
        <f>IF(AND(Table1[[#This Row],[Kv*T "D"5]]="",Table1[[#This Row],[Kv*T "Y"5]]=""),"",IF(Table1[[#This Row],[Kv*T "D"5]]="",Table1[[#This Row],[Kv*T "Y"5]]*3^0.5,Table1[[#This Row],[Kv*T "D"5]]))</f>
        <v/>
      </c>
      <c r="AY88" s="73"/>
    </row>
    <row r="89" spans="1:51">
      <c r="A89" s="17"/>
      <c r="B89" s="5"/>
      <c r="C89" s="5"/>
      <c r="D89" s="5"/>
      <c r="E89" s="5"/>
      <c r="F89" s="86" t="str">
        <f t="shared" si="10"/>
        <v/>
      </c>
      <c r="G89" s="5"/>
      <c r="H89" s="5"/>
      <c r="I89" s="98" t="str">
        <f>IF(OR(Table1[[#This Row],[Phys. Turns]]="",Table1[[#This Row],[Wire]]="",Table1[[#This Row],[Parallel]]=""),"",Table1[[#This Row],[Phys. Turns]]*VLOOKUP(Table1[[#This Row],[Wire]],wirelist,4,FALSE))</f>
        <v/>
      </c>
      <c r="J89" s="5"/>
      <c r="K89" s="19"/>
      <c r="L89" s="20"/>
      <c r="M89" s="5"/>
      <c r="N89" s="49"/>
      <c r="O89" s="5"/>
      <c r="P89" s="87"/>
      <c r="Q89" s="12"/>
      <c r="R89" s="12"/>
      <c r="S89" s="12"/>
      <c r="T89" s="43" t="str">
        <f t="shared" si="11"/>
        <v/>
      </c>
      <c r="U89" s="48"/>
      <c r="V89" s="144"/>
      <c r="W89" s="46" t="str">
        <f>IF(OR(P89="",Table1[[#This Row],[Prop.]]="No Load"),"",(Tests!AC89/VLOOKUP(Table1[[#This Row],[Prop.]],proplist,6,FALSE))*VLOOKUP(Table1[[#This Row],[Prop.]],proplist,4,FALSE)/28.3*(Table1[[#This Row],[RPM]]/1000)^VLOOKUP(Table1[[#This Row],[Prop.]],proplist,5,FALSE))</f>
        <v/>
      </c>
      <c r="X89" s="47" t="str">
        <f>IF(OR(P89="",Table1[[#This Row],[Prop.]]="No Load"),"",(AC89/VLOOKUP(Table1[[#This Row],[Prop.]],proplist,9,FALSE))*VLOOKUP(Table1[[#This Row],[Prop.]],proplist,7,FALSE)*(Table1[[#This Row],[RPM]]/1000)^(VLOOKUP(Table1[[#This Row],[Prop.]],proplist,8,FALSE))/Table1[[#This Row],[Pin '[W']]])</f>
        <v/>
      </c>
      <c r="Y89" s="43" t="str">
        <f>IF(OR(P89="",Table1[[#This Row],[Prop.]]="No Load"),"",P89*VLOOKUP(Table1[[#This Row],[Prop.]],proplist,3,FALSE)/1056)</f>
        <v/>
      </c>
      <c r="Z89" s="43" t="str">
        <f t="shared" si="14"/>
        <v/>
      </c>
      <c r="AA89" s="44" t="str">
        <f>IF(OR(AB89="",Table1[[#This Row],[Prop.]]="No Load"),"",AB89*(1-X89))</f>
        <v/>
      </c>
      <c r="AB89" s="103" t="str">
        <f t="shared" si="12"/>
        <v/>
      </c>
      <c r="AC89" s="45" t="str">
        <f t="shared" si="13"/>
        <v/>
      </c>
      <c r="AD89" s="73" t="str">
        <f>IF(Table1[[#This Row],[Prop.]]="No Load",Table1[[#This Row],["T"]]*Table1[[#This Row],[RPM]]/Table1[[#This Row],[V]],"")</f>
        <v/>
      </c>
      <c r="AE89" s="74" t="str">
        <f>IF(OR(C89="",E89="",H89=""),"",IF(Table1[[#This Row],[Prop.]]="No Load",IF(E89=1,(H89-10)/C89,IF(E89=2,2*(H89-10)/C89,4*(H89-10))),""))</f>
        <v/>
      </c>
      <c r="AF89" s="45" t="str">
        <f>IF(AND(Table1[[#This Row],[Variant]]=$AF$4,Table1[[#This Row],[Kv*T]]&gt;0,Table1[[#This Row],[Term.]]="D"),Table1[[#This Row],[Kv*T]],"")</f>
        <v/>
      </c>
      <c r="AG89" s="45" t="str">
        <f>IF(AND(Table1[[#This Row],[Variant]]=$AF$4,Table1[[#This Row],[Kv*T]]&gt;0,Table1[[#This Row],[Term.]]="Y"),Table1[[#This Row],[Kv*T]],"")</f>
        <v/>
      </c>
      <c r="AH89" s="73" t="str">
        <f>IF(AND(Table1[[#This Row],[Kv*T "D"]]="",Table1[[#This Row],[Kv*T "Y"]]=""),"",IF(Table1[[#This Row],[Kv*T "D"]]="",Table1[[#This Row],[Kv*T "Y"]]*3^0.5,Table1[[#This Row],[Kv*T "D"]]))</f>
        <v/>
      </c>
      <c r="AI89" s="147" t="str">
        <f>IF(Table1[[#This Row],[Std Inch per turn]]="","",Table1[[#This Row],[Std Inch per turn]])</f>
        <v/>
      </c>
      <c r="AJ89" s="75" t="str">
        <f>IF(AND(Table1[[#This Row],[Variant]]=$AJ$4,Table1[[#This Row],[Kv*T]]&gt;0,Table1[[#This Row],[Term.]]="D"),Table1[[#This Row],[Kv*T]],"")</f>
        <v/>
      </c>
      <c r="AK89" s="75" t="str">
        <f>IF(AND(Table1[[#This Row],[Variant]]=$AJ$4,Table1[[#This Row],[Kv*T]]&gt;0,Table1[[#This Row],[Term.]]="Y"),Table1[[#This Row],[Kv*T]],"")</f>
        <v/>
      </c>
      <c r="AL89" s="73" t="str">
        <f>IF(AND(Table1[[#This Row],[Kv*T "D"2]]="",Table1[[#This Row],[Kv*T "Y"2]]=""),"",IF(Table1[[#This Row],[Kv*T "D"2]]="",Table1[[#This Row],[Kv*T "Y"2]]*3^0.5,Table1[[#This Row],[Kv*T "D"2]]))</f>
        <v/>
      </c>
      <c r="AM89" s="147" t="str">
        <f>IF(Table1[[#This Row],[Std Inch per turn]]="","",Table1[[#This Row],[Std Inch per turn]])</f>
        <v/>
      </c>
      <c r="AN89" s="75" t="str">
        <f>IF(AND(Table1[[#This Row],[Variant]]=$AN$4,Table1[[#This Row],[Kv*T]]&gt;0,Table1[[#This Row],[Term.]]="D"),Table1[[#This Row],[Kv*T]],"")</f>
        <v/>
      </c>
      <c r="AO89" s="75" t="str">
        <f>IF(AND(Table1[[#This Row],[Variant]]=$AN$4,Table1[[#This Row],[Kv*T]]&gt;0,Table1[[#This Row],[Term.]]="Y"),Table1[[#This Row],[Kv*T]],"")</f>
        <v/>
      </c>
      <c r="AP89" s="73" t="str">
        <f>IF(AND(Table1[[#This Row],[Kv*T "D"3]]="",Table1[[#This Row],[Kv*T "Y"3]]=""),"",IF(Table1[[#This Row],[Kv*T "D"3]]="",Table1[[#This Row],[Kv*T "Y"3]]*3^0.5,Table1[[#This Row],[Kv*T "D"3]]))</f>
        <v/>
      </c>
      <c r="AQ89" s="73"/>
      <c r="AR89" s="75" t="str">
        <f>IF(AND(Table1[[#This Row],[Variant]]=$AR$4,Table1[[#This Row],[Kv*T]]&gt;0,Table1[[#This Row],[Term.]]="D"),Table1[[#This Row],[Kv*T]],"")</f>
        <v/>
      </c>
      <c r="AS89" s="75" t="str">
        <f>IF(AND(Table1[[#This Row],[Variant]]=$AR$4,Table1[[#This Row],[Kv*T]]&gt;0,Table1[[#This Row],[Term.]]="Y"),Table1[[#This Row],[Kv*T]],"")</f>
        <v/>
      </c>
      <c r="AT89" s="73" t="str">
        <f>IF(AND(Table1[[#This Row],[Kv*T "D"4]]="",Table1[[#This Row],[Kv*T "Y"4]]=""),"",IF(Table1[[#This Row],[Kv*T "D"4]]="",Table1[[#This Row],[Kv*T "Y"4]]*3^0.5,Table1[[#This Row],[Kv*T "D"4]]))</f>
        <v/>
      </c>
      <c r="AU89" s="73"/>
      <c r="AV89" s="75" t="str">
        <f>IF(AND(Table1[[#This Row],[Variant]]=$AV$4,Table1[[#This Row],[Kv*T]]&gt;0,Table1[[#This Row],[Term.]]="D"),Table1[[#This Row],[Kv*T]],"")</f>
        <v/>
      </c>
      <c r="AW89" s="75" t="str">
        <f>IF(AND(Table1[[#This Row],[Variant]]=$AV$4,Table1[[#This Row],[Kv*T]]&gt;0,Table1[[#This Row],[Term.]]="Y"),Table1[[#This Row],[Kv*T]],"")</f>
        <v/>
      </c>
      <c r="AX89" s="73" t="str">
        <f>IF(AND(Table1[[#This Row],[Kv*T "D"5]]="",Table1[[#This Row],[Kv*T "Y"5]]=""),"",IF(Table1[[#This Row],[Kv*T "D"5]]="",Table1[[#This Row],[Kv*T "Y"5]]*3^0.5,Table1[[#This Row],[Kv*T "D"5]]))</f>
        <v/>
      </c>
      <c r="AY89" s="73"/>
    </row>
    <row r="90" spans="1:51">
      <c r="A90" s="17"/>
      <c r="B90" s="5"/>
      <c r="C90" s="5"/>
      <c r="D90" s="5"/>
      <c r="E90" s="5"/>
      <c r="F90" s="86" t="str">
        <f t="shared" si="10"/>
        <v/>
      </c>
      <c r="G90" s="5"/>
      <c r="H90" s="5"/>
      <c r="I90" s="98" t="str">
        <f>IF(OR(Table1[[#This Row],[Phys. Turns]]="",Table1[[#This Row],[Wire]]="",Table1[[#This Row],[Parallel]]=""),"",Table1[[#This Row],[Phys. Turns]]*VLOOKUP(Table1[[#This Row],[Wire]],wirelist,4,FALSE))</f>
        <v/>
      </c>
      <c r="J90" s="5"/>
      <c r="K90" s="19"/>
      <c r="L90" s="20"/>
      <c r="M90" s="5"/>
      <c r="N90" s="49"/>
      <c r="O90" s="5"/>
      <c r="P90" s="146"/>
      <c r="Q90" s="12"/>
      <c r="R90" s="12"/>
      <c r="S90" s="12"/>
      <c r="T90" s="43" t="str">
        <f t="shared" si="11"/>
        <v/>
      </c>
      <c r="U90" s="48"/>
      <c r="V90" s="144"/>
      <c r="W90" s="46" t="str">
        <f>IF(OR(P90="",Table1[[#This Row],[Prop.]]="No Load"),"",(Tests!AC90/VLOOKUP(Table1[[#This Row],[Prop.]],proplist,6,FALSE))*VLOOKUP(Table1[[#This Row],[Prop.]],proplist,4,FALSE)/28.3*(Table1[[#This Row],[RPM]]/1000)^VLOOKUP(Table1[[#This Row],[Prop.]],proplist,5,FALSE))</f>
        <v/>
      </c>
      <c r="X90" s="47" t="str">
        <f>IF(OR(P90="",Table1[[#This Row],[Prop.]]="No Load"),"",(AC90/VLOOKUP(Table1[[#This Row],[Prop.]],proplist,9,FALSE))*VLOOKUP(Table1[[#This Row],[Prop.]],proplist,7,FALSE)*(Table1[[#This Row],[RPM]]/1000)^(VLOOKUP(Table1[[#This Row],[Prop.]],proplist,8,FALSE))/Table1[[#This Row],[Pin '[W']]])</f>
        <v/>
      </c>
      <c r="Y90" s="43" t="str">
        <f>IF(OR(P90="",Table1[[#This Row],[Prop.]]="No Load"),"",P90*VLOOKUP(Table1[[#This Row],[Prop.]],proplist,3,FALSE)/1056)</f>
        <v/>
      </c>
      <c r="Z90" s="43" t="str">
        <f t="shared" si="14"/>
        <v/>
      </c>
      <c r="AA90" s="44" t="str">
        <f>IF(OR(AB90="",Table1[[#This Row],[Prop.]]="No Load"),"",AB90*(1-X90))</f>
        <v/>
      </c>
      <c r="AB90" s="103" t="str">
        <f t="shared" si="12"/>
        <v/>
      </c>
      <c r="AC90" s="45" t="str">
        <f t="shared" si="13"/>
        <v/>
      </c>
      <c r="AD90" s="73" t="str">
        <f>IF(Table1[[#This Row],[Prop.]]="No Load",Table1[[#This Row],["T"]]*Table1[[#This Row],[RPM]]/Table1[[#This Row],[V]],"")</f>
        <v/>
      </c>
      <c r="AE90" s="74" t="str">
        <f>IF(OR(C90="",E90="",H90=""),"",IF(Table1[[#This Row],[Prop.]]="No Load",IF(E90=1,(H90-10)/C90,IF(E90=2,2*(H90-10)/C90,4*(H90-10))),""))</f>
        <v/>
      </c>
      <c r="AF90" s="45" t="str">
        <f>IF(AND(Table1[[#This Row],[Variant]]=$AF$4,Table1[[#This Row],[Kv*T]]&gt;0,Table1[[#This Row],[Term.]]="D"),Table1[[#This Row],[Kv*T]],"")</f>
        <v/>
      </c>
      <c r="AG90" s="45" t="str">
        <f>IF(AND(Table1[[#This Row],[Variant]]=$AF$4,Table1[[#This Row],[Kv*T]]&gt;0,Table1[[#This Row],[Term.]]="Y"),Table1[[#This Row],[Kv*T]],"")</f>
        <v/>
      </c>
      <c r="AH90" s="73" t="str">
        <f>IF(AND(Table1[[#This Row],[Kv*T "D"]]="",Table1[[#This Row],[Kv*T "Y"]]=""),"",IF(Table1[[#This Row],[Kv*T "D"]]="",Table1[[#This Row],[Kv*T "Y"]]*3^0.5,Table1[[#This Row],[Kv*T "D"]]))</f>
        <v/>
      </c>
      <c r="AI90" s="147" t="str">
        <f>IF(Table1[[#This Row],[Std Inch per turn]]="","",Table1[[#This Row],[Std Inch per turn]])</f>
        <v/>
      </c>
      <c r="AJ90" s="75" t="str">
        <f>IF(AND(Table1[[#This Row],[Variant]]=$AJ$4,Table1[[#This Row],[Kv*T]]&gt;0,Table1[[#This Row],[Term.]]="D"),Table1[[#This Row],[Kv*T]],"")</f>
        <v/>
      </c>
      <c r="AK90" s="75" t="str">
        <f>IF(AND(Table1[[#This Row],[Variant]]=$AJ$4,Table1[[#This Row],[Kv*T]]&gt;0,Table1[[#This Row],[Term.]]="Y"),Table1[[#This Row],[Kv*T]],"")</f>
        <v/>
      </c>
      <c r="AL90" s="73" t="str">
        <f>IF(AND(Table1[[#This Row],[Kv*T "D"2]]="",Table1[[#This Row],[Kv*T "Y"2]]=""),"",IF(Table1[[#This Row],[Kv*T "D"2]]="",Table1[[#This Row],[Kv*T "Y"2]]*3^0.5,Table1[[#This Row],[Kv*T "D"2]]))</f>
        <v/>
      </c>
      <c r="AM90" s="147" t="str">
        <f>IF(Table1[[#This Row],[Std Inch per turn]]="","",Table1[[#This Row],[Std Inch per turn]])</f>
        <v/>
      </c>
      <c r="AN90" s="75" t="str">
        <f>IF(AND(Table1[[#This Row],[Variant]]=$AN$4,Table1[[#This Row],[Kv*T]]&gt;0,Table1[[#This Row],[Term.]]="D"),Table1[[#This Row],[Kv*T]],"")</f>
        <v/>
      </c>
      <c r="AO90" s="75" t="str">
        <f>IF(AND(Table1[[#This Row],[Variant]]=$AN$4,Table1[[#This Row],[Kv*T]]&gt;0,Table1[[#This Row],[Term.]]="Y"),Table1[[#This Row],[Kv*T]],"")</f>
        <v/>
      </c>
      <c r="AP90" s="73" t="str">
        <f>IF(AND(Table1[[#This Row],[Kv*T "D"3]]="",Table1[[#This Row],[Kv*T "Y"3]]=""),"",IF(Table1[[#This Row],[Kv*T "D"3]]="",Table1[[#This Row],[Kv*T "Y"3]]*3^0.5,Table1[[#This Row],[Kv*T "D"3]]))</f>
        <v/>
      </c>
      <c r="AQ90" s="73"/>
      <c r="AR90" s="75" t="str">
        <f>IF(AND(Table1[[#This Row],[Variant]]=$AR$4,Table1[[#This Row],[Kv*T]]&gt;0,Table1[[#This Row],[Term.]]="D"),Table1[[#This Row],[Kv*T]],"")</f>
        <v/>
      </c>
      <c r="AS90" s="75" t="str">
        <f>IF(AND(Table1[[#This Row],[Variant]]=$AR$4,Table1[[#This Row],[Kv*T]]&gt;0,Table1[[#This Row],[Term.]]="Y"),Table1[[#This Row],[Kv*T]],"")</f>
        <v/>
      </c>
      <c r="AT90" s="73" t="str">
        <f>IF(AND(Table1[[#This Row],[Kv*T "D"4]]="",Table1[[#This Row],[Kv*T "Y"4]]=""),"",IF(Table1[[#This Row],[Kv*T "D"4]]="",Table1[[#This Row],[Kv*T "Y"4]]*3^0.5,Table1[[#This Row],[Kv*T "D"4]]))</f>
        <v/>
      </c>
      <c r="AU90" s="73"/>
      <c r="AV90" s="75" t="str">
        <f>IF(AND(Table1[[#This Row],[Variant]]=$AV$4,Table1[[#This Row],[Kv*T]]&gt;0,Table1[[#This Row],[Term.]]="D"),Table1[[#This Row],[Kv*T]],"")</f>
        <v/>
      </c>
      <c r="AW90" s="75" t="str">
        <f>IF(AND(Table1[[#This Row],[Variant]]=$AV$4,Table1[[#This Row],[Kv*T]]&gt;0,Table1[[#This Row],[Term.]]="Y"),Table1[[#This Row],[Kv*T]],"")</f>
        <v/>
      </c>
      <c r="AX90" s="73" t="str">
        <f>IF(AND(Table1[[#This Row],[Kv*T "D"5]]="",Table1[[#This Row],[Kv*T "Y"5]]=""),"",IF(Table1[[#This Row],[Kv*T "D"5]]="",Table1[[#This Row],[Kv*T "Y"5]]*3^0.5,Table1[[#This Row],[Kv*T "D"5]]))</f>
        <v/>
      </c>
      <c r="AY90" s="73"/>
    </row>
    <row r="91" spans="1:51">
      <c r="A91" s="17"/>
      <c r="B91" s="5"/>
      <c r="C91" s="5"/>
      <c r="D91" s="5"/>
      <c r="E91" s="5"/>
      <c r="F91" s="86" t="str">
        <f t="shared" si="10"/>
        <v/>
      </c>
      <c r="G91" s="5"/>
      <c r="H91" s="5"/>
      <c r="I91" s="98" t="str">
        <f>IF(OR(Table1[[#This Row],[Phys. Turns]]="",Table1[[#This Row],[Wire]]="",Table1[[#This Row],[Parallel]]=""),"",Table1[[#This Row],[Phys. Turns]]*VLOOKUP(Table1[[#This Row],[Wire]],wirelist,4,FALSE))</f>
        <v/>
      </c>
      <c r="J91" s="5"/>
      <c r="K91" s="19"/>
      <c r="L91" s="20"/>
      <c r="M91" s="5"/>
      <c r="N91" s="49"/>
      <c r="O91" s="5"/>
      <c r="P91" s="5"/>
      <c r="Q91" s="5"/>
      <c r="R91" s="5"/>
      <c r="S91" s="5"/>
      <c r="T91" s="43" t="str">
        <f t="shared" si="11"/>
        <v/>
      </c>
      <c r="U91" s="102"/>
      <c r="V91" s="144"/>
      <c r="W91" s="46" t="str">
        <f>IF(OR(P91="",Table1[[#This Row],[Prop.]]="No Load"),"",(Tests!AC91/VLOOKUP(Table1[[#This Row],[Prop.]],proplist,6,FALSE))*VLOOKUP(Table1[[#This Row],[Prop.]],proplist,4,FALSE)/28.3*(Table1[[#This Row],[RPM]]/1000)^VLOOKUP(Table1[[#This Row],[Prop.]],proplist,5,FALSE))</f>
        <v/>
      </c>
      <c r="X91" s="47" t="str">
        <f>IF(OR(P91="",Table1[[#This Row],[Prop.]]="No Load"),"",(AC91/VLOOKUP(Table1[[#This Row],[Prop.]],proplist,9,FALSE))*VLOOKUP(Table1[[#This Row],[Prop.]],proplist,7,FALSE)*(Table1[[#This Row],[RPM]]/1000)^(VLOOKUP(Table1[[#This Row],[Prop.]],proplist,8,FALSE))/Table1[[#This Row],[Pin '[W']]])</f>
        <v/>
      </c>
      <c r="Y91" s="43" t="str">
        <f>IF(OR(P91="",Table1[[#This Row],[Prop.]]="No Load"),"",P91*VLOOKUP(Table1[[#This Row],[Prop.]],proplist,3,FALSE)/1056)</f>
        <v/>
      </c>
      <c r="Z91" s="43" t="str">
        <f t="shared" si="14"/>
        <v/>
      </c>
      <c r="AA91" s="44" t="str">
        <f>IF(OR(AB91="",Table1[[#This Row],[Prop.]]="No Load"),"",AB91*(1-X91))</f>
        <v/>
      </c>
      <c r="AB91" s="103" t="str">
        <f t="shared" si="12"/>
        <v/>
      </c>
      <c r="AC91" s="45" t="str">
        <f t="shared" si="13"/>
        <v/>
      </c>
      <c r="AD91" s="73" t="str">
        <f>IF(Table1[[#This Row],[Prop.]]="No Load",Table1[[#This Row],["T"]]*Table1[[#This Row],[RPM]]/Table1[[#This Row],[V]],"")</f>
        <v/>
      </c>
      <c r="AE91" s="74" t="str">
        <f>IF(OR(C91="",E91="",H91=""),"",IF(Table1[[#This Row],[Prop.]]="No Load",IF(E91=1,(H91-10)/C91,IF(E91=2,2*(H91-10)/C91,4*(H91-10))),""))</f>
        <v/>
      </c>
      <c r="AF91" s="45" t="str">
        <f>IF(AND(Table1[[#This Row],[Variant]]=$AF$4,Table1[[#This Row],[Kv*T]]&gt;0,Table1[[#This Row],[Term.]]="D"),Table1[[#This Row],[Kv*T]],"")</f>
        <v/>
      </c>
      <c r="AG91" s="45" t="str">
        <f>IF(AND(Table1[[#This Row],[Variant]]=$AF$4,Table1[[#This Row],[Kv*T]]&gt;0,Table1[[#This Row],[Term.]]="Y"),Table1[[#This Row],[Kv*T]],"")</f>
        <v/>
      </c>
      <c r="AH91" s="73" t="str">
        <f>IF(AND(Table1[[#This Row],[Kv*T "D"]]="",Table1[[#This Row],[Kv*T "Y"]]=""),"",IF(Table1[[#This Row],[Kv*T "D"]]="",Table1[[#This Row],[Kv*T "Y"]]*3^0.5,Table1[[#This Row],[Kv*T "D"]]))</f>
        <v/>
      </c>
      <c r="AI91" s="147" t="str">
        <f>IF(Table1[[#This Row],[Std Inch per turn]]="","",Table1[[#This Row],[Std Inch per turn]])</f>
        <v/>
      </c>
      <c r="AJ91" s="75" t="str">
        <f>IF(AND(Table1[[#This Row],[Variant]]=$AJ$4,Table1[[#This Row],[Kv*T]]&gt;0,Table1[[#This Row],[Term.]]="D"),Table1[[#This Row],[Kv*T]],"")</f>
        <v/>
      </c>
      <c r="AK91" s="75" t="str">
        <f>IF(AND(Table1[[#This Row],[Variant]]=$AJ$4,Table1[[#This Row],[Kv*T]]&gt;0,Table1[[#This Row],[Term.]]="Y"),Table1[[#This Row],[Kv*T]],"")</f>
        <v/>
      </c>
      <c r="AL91" s="73" t="str">
        <f>IF(AND(Table1[[#This Row],[Kv*T "D"2]]="",Table1[[#This Row],[Kv*T "Y"2]]=""),"",IF(Table1[[#This Row],[Kv*T "D"2]]="",Table1[[#This Row],[Kv*T "Y"2]]*3^0.5,Table1[[#This Row],[Kv*T "D"2]]))</f>
        <v/>
      </c>
      <c r="AM91" s="147" t="str">
        <f>IF(Table1[[#This Row],[Std Inch per turn]]="","",Table1[[#This Row],[Std Inch per turn]])</f>
        <v/>
      </c>
      <c r="AN91" s="75" t="str">
        <f>IF(AND(Table1[[#This Row],[Variant]]=$AN$4,Table1[[#This Row],[Kv*T]]&gt;0,Table1[[#This Row],[Term.]]="D"),Table1[[#This Row],[Kv*T]],"")</f>
        <v/>
      </c>
      <c r="AO91" s="75" t="str">
        <f>IF(AND(Table1[[#This Row],[Variant]]=$AN$4,Table1[[#This Row],[Kv*T]]&gt;0,Table1[[#This Row],[Term.]]="Y"),Table1[[#This Row],[Kv*T]],"")</f>
        <v/>
      </c>
      <c r="AP91" s="73" t="str">
        <f>IF(AND(Table1[[#This Row],[Kv*T "D"3]]="",Table1[[#This Row],[Kv*T "Y"3]]=""),"",IF(Table1[[#This Row],[Kv*T "D"3]]="",Table1[[#This Row],[Kv*T "Y"3]]*3^0.5,Table1[[#This Row],[Kv*T "D"3]]))</f>
        <v/>
      </c>
      <c r="AQ91" s="73"/>
      <c r="AR91" s="75" t="str">
        <f>IF(AND(Table1[[#This Row],[Variant]]=$AR$4,Table1[[#This Row],[Kv*T]]&gt;0,Table1[[#This Row],[Term.]]="D"),Table1[[#This Row],[Kv*T]],"")</f>
        <v/>
      </c>
      <c r="AS91" s="75" t="str">
        <f>IF(AND(Table1[[#This Row],[Variant]]=$AR$4,Table1[[#This Row],[Kv*T]]&gt;0,Table1[[#This Row],[Term.]]="Y"),Table1[[#This Row],[Kv*T]],"")</f>
        <v/>
      </c>
      <c r="AT91" s="73" t="str">
        <f>IF(AND(Table1[[#This Row],[Kv*T "D"4]]="",Table1[[#This Row],[Kv*T "Y"4]]=""),"",IF(Table1[[#This Row],[Kv*T "D"4]]="",Table1[[#This Row],[Kv*T "Y"4]]*3^0.5,Table1[[#This Row],[Kv*T "D"4]]))</f>
        <v/>
      </c>
      <c r="AU91" s="73"/>
      <c r="AV91" s="75" t="str">
        <f>IF(AND(Table1[[#This Row],[Variant]]=$AV$4,Table1[[#This Row],[Kv*T]]&gt;0,Table1[[#This Row],[Term.]]="D"),Table1[[#This Row],[Kv*T]],"")</f>
        <v/>
      </c>
      <c r="AW91" s="75" t="str">
        <f>IF(AND(Table1[[#This Row],[Variant]]=$AV$4,Table1[[#This Row],[Kv*T]]&gt;0,Table1[[#This Row],[Term.]]="Y"),Table1[[#This Row],[Kv*T]],"")</f>
        <v/>
      </c>
      <c r="AX91" s="73" t="str">
        <f>IF(AND(Table1[[#This Row],[Kv*T "D"5]]="",Table1[[#This Row],[Kv*T "Y"5]]=""),"",IF(Table1[[#This Row],[Kv*T "D"5]]="",Table1[[#This Row],[Kv*T "Y"5]]*3^0.5,Table1[[#This Row],[Kv*T "D"5]]))</f>
        <v/>
      </c>
      <c r="AY91" s="73"/>
    </row>
    <row r="92" spans="1:51">
      <c r="A92" s="17"/>
      <c r="B92" s="5"/>
      <c r="C92" s="5"/>
      <c r="D92" s="5"/>
      <c r="E92" s="5"/>
      <c r="F92" s="86" t="str">
        <f t="shared" si="10"/>
        <v/>
      </c>
      <c r="G92" s="5"/>
      <c r="H92" s="5"/>
      <c r="I92" s="98" t="str">
        <f>IF(OR(Table1[[#This Row],[Phys. Turns]]="",Table1[[#This Row],[Wire]]="",Table1[[#This Row],[Parallel]]=""),"",Table1[[#This Row],[Phys. Turns]]*VLOOKUP(Table1[[#This Row],[Wire]],wirelist,4,FALSE))</f>
        <v/>
      </c>
      <c r="J92" s="5"/>
      <c r="K92" s="19"/>
      <c r="L92" s="20"/>
      <c r="M92" s="5"/>
      <c r="N92" s="49"/>
      <c r="O92" s="5"/>
      <c r="P92" s="5"/>
      <c r="Q92" s="5"/>
      <c r="R92" s="5"/>
      <c r="S92" s="5"/>
      <c r="T92" s="43" t="str">
        <f t="shared" si="11"/>
        <v/>
      </c>
      <c r="U92" s="102"/>
      <c r="V92" s="144"/>
      <c r="W92" s="46" t="str">
        <f>IF(OR(P92="",Table1[[#This Row],[Prop.]]="No Load"),"",(Tests!AC92/VLOOKUP(Table1[[#This Row],[Prop.]],proplist,6,FALSE))*VLOOKUP(Table1[[#This Row],[Prop.]],proplist,4,FALSE)/28.3*(Table1[[#This Row],[RPM]]/1000)^VLOOKUP(Table1[[#This Row],[Prop.]],proplist,5,FALSE))</f>
        <v/>
      </c>
      <c r="X92" s="47" t="str">
        <f>IF(OR(P92="",Table1[[#This Row],[Prop.]]="No Load"),"",(AC92/VLOOKUP(Table1[[#This Row],[Prop.]],proplist,9,FALSE))*VLOOKUP(Table1[[#This Row],[Prop.]],proplist,7,FALSE)*(Table1[[#This Row],[RPM]]/1000)^(VLOOKUP(Table1[[#This Row],[Prop.]],proplist,8,FALSE))/Table1[[#This Row],[Pin '[W']]])</f>
        <v/>
      </c>
      <c r="Y92" s="43" t="str">
        <f>IF(OR(P92="",Table1[[#This Row],[Prop.]]="No Load"),"",P92*VLOOKUP(Table1[[#This Row],[Prop.]],proplist,3,FALSE)/1056)</f>
        <v/>
      </c>
      <c r="Z92" s="43" t="str">
        <f t="shared" si="14"/>
        <v/>
      </c>
      <c r="AA92" s="44" t="str">
        <f>IF(OR(AB92="",Table1[[#This Row],[Prop.]]="No Load"),"",AB92*(1-X92))</f>
        <v/>
      </c>
      <c r="AB92" s="103" t="str">
        <f t="shared" si="12"/>
        <v/>
      </c>
      <c r="AC92" s="45" t="str">
        <f t="shared" si="13"/>
        <v/>
      </c>
      <c r="AD92" s="73" t="str">
        <f>IF(Table1[[#This Row],[Prop.]]="No Load",Table1[[#This Row],["T"]]*Table1[[#This Row],[RPM]]/Table1[[#This Row],[V]],"")</f>
        <v/>
      </c>
      <c r="AE92" s="74" t="str">
        <f>IF(OR(C92="",E92="",H92=""),"",IF(Table1[[#This Row],[Prop.]]="No Load",IF(E92=1,(H92-10)/C92,IF(E92=2,2*(H92-10)/C92,4*(H92-10))),""))</f>
        <v/>
      </c>
      <c r="AF92" s="45" t="str">
        <f>IF(AND(Table1[[#This Row],[Variant]]=$AF$4,Table1[[#This Row],[Kv*T]]&gt;0,Table1[[#This Row],[Term.]]="D"),Table1[[#This Row],[Kv*T]],"")</f>
        <v/>
      </c>
      <c r="AG92" s="45" t="str">
        <f>IF(AND(Table1[[#This Row],[Variant]]=$AF$4,Table1[[#This Row],[Kv*T]]&gt;0,Table1[[#This Row],[Term.]]="Y"),Table1[[#This Row],[Kv*T]],"")</f>
        <v/>
      </c>
      <c r="AH92" s="73" t="str">
        <f>IF(AND(Table1[[#This Row],[Kv*T "D"]]="",Table1[[#This Row],[Kv*T "Y"]]=""),"",IF(Table1[[#This Row],[Kv*T "D"]]="",Table1[[#This Row],[Kv*T "Y"]]*3^0.5,Table1[[#This Row],[Kv*T "D"]]))</f>
        <v/>
      </c>
      <c r="AI92" s="147" t="str">
        <f>IF(Table1[[#This Row],[Std Inch per turn]]="","",Table1[[#This Row],[Std Inch per turn]])</f>
        <v/>
      </c>
      <c r="AJ92" s="75" t="str">
        <f>IF(AND(Table1[[#This Row],[Variant]]=$AJ$4,Table1[[#This Row],[Kv*T]]&gt;0,Table1[[#This Row],[Term.]]="D"),Table1[[#This Row],[Kv*T]],"")</f>
        <v/>
      </c>
      <c r="AK92" s="75" t="str">
        <f>IF(AND(Table1[[#This Row],[Variant]]=$AJ$4,Table1[[#This Row],[Kv*T]]&gt;0,Table1[[#This Row],[Term.]]="Y"),Table1[[#This Row],[Kv*T]],"")</f>
        <v/>
      </c>
      <c r="AL92" s="73" t="str">
        <f>IF(AND(Table1[[#This Row],[Kv*T "D"2]]="",Table1[[#This Row],[Kv*T "Y"2]]=""),"",IF(Table1[[#This Row],[Kv*T "D"2]]="",Table1[[#This Row],[Kv*T "Y"2]]*3^0.5,Table1[[#This Row],[Kv*T "D"2]]))</f>
        <v/>
      </c>
      <c r="AM92" s="147" t="str">
        <f>IF(Table1[[#This Row],[Std Inch per turn]]="","",Table1[[#This Row],[Std Inch per turn]])</f>
        <v/>
      </c>
      <c r="AN92" s="75" t="str">
        <f>IF(AND(Table1[[#This Row],[Variant]]=$AN$4,Table1[[#This Row],[Kv*T]]&gt;0,Table1[[#This Row],[Term.]]="D"),Table1[[#This Row],[Kv*T]],"")</f>
        <v/>
      </c>
      <c r="AO92" s="75" t="str">
        <f>IF(AND(Table1[[#This Row],[Variant]]=$AN$4,Table1[[#This Row],[Kv*T]]&gt;0,Table1[[#This Row],[Term.]]="Y"),Table1[[#This Row],[Kv*T]],"")</f>
        <v/>
      </c>
      <c r="AP92" s="73" t="str">
        <f>IF(AND(Table1[[#This Row],[Kv*T "D"3]]="",Table1[[#This Row],[Kv*T "Y"3]]=""),"",IF(Table1[[#This Row],[Kv*T "D"3]]="",Table1[[#This Row],[Kv*T "Y"3]]*3^0.5,Table1[[#This Row],[Kv*T "D"3]]))</f>
        <v/>
      </c>
      <c r="AQ92" s="73"/>
      <c r="AR92" s="75" t="str">
        <f>IF(AND(Table1[[#This Row],[Variant]]=$AR$4,Table1[[#This Row],[Kv*T]]&gt;0,Table1[[#This Row],[Term.]]="D"),Table1[[#This Row],[Kv*T]],"")</f>
        <v/>
      </c>
      <c r="AS92" s="75" t="str">
        <f>IF(AND(Table1[[#This Row],[Variant]]=$AR$4,Table1[[#This Row],[Kv*T]]&gt;0,Table1[[#This Row],[Term.]]="Y"),Table1[[#This Row],[Kv*T]],"")</f>
        <v/>
      </c>
      <c r="AT92" s="73" t="str">
        <f>IF(AND(Table1[[#This Row],[Kv*T "D"4]]="",Table1[[#This Row],[Kv*T "Y"4]]=""),"",IF(Table1[[#This Row],[Kv*T "D"4]]="",Table1[[#This Row],[Kv*T "Y"4]]*3^0.5,Table1[[#This Row],[Kv*T "D"4]]))</f>
        <v/>
      </c>
      <c r="AU92" s="73"/>
      <c r="AV92" s="75" t="str">
        <f>IF(AND(Table1[[#This Row],[Variant]]=$AV$4,Table1[[#This Row],[Kv*T]]&gt;0,Table1[[#This Row],[Term.]]="D"),Table1[[#This Row],[Kv*T]],"")</f>
        <v/>
      </c>
      <c r="AW92" s="75" t="str">
        <f>IF(AND(Table1[[#This Row],[Variant]]=$AV$4,Table1[[#This Row],[Kv*T]]&gt;0,Table1[[#This Row],[Term.]]="Y"),Table1[[#This Row],[Kv*T]],"")</f>
        <v/>
      </c>
      <c r="AX92" s="73" t="str">
        <f>IF(AND(Table1[[#This Row],[Kv*T "D"5]]="",Table1[[#This Row],[Kv*T "Y"5]]=""),"",IF(Table1[[#This Row],[Kv*T "D"5]]="",Table1[[#This Row],[Kv*T "Y"5]]*3^0.5,Table1[[#This Row],[Kv*T "D"5]]))</f>
        <v/>
      </c>
      <c r="AY92" s="73"/>
    </row>
    <row r="93" spans="1:51">
      <c r="A93" s="17"/>
      <c r="B93" s="5"/>
      <c r="C93" s="5"/>
      <c r="D93" s="5"/>
      <c r="E93" s="5"/>
      <c r="F93" s="86" t="str">
        <f t="shared" si="10"/>
        <v/>
      </c>
      <c r="G93" s="5"/>
      <c r="H93" s="5"/>
      <c r="I93" s="98" t="str">
        <f>IF(OR(Table1[[#This Row],[Phys. Turns]]="",Table1[[#This Row],[Wire]]="",Table1[[#This Row],[Parallel]]=""),"",Table1[[#This Row],[Phys. Turns]]*VLOOKUP(Table1[[#This Row],[Wire]],wirelist,4,FALSE))</f>
        <v/>
      </c>
      <c r="J93" s="5"/>
      <c r="K93" s="19"/>
      <c r="L93" s="20"/>
      <c r="M93" s="5"/>
      <c r="N93" s="49"/>
      <c r="O93" s="5"/>
      <c r="P93" s="5"/>
      <c r="Q93" s="5"/>
      <c r="R93" s="5"/>
      <c r="S93" s="5"/>
      <c r="T93" s="43" t="str">
        <f t="shared" si="11"/>
        <v/>
      </c>
      <c r="U93" s="102"/>
      <c r="V93" s="144"/>
      <c r="W93" s="46" t="str">
        <f>IF(OR(P93="",Table1[[#This Row],[Prop.]]="No Load"),"",(Tests!AC93/VLOOKUP(Table1[[#This Row],[Prop.]],proplist,6,FALSE))*VLOOKUP(Table1[[#This Row],[Prop.]],proplist,4,FALSE)/28.3*(Table1[[#This Row],[RPM]]/1000)^VLOOKUP(Table1[[#This Row],[Prop.]],proplist,5,FALSE))</f>
        <v/>
      </c>
      <c r="X93" s="47" t="str">
        <f>IF(OR(P93="",Table1[[#This Row],[Prop.]]="No Load"),"",(AC93/VLOOKUP(Table1[[#This Row],[Prop.]],proplist,9,FALSE))*VLOOKUP(Table1[[#This Row],[Prop.]],proplist,7,FALSE)*(Table1[[#This Row],[RPM]]/1000)^(VLOOKUP(Table1[[#This Row],[Prop.]],proplist,8,FALSE))/Table1[[#This Row],[Pin '[W']]])</f>
        <v/>
      </c>
      <c r="Y93" s="43" t="str">
        <f>IF(OR(P93="",Table1[[#This Row],[Prop.]]="No Load"),"",P93*VLOOKUP(Table1[[#This Row],[Prop.]],proplist,3,FALSE)/1056)</f>
        <v/>
      </c>
      <c r="Z93" s="43" t="str">
        <f t="shared" si="14"/>
        <v/>
      </c>
      <c r="AA93" s="44" t="str">
        <f>IF(OR(AB93="",Table1[[#This Row],[Prop.]]="No Load"),"",AB93*(1-X93))</f>
        <v/>
      </c>
      <c r="AB93" s="103" t="str">
        <f t="shared" si="12"/>
        <v/>
      </c>
      <c r="AC93" s="45" t="str">
        <f t="shared" si="13"/>
        <v/>
      </c>
      <c r="AD93" s="73" t="str">
        <f>IF(Table1[[#This Row],[Prop.]]="No Load",Table1[[#This Row],["T"]]*Table1[[#This Row],[RPM]]/Table1[[#This Row],[V]],"")</f>
        <v/>
      </c>
      <c r="AE93" s="74" t="str">
        <f>IF(OR(C93="",E93="",H93=""),"",IF(Table1[[#This Row],[Prop.]]="No Load",IF(E93=1,(H93-10)/C93,IF(E93=2,2*(H93-10)/C93,4*(H93-10))),""))</f>
        <v/>
      </c>
      <c r="AF93" s="45" t="str">
        <f>IF(AND(Table1[[#This Row],[Variant]]=$AF$4,Table1[[#This Row],[Kv*T]]&gt;0,Table1[[#This Row],[Term.]]="D"),Table1[[#This Row],[Kv*T]],"")</f>
        <v/>
      </c>
      <c r="AG93" s="45" t="str">
        <f>IF(AND(Table1[[#This Row],[Variant]]=$AF$4,Table1[[#This Row],[Kv*T]]&gt;0,Table1[[#This Row],[Term.]]="Y"),Table1[[#This Row],[Kv*T]],"")</f>
        <v/>
      </c>
      <c r="AH93" s="73" t="str">
        <f>IF(AND(Table1[[#This Row],[Kv*T "D"]]="",Table1[[#This Row],[Kv*T "Y"]]=""),"",IF(Table1[[#This Row],[Kv*T "D"]]="",Table1[[#This Row],[Kv*T "Y"]]*3^0.5,Table1[[#This Row],[Kv*T "D"]]))</f>
        <v/>
      </c>
      <c r="AI93" s="147" t="str">
        <f>IF(Table1[[#This Row],[Std Inch per turn]]="","",Table1[[#This Row],[Std Inch per turn]])</f>
        <v/>
      </c>
      <c r="AJ93" s="75" t="str">
        <f>IF(AND(Table1[[#This Row],[Variant]]=$AJ$4,Table1[[#This Row],[Kv*T]]&gt;0,Table1[[#This Row],[Term.]]="D"),Table1[[#This Row],[Kv*T]],"")</f>
        <v/>
      </c>
      <c r="AK93" s="75" t="str">
        <f>IF(AND(Table1[[#This Row],[Variant]]=$AJ$4,Table1[[#This Row],[Kv*T]]&gt;0,Table1[[#This Row],[Term.]]="Y"),Table1[[#This Row],[Kv*T]],"")</f>
        <v/>
      </c>
      <c r="AL93" s="73" t="str">
        <f>IF(AND(Table1[[#This Row],[Kv*T "D"2]]="",Table1[[#This Row],[Kv*T "Y"2]]=""),"",IF(Table1[[#This Row],[Kv*T "D"2]]="",Table1[[#This Row],[Kv*T "Y"2]]*3^0.5,Table1[[#This Row],[Kv*T "D"2]]))</f>
        <v/>
      </c>
      <c r="AM93" s="147" t="str">
        <f>IF(Table1[[#This Row],[Std Inch per turn]]="","",Table1[[#This Row],[Std Inch per turn]])</f>
        <v/>
      </c>
      <c r="AN93" s="75" t="str">
        <f>IF(AND(Table1[[#This Row],[Variant]]=$AN$4,Table1[[#This Row],[Kv*T]]&gt;0,Table1[[#This Row],[Term.]]="D"),Table1[[#This Row],[Kv*T]],"")</f>
        <v/>
      </c>
      <c r="AO93" s="75" t="str">
        <f>IF(AND(Table1[[#This Row],[Variant]]=$AN$4,Table1[[#This Row],[Kv*T]]&gt;0,Table1[[#This Row],[Term.]]="Y"),Table1[[#This Row],[Kv*T]],"")</f>
        <v/>
      </c>
      <c r="AP93" s="73" t="str">
        <f>IF(AND(Table1[[#This Row],[Kv*T "D"3]]="",Table1[[#This Row],[Kv*T "Y"3]]=""),"",IF(Table1[[#This Row],[Kv*T "D"3]]="",Table1[[#This Row],[Kv*T "Y"3]]*3^0.5,Table1[[#This Row],[Kv*T "D"3]]))</f>
        <v/>
      </c>
      <c r="AQ93" s="73"/>
      <c r="AR93" s="75" t="str">
        <f>IF(AND(Table1[[#This Row],[Variant]]=$AR$4,Table1[[#This Row],[Kv*T]]&gt;0,Table1[[#This Row],[Term.]]="D"),Table1[[#This Row],[Kv*T]],"")</f>
        <v/>
      </c>
      <c r="AS93" s="75" t="str">
        <f>IF(AND(Table1[[#This Row],[Variant]]=$AR$4,Table1[[#This Row],[Kv*T]]&gt;0,Table1[[#This Row],[Term.]]="Y"),Table1[[#This Row],[Kv*T]],"")</f>
        <v/>
      </c>
      <c r="AT93" s="73" t="str">
        <f>IF(AND(Table1[[#This Row],[Kv*T "D"4]]="",Table1[[#This Row],[Kv*T "Y"4]]=""),"",IF(Table1[[#This Row],[Kv*T "D"4]]="",Table1[[#This Row],[Kv*T "Y"4]]*3^0.5,Table1[[#This Row],[Kv*T "D"4]]))</f>
        <v/>
      </c>
      <c r="AU93" s="73"/>
      <c r="AV93" s="75" t="str">
        <f>IF(AND(Table1[[#This Row],[Variant]]=$AV$4,Table1[[#This Row],[Kv*T]]&gt;0,Table1[[#This Row],[Term.]]="D"),Table1[[#This Row],[Kv*T]],"")</f>
        <v/>
      </c>
      <c r="AW93" s="75" t="str">
        <f>IF(AND(Table1[[#This Row],[Variant]]=$AV$4,Table1[[#This Row],[Kv*T]]&gt;0,Table1[[#This Row],[Term.]]="Y"),Table1[[#This Row],[Kv*T]],"")</f>
        <v/>
      </c>
      <c r="AX93" s="73" t="str">
        <f>IF(AND(Table1[[#This Row],[Kv*T "D"5]]="",Table1[[#This Row],[Kv*T "Y"5]]=""),"",IF(Table1[[#This Row],[Kv*T "D"5]]="",Table1[[#This Row],[Kv*T "Y"5]]*3^0.5,Table1[[#This Row],[Kv*T "D"5]]))</f>
        <v/>
      </c>
      <c r="AY93" s="73"/>
    </row>
    <row r="94" spans="1:51">
      <c r="A94" s="17"/>
      <c r="B94" s="5"/>
      <c r="C94" s="5"/>
      <c r="D94" s="5"/>
      <c r="E94" s="5"/>
      <c r="F94" s="86" t="str">
        <f t="shared" si="10"/>
        <v/>
      </c>
      <c r="G94" s="5"/>
      <c r="H94" s="5"/>
      <c r="I94" s="98" t="str">
        <f>IF(OR(Table1[[#This Row],[Phys. Turns]]="",Table1[[#This Row],[Wire]]="",Table1[[#This Row],[Parallel]]=""),"",Table1[[#This Row],[Phys. Turns]]*VLOOKUP(Table1[[#This Row],[Wire]],wirelist,4,FALSE))</f>
        <v/>
      </c>
      <c r="J94" s="5"/>
      <c r="K94" s="19"/>
      <c r="L94" s="20"/>
      <c r="M94" s="5"/>
      <c r="N94" s="49"/>
      <c r="O94" s="5"/>
      <c r="P94" s="5"/>
      <c r="Q94" s="5"/>
      <c r="R94" s="5"/>
      <c r="S94" s="5"/>
      <c r="T94" s="43" t="str">
        <f t="shared" si="11"/>
        <v/>
      </c>
      <c r="U94" s="102"/>
      <c r="V94" s="144"/>
      <c r="W94" s="46" t="str">
        <f>IF(OR(P94="",Table1[[#This Row],[Prop.]]="No Load"),"",(Tests!AC94/VLOOKUP(Table1[[#This Row],[Prop.]],proplist,6,FALSE))*VLOOKUP(Table1[[#This Row],[Prop.]],proplist,4,FALSE)/28.3*(Table1[[#This Row],[RPM]]/1000)^VLOOKUP(Table1[[#This Row],[Prop.]],proplist,5,FALSE))</f>
        <v/>
      </c>
      <c r="X94" s="47" t="str">
        <f>IF(OR(P94="",Table1[[#This Row],[Prop.]]="No Load"),"",(AC94/VLOOKUP(Table1[[#This Row],[Prop.]],proplist,9,FALSE))*VLOOKUP(Table1[[#This Row],[Prop.]],proplist,7,FALSE)*(Table1[[#This Row],[RPM]]/1000)^(VLOOKUP(Table1[[#This Row],[Prop.]],proplist,8,FALSE))/Table1[[#This Row],[Pin '[W']]])</f>
        <v/>
      </c>
      <c r="Y94" s="43" t="str">
        <f>IF(OR(P94="",Table1[[#This Row],[Prop.]]="No Load"),"",P94*VLOOKUP(Table1[[#This Row],[Prop.]],proplist,3,FALSE)/1056)</f>
        <v/>
      </c>
      <c r="Z94" s="43" t="str">
        <f t="shared" si="14"/>
        <v/>
      </c>
      <c r="AA94" s="44" t="str">
        <f>IF(OR(AB94="",Table1[[#This Row],[Prop.]]="No Load"),"",AB94*(1-X94))</f>
        <v/>
      </c>
      <c r="AB94" s="103" t="str">
        <f t="shared" si="12"/>
        <v/>
      </c>
      <c r="AC94" s="45" t="str">
        <f t="shared" si="13"/>
        <v/>
      </c>
      <c r="AD94" s="73" t="str">
        <f>IF(Table1[[#This Row],[Prop.]]="No Load",Table1[[#This Row],["T"]]*Table1[[#This Row],[RPM]]/Table1[[#This Row],[V]],"")</f>
        <v/>
      </c>
      <c r="AE94" s="74" t="str">
        <f>IF(OR(C94="",E94="",H94=""),"",IF(Table1[[#This Row],[Prop.]]="No Load",IF(E94=1,(H94-10)/C94,IF(E94=2,2*(H94-10)/C94,4*(H94-10))),""))</f>
        <v/>
      </c>
      <c r="AF94" s="45" t="str">
        <f>IF(AND(Table1[[#This Row],[Variant]]=$AF$4,Table1[[#This Row],[Kv*T]]&gt;0,Table1[[#This Row],[Term.]]="D"),Table1[[#This Row],[Kv*T]],"")</f>
        <v/>
      </c>
      <c r="AG94" s="45" t="str">
        <f>IF(AND(Table1[[#This Row],[Variant]]=$AF$4,Table1[[#This Row],[Kv*T]]&gt;0,Table1[[#This Row],[Term.]]="Y"),Table1[[#This Row],[Kv*T]],"")</f>
        <v/>
      </c>
      <c r="AH94" s="73" t="str">
        <f>IF(AND(Table1[[#This Row],[Kv*T "D"]]="",Table1[[#This Row],[Kv*T "Y"]]=""),"",IF(Table1[[#This Row],[Kv*T "D"]]="",Table1[[#This Row],[Kv*T "Y"]]*3^0.5,Table1[[#This Row],[Kv*T "D"]]))</f>
        <v/>
      </c>
      <c r="AI94" s="147" t="str">
        <f>IF(Table1[[#This Row],[Std Inch per turn]]="","",Table1[[#This Row],[Std Inch per turn]])</f>
        <v/>
      </c>
      <c r="AJ94" s="75" t="str">
        <f>IF(AND(Table1[[#This Row],[Variant]]=$AJ$4,Table1[[#This Row],[Kv*T]]&gt;0,Table1[[#This Row],[Term.]]="D"),Table1[[#This Row],[Kv*T]],"")</f>
        <v/>
      </c>
      <c r="AK94" s="75" t="str">
        <f>IF(AND(Table1[[#This Row],[Variant]]=$AJ$4,Table1[[#This Row],[Kv*T]]&gt;0,Table1[[#This Row],[Term.]]="Y"),Table1[[#This Row],[Kv*T]],"")</f>
        <v/>
      </c>
      <c r="AL94" s="73" t="str">
        <f>IF(AND(Table1[[#This Row],[Kv*T "D"2]]="",Table1[[#This Row],[Kv*T "Y"2]]=""),"",IF(Table1[[#This Row],[Kv*T "D"2]]="",Table1[[#This Row],[Kv*T "Y"2]]*3^0.5,Table1[[#This Row],[Kv*T "D"2]]))</f>
        <v/>
      </c>
      <c r="AM94" s="147" t="str">
        <f>IF(Table1[[#This Row],[Std Inch per turn]]="","",Table1[[#This Row],[Std Inch per turn]])</f>
        <v/>
      </c>
      <c r="AN94" s="75" t="str">
        <f>IF(AND(Table1[[#This Row],[Variant]]=$AN$4,Table1[[#This Row],[Kv*T]]&gt;0,Table1[[#This Row],[Term.]]="D"),Table1[[#This Row],[Kv*T]],"")</f>
        <v/>
      </c>
      <c r="AO94" s="75" t="str">
        <f>IF(AND(Table1[[#This Row],[Variant]]=$AN$4,Table1[[#This Row],[Kv*T]]&gt;0,Table1[[#This Row],[Term.]]="Y"),Table1[[#This Row],[Kv*T]],"")</f>
        <v/>
      </c>
      <c r="AP94" s="73" t="str">
        <f>IF(AND(Table1[[#This Row],[Kv*T "D"3]]="",Table1[[#This Row],[Kv*T "Y"3]]=""),"",IF(Table1[[#This Row],[Kv*T "D"3]]="",Table1[[#This Row],[Kv*T "Y"3]]*3^0.5,Table1[[#This Row],[Kv*T "D"3]]))</f>
        <v/>
      </c>
      <c r="AQ94" s="73"/>
      <c r="AR94" s="75" t="str">
        <f>IF(AND(Table1[[#This Row],[Variant]]=$AR$4,Table1[[#This Row],[Kv*T]]&gt;0,Table1[[#This Row],[Term.]]="D"),Table1[[#This Row],[Kv*T]],"")</f>
        <v/>
      </c>
      <c r="AS94" s="75" t="str">
        <f>IF(AND(Table1[[#This Row],[Variant]]=$AR$4,Table1[[#This Row],[Kv*T]]&gt;0,Table1[[#This Row],[Term.]]="Y"),Table1[[#This Row],[Kv*T]],"")</f>
        <v/>
      </c>
      <c r="AT94" s="73" t="str">
        <f>IF(AND(Table1[[#This Row],[Kv*T "D"4]]="",Table1[[#This Row],[Kv*T "Y"4]]=""),"",IF(Table1[[#This Row],[Kv*T "D"4]]="",Table1[[#This Row],[Kv*T "Y"4]]*3^0.5,Table1[[#This Row],[Kv*T "D"4]]))</f>
        <v/>
      </c>
      <c r="AU94" s="73"/>
      <c r="AV94" s="75" t="str">
        <f>IF(AND(Table1[[#This Row],[Variant]]=$AV$4,Table1[[#This Row],[Kv*T]]&gt;0,Table1[[#This Row],[Term.]]="D"),Table1[[#This Row],[Kv*T]],"")</f>
        <v/>
      </c>
      <c r="AW94" s="75" t="str">
        <f>IF(AND(Table1[[#This Row],[Variant]]=$AV$4,Table1[[#This Row],[Kv*T]]&gt;0,Table1[[#This Row],[Term.]]="Y"),Table1[[#This Row],[Kv*T]],"")</f>
        <v/>
      </c>
      <c r="AX94" s="73" t="str">
        <f>IF(AND(Table1[[#This Row],[Kv*T "D"5]]="",Table1[[#This Row],[Kv*T "Y"5]]=""),"",IF(Table1[[#This Row],[Kv*T "D"5]]="",Table1[[#This Row],[Kv*T "Y"5]]*3^0.5,Table1[[#This Row],[Kv*T "D"5]]))</f>
        <v/>
      </c>
      <c r="AY94" s="73"/>
    </row>
    <row r="95" spans="1:51">
      <c r="A95" s="17"/>
      <c r="B95" s="5"/>
      <c r="C95" s="5"/>
      <c r="D95" s="5"/>
      <c r="E95" s="5"/>
      <c r="F95" s="86" t="str">
        <f t="shared" si="10"/>
        <v/>
      </c>
      <c r="G95" s="5"/>
      <c r="H95" s="5"/>
      <c r="I95" s="98" t="str">
        <f>IF(OR(Table1[[#This Row],[Phys. Turns]]="",Table1[[#This Row],[Wire]]="",Table1[[#This Row],[Parallel]]=""),"",Table1[[#This Row],[Phys. Turns]]*VLOOKUP(Table1[[#This Row],[Wire]],wirelist,4,FALSE))</f>
        <v/>
      </c>
      <c r="J95" s="5"/>
      <c r="K95" s="19"/>
      <c r="L95" s="20"/>
      <c r="M95" s="5"/>
      <c r="N95" s="49"/>
      <c r="O95" s="5"/>
      <c r="P95" s="5"/>
      <c r="Q95" s="5"/>
      <c r="R95" s="5"/>
      <c r="S95" s="5"/>
      <c r="T95" s="43" t="str">
        <f t="shared" si="11"/>
        <v/>
      </c>
      <c r="U95" s="102"/>
      <c r="V95" s="144"/>
      <c r="W95" s="46" t="str">
        <f>IF(OR(P95="",Table1[[#This Row],[Prop.]]="No Load"),"",(Tests!AC95/VLOOKUP(Table1[[#This Row],[Prop.]],proplist,6,FALSE))*VLOOKUP(Table1[[#This Row],[Prop.]],proplist,4,FALSE)/28.3*(Table1[[#This Row],[RPM]]/1000)^VLOOKUP(Table1[[#This Row],[Prop.]],proplist,5,FALSE))</f>
        <v/>
      </c>
      <c r="X95" s="47" t="str">
        <f>IF(OR(P95="",Table1[[#This Row],[Prop.]]="No Load"),"",(AC95/VLOOKUP(Table1[[#This Row],[Prop.]],proplist,9,FALSE))*VLOOKUP(Table1[[#This Row],[Prop.]],proplist,7,FALSE)*(Table1[[#This Row],[RPM]]/1000)^(VLOOKUP(Table1[[#This Row],[Prop.]],proplist,8,FALSE))/Table1[[#This Row],[Pin '[W']]])</f>
        <v/>
      </c>
      <c r="Y95" s="43" t="str">
        <f>IF(OR(P95="",Table1[[#This Row],[Prop.]]="No Load"),"",P95*VLOOKUP(Table1[[#This Row],[Prop.]],proplist,3,FALSE)/1056)</f>
        <v/>
      </c>
      <c r="Z95" s="43" t="str">
        <f t="shared" si="14"/>
        <v/>
      </c>
      <c r="AA95" s="44" t="str">
        <f>IF(OR(AB95="",Table1[[#This Row],[Prop.]]="No Load"),"",AB95*(1-X95))</f>
        <v/>
      </c>
      <c r="AB95" s="103" t="str">
        <f t="shared" si="12"/>
        <v/>
      </c>
      <c r="AC95" s="45" t="str">
        <f t="shared" si="13"/>
        <v/>
      </c>
      <c r="AD95" s="73" t="str">
        <f>IF(Table1[[#This Row],[Prop.]]="No Load",Table1[[#This Row],["T"]]*Table1[[#This Row],[RPM]]/Table1[[#This Row],[V]],"")</f>
        <v/>
      </c>
      <c r="AE95" s="74" t="str">
        <f>IF(OR(C95="",E95="",H95=""),"",IF(Table1[[#This Row],[Prop.]]="No Load",IF(E95=1,(H95-10)/C95,IF(E95=2,2*(H95-10)/C95,4*(H95-10))),""))</f>
        <v/>
      </c>
      <c r="AF95" s="45" t="str">
        <f>IF(AND(Table1[[#This Row],[Variant]]=$AF$4,Table1[[#This Row],[Kv*T]]&gt;0,Table1[[#This Row],[Term.]]="D"),Table1[[#This Row],[Kv*T]],"")</f>
        <v/>
      </c>
      <c r="AG95" s="45" t="str">
        <f>IF(AND(Table1[[#This Row],[Variant]]=$AF$4,Table1[[#This Row],[Kv*T]]&gt;0,Table1[[#This Row],[Term.]]="Y"),Table1[[#This Row],[Kv*T]],"")</f>
        <v/>
      </c>
      <c r="AH95" s="73" t="str">
        <f>IF(AND(Table1[[#This Row],[Kv*T "D"]]="",Table1[[#This Row],[Kv*T "Y"]]=""),"",IF(Table1[[#This Row],[Kv*T "D"]]="",Table1[[#This Row],[Kv*T "Y"]]*3^0.5,Table1[[#This Row],[Kv*T "D"]]))</f>
        <v/>
      </c>
      <c r="AI95" s="147" t="str">
        <f>IF(Table1[[#This Row],[Std Inch per turn]]="","",Table1[[#This Row],[Std Inch per turn]])</f>
        <v/>
      </c>
      <c r="AJ95" s="75" t="str">
        <f>IF(AND(Table1[[#This Row],[Variant]]=$AJ$4,Table1[[#This Row],[Kv*T]]&gt;0,Table1[[#This Row],[Term.]]="D"),Table1[[#This Row],[Kv*T]],"")</f>
        <v/>
      </c>
      <c r="AK95" s="75" t="str">
        <f>IF(AND(Table1[[#This Row],[Variant]]=$AJ$4,Table1[[#This Row],[Kv*T]]&gt;0,Table1[[#This Row],[Term.]]="Y"),Table1[[#This Row],[Kv*T]],"")</f>
        <v/>
      </c>
      <c r="AL95" s="73" t="str">
        <f>IF(AND(Table1[[#This Row],[Kv*T "D"2]]="",Table1[[#This Row],[Kv*T "Y"2]]=""),"",IF(Table1[[#This Row],[Kv*T "D"2]]="",Table1[[#This Row],[Kv*T "Y"2]]*3^0.5,Table1[[#This Row],[Kv*T "D"2]]))</f>
        <v/>
      </c>
      <c r="AM95" s="147" t="str">
        <f>IF(Table1[[#This Row],[Std Inch per turn]]="","",Table1[[#This Row],[Std Inch per turn]])</f>
        <v/>
      </c>
      <c r="AN95" s="75" t="str">
        <f>IF(AND(Table1[[#This Row],[Variant]]=$AN$4,Table1[[#This Row],[Kv*T]]&gt;0,Table1[[#This Row],[Term.]]="D"),Table1[[#This Row],[Kv*T]],"")</f>
        <v/>
      </c>
      <c r="AO95" s="75" t="str">
        <f>IF(AND(Table1[[#This Row],[Variant]]=$AN$4,Table1[[#This Row],[Kv*T]]&gt;0,Table1[[#This Row],[Term.]]="Y"),Table1[[#This Row],[Kv*T]],"")</f>
        <v/>
      </c>
      <c r="AP95" s="73" t="str">
        <f>IF(AND(Table1[[#This Row],[Kv*T "D"3]]="",Table1[[#This Row],[Kv*T "Y"3]]=""),"",IF(Table1[[#This Row],[Kv*T "D"3]]="",Table1[[#This Row],[Kv*T "Y"3]]*3^0.5,Table1[[#This Row],[Kv*T "D"3]]))</f>
        <v/>
      </c>
      <c r="AQ95" s="73"/>
      <c r="AR95" s="75" t="str">
        <f>IF(AND(Table1[[#This Row],[Variant]]=$AR$4,Table1[[#This Row],[Kv*T]]&gt;0,Table1[[#This Row],[Term.]]="D"),Table1[[#This Row],[Kv*T]],"")</f>
        <v/>
      </c>
      <c r="AS95" s="75" t="str">
        <f>IF(AND(Table1[[#This Row],[Variant]]=$AR$4,Table1[[#This Row],[Kv*T]]&gt;0,Table1[[#This Row],[Term.]]="Y"),Table1[[#This Row],[Kv*T]],"")</f>
        <v/>
      </c>
      <c r="AT95" s="73" t="str">
        <f>IF(AND(Table1[[#This Row],[Kv*T "D"4]]="",Table1[[#This Row],[Kv*T "Y"4]]=""),"",IF(Table1[[#This Row],[Kv*T "D"4]]="",Table1[[#This Row],[Kv*T "Y"4]]*3^0.5,Table1[[#This Row],[Kv*T "D"4]]))</f>
        <v/>
      </c>
      <c r="AU95" s="73"/>
      <c r="AV95" s="75" t="str">
        <f>IF(AND(Table1[[#This Row],[Variant]]=$AV$4,Table1[[#This Row],[Kv*T]]&gt;0,Table1[[#This Row],[Term.]]="D"),Table1[[#This Row],[Kv*T]],"")</f>
        <v/>
      </c>
      <c r="AW95" s="75" t="str">
        <f>IF(AND(Table1[[#This Row],[Variant]]=$AV$4,Table1[[#This Row],[Kv*T]]&gt;0,Table1[[#This Row],[Term.]]="Y"),Table1[[#This Row],[Kv*T]],"")</f>
        <v/>
      </c>
      <c r="AX95" s="73" t="str">
        <f>IF(AND(Table1[[#This Row],[Kv*T "D"5]]="",Table1[[#This Row],[Kv*T "Y"5]]=""),"",IF(Table1[[#This Row],[Kv*T "D"5]]="",Table1[[#This Row],[Kv*T "Y"5]]*3^0.5,Table1[[#This Row],[Kv*T "D"5]]))</f>
        <v/>
      </c>
      <c r="AY95" s="73"/>
    </row>
    <row r="96" spans="1:51">
      <c r="A96" s="17"/>
      <c r="B96" s="5"/>
      <c r="C96" s="5"/>
      <c r="D96" s="5"/>
      <c r="E96" s="5"/>
      <c r="F96" s="86" t="str">
        <f t="shared" si="10"/>
        <v/>
      </c>
      <c r="G96" s="5"/>
      <c r="H96" s="5"/>
      <c r="I96" s="98" t="str">
        <f>IF(OR(Table1[[#This Row],[Phys. Turns]]="",Table1[[#This Row],[Wire]]="",Table1[[#This Row],[Parallel]]=""),"",Table1[[#This Row],[Phys. Turns]]*VLOOKUP(Table1[[#This Row],[Wire]],wirelist,4,FALSE))</f>
        <v/>
      </c>
      <c r="J96" s="5"/>
      <c r="K96" s="19"/>
      <c r="L96" s="20"/>
      <c r="M96" s="5"/>
      <c r="N96" s="49"/>
      <c r="O96" s="5"/>
      <c r="P96" s="5"/>
      <c r="Q96" s="5"/>
      <c r="R96" s="5"/>
      <c r="S96" s="5"/>
      <c r="T96" s="43" t="str">
        <f t="shared" si="11"/>
        <v/>
      </c>
      <c r="U96" s="102"/>
      <c r="V96" s="144"/>
      <c r="W96" s="46" t="str">
        <f>IF(OR(P96="",Table1[[#This Row],[Prop.]]="No Load"),"",(Tests!AC96/VLOOKUP(Table1[[#This Row],[Prop.]],proplist,6,FALSE))*VLOOKUP(Table1[[#This Row],[Prop.]],proplist,4,FALSE)/28.3*(Table1[[#This Row],[RPM]]/1000)^VLOOKUP(Table1[[#This Row],[Prop.]],proplist,5,FALSE))</f>
        <v/>
      </c>
      <c r="X96" s="47" t="str">
        <f>IF(OR(P96="",Table1[[#This Row],[Prop.]]="No Load"),"",(AC96/VLOOKUP(Table1[[#This Row],[Prop.]],proplist,9,FALSE))*VLOOKUP(Table1[[#This Row],[Prop.]],proplist,7,FALSE)*(Table1[[#This Row],[RPM]]/1000)^(VLOOKUP(Table1[[#This Row],[Prop.]],proplist,8,FALSE))/Table1[[#This Row],[Pin '[W']]])</f>
        <v/>
      </c>
      <c r="Y96" s="43" t="str">
        <f>IF(OR(P96="",Table1[[#This Row],[Prop.]]="No Load"),"",P96*VLOOKUP(Table1[[#This Row],[Prop.]],proplist,3,FALSE)/1056)</f>
        <v/>
      </c>
      <c r="Z96" s="43" t="str">
        <f t="shared" si="14"/>
        <v/>
      </c>
      <c r="AA96" s="44" t="str">
        <f>IF(OR(AB96="",Table1[[#This Row],[Prop.]]="No Load"),"",AB96*(1-X96))</f>
        <v/>
      </c>
      <c r="AB96" s="103" t="str">
        <f t="shared" si="12"/>
        <v/>
      </c>
      <c r="AC96" s="45" t="str">
        <f t="shared" si="13"/>
        <v/>
      </c>
      <c r="AD96" s="73" t="str">
        <f>IF(Table1[[#This Row],[Prop.]]="No Load",Table1[[#This Row],["T"]]*Table1[[#This Row],[RPM]]/Table1[[#This Row],[V]],"")</f>
        <v/>
      </c>
      <c r="AE96" s="74" t="str">
        <f>IF(OR(C96="",E96="",H96=""),"",IF(Table1[[#This Row],[Prop.]]="No Load",IF(E96=1,(H96-10)/C96,IF(E96=2,2*(H96-10)/C96,4*(H96-10))),""))</f>
        <v/>
      </c>
      <c r="AF96" s="45" t="str">
        <f>IF(AND(Table1[[#This Row],[Variant]]=$AF$4,Table1[[#This Row],[Kv*T]]&gt;0,Table1[[#This Row],[Term.]]="D"),Table1[[#This Row],[Kv*T]],"")</f>
        <v/>
      </c>
      <c r="AG96" s="45" t="str">
        <f>IF(AND(Table1[[#This Row],[Variant]]=$AF$4,Table1[[#This Row],[Kv*T]]&gt;0,Table1[[#This Row],[Term.]]="Y"),Table1[[#This Row],[Kv*T]],"")</f>
        <v/>
      </c>
      <c r="AH96" s="73" t="str">
        <f>IF(AND(Table1[[#This Row],[Kv*T "D"]]="",Table1[[#This Row],[Kv*T "Y"]]=""),"",IF(Table1[[#This Row],[Kv*T "D"]]="",Table1[[#This Row],[Kv*T "Y"]]*3^0.5,Table1[[#This Row],[Kv*T "D"]]))</f>
        <v/>
      </c>
      <c r="AI96" s="147" t="str">
        <f>IF(Table1[[#This Row],[Std Inch per turn]]="","",Table1[[#This Row],[Std Inch per turn]])</f>
        <v/>
      </c>
      <c r="AJ96" s="75" t="str">
        <f>IF(AND(Table1[[#This Row],[Variant]]=$AJ$4,Table1[[#This Row],[Kv*T]]&gt;0,Table1[[#This Row],[Term.]]="D"),Table1[[#This Row],[Kv*T]],"")</f>
        <v/>
      </c>
      <c r="AK96" s="75" t="str">
        <f>IF(AND(Table1[[#This Row],[Variant]]=$AJ$4,Table1[[#This Row],[Kv*T]]&gt;0,Table1[[#This Row],[Term.]]="Y"),Table1[[#This Row],[Kv*T]],"")</f>
        <v/>
      </c>
      <c r="AL96" s="73" t="str">
        <f>IF(AND(Table1[[#This Row],[Kv*T "D"2]]="",Table1[[#This Row],[Kv*T "Y"2]]=""),"",IF(Table1[[#This Row],[Kv*T "D"2]]="",Table1[[#This Row],[Kv*T "Y"2]]*3^0.5,Table1[[#This Row],[Kv*T "D"2]]))</f>
        <v/>
      </c>
      <c r="AM96" s="147" t="str">
        <f>IF(Table1[[#This Row],[Std Inch per turn]]="","",Table1[[#This Row],[Std Inch per turn]])</f>
        <v/>
      </c>
      <c r="AN96" s="75" t="str">
        <f>IF(AND(Table1[[#This Row],[Variant]]=$AN$4,Table1[[#This Row],[Kv*T]]&gt;0,Table1[[#This Row],[Term.]]="D"),Table1[[#This Row],[Kv*T]],"")</f>
        <v/>
      </c>
      <c r="AO96" s="75" t="str">
        <f>IF(AND(Table1[[#This Row],[Variant]]=$AN$4,Table1[[#This Row],[Kv*T]]&gt;0,Table1[[#This Row],[Term.]]="Y"),Table1[[#This Row],[Kv*T]],"")</f>
        <v/>
      </c>
      <c r="AP96" s="73" t="str">
        <f>IF(AND(Table1[[#This Row],[Kv*T "D"3]]="",Table1[[#This Row],[Kv*T "Y"3]]=""),"",IF(Table1[[#This Row],[Kv*T "D"3]]="",Table1[[#This Row],[Kv*T "Y"3]]*3^0.5,Table1[[#This Row],[Kv*T "D"3]]))</f>
        <v/>
      </c>
      <c r="AQ96" s="73"/>
      <c r="AR96" s="75" t="str">
        <f>IF(AND(Table1[[#This Row],[Variant]]=$AR$4,Table1[[#This Row],[Kv*T]]&gt;0,Table1[[#This Row],[Term.]]="D"),Table1[[#This Row],[Kv*T]],"")</f>
        <v/>
      </c>
      <c r="AS96" s="75" t="str">
        <f>IF(AND(Table1[[#This Row],[Variant]]=$AR$4,Table1[[#This Row],[Kv*T]]&gt;0,Table1[[#This Row],[Term.]]="Y"),Table1[[#This Row],[Kv*T]],"")</f>
        <v/>
      </c>
      <c r="AT96" s="73" t="str">
        <f>IF(AND(Table1[[#This Row],[Kv*T "D"4]]="",Table1[[#This Row],[Kv*T "Y"4]]=""),"",IF(Table1[[#This Row],[Kv*T "D"4]]="",Table1[[#This Row],[Kv*T "Y"4]]*3^0.5,Table1[[#This Row],[Kv*T "D"4]]))</f>
        <v/>
      </c>
      <c r="AU96" s="73"/>
      <c r="AV96" s="75" t="str">
        <f>IF(AND(Table1[[#This Row],[Variant]]=$AV$4,Table1[[#This Row],[Kv*T]]&gt;0,Table1[[#This Row],[Term.]]="D"),Table1[[#This Row],[Kv*T]],"")</f>
        <v/>
      </c>
      <c r="AW96" s="75" t="str">
        <f>IF(AND(Table1[[#This Row],[Variant]]=$AV$4,Table1[[#This Row],[Kv*T]]&gt;0,Table1[[#This Row],[Term.]]="Y"),Table1[[#This Row],[Kv*T]],"")</f>
        <v/>
      </c>
      <c r="AX96" s="73" t="str">
        <f>IF(AND(Table1[[#This Row],[Kv*T "D"5]]="",Table1[[#This Row],[Kv*T "Y"5]]=""),"",IF(Table1[[#This Row],[Kv*T "D"5]]="",Table1[[#This Row],[Kv*T "Y"5]]*3^0.5,Table1[[#This Row],[Kv*T "D"5]]))</f>
        <v/>
      </c>
      <c r="AY96" s="73"/>
    </row>
    <row r="97" spans="1:51">
      <c r="A97" s="17"/>
      <c r="B97" s="5"/>
      <c r="C97" s="5"/>
      <c r="D97" s="5"/>
      <c r="E97" s="5"/>
      <c r="F97" s="86" t="str">
        <f t="shared" si="10"/>
        <v/>
      </c>
      <c r="G97" s="5"/>
      <c r="H97" s="5"/>
      <c r="I97" s="98" t="str">
        <f>IF(OR(Table1[[#This Row],[Phys. Turns]]="",Table1[[#This Row],[Wire]]="",Table1[[#This Row],[Parallel]]=""),"",Table1[[#This Row],[Phys. Turns]]*VLOOKUP(Table1[[#This Row],[Wire]],wirelist,4,FALSE))</f>
        <v/>
      </c>
      <c r="J97" s="5"/>
      <c r="K97" s="19"/>
      <c r="L97" s="20"/>
      <c r="M97" s="5"/>
      <c r="N97" s="49"/>
      <c r="O97" s="5"/>
      <c r="P97" s="5"/>
      <c r="Q97" s="5"/>
      <c r="R97" s="5"/>
      <c r="S97" s="5"/>
      <c r="T97" s="43" t="str">
        <f t="shared" si="11"/>
        <v/>
      </c>
      <c r="U97" s="102"/>
      <c r="V97" s="144"/>
      <c r="W97" s="46" t="str">
        <f>IF(OR(P97="",Table1[[#This Row],[Prop.]]="No Load"),"",(Tests!AC97/VLOOKUP(Table1[[#This Row],[Prop.]],proplist,6,FALSE))*VLOOKUP(Table1[[#This Row],[Prop.]],proplist,4,FALSE)/28.3*(Table1[[#This Row],[RPM]]/1000)^VLOOKUP(Table1[[#This Row],[Prop.]],proplist,5,FALSE))</f>
        <v/>
      </c>
      <c r="X97" s="47" t="str">
        <f>IF(OR(P97="",Table1[[#This Row],[Prop.]]="No Load"),"",(AC97/VLOOKUP(Table1[[#This Row],[Prop.]],proplist,9,FALSE))*VLOOKUP(Table1[[#This Row],[Prop.]],proplist,7,FALSE)*(Table1[[#This Row],[RPM]]/1000)^(VLOOKUP(Table1[[#This Row],[Prop.]],proplist,8,FALSE))/Table1[[#This Row],[Pin '[W']]])</f>
        <v/>
      </c>
      <c r="Y97" s="43" t="str">
        <f>IF(OR(P97="",Table1[[#This Row],[Prop.]]="No Load"),"",P97*VLOOKUP(Table1[[#This Row],[Prop.]],proplist,3,FALSE)/1056)</f>
        <v/>
      </c>
      <c r="Z97" s="43" t="str">
        <f t="shared" si="14"/>
        <v/>
      </c>
      <c r="AA97" s="44" t="str">
        <f>IF(OR(AB97="",Table1[[#This Row],[Prop.]]="No Load"),"",AB97*(1-X97))</f>
        <v/>
      </c>
      <c r="AB97" s="103" t="str">
        <f t="shared" si="12"/>
        <v/>
      </c>
      <c r="AC97" s="45" t="str">
        <f t="shared" si="13"/>
        <v/>
      </c>
      <c r="AD97" s="73" t="str">
        <f>IF(Table1[[#This Row],[Prop.]]="No Load",Table1[[#This Row],["T"]]*Table1[[#This Row],[RPM]]/Table1[[#This Row],[V]],"")</f>
        <v/>
      </c>
      <c r="AE97" s="74" t="str">
        <f>IF(OR(C97="",E97="",H97=""),"",IF(Table1[[#This Row],[Prop.]]="No Load",IF(E97=1,(H97-10)/C97,IF(E97=2,2*(H97-10)/C97,4*(H97-10))),""))</f>
        <v/>
      </c>
      <c r="AF97" s="45" t="str">
        <f>IF(AND(Table1[[#This Row],[Variant]]=$AF$4,Table1[[#This Row],[Kv*T]]&gt;0,Table1[[#This Row],[Term.]]="D"),Table1[[#This Row],[Kv*T]],"")</f>
        <v/>
      </c>
      <c r="AG97" s="45" t="str">
        <f>IF(AND(Table1[[#This Row],[Variant]]=$AF$4,Table1[[#This Row],[Kv*T]]&gt;0,Table1[[#This Row],[Term.]]="Y"),Table1[[#This Row],[Kv*T]],"")</f>
        <v/>
      </c>
      <c r="AH97" s="73" t="str">
        <f>IF(AND(Table1[[#This Row],[Kv*T "D"]]="",Table1[[#This Row],[Kv*T "Y"]]=""),"",IF(Table1[[#This Row],[Kv*T "D"]]="",Table1[[#This Row],[Kv*T "Y"]]*3^0.5,Table1[[#This Row],[Kv*T "D"]]))</f>
        <v/>
      </c>
      <c r="AI97" s="147" t="str">
        <f>IF(Table1[[#This Row],[Std Inch per turn]]="","",Table1[[#This Row],[Std Inch per turn]])</f>
        <v/>
      </c>
      <c r="AJ97" s="75" t="str">
        <f>IF(AND(Table1[[#This Row],[Variant]]=$AJ$4,Table1[[#This Row],[Kv*T]]&gt;0,Table1[[#This Row],[Term.]]="D"),Table1[[#This Row],[Kv*T]],"")</f>
        <v/>
      </c>
      <c r="AK97" s="75" t="str">
        <f>IF(AND(Table1[[#This Row],[Variant]]=$AJ$4,Table1[[#This Row],[Kv*T]]&gt;0,Table1[[#This Row],[Term.]]="Y"),Table1[[#This Row],[Kv*T]],"")</f>
        <v/>
      </c>
      <c r="AL97" s="73" t="str">
        <f>IF(AND(Table1[[#This Row],[Kv*T "D"2]]="",Table1[[#This Row],[Kv*T "Y"2]]=""),"",IF(Table1[[#This Row],[Kv*T "D"2]]="",Table1[[#This Row],[Kv*T "Y"2]]*3^0.5,Table1[[#This Row],[Kv*T "D"2]]))</f>
        <v/>
      </c>
      <c r="AM97" s="147" t="str">
        <f>IF(Table1[[#This Row],[Std Inch per turn]]="","",Table1[[#This Row],[Std Inch per turn]])</f>
        <v/>
      </c>
      <c r="AN97" s="75" t="str">
        <f>IF(AND(Table1[[#This Row],[Variant]]=$AN$4,Table1[[#This Row],[Kv*T]]&gt;0,Table1[[#This Row],[Term.]]="D"),Table1[[#This Row],[Kv*T]],"")</f>
        <v/>
      </c>
      <c r="AO97" s="75" t="str">
        <f>IF(AND(Table1[[#This Row],[Variant]]=$AN$4,Table1[[#This Row],[Kv*T]]&gt;0,Table1[[#This Row],[Term.]]="Y"),Table1[[#This Row],[Kv*T]],"")</f>
        <v/>
      </c>
      <c r="AP97" s="73" t="str">
        <f>IF(AND(Table1[[#This Row],[Kv*T "D"3]]="",Table1[[#This Row],[Kv*T "Y"3]]=""),"",IF(Table1[[#This Row],[Kv*T "D"3]]="",Table1[[#This Row],[Kv*T "Y"3]]*3^0.5,Table1[[#This Row],[Kv*T "D"3]]))</f>
        <v/>
      </c>
      <c r="AQ97" s="73"/>
      <c r="AR97" s="75" t="str">
        <f>IF(AND(Table1[[#This Row],[Variant]]=$AR$4,Table1[[#This Row],[Kv*T]]&gt;0,Table1[[#This Row],[Term.]]="D"),Table1[[#This Row],[Kv*T]],"")</f>
        <v/>
      </c>
      <c r="AS97" s="75" t="str">
        <f>IF(AND(Table1[[#This Row],[Variant]]=$AR$4,Table1[[#This Row],[Kv*T]]&gt;0,Table1[[#This Row],[Term.]]="Y"),Table1[[#This Row],[Kv*T]],"")</f>
        <v/>
      </c>
      <c r="AT97" s="73" t="str">
        <f>IF(AND(Table1[[#This Row],[Kv*T "D"4]]="",Table1[[#This Row],[Kv*T "Y"4]]=""),"",IF(Table1[[#This Row],[Kv*T "D"4]]="",Table1[[#This Row],[Kv*T "Y"4]]*3^0.5,Table1[[#This Row],[Kv*T "D"4]]))</f>
        <v/>
      </c>
      <c r="AU97" s="73"/>
      <c r="AV97" s="75" t="str">
        <f>IF(AND(Table1[[#This Row],[Variant]]=$AV$4,Table1[[#This Row],[Kv*T]]&gt;0,Table1[[#This Row],[Term.]]="D"),Table1[[#This Row],[Kv*T]],"")</f>
        <v/>
      </c>
      <c r="AW97" s="75" t="str">
        <f>IF(AND(Table1[[#This Row],[Variant]]=$AV$4,Table1[[#This Row],[Kv*T]]&gt;0,Table1[[#This Row],[Term.]]="Y"),Table1[[#This Row],[Kv*T]],"")</f>
        <v/>
      </c>
      <c r="AX97" s="73" t="str">
        <f>IF(AND(Table1[[#This Row],[Kv*T "D"5]]="",Table1[[#This Row],[Kv*T "Y"5]]=""),"",IF(Table1[[#This Row],[Kv*T "D"5]]="",Table1[[#This Row],[Kv*T "Y"5]]*3^0.5,Table1[[#This Row],[Kv*T "D"5]]))</f>
        <v/>
      </c>
      <c r="AY97" s="73"/>
    </row>
    <row r="98" spans="1:51">
      <c r="A98" s="17"/>
      <c r="B98" s="5"/>
      <c r="C98" s="5"/>
      <c r="D98" s="5"/>
      <c r="E98" s="5"/>
      <c r="F98" s="86" t="str">
        <f t="shared" si="10"/>
        <v/>
      </c>
      <c r="G98" s="5"/>
      <c r="H98" s="5"/>
      <c r="I98" s="98" t="str">
        <f>IF(OR(Table1[[#This Row],[Phys. Turns]]="",Table1[[#This Row],[Wire]]="",Table1[[#This Row],[Parallel]]=""),"",Table1[[#This Row],[Phys. Turns]]*VLOOKUP(Table1[[#This Row],[Wire]],wirelist,4,FALSE))</f>
        <v/>
      </c>
      <c r="J98" s="5"/>
      <c r="K98" s="19"/>
      <c r="L98" s="20"/>
      <c r="M98" s="5"/>
      <c r="N98" s="49"/>
      <c r="O98" s="5"/>
      <c r="P98" s="5"/>
      <c r="Q98" s="5"/>
      <c r="R98" s="5"/>
      <c r="S98" s="5"/>
      <c r="T98" s="43" t="str">
        <f t="shared" si="11"/>
        <v/>
      </c>
      <c r="U98" s="102"/>
      <c r="V98" s="144"/>
      <c r="W98" s="46" t="str">
        <f>IF(OR(P98="",Table1[[#This Row],[Prop.]]="No Load"),"",(Tests!AC98/VLOOKUP(Table1[[#This Row],[Prop.]],proplist,6,FALSE))*VLOOKUP(Table1[[#This Row],[Prop.]],proplist,4,FALSE)/28.3*(Table1[[#This Row],[RPM]]/1000)^VLOOKUP(Table1[[#This Row],[Prop.]],proplist,5,FALSE))</f>
        <v/>
      </c>
      <c r="X98" s="47" t="str">
        <f>IF(OR(P98="",Table1[[#This Row],[Prop.]]="No Load"),"",(AC98/VLOOKUP(Table1[[#This Row],[Prop.]],proplist,9,FALSE))*VLOOKUP(Table1[[#This Row],[Prop.]],proplist,7,FALSE)*(Table1[[#This Row],[RPM]]/1000)^(VLOOKUP(Table1[[#This Row],[Prop.]],proplist,8,FALSE))/Table1[[#This Row],[Pin '[W']]])</f>
        <v/>
      </c>
      <c r="Y98" s="43" t="str">
        <f>IF(OR(P98="",Table1[[#This Row],[Prop.]]="No Load"),"",P98*VLOOKUP(Table1[[#This Row],[Prop.]],proplist,3,FALSE)/1056)</f>
        <v/>
      </c>
      <c r="Z98" s="43" t="str">
        <f t="shared" si="14"/>
        <v/>
      </c>
      <c r="AA98" s="44" t="str">
        <f>IF(OR(AB98="",Table1[[#This Row],[Prop.]]="No Load"),"",AB98*(1-X98))</f>
        <v/>
      </c>
      <c r="AB98" s="103" t="str">
        <f t="shared" si="12"/>
        <v/>
      </c>
      <c r="AC98" s="45" t="str">
        <f t="shared" si="13"/>
        <v/>
      </c>
      <c r="AD98" s="73" t="str">
        <f>IF(Table1[[#This Row],[Prop.]]="No Load",Table1[[#This Row],["T"]]*Table1[[#This Row],[RPM]]/Table1[[#This Row],[V]],"")</f>
        <v/>
      </c>
      <c r="AE98" s="74" t="str">
        <f>IF(OR(C98="",E98="",H98=""),"",IF(Table1[[#This Row],[Prop.]]="No Load",IF(E98=1,(H98-10)/C98,IF(E98=2,2*(H98-10)/C98,4*(H98-10))),""))</f>
        <v/>
      </c>
      <c r="AF98" s="45" t="str">
        <f>IF(AND(Table1[[#This Row],[Variant]]=$AF$4,Table1[[#This Row],[Kv*T]]&gt;0,Table1[[#This Row],[Term.]]="D"),Table1[[#This Row],[Kv*T]],"")</f>
        <v/>
      </c>
      <c r="AG98" s="45" t="str">
        <f>IF(AND(Table1[[#This Row],[Variant]]=$AF$4,Table1[[#This Row],[Kv*T]]&gt;0,Table1[[#This Row],[Term.]]="Y"),Table1[[#This Row],[Kv*T]],"")</f>
        <v/>
      </c>
      <c r="AH98" s="73" t="str">
        <f>IF(AND(Table1[[#This Row],[Kv*T "D"]]="",Table1[[#This Row],[Kv*T "Y"]]=""),"",IF(Table1[[#This Row],[Kv*T "D"]]="",Table1[[#This Row],[Kv*T "Y"]]*3^0.5,Table1[[#This Row],[Kv*T "D"]]))</f>
        <v/>
      </c>
      <c r="AI98" s="147" t="str">
        <f>IF(Table1[[#This Row],[Std Inch per turn]]="","",Table1[[#This Row],[Std Inch per turn]])</f>
        <v/>
      </c>
      <c r="AJ98" s="75" t="str">
        <f>IF(AND(Table1[[#This Row],[Variant]]=$AJ$4,Table1[[#This Row],[Kv*T]]&gt;0,Table1[[#This Row],[Term.]]="D"),Table1[[#This Row],[Kv*T]],"")</f>
        <v/>
      </c>
      <c r="AK98" s="75" t="str">
        <f>IF(AND(Table1[[#This Row],[Variant]]=$AJ$4,Table1[[#This Row],[Kv*T]]&gt;0,Table1[[#This Row],[Term.]]="Y"),Table1[[#This Row],[Kv*T]],"")</f>
        <v/>
      </c>
      <c r="AL98" s="73" t="str">
        <f>IF(AND(Table1[[#This Row],[Kv*T "D"2]]="",Table1[[#This Row],[Kv*T "Y"2]]=""),"",IF(Table1[[#This Row],[Kv*T "D"2]]="",Table1[[#This Row],[Kv*T "Y"2]]*3^0.5,Table1[[#This Row],[Kv*T "D"2]]))</f>
        <v/>
      </c>
      <c r="AM98" s="147" t="str">
        <f>IF(Table1[[#This Row],[Std Inch per turn]]="","",Table1[[#This Row],[Std Inch per turn]])</f>
        <v/>
      </c>
      <c r="AN98" s="75" t="str">
        <f>IF(AND(Table1[[#This Row],[Variant]]=$AN$4,Table1[[#This Row],[Kv*T]]&gt;0,Table1[[#This Row],[Term.]]="D"),Table1[[#This Row],[Kv*T]],"")</f>
        <v/>
      </c>
      <c r="AO98" s="75" t="str">
        <f>IF(AND(Table1[[#This Row],[Variant]]=$AN$4,Table1[[#This Row],[Kv*T]]&gt;0,Table1[[#This Row],[Term.]]="Y"),Table1[[#This Row],[Kv*T]],"")</f>
        <v/>
      </c>
      <c r="AP98" s="73" t="str">
        <f>IF(AND(Table1[[#This Row],[Kv*T "D"3]]="",Table1[[#This Row],[Kv*T "Y"3]]=""),"",IF(Table1[[#This Row],[Kv*T "D"3]]="",Table1[[#This Row],[Kv*T "Y"3]]*3^0.5,Table1[[#This Row],[Kv*T "D"3]]))</f>
        <v/>
      </c>
      <c r="AQ98" s="73"/>
      <c r="AR98" s="75" t="str">
        <f>IF(AND(Table1[[#This Row],[Variant]]=$AR$4,Table1[[#This Row],[Kv*T]]&gt;0,Table1[[#This Row],[Term.]]="D"),Table1[[#This Row],[Kv*T]],"")</f>
        <v/>
      </c>
      <c r="AS98" s="75" t="str">
        <f>IF(AND(Table1[[#This Row],[Variant]]=$AR$4,Table1[[#This Row],[Kv*T]]&gt;0,Table1[[#This Row],[Term.]]="Y"),Table1[[#This Row],[Kv*T]],"")</f>
        <v/>
      </c>
      <c r="AT98" s="73" t="str">
        <f>IF(AND(Table1[[#This Row],[Kv*T "D"4]]="",Table1[[#This Row],[Kv*T "Y"4]]=""),"",IF(Table1[[#This Row],[Kv*T "D"4]]="",Table1[[#This Row],[Kv*T "Y"4]]*3^0.5,Table1[[#This Row],[Kv*T "D"4]]))</f>
        <v/>
      </c>
      <c r="AU98" s="73"/>
      <c r="AV98" s="75" t="str">
        <f>IF(AND(Table1[[#This Row],[Variant]]=$AV$4,Table1[[#This Row],[Kv*T]]&gt;0,Table1[[#This Row],[Term.]]="D"),Table1[[#This Row],[Kv*T]],"")</f>
        <v/>
      </c>
      <c r="AW98" s="75" t="str">
        <f>IF(AND(Table1[[#This Row],[Variant]]=$AV$4,Table1[[#This Row],[Kv*T]]&gt;0,Table1[[#This Row],[Term.]]="Y"),Table1[[#This Row],[Kv*T]],"")</f>
        <v/>
      </c>
      <c r="AX98" s="73" t="str">
        <f>IF(AND(Table1[[#This Row],[Kv*T "D"5]]="",Table1[[#This Row],[Kv*T "Y"5]]=""),"",IF(Table1[[#This Row],[Kv*T "D"5]]="",Table1[[#This Row],[Kv*T "Y"5]]*3^0.5,Table1[[#This Row],[Kv*T "D"5]]))</f>
        <v/>
      </c>
      <c r="AY98" s="73"/>
    </row>
    <row r="99" spans="1:51">
      <c r="A99" s="17"/>
      <c r="B99" s="5"/>
      <c r="C99" s="5"/>
      <c r="D99" s="5"/>
      <c r="E99" s="5"/>
      <c r="F99" s="86" t="str">
        <f t="shared" si="10"/>
        <v/>
      </c>
      <c r="G99" s="5"/>
      <c r="H99" s="5"/>
      <c r="I99" s="98" t="str">
        <f>IF(OR(Table1[[#This Row],[Phys. Turns]]="",Table1[[#This Row],[Wire]]="",Table1[[#This Row],[Parallel]]=""),"",Table1[[#This Row],[Phys. Turns]]*VLOOKUP(Table1[[#This Row],[Wire]],wirelist,4,FALSE))</f>
        <v/>
      </c>
      <c r="J99" s="5"/>
      <c r="K99" s="19"/>
      <c r="L99" s="20"/>
      <c r="M99" s="5"/>
      <c r="N99" s="49"/>
      <c r="O99" s="5"/>
      <c r="P99" s="5"/>
      <c r="Q99" s="5"/>
      <c r="R99" s="5"/>
      <c r="S99" s="5"/>
      <c r="T99" s="43" t="str">
        <f t="shared" si="11"/>
        <v/>
      </c>
      <c r="U99" s="102"/>
      <c r="V99" s="144"/>
      <c r="W99" s="46" t="str">
        <f>IF(OR(P99="",Table1[[#This Row],[Prop.]]="No Load"),"",(Tests!AC99/VLOOKUP(Table1[[#This Row],[Prop.]],proplist,6,FALSE))*VLOOKUP(Table1[[#This Row],[Prop.]],proplist,4,FALSE)/28.3*(Table1[[#This Row],[RPM]]/1000)^VLOOKUP(Table1[[#This Row],[Prop.]],proplist,5,FALSE))</f>
        <v/>
      </c>
      <c r="X99" s="47" t="str">
        <f>IF(OR(P99="",Table1[[#This Row],[Prop.]]="No Load"),"",(AC99/VLOOKUP(Table1[[#This Row],[Prop.]],proplist,9,FALSE))*VLOOKUP(Table1[[#This Row],[Prop.]],proplist,7,FALSE)*(Table1[[#This Row],[RPM]]/1000)^(VLOOKUP(Table1[[#This Row],[Prop.]],proplist,8,FALSE))/Table1[[#This Row],[Pin '[W']]])</f>
        <v/>
      </c>
      <c r="Y99" s="43" t="str">
        <f>IF(OR(P99="",Table1[[#This Row],[Prop.]]="No Load"),"",P99*VLOOKUP(Table1[[#This Row],[Prop.]],proplist,3,FALSE)/1056)</f>
        <v/>
      </c>
      <c r="Z99" s="43" t="str">
        <f t="shared" si="14"/>
        <v/>
      </c>
      <c r="AA99" s="44" t="str">
        <f>IF(OR(AB99="",Table1[[#This Row],[Prop.]]="No Load"),"",AB99*(1-X99))</f>
        <v/>
      </c>
      <c r="AB99" s="103" t="str">
        <f t="shared" si="12"/>
        <v/>
      </c>
      <c r="AC99" s="45" t="str">
        <f t="shared" si="13"/>
        <v/>
      </c>
      <c r="AD99" s="73" t="str">
        <f>IF(Table1[[#This Row],[Prop.]]="No Load",Table1[[#This Row],["T"]]*Table1[[#This Row],[RPM]]/Table1[[#This Row],[V]],"")</f>
        <v/>
      </c>
      <c r="AE99" s="74" t="str">
        <f>IF(OR(C99="",E99="",H99=""),"",IF(Table1[[#This Row],[Prop.]]="No Load",IF(E99=1,(H99-10)/C99,IF(E99=2,2*(H99-10)/C99,4*(H99-10))),""))</f>
        <v/>
      </c>
      <c r="AF99" s="45" t="str">
        <f>IF(AND(Table1[[#This Row],[Variant]]=$AF$4,Table1[[#This Row],[Kv*T]]&gt;0,Table1[[#This Row],[Term.]]="D"),Table1[[#This Row],[Kv*T]],"")</f>
        <v/>
      </c>
      <c r="AG99" s="45" t="str">
        <f>IF(AND(Table1[[#This Row],[Variant]]=$AF$4,Table1[[#This Row],[Kv*T]]&gt;0,Table1[[#This Row],[Term.]]="Y"),Table1[[#This Row],[Kv*T]],"")</f>
        <v/>
      </c>
      <c r="AH99" s="73" t="str">
        <f>IF(AND(Table1[[#This Row],[Kv*T "D"]]="",Table1[[#This Row],[Kv*T "Y"]]=""),"",IF(Table1[[#This Row],[Kv*T "D"]]="",Table1[[#This Row],[Kv*T "Y"]]*3^0.5,Table1[[#This Row],[Kv*T "D"]]))</f>
        <v/>
      </c>
      <c r="AI99" s="147" t="str">
        <f>IF(Table1[[#This Row],[Std Inch per turn]]="","",Table1[[#This Row],[Std Inch per turn]])</f>
        <v/>
      </c>
      <c r="AJ99" s="75" t="str">
        <f>IF(AND(Table1[[#This Row],[Variant]]=$AJ$4,Table1[[#This Row],[Kv*T]]&gt;0,Table1[[#This Row],[Term.]]="D"),Table1[[#This Row],[Kv*T]],"")</f>
        <v/>
      </c>
      <c r="AK99" s="75" t="str">
        <f>IF(AND(Table1[[#This Row],[Variant]]=$AJ$4,Table1[[#This Row],[Kv*T]]&gt;0,Table1[[#This Row],[Term.]]="Y"),Table1[[#This Row],[Kv*T]],"")</f>
        <v/>
      </c>
      <c r="AL99" s="73" t="str">
        <f>IF(AND(Table1[[#This Row],[Kv*T "D"2]]="",Table1[[#This Row],[Kv*T "Y"2]]=""),"",IF(Table1[[#This Row],[Kv*T "D"2]]="",Table1[[#This Row],[Kv*T "Y"2]]*3^0.5,Table1[[#This Row],[Kv*T "D"2]]))</f>
        <v/>
      </c>
      <c r="AM99" s="147" t="str">
        <f>IF(Table1[[#This Row],[Std Inch per turn]]="","",Table1[[#This Row],[Std Inch per turn]])</f>
        <v/>
      </c>
      <c r="AN99" s="75" t="str">
        <f>IF(AND(Table1[[#This Row],[Variant]]=$AN$4,Table1[[#This Row],[Kv*T]]&gt;0,Table1[[#This Row],[Term.]]="D"),Table1[[#This Row],[Kv*T]],"")</f>
        <v/>
      </c>
      <c r="AO99" s="75" t="str">
        <f>IF(AND(Table1[[#This Row],[Variant]]=$AN$4,Table1[[#This Row],[Kv*T]]&gt;0,Table1[[#This Row],[Term.]]="Y"),Table1[[#This Row],[Kv*T]],"")</f>
        <v/>
      </c>
      <c r="AP99" s="73" t="str">
        <f>IF(AND(Table1[[#This Row],[Kv*T "D"3]]="",Table1[[#This Row],[Kv*T "Y"3]]=""),"",IF(Table1[[#This Row],[Kv*T "D"3]]="",Table1[[#This Row],[Kv*T "Y"3]]*3^0.5,Table1[[#This Row],[Kv*T "D"3]]))</f>
        <v/>
      </c>
      <c r="AQ99" s="73"/>
      <c r="AR99" s="75" t="str">
        <f>IF(AND(Table1[[#This Row],[Variant]]=$AR$4,Table1[[#This Row],[Kv*T]]&gt;0,Table1[[#This Row],[Term.]]="D"),Table1[[#This Row],[Kv*T]],"")</f>
        <v/>
      </c>
      <c r="AS99" s="75" t="str">
        <f>IF(AND(Table1[[#This Row],[Variant]]=$AR$4,Table1[[#This Row],[Kv*T]]&gt;0,Table1[[#This Row],[Term.]]="Y"),Table1[[#This Row],[Kv*T]],"")</f>
        <v/>
      </c>
      <c r="AT99" s="73" t="str">
        <f>IF(AND(Table1[[#This Row],[Kv*T "D"4]]="",Table1[[#This Row],[Kv*T "Y"4]]=""),"",IF(Table1[[#This Row],[Kv*T "D"4]]="",Table1[[#This Row],[Kv*T "Y"4]]*3^0.5,Table1[[#This Row],[Kv*T "D"4]]))</f>
        <v/>
      </c>
      <c r="AU99" s="73"/>
      <c r="AV99" s="75" t="str">
        <f>IF(AND(Table1[[#This Row],[Variant]]=$AV$4,Table1[[#This Row],[Kv*T]]&gt;0,Table1[[#This Row],[Term.]]="D"),Table1[[#This Row],[Kv*T]],"")</f>
        <v/>
      </c>
      <c r="AW99" s="75" t="str">
        <f>IF(AND(Table1[[#This Row],[Variant]]=$AV$4,Table1[[#This Row],[Kv*T]]&gt;0,Table1[[#This Row],[Term.]]="Y"),Table1[[#This Row],[Kv*T]],"")</f>
        <v/>
      </c>
      <c r="AX99" s="73" t="str">
        <f>IF(AND(Table1[[#This Row],[Kv*T "D"5]]="",Table1[[#This Row],[Kv*T "Y"5]]=""),"",IF(Table1[[#This Row],[Kv*T "D"5]]="",Table1[[#This Row],[Kv*T "Y"5]]*3^0.5,Table1[[#This Row],[Kv*T "D"5]]))</f>
        <v/>
      </c>
      <c r="AY99" s="73"/>
    </row>
    <row r="100" spans="1:51">
      <c r="A100" s="17"/>
      <c r="B100" s="5"/>
      <c r="C100" s="5"/>
      <c r="D100" s="5"/>
      <c r="E100" s="5"/>
      <c r="F100" s="86" t="str">
        <f t="shared" si="10"/>
        <v/>
      </c>
      <c r="G100" s="5"/>
      <c r="H100" s="5"/>
      <c r="I100" s="98" t="str">
        <f>IF(OR(Table1[[#This Row],[Phys. Turns]]="",Table1[[#This Row],[Wire]]="",Table1[[#This Row],[Parallel]]=""),"",Table1[[#This Row],[Phys. Turns]]*VLOOKUP(Table1[[#This Row],[Wire]],wirelist,4,FALSE))</f>
        <v/>
      </c>
      <c r="J100" s="5"/>
      <c r="K100" s="19"/>
      <c r="L100" s="20"/>
      <c r="M100" s="5"/>
      <c r="N100" s="49"/>
      <c r="O100" s="5"/>
      <c r="P100" s="5"/>
      <c r="Q100" s="5"/>
      <c r="R100" s="5"/>
      <c r="S100" s="5"/>
      <c r="T100" s="43" t="str">
        <f t="shared" si="11"/>
        <v/>
      </c>
      <c r="U100" s="102"/>
      <c r="V100" s="144"/>
      <c r="W100" s="46" t="str">
        <f>IF(OR(P100="",Table1[[#This Row],[Prop.]]="No Load"),"",(Tests!AC100/VLOOKUP(Table1[[#This Row],[Prop.]],proplist,6,FALSE))*VLOOKUP(Table1[[#This Row],[Prop.]],proplist,4,FALSE)/28.3*(Table1[[#This Row],[RPM]]/1000)^VLOOKUP(Table1[[#This Row],[Prop.]],proplist,5,FALSE))</f>
        <v/>
      </c>
      <c r="X100" s="47" t="str">
        <f>IF(OR(P100="",Table1[[#This Row],[Prop.]]="No Load"),"",(AC100/VLOOKUP(Table1[[#This Row],[Prop.]],proplist,9,FALSE))*VLOOKUP(Table1[[#This Row],[Prop.]],proplist,7,FALSE)*(Table1[[#This Row],[RPM]]/1000)^(VLOOKUP(Table1[[#This Row],[Prop.]],proplist,8,FALSE))/Table1[[#This Row],[Pin '[W']]])</f>
        <v/>
      </c>
      <c r="Y100" s="43" t="str">
        <f>IF(OR(P100="",Table1[[#This Row],[Prop.]]="No Load"),"",P100*VLOOKUP(Table1[[#This Row],[Prop.]],proplist,3,FALSE)/1056)</f>
        <v/>
      </c>
      <c r="Z100" s="43" t="str">
        <f t="shared" si="14"/>
        <v/>
      </c>
      <c r="AA100" s="44" t="str">
        <f>IF(OR(AB100="",Table1[[#This Row],[Prop.]]="No Load"),"",AB100*(1-X100))</f>
        <v/>
      </c>
      <c r="AB100" s="103" t="str">
        <f t="shared" si="12"/>
        <v/>
      </c>
      <c r="AC100" s="45" t="str">
        <f t="shared" si="13"/>
        <v/>
      </c>
      <c r="AD100" s="73" t="str">
        <f>IF(Table1[[#This Row],[Prop.]]="No Load",Table1[[#This Row],["T"]]*Table1[[#This Row],[RPM]]/Table1[[#This Row],[V]],"")</f>
        <v/>
      </c>
      <c r="AE100" s="74" t="str">
        <f>IF(OR(C100="",E100="",H100=""),"",IF(Table1[[#This Row],[Prop.]]="No Load",IF(E100=1,(H100-10)/C100,IF(E100=2,2*(H100-10)/C100,4*(H100-10))),""))</f>
        <v/>
      </c>
      <c r="AF100" s="45" t="str">
        <f>IF(AND(Table1[[#This Row],[Variant]]=$AF$4,Table1[[#This Row],[Kv*T]]&gt;0,Table1[[#This Row],[Term.]]="D"),Table1[[#This Row],[Kv*T]],"")</f>
        <v/>
      </c>
      <c r="AG100" s="45" t="str">
        <f>IF(AND(Table1[[#This Row],[Variant]]=$AF$4,Table1[[#This Row],[Kv*T]]&gt;0,Table1[[#This Row],[Term.]]="Y"),Table1[[#This Row],[Kv*T]],"")</f>
        <v/>
      </c>
      <c r="AH100" s="73" t="str">
        <f>IF(AND(Table1[[#This Row],[Kv*T "D"]]="",Table1[[#This Row],[Kv*T "Y"]]=""),"",IF(Table1[[#This Row],[Kv*T "D"]]="",Table1[[#This Row],[Kv*T "Y"]]*3^0.5,Table1[[#This Row],[Kv*T "D"]]))</f>
        <v/>
      </c>
      <c r="AI100" s="147" t="str">
        <f>IF(Table1[[#This Row],[Std Inch per turn]]="","",Table1[[#This Row],[Std Inch per turn]])</f>
        <v/>
      </c>
      <c r="AJ100" s="75" t="str">
        <f>IF(AND(Table1[[#This Row],[Variant]]=$AJ$4,Table1[[#This Row],[Kv*T]]&gt;0,Table1[[#This Row],[Term.]]="D"),Table1[[#This Row],[Kv*T]],"")</f>
        <v/>
      </c>
      <c r="AK100" s="75" t="str">
        <f>IF(AND(Table1[[#This Row],[Variant]]=$AJ$4,Table1[[#This Row],[Kv*T]]&gt;0,Table1[[#This Row],[Term.]]="Y"),Table1[[#This Row],[Kv*T]],"")</f>
        <v/>
      </c>
      <c r="AL100" s="73" t="str">
        <f>IF(AND(Table1[[#This Row],[Kv*T "D"2]]="",Table1[[#This Row],[Kv*T "Y"2]]=""),"",IF(Table1[[#This Row],[Kv*T "D"2]]="",Table1[[#This Row],[Kv*T "Y"2]]*3^0.5,Table1[[#This Row],[Kv*T "D"2]]))</f>
        <v/>
      </c>
      <c r="AM100" s="147" t="str">
        <f>IF(Table1[[#This Row],[Std Inch per turn]]="","",Table1[[#This Row],[Std Inch per turn]])</f>
        <v/>
      </c>
      <c r="AN100" s="75" t="str">
        <f>IF(AND(Table1[[#This Row],[Variant]]=$AN$4,Table1[[#This Row],[Kv*T]]&gt;0,Table1[[#This Row],[Term.]]="D"),Table1[[#This Row],[Kv*T]],"")</f>
        <v/>
      </c>
      <c r="AO100" s="75" t="str">
        <f>IF(AND(Table1[[#This Row],[Variant]]=$AN$4,Table1[[#This Row],[Kv*T]]&gt;0,Table1[[#This Row],[Term.]]="Y"),Table1[[#This Row],[Kv*T]],"")</f>
        <v/>
      </c>
      <c r="AP100" s="73" t="str">
        <f>IF(AND(Table1[[#This Row],[Kv*T "D"3]]="",Table1[[#This Row],[Kv*T "Y"3]]=""),"",IF(Table1[[#This Row],[Kv*T "D"3]]="",Table1[[#This Row],[Kv*T "Y"3]]*3^0.5,Table1[[#This Row],[Kv*T "D"3]]))</f>
        <v/>
      </c>
      <c r="AQ100" s="73"/>
      <c r="AR100" s="75" t="str">
        <f>IF(AND(Table1[[#This Row],[Variant]]=$AR$4,Table1[[#This Row],[Kv*T]]&gt;0,Table1[[#This Row],[Term.]]="D"),Table1[[#This Row],[Kv*T]],"")</f>
        <v/>
      </c>
      <c r="AS100" s="75" t="str">
        <f>IF(AND(Table1[[#This Row],[Variant]]=$AR$4,Table1[[#This Row],[Kv*T]]&gt;0,Table1[[#This Row],[Term.]]="Y"),Table1[[#This Row],[Kv*T]],"")</f>
        <v/>
      </c>
      <c r="AT100" s="73" t="str">
        <f>IF(AND(Table1[[#This Row],[Kv*T "D"4]]="",Table1[[#This Row],[Kv*T "Y"4]]=""),"",IF(Table1[[#This Row],[Kv*T "D"4]]="",Table1[[#This Row],[Kv*T "Y"4]]*3^0.5,Table1[[#This Row],[Kv*T "D"4]]))</f>
        <v/>
      </c>
      <c r="AU100" s="73"/>
      <c r="AV100" s="75" t="str">
        <f>IF(AND(Table1[[#This Row],[Variant]]=$AV$4,Table1[[#This Row],[Kv*T]]&gt;0,Table1[[#This Row],[Term.]]="D"),Table1[[#This Row],[Kv*T]],"")</f>
        <v/>
      </c>
      <c r="AW100" s="75" t="str">
        <f>IF(AND(Table1[[#This Row],[Variant]]=$AV$4,Table1[[#This Row],[Kv*T]]&gt;0,Table1[[#This Row],[Term.]]="Y"),Table1[[#This Row],[Kv*T]],"")</f>
        <v/>
      </c>
      <c r="AX100" s="73" t="str">
        <f>IF(AND(Table1[[#This Row],[Kv*T "D"5]]="",Table1[[#This Row],[Kv*T "Y"5]]=""),"",IF(Table1[[#This Row],[Kv*T "D"5]]="",Table1[[#This Row],[Kv*T "Y"5]]*3^0.5,Table1[[#This Row],[Kv*T "D"5]]))</f>
        <v/>
      </c>
      <c r="AY100" s="73"/>
    </row>
    <row r="101" spans="1:51">
      <c r="A101" s="17"/>
      <c r="B101" s="5"/>
      <c r="C101" s="5"/>
      <c r="D101" s="5"/>
      <c r="E101" s="5"/>
      <c r="F101" s="86" t="str">
        <f t="shared" si="10"/>
        <v/>
      </c>
      <c r="G101" s="5"/>
      <c r="H101" s="5"/>
      <c r="I101" s="98" t="str">
        <f>IF(OR(Table1[[#This Row],[Phys. Turns]]="",Table1[[#This Row],[Wire]]="",Table1[[#This Row],[Parallel]]=""),"",Table1[[#This Row],[Phys. Turns]]*VLOOKUP(Table1[[#This Row],[Wire]],wirelist,4,FALSE))</f>
        <v/>
      </c>
      <c r="J101" s="5"/>
      <c r="K101" s="19"/>
      <c r="L101" s="20"/>
      <c r="M101" s="5"/>
      <c r="N101" s="49"/>
      <c r="O101" s="5"/>
      <c r="P101" s="5"/>
      <c r="Q101" s="5"/>
      <c r="R101" s="5"/>
      <c r="S101" s="5"/>
      <c r="T101" s="43" t="str">
        <f t="shared" si="11"/>
        <v/>
      </c>
      <c r="U101" s="102"/>
      <c r="V101" s="144"/>
      <c r="W101" s="46" t="str">
        <f>IF(OR(P101="",Table1[[#This Row],[Prop.]]="No Load"),"",(Tests!AC101/VLOOKUP(Table1[[#This Row],[Prop.]],proplist,6,FALSE))*VLOOKUP(Table1[[#This Row],[Prop.]],proplist,4,FALSE)/28.3*(Table1[[#This Row],[RPM]]/1000)^VLOOKUP(Table1[[#This Row],[Prop.]],proplist,5,FALSE))</f>
        <v/>
      </c>
      <c r="X101" s="47" t="str">
        <f>IF(OR(P101="",Table1[[#This Row],[Prop.]]="No Load"),"",(AC101/VLOOKUP(Table1[[#This Row],[Prop.]],proplist,9,FALSE))*VLOOKUP(Table1[[#This Row],[Prop.]],proplist,7,FALSE)*(Table1[[#This Row],[RPM]]/1000)^(VLOOKUP(Table1[[#This Row],[Prop.]],proplist,8,FALSE))/Table1[[#This Row],[Pin '[W']]])</f>
        <v/>
      </c>
      <c r="Y101" s="43" t="str">
        <f>IF(OR(P101="",Table1[[#This Row],[Prop.]]="No Load"),"",P101*VLOOKUP(Table1[[#This Row],[Prop.]],proplist,3,FALSE)/1056)</f>
        <v/>
      </c>
      <c r="Z101" s="43" t="str">
        <f t="shared" si="14"/>
        <v/>
      </c>
      <c r="AA101" s="44" t="str">
        <f>IF(OR(AB101="",Table1[[#This Row],[Prop.]]="No Load"),"",AB101*(1-X101))</f>
        <v/>
      </c>
      <c r="AB101" s="103" t="str">
        <f t="shared" si="12"/>
        <v/>
      </c>
      <c r="AC101" s="45" t="str">
        <f t="shared" si="13"/>
        <v/>
      </c>
      <c r="AD101" s="73" t="str">
        <f>IF(Table1[[#This Row],[Prop.]]="No Load",Table1[[#This Row],["T"]]*Table1[[#This Row],[RPM]]/Table1[[#This Row],[V]],"")</f>
        <v/>
      </c>
      <c r="AE101" s="74" t="str">
        <f>IF(OR(C101="",E101="",H101=""),"",IF(Table1[[#This Row],[Prop.]]="No Load",IF(E101=1,(H101-10)/C101,IF(E101=2,2*(H101-10)/C101,4*(H101-10))),""))</f>
        <v/>
      </c>
      <c r="AF101" s="45" t="str">
        <f>IF(AND(Table1[[#This Row],[Variant]]=$AF$4,Table1[[#This Row],[Kv*T]]&gt;0,Table1[[#This Row],[Term.]]="D"),Table1[[#This Row],[Kv*T]],"")</f>
        <v/>
      </c>
      <c r="AG101" s="45" t="str">
        <f>IF(AND(Table1[[#This Row],[Variant]]=$AF$4,Table1[[#This Row],[Kv*T]]&gt;0,Table1[[#This Row],[Term.]]="Y"),Table1[[#This Row],[Kv*T]],"")</f>
        <v/>
      </c>
      <c r="AH101" s="73" t="str">
        <f>IF(AND(Table1[[#This Row],[Kv*T "D"]]="",Table1[[#This Row],[Kv*T "Y"]]=""),"",IF(Table1[[#This Row],[Kv*T "D"]]="",Table1[[#This Row],[Kv*T "Y"]]*3^0.5,Table1[[#This Row],[Kv*T "D"]]))</f>
        <v/>
      </c>
      <c r="AI101" s="147" t="str">
        <f>IF(Table1[[#This Row],[Std Inch per turn]]="","",Table1[[#This Row],[Std Inch per turn]])</f>
        <v/>
      </c>
      <c r="AJ101" s="75" t="str">
        <f>IF(AND(Table1[[#This Row],[Variant]]=$AJ$4,Table1[[#This Row],[Kv*T]]&gt;0,Table1[[#This Row],[Term.]]="D"),Table1[[#This Row],[Kv*T]],"")</f>
        <v/>
      </c>
      <c r="AK101" s="75" t="str">
        <f>IF(AND(Table1[[#This Row],[Variant]]=$AJ$4,Table1[[#This Row],[Kv*T]]&gt;0,Table1[[#This Row],[Term.]]="Y"),Table1[[#This Row],[Kv*T]],"")</f>
        <v/>
      </c>
      <c r="AL101" s="73" t="str">
        <f>IF(AND(Table1[[#This Row],[Kv*T "D"2]]="",Table1[[#This Row],[Kv*T "Y"2]]=""),"",IF(Table1[[#This Row],[Kv*T "D"2]]="",Table1[[#This Row],[Kv*T "Y"2]]*3^0.5,Table1[[#This Row],[Kv*T "D"2]]))</f>
        <v/>
      </c>
      <c r="AM101" s="147" t="str">
        <f>IF(Table1[[#This Row],[Std Inch per turn]]="","",Table1[[#This Row],[Std Inch per turn]])</f>
        <v/>
      </c>
      <c r="AN101" s="75" t="str">
        <f>IF(AND(Table1[[#This Row],[Variant]]=$AN$4,Table1[[#This Row],[Kv*T]]&gt;0,Table1[[#This Row],[Term.]]="D"),Table1[[#This Row],[Kv*T]],"")</f>
        <v/>
      </c>
      <c r="AO101" s="75" t="str">
        <f>IF(AND(Table1[[#This Row],[Variant]]=$AN$4,Table1[[#This Row],[Kv*T]]&gt;0,Table1[[#This Row],[Term.]]="Y"),Table1[[#This Row],[Kv*T]],"")</f>
        <v/>
      </c>
      <c r="AP101" s="73" t="str">
        <f>IF(AND(Table1[[#This Row],[Kv*T "D"3]]="",Table1[[#This Row],[Kv*T "Y"3]]=""),"",IF(Table1[[#This Row],[Kv*T "D"3]]="",Table1[[#This Row],[Kv*T "Y"3]]*3^0.5,Table1[[#This Row],[Kv*T "D"3]]))</f>
        <v/>
      </c>
      <c r="AQ101" s="73"/>
      <c r="AR101" s="75" t="str">
        <f>IF(AND(Table1[[#This Row],[Variant]]=$AR$4,Table1[[#This Row],[Kv*T]]&gt;0,Table1[[#This Row],[Term.]]="D"),Table1[[#This Row],[Kv*T]],"")</f>
        <v/>
      </c>
      <c r="AS101" s="75" t="str">
        <f>IF(AND(Table1[[#This Row],[Variant]]=$AR$4,Table1[[#This Row],[Kv*T]]&gt;0,Table1[[#This Row],[Term.]]="Y"),Table1[[#This Row],[Kv*T]],"")</f>
        <v/>
      </c>
      <c r="AT101" s="73" t="str">
        <f>IF(AND(Table1[[#This Row],[Kv*T "D"4]]="",Table1[[#This Row],[Kv*T "Y"4]]=""),"",IF(Table1[[#This Row],[Kv*T "D"4]]="",Table1[[#This Row],[Kv*T "Y"4]]*3^0.5,Table1[[#This Row],[Kv*T "D"4]]))</f>
        <v/>
      </c>
      <c r="AU101" s="73"/>
      <c r="AV101" s="75" t="str">
        <f>IF(AND(Table1[[#This Row],[Variant]]=$AV$4,Table1[[#This Row],[Kv*T]]&gt;0,Table1[[#This Row],[Term.]]="D"),Table1[[#This Row],[Kv*T]],"")</f>
        <v/>
      </c>
      <c r="AW101" s="75" t="str">
        <f>IF(AND(Table1[[#This Row],[Variant]]=$AV$4,Table1[[#This Row],[Kv*T]]&gt;0,Table1[[#This Row],[Term.]]="Y"),Table1[[#This Row],[Kv*T]],"")</f>
        <v/>
      </c>
      <c r="AX101" s="73" t="str">
        <f>IF(AND(Table1[[#This Row],[Kv*T "D"5]]="",Table1[[#This Row],[Kv*T "Y"5]]=""),"",IF(Table1[[#This Row],[Kv*T "D"5]]="",Table1[[#This Row],[Kv*T "Y"5]]*3^0.5,Table1[[#This Row],[Kv*T "D"5]]))</f>
        <v/>
      </c>
      <c r="AY101" s="73"/>
    </row>
    <row r="102" spans="1:51">
      <c r="A102" s="17"/>
      <c r="B102" s="5"/>
      <c r="C102" s="5"/>
      <c r="D102" s="5"/>
      <c r="E102" s="5"/>
      <c r="F102" s="86" t="str">
        <f t="shared" ref="F102:F133" si="15">IF(E102="","",C102/E102)</f>
        <v/>
      </c>
      <c r="G102" s="5"/>
      <c r="H102" s="5"/>
      <c r="I102" s="98" t="str">
        <f>IF(OR(Table1[[#This Row],[Phys. Turns]]="",Table1[[#This Row],[Wire]]="",Table1[[#This Row],[Parallel]]=""),"",Table1[[#This Row],[Phys. Turns]]*VLOOKUP(Table1[[#This Row],[Wire]],wirelist,4,FALSE))</f>
        <v/>
      </c>
      <c r="J102" s="5"/>
      <c r="K102" s="19"/>
      <c r="L102" s="20"/>
      <c r="M102" s="5"/>
      <c r="N102" s="49"/>
      <c r="O102" s="5"/>
      <c r="P102" s="5"/>
      <c r="Q102" s="5"/>
      <c r="R102" s="5"/>
      <c r="S102" s="5"/>
      <c r="T102" s="43" t="str">
        <f t="shared" ref="T102:T133" si="16">IF(S102="","",S102*28.3/AB102)</f>
        <v/>
      </c>
      <c r="U102" s="102"/>
      <c r="V102" s="144"/>
      <c r="W102" s="46" t="str">
        <f>IF(OR(P102="",Table1[[#This Row],[Prop.]]="No Load"),"",(Tests!AC102/VLOOKUP(Table1[[#This Row],[Prop.]],proplist,6,FALSE))*VLOOKUP(Table1[[#This Row],[Prop.]],proplist,4,FALSE)/28.3*(Table1[[#This Row],[RPM]]/1000)^VLOOKUP(Table1[[#This Row],[Prop.]],proplist,5,FALSE))</f>
        <v/>
      </c>
      <c r="X102" s="47" t="str">
        <f>IF(OR(P102="",Table1[[#This Row],[Prop.]]="No Load"),"",(AC102/VLOOKUP(Table1[[#This Row],[Prop.]],proplist,9,FALSE))*VLOOKUP(Table1[[#This Row],[Prop.]],proplist,7,FALSE)*(Table1[[#This Row],[RPM]]/1000)^(VLOOKUP(Table1[[#This Row],[Prop.]],proplist,8,FALSE))/Table1[[#This Row],[Pin '[W']]])</f>
        <v/>
      </c>
      <c r="Y102" s="43" t="str">
        <f>IF(OR(P102="",Table1[[#This Row],[Prop.]]="No Load"),"",P102*VLOOKUP(Table1[[#This Row],[Prop.]],proplist,3,FALSE)/1056)</f>
        <v/>
      </c>
      <c r="Z102" s="43" t="str">
        <f t="shared" si="14"/>
        <v/>
      </c>
      <c r="AA102" s="44" t="str">
        <f>IF(OR(AB102="",Table1[[#This Row],[Prop.]]="No Load"),"",AB102*(1-X102))</f>
        <v/>
      </c>
      <c r="AB102" s="103" t="str">
        <f t="shared" ref="AB102:AB120" si="17">IF(Q102="","",Q102*R102)</f>
        <v/>
      </c>
      <c r="AC102" s="45" t="str">
        <f t="shared" ref="AC102:AC120" si="18">IF(A102="","",IF(OR(N102="",O102=""),1.2041,352.98/(N102+273.15)*(1-0.0000225577*O102)^5.25578))</f>
        <v/>
      </c>
      <c r="AD102" s="73" t="str">
        <f>IF(Table1[[#This Row],[Prop.]]="No Load",Table1[[#This Row],["T"]]*Table1[[#This Row],[RPM]]/Table1[[#This Row],[V]],"")</f>
        <v/>
      </c>
      <c r="AE102" s="74" t="str">
        <f>IF(OR(C102="",E102="",H102=""),"",IF(Table1[[#This Row],[Prop.]]="No Load",IF(E102=1,(H102-10)/C102,IF(E102=2,2*(H102-10)/C102,4*(H102-10))),""))</f>
        <v/>
      </c>
      <c r="AF102" s="45" t="str">
        <f>IF(AND(Table1[[#This Row],[Variant]]=$AF$4,Table1[[#This Row],[Kv*T]]&gt;0,Table1[[#This Row],[Term.]]="D"),Table1[[#This Row],[Kv*T]],"")</f>
        <v/>
      </c>
      <c r="AG102" s="45" t="str">
        <f>IF(AND(Table1[[#This Row],[Variant]]=$AF$4,Table1[[#This Row],[Kv*T]]&gt;0,Table1[[#This Row],[Term.]]="Y"),Table1[[#This Row],[Kv*T]],"")</f>
        <v/>
      </c>
      <c r="AH102" s="73" t="str">
        <f>IF(AND(Table1[[#This Row],[Kv*T "D"]]="",Table1[[#This Row],[Kv*T "Y"]]=""),"",IF(Table1[[#This Row],[Kv*T "D"]]="",Table1[[#This Row],[Kv*T "Y"]]*3^0.5,Table1[[#This Row],[Kv*T "D"]]))</f>
        <v/>
      </c>
      <c r="AI102" s="147" t="str">
        <f>IF(Table1[[#This Row],[Std Inch per turn]]="","",Table1[[#This Row],[Std Inch per turn]])</f>
        <v/>
      </c>
      <c r="AJ102" s="75" t="str">
        <f>IF(AND(Table1[[#This Row],[Variant]]=$AJ$4,Table1[[#This Row],[Kv*T]]&gt;0,Table1[[#This Row],[Term.]]="D"),Table1[[#This Row],[Kv*T]],"")</f>
        <v/>
      </c>
      <c r="AK102" s="75" t="str">
        <f>IF(AND(Table1[[#This Row],[Variant]]=$AJ$4,Table1[[#This Row],[Kv*T]]&gt;0,Table1[[#This Row],[Term.]]="Y"),Table1[[#This Row],[Kv*T]],"")</f>
        <v/>
      </c>
      <c r="AL102" s="73" t="str">
        <f>IF(AND(Table1[[#This Row],[Kv*T "D"2]]="",Table1[[#This Row],[Kv*T "Y"2]]=""),"",IF(Table1[[#This Row],[Kv*T "D"2]]="",Table1[[#This Row],[Kv*T "Y"2]]*3^0.5,Table1[[#This Row],[Kv*T "D"2]]))</f>
        <v/>
      </c>
      <c r="AM102" s="147" t="str">
        <f>IF(Table1[[#This Row],[Std Inch per turn]]="","",Table1[[#This Row],[Std Inch per turn]])</f>
        <v/>
      </c>
      <c r="AN102" s="75" t="str">
        <f>IF(AND(Table1[[#This Row],[Variant]]=$AN$4,Table1[[#This Row],[Kv*T]]&gt;0,Table1[[#This Row],[Term.]]="D"),Table1[[#This Row],[Kv*T]],"")</f>
        <v/>
      </c>
      <c r="AO102" s="75" t="str">
        <f>IF(AND(Table1[[#This Row],[Variant]]=$AN$4,Table1[[#This Row],[Kv*T]]&gt;0,Table1[[#This Row],[Term.]]="Y"),Table1[[#This Row],[Kv*T]],"")</f>
        <v/>
      </c>
      <c r="AP102" s="73" t="str">
        <f>IF(AND(Table1[[#This Row],[Kv*T "D"3]]="",Table1[[#This Row],[Kv*T "Y"3]]=""),"",IF(Table1[[#This Row],[Kv*T "D"3]]="",Table1[[#This Row],[Kv*T "Y"3]]*3^0.5,Table1[[#This Row],[Kv*T "D"3]]))</f>
        <v/>
      </c>
      <c r="AQ102" s="73"/>
      <c r="AR102" s="75" t="str">
        <f>IF(AND(Table1[[#This Row],[Variant]]=$AR$4,Table1[[#This Row],[Kv*T]]&gt;0,Table1[[#This Row],[Term.]]="D"),Table1[[#This Row],[Kv*T]],"")</f>
        <v/>
      </c>
      <c r="AS102" s="75" t="str">
        <f>IF(AND(Table1[[#This Row],[Variant]]=$AR$4,Table1[[#This Row],[Kv*T]]&gt;0,Table1[[#This Row],[Term.]]="Y"),Table1[[#This Row],[Kv*T]],"")</f>
        <v/>
      </c>
      <c r="AT102" s="73" t="str">
        <f>IF(AND(Table1[[#This Row],[Kv*T "D"4]]="",Table1[[#This Row],[Kv*T "Y"4]]=""),"",IF(Table1[[#This Row],[Kv*T "D"4]]="",Table1[[#This Row],[Kv*T "Y"4]]*3^0.5,Table1[[#This Row],[Kv*T "D"4]]))</f>
        <v/>
      </c>
      <c r="AU102" s="73"/>
      <c r="AV102" s="75" t="str">
        <f>IF(AND(Table1[[#This Row],[Variant]]=$AV$4,Table1[[#This Row],[Kv*T]]&gt;0,Table1[[#This Row],[Term.]]="D"),Table1[[#This Row],[Kv*T]],"")</f>
        <v/>
      </c>
      <c r="AW102" s="75" t="str">
        <f>IF(AND(Table1[[#This Row],[Variant]]=$AV$4,Table1[[#This Row],[Kv*T]]&gt;0,Table1[[#This Row],[Term.]]="Y"),Table1[[#This Row],[Kv*T]],"")</f>
        <v/>
      </c>
      <c r="AX102" s="73" t="str">
        <f>IF(AND(Table1[[#This Row],[Kv*T "D"5]]="",Table1[[#This Row],[Kv*T "Y"5]]=""),"",IF(Table1[[#This Row],[Kv*T "D"5]]="",Table1[[#This Row],[Kv*T "Y"5]]*3^0.5,Table1[[#This Row],[Kv*T "D"5]]))</f>
        <v/>
      </c>
      <c r="AY102" s="73"/>
    </row>
    <row r="103" spans="1:51">
      <c r="A103" s="17"/>
      <c r="B103" s="5"/>
      <c r="C103" s="5"/>
      <c r="D103" s="5"/>
      <c r="E103" s="5"/>
      <c r="F103" s="86" t="str">
        <f t="shared" si="15"/>
        <v/>
      </c>
      <c r="G103" s="5"/>
      <c r="H103" s="5"/>
      <c r="I103" s="98" t="str">
        <f>IF(OR(Table1[[#This Row],[Phys. Turns]]="",Table1[[#This Row],[Wire]]="",Table1[[#This Row],[Parallel]]=""),"",Table1[[#This Row],[Phys. Turns]]*VLOOKUP(Table1[[#This Row],[Wire]],wirelist,4,FALSE))</f>
        <v/>
      </c>
      <c r="J103" s="5"/>
      <c r="K103" s="19"/>
      <c r="L103" s="20"/>
      <c r="M103" s="5"/>
      <c r="N103" s="49"/>
      <c r="O103" s="5"/>
      <c r="P103" s="5"/>
      <c r="Q103" s="5"/>
      <c r="R103" s="5"/>
      <c r="S103" s="5"/>
      <c r="T103" s="43" t="str">
        <f t="shared" si="16"/>
        <v/>
      </c>
      <c r="U103" s="102"/>
      <c r="V103" s="144"/>
      <c r="W103" s="46" t="str">
        <f>IF(OR(P103="",Table1[[#This Row],[Prop.]]="No Load"),"",(Tests!AC103/VLOOKUP(Table1[[#This Row],[Prop.]],proplist,6,FALSE))*VLOOKUP(Table1[[#This Row],[Prop.]],proplist,4,FALSE)/28.3*(Table1[[#This Row],[RPM]]/1000)^VLOOKUP(Table1[[#This Row],[Prop.]],proplist,5,FALSE))</f>
        <v/>
      </c>
      <c r="X103" s="47" t="str">
        <f>IF(OR(P103="",Table1[[#This Row],[Prop.]]="No Load"),"",(AC103/VLOOKUP(Table1[[#This Row],[Prop.]],proplist,9,FALSE))*VLOOKUP(Table1[[#This Row],[Prop.]],proplist,7,FALSE)*(Table1[[#This Row],[RPM]]/1000)^(VLOOKUP(Table1[[#This Row],[Prop.]],proplist,8,FALSE))/Table1[[#This Row],[Pin '[W']]])</f>
        <v/>
      </c>
      <c r="Y103" s="43" t="str">
        <f>IF(OR(P103="",Table1[[#This Row],[Prop.]]="No Load"),"",P103*VLOOKUP(Table1[[#This Row],[Prop.]],proplist,3,FALSE)/1056)</f>
        <v/>
      </c>
      <c r="Z103" s="43" t="str">
        <f t="shared" si="14"/>
        <v/>
      </c>
      <c r="AA103" s="44" t="str">
        <f>IF(OR(AB103="",Table1[[#This Row],[Prop.]]="No Load"),"",AB103*(1-X103))</f>
        <v/>
      </c>
      <c r="AB103" s="103" t="str">
        <f t="shared" si="17"/>
        <v/>
      </c>
      <c r="AC103" s="45" t="str">
        <f t="shared" si="18"/>
        <v/>
      </c>
      <c r="AD103" s="73" t="str">
        <f>IF(Table1[[#This Row],[Prop.]]="No Load",Table1[[#This Row],["T"]]*Table1[[#This Row],[RPM]]/Table1[[#This Row],[V]],"")</f>
        <v/>
      </c>
      <c r="AE103" s="74" t="str">
        <f>IF(OR(C103="",E103="",H103=""),"",IF(Table1[[#This Row],[Prop.]]="No Load",IF(E103=1,(H103-10)/C103,IF(E103=2,2*(H103-10)/C103,4*(H103-10))),""))</f>
        <v/>
      </c>
      <c r="AF103" s="45" t="str">
        <f>IF(AND(Table1[[#This Row],[Variant]]=$AF$4,Table1[[#This Row],[Kv*T]]&gt;0,Table1[[#This Row],[Term.]]="D"),Table1[[#This Row],[Kv*T]],"")</f>
        <v/>
      </c>
      <c r="AG103" s="45" t="str">
        <f>IF(AND(Table1[[#This Row],[Variant]]=$AF$4,Table1[[#This Row],[Kv*T]]&gt;0,Table1[[#This Row],[Term.]]="Y"),Table1[[#This Row],[Kv*T]],"")</f>
        <v/>
      </c>
      <c r="AH103" s="73" t="str">
        <f>IF(AND(Table1[[#This Row],[Kv*T "D"]]="",Table1[[#This Row],[Kv*T "Y"]]=""),"",IF(Table1[[#This Row],[Kv*T "D"]]="",Table1[[#This Row],[Kv*T "Y"]]*3^0.5,Table1[[#This Row],[Kv*T "D"]]))</f>
        <v/>
      </c>
      <c r="AI103" s="147" t="str">
        <f>IF(Table1[[#This Row],[Std Inch per turn]]="","",Table1[[#This Row],[Std Inch per turn]])</f>
        <v/>
      </c>
      <c r="AJ103" s="75" t="str">
        <f>IF(AND(Table1[[#This Row],[Variant]]=$AJ$4,Table1[[#This Row],[Kv*T]]&gt;0,Table1[[#This Row],[Term.]]="D"),Table1[[#This Row],[Kv*T]],"")</f>
        <v/>
      </c>
      <c r="AK103" s="75" t="str">
        <f>IF(AND(Table1[[#This Row],[Variant]]=$AJ$4,Table1[[#This Row],[Kv*T]]&gt;0,Table1[[#This Row],[Term.]]="Y"),Table1[[#This Row],[Kv*T]],"")</f>
        <v/>
      </c>
      <c r="AL103" s="73" t="str">
        <f>IF(AND(Table1[[#This Row],[Kv*T "D"2]]="",Table1[[#This Row],[Kv*T "Y"2]]=""),"",IF(Table1[[#This Row],[Kv*T "D"2]]="",Table1[[#This Row],[Kv*T "Y"2]]*3^0.5,Table1[[#This Row],[Kv*T "D"2]]))</f>
        <v/>
      </c>
      <c r="AM103" s="147" t="str">
        <f>IF(Table1[[#This Row],[Std Inch per turn]]="","",Table1[[#This Row],[Std Inch per turn]])</f>
        <v/>
      </c>
      <c r="AN103" s="75" t="str">
        <f>IF(AND(Table1[[#This Row],[Variant]]=$AN$4,Table1[[#This Row],[Kv*T]]&gt;0,Table1[[#This Row],[Term.]]="D"),Table1[[#This Row],[Kv*T]],"")</f>
        <v/>
      </c>
      <c r="AO103" s="75" t="str">
        <f>IF(AND(Table1[[#This Row],[Variant]]=$AN$4,Table1[[#This Row],[Kv*T]]&gt;0,Table1[[#This Row],[Term.]]="Y"),Table1[[#This Row],[Kv*T]],"")</f>
        <v/>
      </c>
      <c r="AP103" s="73" t="str">
        <f>IF(AND(Table1[[#This Row],[Kv*T "D"3]]="",Table1[[#This Row],[Kv*T "Y"3]]=""),"",IF(Table1[[#This Row],[Kv*T "D"3]]="",Table1[[#This Row],[Kv*T "Y"3]]*3^0.5,Table1[[#This Row],[Kv*T "D"3]]))</f>
        <v/>
      </c>
      <c r="AQ103" s="73"/>
      <c r="AR103" s="75" t="str">
        <f>IF(AND(Table1[[#This Row],[Variant]]=$AR$4,Table1[[#This Row],[Kv*T]]&gt;0,Table1[[#This Row],[Term.]]="D"),Table1[[#This Row],[Kv*T]],"")</f>
        <v/>
      </c>
      <c r="AS103" s="75" t="str">
        <f>IF(AND(Table1[[#This Row],[Variant]]=$AR$4,Table1[[#This Row],[Kv*T]]&gt;0,Table1[[#This Row],[Term.]]="Y"),Table1[[#This Row],[Kv*T]],"")</f>
        <v/>
      </c>
      <c r="AT103" s="73" t="str">
        <f>IF(AND(Table1[[#This Row],[Kv*T "D"4]]="",Table1[[#This Row],[Kv*T "Y"4]]=""),"",IF(Table1[[#This Row],[Kv*T "D"4]]="",Table1[[#This Row],[Kv*T "Y"4]]*3^0.5,Table1[[#This Row],[Kv*T "D"4]]))</f>
        <v/>
      </c>
      <c r="AU103" s="73"/>
      <c r="AV103" s="75" t="str">
        <f>IF(AND(Table1[[#This Row],[Variant]]=$AV$4,Table1[[#This Row],[Kv*T]]&gt;0,Table1[[#This Row],[Term.]]="D"),Table1[[#This Row],[Kv*T]],"")</f>
        <v/>
      </c>
      <c r="AW103" s="75" t="str">
        <f>IF(AND(Table1[[#This Row],[Variant]]=$AV$4,Table1[[#This Row],[Kv*T]]&gt;0,Table1[[#This Row],[Term.]]="Y"),Table1[[#This Row],[Kv*T]],"")</f>
        <v/>
      </c>
      <c r="AX103" s="73" t="str">
        <f>IF(AND(Table1[[#This Row],[Kv*T "D"5]]="",Table1[[#This Row],[Kv*T "Y"5]]=""),"",IF(Table1[[#This Row],[Kv*T "D"5]]="",Table1[[#This Row],[Kv*T "Y"5]]*3^0.5,Table1[[#This Row],[Kv*T "D"5]]))</f>
        <v/>
      </c>
      <c r="AY103" s="73"/>
    </row>
    <row r="104" spans="1:51">
      <c r="A104" s="17"/>
      <c r="B104" s="5"/>
      <c r="C104" s="5"/>
      <c r="D104" s="5"/>
      <c r="E104" s="5"/>
      <c r="F104" s="86" t="str">
        <f t="shared" si="15"/>
        <v/>
      </c>
      <c r="G104" s="5"/>
      <c r="H104" s="5"/>
      <c r="I104" s="98" t="str">
        <f>IF(OR(Table1[[#This Row],[Phys. Turns]]="",Table1[[#This Row],[Wire]]="",Table1[[#This Row],[Parallel]]=""),"",Table1[[#This Row],[Phys. Turns]]*VLOOKUP(Table1[[#This Row],[Wire]],wirelist,4,FALSE))</f>
        <v/>
      </c>
      <c r="J104" s="5"/>
      <c r="K104" s="19"/>
      <c r="L104" s="20"/>
      <c r="M104" s="5"/>
      <c r="N104" s="49"/>
      <c r="O104" s="5"/>
      <c r="P104" s="5"/>
      <c r="Q104" s="5"/>
      <c r="R104" s="5"/>
      <c r="S104" s="5"/>
      <c r="T104" s="43" t="str">
        <f t="shared" si="16"/>
        <v/>
      </c>
      <c r="U104" s="102"/>
      <c r="V104" s="144"/>
      <c r="W104" s="46" t="str">
        <f>IF(OR(P104="",Table1[[#This Row],[Prop.]]="No Load"),"",(Tests!AC104/VLOOKUP(Table1[[#This Row],[Prop.]],proplist,6,FALSE))*VLOOKUP(Table1[[#This Row],[Prop.]],proplist,4,FALSE)/28.3*(Table1[[#This Row],[RPM]]/1000)^VLOOKUP(Table1[[#This Row],[Prop.]],proplist,5,FALSE))</f>
        <v/>
      </c>
      <c r="X104" s="47" t="str">
        <f>IF(OR(P104="",Table1[[#This Row],[Prop.]]="No Load"),"",(AC104/VLOOKUP(Table1[[#This Row],[Prop.]],proplist,9,FALSE))*VLOOKUP(Table1[[#This Row],[Prop.]],proplist,7,FALSE)*(Table1[[#This Row],[RPM]]/1000)^(VLOOKUP(Table1[[#This Row],[Prop.]],proplist,8,FALSE))/Table1[[#This Row],[Pin '[W']]])</f>
        <v/>
      </c>
      <c r="Y104" s="43" t="str">
        <f>IF(OR(P104="",Table1[[#This Row],[Prop.]]="No Load"),"",P104*VLOOKUP(Table1[[#This Row],[Prop.]],proplist,3,FALSE)/1056)</f>
        <v/>
      </c>
      <c r="Z104" s="43" t="str">
        <f t="shared" si="14"/>
        <v/>
      </c>
      <c r="AA104" s="44" t="str">
        <f>IF(OR(AB104="",Table1[[#This Row],[Prop.]]="No Load"),"",AB104*(1-X104))</f>
        <v/>
      </c>
      <c r="AB104" s="103" t="str">
        <f t="shared" si="17"/>
        <v/>
      </c>
      <c r="AC104" s="45" t="str">
        <f t="shared" si="18"/>
        <v/>
      </c>
      <c r="AD104" s="73" t="str">
        <f>IF(Table1[[#This Row],[Prop.]]="No Load",Table1[[#This Row],["T"]]*Table1[[#This Row],[RPM]]/Table1[[#This Row],[V]],"")</f>
        <v/>
      </c>
      <c r="AE104" s="74" t="str">
        <f>IF(OR(C104="",E104="",H104=""),"",IF(Table1[[#This Row],[Prop.]]="No Load",IF(E104=1,(H104-10)/C104,IF(E104=2,2*(H104-10)/C104,4*(H104-10))),""))</f>
        <v/>
      </c>
      <c r="AF104" s="45" t="str">
        <f>IF(AND(Table1[[#This Row],[Variant]]=$AF$4,Table1[[#This Row],[Kv*T]]&gt;0,Table1[[#This Row],[Term.]]="D"),Table1[[#This Row],[Kv*T]],"")</f>
        <v/>
      </c>
      <c r="AG104" s="45" t="str">
        <f>IF(AND(Table1[[#This Row],[Variant]]=$AF$4,Table1[[#This Row],[Kv*T]]&gt;0,Table1[[#This Row],[Term.]]="Y"),Table1[[#This Row],[Kv*T]],"")</f>
        <v/>
      </c>
      <c r="AH104" s="73" t="str">
        <f>IF(AND(Table1[[#This Row],[Kv*T "D"]]="",Table1[[#This Row],[Kv*T "Y"]]=""),"",IF(Table1[[#This Row],[Kv*T "D"]]="",Table1[[#This Row],[Kv*T "Y"]]*3^0.5,Table1[[#This Row],[Kv*T "D"]]))</f>
        <v/>
      </c>
      <c r="AI104" s="147" t="str">
        <f>IF(Table1[[#This Row],[Std Inch per turn]]="","",Table1[[#This Row],[Std Inch per turn]])</f>
        <v/>
      </c>
      <c r="AJ104" s="75" t="str">
        <f>IF(AND(Table1[[#This Row],[Variant]]=$AJ$4,Table1[[#This Row],[Kv*T]]&gt;0,Table1[[#This Row],[Term.]]="D"),Table1[[#This Row],[Kv*T]],"")</f>
        <v/>
      </c>
      <c r="AK104" s="75" t="str">
        <f>IF(AND(Table1[[#This Row],[Variant]]=$AJ$4,Table1[[#This Row],[Kv*T]]&gt;0,Table1[[#This Row],[Term.]]="Y"),Table1[[#This Row],[Kv*T]],"")</f>
        <v/>
      </c>
      <c r="AL104" s="73" t="str">
        <f>IF(AND(Table1[[#This Row],[Kv*T "D"2]]="",Table1[[#This Row],[Kv*T "Y"2]]=""),"",IF(Table1[[#This Row],[Kv*T "D"2]]="",Table1[[#This Row],[Kv*T "Y"2]]*3^0.5,Table1[[#This Row],[Kv*T "D"2]]))</f>
        <v/>
      </c>
      <c r="AM104" s="147" t="str">
        <f>IF(Table1[[#This Row],[Std Inch per turn]]="","",Table1[[#This Row],[Std Inch per turn]])</f>
        <v/>
      </c>
      <c r="AN104" s="75" t="str">
        <f>IF(AND(Table1[[#This Row],[Variant]]=$AN$4,Table1[[#This Row],[Kv*T]]&gt;0,Table1[[#This Row],[Term.]]="D"),Table1[[#This Row],[Kv*T]],"")</f>
        <v/>
      </c>
      <c r="AO104" s="75" t="str">
        <f>IF(AND(Table1[[#This Row],[Variant]]=$AN$4,Table1[[#This Row],[Kv*T]]&gt;0,Table1[[#This Row],[Term.]]="Y"),Table1[[#This Row],[Kv*T]],"")</f>
        <v/>
      </c>
      <c r="AP104" s="73" t="str">
        <f>IF(AND(Table1[[#This Row],[Kv*T "D"3]]="",Table1[[#This Row],[Kv*T "Y"3]]=""),"",IF(Table1[[#This Row],[Kv*T "D"3]]="",Table1[[#This Row],[Kv*T "Y"3]]*3^0.5,Table1[[#This Row],[Kv*T "D"3]]))</f>
        <v/>
      </c>
      <c r="AQ104" s="73"/>
      <c r="AR104" s="75" t="str">
        <f>IF(AND(Table1[[#This Row],[Variant]]=$AR$4,Table1[[#This Row],[Kv*T]]&gt;0,Table1[[#This Row],[Term.]]="D"),Table1[[#This Row],[Kv*T]],"")</f>
        <v/>
      </c>
      <c r="AS104" s="75" t="str">
        <f>IF(AND(Table1[[#This Row],[Variant]]=$AR$4,Table1[[#This Row],[Kv*T]]&gt;0,Table1[[#This Row],[Term.]]="Y"),Table1[[#This Row],[Kv*T]],"")</f>
        <v/>
      </c>
      <c r="AT104" s="73" t="str">
        <f>IF(AND(Table1[[#This Row],[Kv*T "D"4]]="",Table1[[#This Row],[Kv*T "Y"4]]=""),"",IF(Table1[[#This Row],[Kv*T "D"4]]="",Table1[[#This Row],[Kv*T "Y"4]]*3^0.5,Table1[[#This Row],[Kv*T "D"4]]))</f>
        <v/>
      </c>
      <c r="AU104" s="73"/>
      <c r="AV104" s="75" t="str">
        <f>IF(AND(Table1[[#This Row],[Variant]]=$AV$4,Table1[[#This Row],[Kv*T]]&gt;0,Table1[[#This Row],[Term.]]="D"),Table1[[#This Row],[Kv*T]],"")</f>
        <v/>
      </c>
      <c r="AW104" s="75" t="str">
        <f>IF(AND(Table1[[#This Row],[Variant]]=$AV$4,Table1[[#This Row],[Kv*T]]&gt;0,Table1[[#This Row],[Term.]]="Y"),Table1[[#This Row],[Kv*T]],"")</f>
        <v/>
      </c>
      <c r="AX104" s="73" t="str">
        <f>IF(AND(Table1[[#This Row],[Kv*T "D"5]]="",Table1[[#This Row],[Kv*T "Y"5]]=""),"",IF(Table1[[#This Row],[Kv*T "D"5]]="",Table1[[#This Row],[Kv*T "Y"5]]*3^0.5,Table1[[#This Row],[Kv*T "D"5]]))</f>
        <v/>
      </c>
      <c r="AY104" s="73"/>
    </row>
    <row r="105" spans="1:51">
      <c r="A105" s="17"/>
      <c r="B105" s="5"/>
      <c r="C105" s="5"/>
      <c r="D105" s="5"/>
      <c r="E105" s="5"/>
      <c r="F105" s="86" t="str">
        <f t="shared" si="15"/>
        <v/>
      </c>
      <c r="G105" s="5"/>
      <c r="H105" s="5"/>
      <c r="I105" s="98" t="str">
        <f>IF(OR(Table1[[#This Row],[Phys. Turns]]="",Table1[[#This Row],[Wire]]="",Table1[[#This Row],[Parallel]]=""),"",Table1[[#This Row],[Phys. Turns]]*VLOOKUP(Table1[[#This Row],[Wire]],wirelist,4,FALSE))</f>
        <v/>
      </c>
      <c r="J105" s="5"/>
      <c r="K105" s="19"/>
      <c r="L105" s="20"/>
      <c r="M105" s="5"/>
      <c r="N105" s="49"/>
      <c r="O105" s="5"/>
      <c r="P105" s="5"/>
      <c r="Q105" s="5"/>
      <c r="R105" s="5"/>
      <c r="S105" s="5"/>
      <c r="T105" s="43" t="str">
        <f t="shared" si="16"/>
        <v/>
      </c>
      <c r="U105" s="102"/>
      <c r="V105" s="144"/>
      <c r="W105" s="46" t="str">
        <f>IF(OR(P105="",Table1[[#This Row],[Prop.]]="No Load"),"",(Tests!AC105/VLOOKUP(Table1[[#This Row],[Prop.]],proplist,6,FALSE))*VLOOKUP(Table1[[#This Row],[Prop.]],proplist,4,FALSE)/28.3*(Table1[[#This Row],[RPM]]/1000)^VLOOKUP(Table1[[#This Row],[Prop.]],proplist,5,FALSE))</f>
        <v/>
      </c>
      <c r="X105" s="47" t="str">
        <f>IF(OR(P105="",Table1[[#This Row],[Prop.]]="No Load"),"",(AC105/VLOOKUP(Table1[[#This Row],[Prop.]],proplist,9,FALSE))*VLOOKUP(Table1[[#This Row],[Prop.]],proplist,7,FALSE)*(Table1[[#This Row],[RPM]]/1000)^(VLOOKUP(Table1[[#This Row],[Prop.]],proplist,8,FALSE))/Table1[[#This Row],[Pin '[W']]])</f>
        <v/>
      </c>
      <c r="Y105" s="43" t="str">
        <f>IF(OR(P105="",Table1[[#This Row],[Prop.]]="No Load"),"",P105*VLOOKUP(Table1[[#This Row],[Prop.]],proplist,3,FALSE)/1056)</f>
        <v/>
      </c>
      <c r="Z105" s="43" t="str">
        <f t="shared" si="14"/>
        <v/>
      </c>
      <c r="AA105" s="44" t="str">
        <f>IF(OR(AB105="",Table1[[#This Row],[Prop.]]="No Load"),"",AB105*(1-X105))</f>
        <v/>
      </c>
      <c r="AB105" s="103" t="str">
        <f t="shared" si="17"/>
        <v/>
      </c>
      <c r="AC105" s="45" t="str">
        <f t="shared" si="18"/>
        <v/>
      </c>
      <c r="AD105" s="73" t="str">
        <f>IF(Table1[[#This Row],[Prop.]]="No Load",Table1[[#This Row],["T"]]*Table1[[#This Row],[RPM]]/Table1[[#This Row],[V]],"")</f>
        <v/>
      </c>
      <c r="AE105" s="74" t="str">
        <f>IF(OR(C105="",E105="",H105=""),"",IF(Table1[[#This Row],[Prop.]]="No Load",IF(E105=1,(H105-10)/C105,IF(E105=2,2*(H105-10)/C105,4*(H105-10))),""))</f>
        <v/>
      </c>
      <c r="AF105" s="45" t="str">
        <f>IF(AND(Table1[[#This Row],[Variant]]=$AF$4,Table1[[#This Row],[Kv*T]]&gt;0,Table1[[#This Row],[Term.]]="D"),Table1[[#This Row],[Kv*T]],"")</f>
        <v/>
      </c>
      <c r="AG105" s="45" t="str">
        <f>IF(AND(Table1[[#This Row],[Variant]]=$AF$4,Table1[[#This Row],[Kv*T]]&gt;0,Table1[[#This Row],[Term.]]="Y"),Table1[[#This Row],[Kv*T]],"")</f>
        <v/>
      </c>
      <c r="AH105" s="73" t="str">
        <f>IF(AND(Table1[[#This Row],[Kv*T "D"]]="",Table1[[#This Row],[Kv*T "Y"]]=""),"",IF(Table1[[#This Row],[Kv*T "D"]]="",Table1[[#This Row],[Kv*T "Y"]]*3^0.5,Table1[[#This Row],[Kv*T "D"]]))</f>
        <v/>
      </c>
      <c r="AI105" s="147" t="str">
        <f>IF(Table1[[#This Row],[Std Inch per turn]]="","",Table1[[#This Row],[Std Inch per turn]])</f>
        <v/>
      </c>
      <c r="AJ105" s="75" t="str">
        <f>IF(AND(Table1[[#This Row],[Variant]]=$AJ$4,Table1[[#This Row],[Kv*T]]&gt;0,Table1[[#This Row],[Term.]]="D"),Table1[[#This Row],[Kv*T]],"")</f>
        <v/>
      </c>
      <c r="AK105" s="75" t="str">
        <f>IF(AND(Table1[[#This Row],[Variant]]=$AJ$4,Table1[[#This Row],[Kv*T]]&gt;0,Table1[[#This Row],[Term.]]="Y"),Table1[[#This Row],[Kv*T]],"")</f>
        <v/>
      </c>
      <c r="AL105" s="73" t="str">
        <f>IF(AND(Table1[[#This Row],[Kv*T "D"2]]="",Table1[[#This Row],[Kv*T "Y"2]]=""),"",IF(Table1[[#This Row],[Kv*T "D"2]]="",Table1[[#This Row],[Kv*T "Y"2]]*3^0.5,Table1[[#This Row],[Kv*T "D"2]]))</f>
        <v/>
      </c>
      <c r="AM105" s="147" t="str">
        <f>IF(Table1[[#This Row],[Std Inch per turn]]="","",Table1[[#This Row],[Std Inch per turn]])</f>
        <v/>
      </c>
      <c r="AN105" s="75" t="str">
        <f>IF(AND(Table1[[#This Row],[Variant]]=$AN$4,Table1[[#This Row],[Kv*T]]&gt;0,Table1[[#This Row],[Term.]]="D"),Table1[[#This Row],[Kv*T]],"")</f>
        <v/>
      </c>
      <c r="AO105" s="75" t="str">
        <f>IF(AND(Table1[[#This Row],[Variant]]=$AN$4,Table1[[#This Row],[Kv*T]]&gt;0,Table1[[#This Row],[Term.]]="Y"),Table1[[#This Row],[Kv*T]],"")</f>
        <v/>
      </c>
      <c r="AP105" s="73" t="str">
        <f>IF(AND(Table1[[#This Row],[Kv*T "D"3]]="",Table1[[#This Row],[Kv*T "Y"3]]=""),"",IF(Table1[[#This Row],[Kv*T "D"3]]="",Table1[[#This Row],[Kv*T "Y"3]]*3^0.5,Table1[[#This Row],[Kv*T "D"3]]))</f>
        <v/>
      </c>
      <c r="AQ105" s="73"/>
      <c r="AR105" s="75" t="str">
        <f>IF(AND(Table1[[#This Row],[Variant]]=$AR$4,Table1[[#This Row],[Kv*T]]&gt;0,Table1[[#This Row],[Term.]]="D"),Table1[[#This Row],[Kv*T]],"")</f>
        <v/>
      </c>
      <c r="AS105" s="75" t="str">
        <f>IF(AND(Table1[[#This Row],[Variant]]=$AR$4,Table1[[#This Row],[Kv*T]]&gt;0,Table1[[#This Row],[Term.]]="Y"),Table1[[#This Row],[Kv*T]],"")</f>
        <v/>
      </c>
      <c r="AT105" s="73" t="str">
        <f>IF(AND(Table1[[#This Row],[Kv*T "D"4]]="",Table1[[#This Row],[Kv*T "Y"4]]=""),"",IF(Table1[[#This Row],[Kv*T "D"4]]="",Table1[[#This Row],[Kv*T "Y"4]]*3^0.5,Table1[[#This Row],[Kv*T "D"4]]))</f>
        <v/>
      </c>
      <c r="AU105" s="73"/>
      <c r="AV105" s="75" t="str">
        <f>IF(AND(Table1[[#This Row],[Variant]]=$AV$4,Table1[[#This Row],[Kv*T]]&gt;0,Table1[[#This Row],[Term.]]="D"),Table1[[#This Row],[Kv*T]],"")</f>
        <v/>
      </c>
      <c r="AW105" s="75" t="str">
        <f>IF(AND(Table1[[#This Row],[Variant]]=$AV$4,Table1[[#This Row],[Kv*T]]&gt;0,Table1[[#This Row],[Term.]]="Y"),Table1[[#This Row],[Kv*T]],"")</f>
        <v/>
      </c>
      <c r="AX105" s="73" t="str">
        <f>IF(AND(Table1[[#This Row],[Kv*T "D"5]]="",Table1[[#This Row],[Kv*T "Y"5]]=""),"",IF(Table1[[#This Row],[Kv*T "D"5]]="",Table1[[#This Row],[Kv*T "Y"5]]*3^0.5,Table1[[#This Row],[Kv*T "D"5]]))</f>
        <v/>
      </c>
      <c r="AY105" s="73"/>
    </row>
    <row r="106" spans="1:51">
      <c r="A106" s="17"/>
      <c r="B106" s="5"/>
      <c r="C106" s="5"/>
      <c r="D106" s="5"/>
      <c r="E106" s="5"/>
      <c r="F106" s="86" t="str">
        <f t="shared" si="15"/>
        <v/>
      </c>
      <c r="G106" s="5"/>
      <c r="H106" s="5"/>
      <c r="I106" s="98" t="str">
        <f>IF(OR(Table1[[#This Row],[Phys. Turns]]="",Table1[[#This Row],[Wire]]="",Table1[[#This Row],[Parallel]]=""),"",Table1[[#This Row],[Phys. Turns]]*VLOOKUP(Table1[[#This Row],[Wire]],wirelist,4,FALSE))</f>
        <v/>
      </c>
      <c r="J106" s="5"/>
      <c r="K106" s="19"/>
      <c r="L106" s="20"/>
      <c r="M106" s="5"/>
      <c r="N106" s="49"/>
      <c r="O106" s="5"/>
      <c r="P106" s="5"/>
      <c r="Q106" s="5"/>
      <c r="R106" s="5"/>
      <c r="S106" s="5"/>
      <c r="T106" s="43" t="str">
        <f t="shared" si="16"/>
        <v/>
      </c>
      <c r="U106" s="102"/>
      <c r="V106" s="144"/>
      <c r="W106" s="46" t="str">
        <f>IF(OR(P106="",Table1[[#This Row],[Prop.]]="No Load"),"",(Tests!AC106/VLOOKUP(Table1[[#This Row],[Prop.]],proplist,6,FALSE))*VLOOKUP(Table1[[#This Row],[Prop.]],proplist,4,FALSE)/28.3*(Table1[[#This Row],[RPM]]/1000)^VLOOKUP(Table1[[#This Row],[Prop.]],proplist,5,FALSE))</f>
        <v/>
      </c>
      <c r="X106" s="47" t="str">
        <f>IF(OR(P106="",Table1[[#This Row],[Prop.]]="No Load"),"",(AC106/VLOOKUP(Table1[[#This Row],[Prop.]],proplist,9,FALSE))*VLOOKUP(Table1[[#This Row],[Prop.]],proplist,7,FALSE)*(Table1[[#This Row],[RPM]]/1000)^(VLOOKUP(Table1[[#This Row],[Prop.]],proplist,8,FALSE))/Table1[[#This Row],[Pin '[W']]])</f>
        <v/>
      </c>
      <c r="Y106" s="43" t="str">
        <f>IF(OR(P106="",Table1[[#This Row],[Prop.]]="No Load"),"",P106*VLOOKUP(Table1[[#This Row],[Prop.]],proplist,3,FALSE)/1056)</f>
        <v/>
      </c>
      <c r="Z106" s="43" t="str">
        <f t="shared" si="14"/>
        <v/>
      </c>
      <c r="AA106" s="44" t="str">
        <f>IF(OR(AB106="",Table1[[#This Row],[Prop.]]="No Load"),"",AB106*(1-X106))</f>
        <v/>
      </c>
      <c r="AB106" s="103" t="str">
        <f t="shared" si="17"/>
        <v/>
      </c>
      <c r="AC106" s="45" t="str">
        <f t="shared" si="18"/>
        <v/>
      </c>
      <c r="AD106" s="73" t="str">
        <f>IF(Table1[[#This Row],[Prop.]]="No Load",Table1[[#This Row],["T"]]*Table1[[#This Row],[RPM]]/Table1[[#This Row],[V]],"")</f>
        <v/>
      </c>
      <c r="AE106" s="74" t="str">
        <f>IF(OR(C106="",E106="",H106=""),"",IF(Table1[[#This Row],[Prop.]]="No Load",IF(E106=1,(H106-10)/C106,IF(E106=2,2*(H106-10)/C106,4*(H106-10))),""))</f>
        <v/>
      </c>
      <c r="AF106" s="45" t="str">
        <f>IF(AND(Table1[[#This Row],[Variant]]=$AF$4,Table1[[#This Row],[Kv*T]]&gt;0,Table1[[#This Row],[Term.]]="D"),Table1[[#This Row],[Kv*T]],"")</f>
        <v/>
      </c>
      <c r="AG106" s="45" t="str">
        <f>IF(AND(Table1[[#This Row],[Variant]]=$AF$4,Table1[[#This Row],[Kv*T]]&gt;0,Table1[[#This Row],[Term.]]="Y"),Table1[[#This Row],[Kv*T]],"")</f>
        <v/>
      </c>
      <c r="AH106" s="73" t="str">
        <f>IF(AND(Table1[[#This Row],[Kv*T "D"]]="",Table1[[#This Row],[Kv*T "Y"]]=""),"",IF(Table1[[#This Row],[Kv*T "D"]]="",Table1[[#This Row],[Kv*T "Y"]]*3^0.5,Table1[[#This Row],[Kv*T "D"]]))</f>
        <v/>
      </c>
      <c r="AI106" s="147" t="str">
        <f>IF(Table1[[#This Row],[Std Inch per turn]]="","",Table1[[#This Row],[Std Inch per turn]])</f>
        <v/>
      </c>
      <c r="AJ106" s="75" t="str">
        <f>IF(AND(Table1[[#This Row],[Variant]]=$AJ$4,Table1[[#This Row],[Kv*T]]&gt;0,Table1[[#This Row],[Term.]]="D"),Table1[[#This Row],[Kv*T]],"")</f>
        <v/>
      </c>
      <c r="AK106" s="75" t="str">
        <f>IF(AND(Table1[[#This Row],[Variant]]=$AJ$4,Table1[[#This Row],[Kv*T]]&gt;0,Table1[[#This Row],[Term.]]="Y"),Table1[[#This Row],[Kv*T]],"")</f>
        <v/>
      </c>
      <c r="AL106" s="73" t="str">
        <f>IF(AND(Table1[[#This Row],[Kv*T "D"2]]="",Table1[[#This Row],[Kv*T "Y"2]]=""),"",IF(Table1[[#This Row],[Kv*T "D"2]]="",Table1[[#This Row],[Kv*T "Y"2]]*3^0.5,Table1[[#This Row],[Kv*T "D"2]]))</f>
        <v/>
      </c>
      <c r="AM106" s="147" t="str">
        <f>IF(Table1[[#This Row],[Std Inch per turn]]="","",Table1[[#This Row],[Std Inch per turn]])</f>
        <v/>
      </c>
      <c r="AN106" s="75" t="str">
        <f>IF(AND(Table1[[#This Row],[Variant]]=$AN$4,Table1[[#This Row],[Kv*T]]&gt;0,Table1[[#This Row],[Term.]]="D"),Table1[[#This Row],[Kv*T]],"")</f>
        <v/>
      </c>
      <c r="AO106" s="75" t="str">
        <f>IF(AND(Table1[[#This Row],[Variant]]=$AN$4,Table1[[#This Row],[Kv*T]]&gt;0,Table1[[#This Row],[Term.]]="Y"),Table1[[#This Row],[Kv*T]],"")</f>
        <v/>
      </c>
      <c r="AP106" s="73" t="str">
        <f>IF(AND(Table1[[#This Row],[Kv*T "D"3]]="",Table1[[#This Row],[Kv*T "Y"3]]=""),"",IF(Table1[[#This Row],[Kv*T "D"3]]="",Table1[[#This Row],[Kv*T "Y"3]]*3^0.5,Table1[[#This Row],[Kv*T "D"3]]))</f>
        <v/>
      </c>
      <c r="AQ106" s="73"/>
      <c r="AR106" s="75" t="str">
        <f>IF(AND(Table1[[#This Row],[Variant]]=$AR$4,Table1[[#This Row],[Kv*T]]&gt;0,Table1[[#This Row],[Term.]]="D"),Table1[[#This Row],[Kv*T]],"")</f>
        <v/>
      </c>
      <c r="AS106" s="75" t="str">
        <f>IF(AND(Table1[[#This Row],[Variant]]=$AR$4,Table1[[#This Row],[Kv*T]]&gt;0,Table1[[#This Row],[Term.]]="Y"),Table1[[#This Row],[Kv*T]],"")</f>
        <v/>
      </c>
      <c r="AT106" s="73" t="str">
        <f>IF(AND(Table1[[#This Row],[Kv*T "D"4]]="",Table1[[#This Row],[Kv*T "Y"4]]=""),"",IF(Table1[[#This Row],[Kv*T "D"4]]="",Table1[[#This Row],[Kv*T "Y"4]]*3^0.5,Table1[[#This Row],[Kv*T "D"4]]))</f>
        <v/>
      </c>
      <c r="AU106" s="73"/>
      <c r="AV106" s="75" t="str">
        <f>IF(AND(Table1[[#This Row],[Variant]]=$AV$4,Table1[[#This Row],[Kv*T]]&gt;0,Table1[[#This Row],[Term.]]="D"),Table1[[#This Row],[Kv*T]],"")</f>
        <v/>
      </c>
      <c r="AW106" s="75" t="str">
        <f>IF(AND(Table1[[#This Row],[Variant]]=$AV$4,Table1[[#This Row],[Kv*T]]&gt;0,Table1[[#This Row],[Term.]]="Y"),Table1[[#This Row],[Kv*T]],"")</f>
        <v/>
      </c>
      <c r="AX106" s="73" t="str">
        <f>IF(AND(Table1[[#This Row],[Kv*T "D"5]]="",Table1[[#This Row],[Kv*T "Y"5]]=""),"",IF(Table1[[#This Row],[Kv*T "D"5]]="",Table1[[#This Row],[Kv*T "Y"5]]*3^0.5,Table1[[#This Row],[Kv*T "D"5]]))</f>
        <v/>
      </c>
      <c r="AY106" s="73"/>
    </row>
    <row r="107" spans="1:51">
      <c r="A107" s="17"/>
      <c r="B107" s="5"/>
      <c r="C107" s="5"/>
      <c r="D107" s="5"/>
      <c r="E107" s="5"/>
      <c r="F107" s="86" t="str">
        <f t="shared" si="15"/>
        <v/>
      </c>
      <c r="G107" s="5"/>
      <c r="H107" s="5"/>
      <c r="I107" s="98" t="str">
        <f>IF(OR(Table1[[#This Row],[Phys. Turns]]="",Table1[[#This Row],[Wire]]="",Table1[[#This Row],[Parallel]]=""),"",Table1[[#This Row],[Phys. Turns]]*VLOOKUP(Table1[[#This Row],[Wire]],wirelist,4,FALSE))</f>
        <v/>
      </c>
      <c r="J107" s="5"/>
      <c r="K107" s="19"/>
      <c r="L107" s="20"/>
      <c r="M107" s="5"/>
      <c r="N107" s="49"/>
      <c r="O107" s="5"/>
      <c r="P107" s="5"/>
      <c r="Q107" s="5"/>
      <c r="R107" s="5"/>
      <c r="S107" s="5"/>
      <c r="T107" s="43" t="str">
        <f t="shared" si="16"/>
        <v/>
      </c>
      <c r="U107" s="102"/>
      <c r="V107" s="144"/>
      <c r="W107" s="46" t="str">
        <f>IF(OR(P107="",Table1[[#This Row],[Prop.]]="No Load"),"",(Tests!AC107/VLOOKUP(Table1[[#This Row],[Prop.]],proplist,6,FALSE))*VLOOKUP(Table1[[#This Row],[Prop.]],proplist,4,FALSE)/28.3*(Table1[[#This Row],[RPM]]/1000)^VLOOKUP(Table1[[#This Row],[Prop.]],proplist,5,FALSE))</f>
        <v/>
      </c>
      <c r="X107" s="47" t="str">
        <f>IF(OR(P107="",Table1[[#This Row],[Prop.]]="No Load"),"",(AC107/VLOOKUP(Table1[[#This Row],[Prop.]],proplist,9,FALSE))*VLOOKUP(Table1[[#This Row],[Prop.]],proplist,7,FALSE)*(Table1[[#This Row],[RPM]]/1000)^(VLOOKUP(Table1[[#This Row],[Prop.]],proplist,8,FALSE))/Table1[[#This Row],[Pin '[W']]])</f>
        <v/>
      </c>
      <c r="Y107" s="43" t="str">
        <f>IF(OR(P107="",Table1[[#This Row],[Prop.]]="No Load"),"",P107*VLOOKUP(Table1[[#This Row],[Prop.]],proplist,3,FALSE)/1056)</f>
        <v/>
      </c>
      <c r="Z107" s="43" t="str">
        <f t="shared" si="14"/>
        <v/>
      </c>
      <c r="AA107" s="44" t="str">
        <f>IF(OR(AB107="",Table1[[#This Row],[Prop.]]="No Load"),"",AB107*(1-X107))</f>
        <v/>
      </c>
      <c r="AB107" s="103" t="str">
        <f t="shared" si="17"/>
        <v/>
      </c>
      <c r="AC107" s="45" t="str">
        <f t="shared" si="18"/>
        <v/>
      </c>
      <c r="AD107" s="73" t="str">
        <f>IF(Table1[[#This Row],[Prop.]]="No Load",Table1[[#This Row],["T"]]*Table1[[#This Row],[RPM]]/Table1[[#This Row],[V]],"")</f>
        <v/>
      </c>
      <c r="AE107" s="74" t="str">
        <f>IF(OR(C107="",E107="",H107=""),"",IF(Table1[[#This Row],[Prop.]]="No Load",IF(E107=1,(H107-10)/C107,IF(E107=2,2*(H107-10)/C107,4*(H107-10))),""))</f>
        <v/>
      </c>
      <c r="AF107" s="45" t="str">
        <f>IF(AND(Table1[[#This Row],[Variant]]=$AF$4,Table1[[#This Row],[Kv*T]]&gt;0,Table1[[#This Row],[Term.]]="D"),Table1[[#This Row],[Kv*T]],"")</f>
        <v/>
      </c>
      <c r="AG107" s="45" t="str">
        <f>IF(AND(Table1[[#This Row],[Variant]]=$AF$4,Table1[[#This Row],[Kv*T]]&gt;0,Table1[[#This Row],[Term.]]="Y"),Table1[[#This Row],[Kv*T]],"")</f>
        <v/>
      </c>
      <c r="AH107" s="73" t="str">
        <f>IF(AND(Table1[[#This Row],[Kv*T "D"]]="",Table1[[#This Row],[Kv*T "Y"]]=""),"",IF(Table1[[#This Row],[Kv*T "D"]]="",Table1[[#This Row],[Kv*T "Y"]]*3^0.5,Table1[[#This Row],[Kv*T "D"]]))</f>
        <v/>
      </c>
      <c r="AI107" s="147" t="str">
        <f>IF(Table1[[#This Row],[Std Inch per turn]]="","",Table1[[#This Row],[Std Inch per turn]])</f>
        <v/>
      </c>
      <c r="AJ107" s="75" t="str">
        <f>IF(AND(Table1[[#This Row],[Variant]]=$AJ$4,Table1[[#This Row],[Kv*T]]&gt;0,Table1[[#This Row],[Term.]]="D"),Table1[[#This Row],[Kv*T]],"")</f>
        <v/>
      </c>
      <c r="AK107" s="75" t="str">
        <f>IF(AND(Table1[[#This Row],[Variant]]=$AJ$4,Table1[[#This Row],[Kv*T]]&gt;0,Table1[[#This Row],[Term.]]="Y"),Table1[[#This Row],[Kv*T]],"")</f>
        <v/>
      </c>
      <c r="AL107" s="73" t="str">
        <f>IF(AND(Table1[[#This Row],[Kv*T "D"2]]="",Table1[[#This Row],[Kv*T "Y"2]]=""),"",IF(Table1[[#This Row],[Kv*T "D"2]]="",Table1[[#This Row],[Kv*T "Y"2]]*3^0.5,Table1[[#This Row],[Kv*T "D"2]]))</f>
        <v/>
      </c>
      <c r="AM107" s="147" t="str">
        <f>IF(Table1[[#This Row],[Std Inch per turn]]="","",Table1[[#This Row],[Std Inch per turn]])</f>
        <v/>
      </c>
      <c r="AN107" s="75" t="str">
        <f>IF(AND(Table1[[#This Row],[Variant]]=$AN$4,Table1[[#This Row],[Kv*T]]&gt;0,Table1[[#This Row],[Term.]]="D"),Table1[[#This Row],[Kv*T]],"")</f>
        <v/>
      </c>
      <c r="AO107" s="75" t="str">
        <f>IF(AND(Table1[[#This Row],[Variant]]=$AN$4,Table1[[#This Row],[Kv*T]]&gt;0,Table1[[#This Row],[Term.]]="Y"),Table1[[#This Row],[Kv*T]],"")</f>
        <v/>
      </c>
      <c r="AP107" s="73" t="str">
        <f>IF(AND(Table1[[#This Row],[Kv*T "D"3]]="",Table1[[#This Row],[Kv*T "Y"3]]=""),"",IF(Table1[[#This Row],[Kv*T "D"3]]="",Table1[[#This Row],[Kv*T "Y"3]]*3^0.5,Table1[[#This Row],[Kv*T "D"3]]))</f>
        <v/>
      </c>
      <c r="AQ107" s="73"/>
      <c r="AR107" s="75" t="str">
        <f>IF(AND(Table1[[#This Row],[Variant]]=$AR$4,Table1[[#This Row],[Kv*T]]&gt;0,Table1[[#This Row],[Term.]]="D"),Table1[[#This Row],[Kv*T]],"")</f>
        <v/>
      </c>
      <c r="AS107" s="75" t="str">
        <f>IF(AND(Table1[[#This Row],[Variant]]=$AR$4,Table1[[#This Row],[Kv*T]]&gt;0,Table1[[#This Row],[Term.]]="Y"),Table1[[#This Row],[Kv*T]],"")</f>
        <v/>
      </c>
      <c r="AT107" s="73" t="str">
        <f>IF(AND(Table1[[#This Row],[Kv*T "D"4]]="",Table1[[#This Row],[Kv*T "Y"4]]=""),"",IF(Table1[[#This Row],[Kv*T "D"4]]="",Table1[[#This Row],[Kv*T "Y"4]]*3^0.5,Table1[[#This Row],[Kv*T "D"4]]))</f>
        <v/>
      </c>
      <c r="AU107" s="73"/>
      <c r="AV107" s="75" t="str">
        <f>IF(AND(Table1[[#This Row],[Variant]]=$AV$4,Table1[[#This Row],[Kv*T]]&gt;0,Table1[[#This Row],[Term.]]="D"),Table1[[#This Row],[Kv*T]],"")</f>
        <v/>
      </c>
      <c r="AW107" s="75" t="str">
        <f>IF(AND(Table1[[#This Row],[Variant]]=$AV$4,Table1[[#This Row],[Kv*T]]&gt;0,Table1[[#This Row],[Term.]]="Y"),Table1[[#This Row],[Kv*T]],"")</f>
        <v/>
      </c>
      <c r="AX107" s="73" t="str">
        <f>IF(AND(Table1[[#This Row],[Kv*T "D"5]]="",Table1[[#This Row],[Kv*T "Y"5]]=""),"",IF(Table1[[#This Row],[Kv*T "D"5]]="",Table1[[#This Row],[Kv*T "Y"5]]*3^0.5,Table1[[#This Row],[Kv*T "D"5]]))</f>
        <v/>
      </c>
      <c r="AY107" s="73"/>
    </row>
    <row r="108" spans="1:51">
      <c r="A108" s="17"/>
      <c r="B108" s="5"/>
      <c r="C108" s="5"/>
      <c r="D108" s="5"/>
      <c r="E108" s="5"/>
      <c r="F108" s="86" t="str">
        <f t="shared" si="15"/>
        <v/>
      </c>
      <c r="G108" s="5"/>
      <c r="H108" s="5"/>
      <c r="I108" s="98" t="str">
        <f>IF(OR(Table1[[#This Row],[Phys. Turns]]="",Table1[[#This Row],[Wire]]="",Table1[[#This Row],[Parallel]]=""),"",Table1[[#This Row],[Phys. Turns]]*VLOOKUP(Table1[[#This Row],[Wire]],wirelist,4,FALSE))</f>
        <v/>
      </c>
      <c r="J108" s="5"/>
      <c r="K108" s="19"/>
      <c r="L108" s="20"/>
      <c r="M108" s="5"/>
      <c r="N108" s="49"/>
      <c r="O108" s="5"/>
      <c r="P108" s="5"/>
      <c r="Q108" s="5"/>
      <c r="R108" s="5"/>
      <c r="S108" s="5"/>
      <c r="T108" s="43" t="str">
        <f t="shared" si="16"/>
        <v/>
      </c>
      <c r="U108" s="102"/>
      <c r="V108" s="144"/>
      <c r="W108" s="46" t="str">
        <f>IF(OR(P108="",Table1[[#This Row],[Prop.]]="No Load"),"",(Tests!AC108/VLOOKUP(Table1[[#This Row],[Prop.]],proplist,6,FALSE))*VLOOKUP(Table1[[#This Row],[Prop.]],proplist,4,FALSE)/28.3*(Table1[[#This Row],[RPM]]/1000)^VLOOKUP(Table1[[#This Row],[Prop.]],proplist,5,FALSE))</f>
        <v/>
      </c>
      <c r="X108" s="47" t="str">
        <f>IF(OR(P108="",Table1[[#This Row],[Prop.]]="No Load"),"",(AC108/VLOOKUP(Table1[[#This Row],[Prop.]],proplist,9,FALSE))*VLOOKUP(Table1[[#This Row],[Prop.]],proplist,7,FALSE)*(Table1[[#This Row],[RPM]]/1000)^(VLOOKUP(Table1[[#This Row],[Prop.]],proplist,8,FALSE))/Table1[[#This Row],[Pin '[W']]])</f>
        <v/>
      </c>
      <c r="Y108" s="43" t="str">
        <f>IF(OR(P108="",Table1[[#This Row],[Prop.]]="No Load"),"",P108*VLOOKUP(Table1[[#This Row],[Prop.]],proplist,3,FALSE)/1056)</f>
        <v/>
      </c>
      <c r="Z108" s="43" t="str">
        <f t="shared" si="14"/>
        <v/>
      </c>
      <c r="AA108" s="44" t="str">
        <f>IF(OR(AB108="",Table1[[#This Row],[Prop.]]="No Load"),"",AB108*(1-X108))</f>
        <v/>
      </c>
      <c r="AB108" s="103" t="str">
        <f t="shared" si="17"/>
        <v/>
      </c>
      <c r="AC108" s="45" t="str">
        <f t="shared" si="18"/>
        <v/>
      </c>
      <c r="AD108" s="73" t="str">
        <f>IF(Table1[[#This Row],[Prop.]]="No Load",Table1[[#This Row],["T"]]*Table1[[#This Row],[RPM]]/Table1[[#This Row],[V]],"")</f>
        <v/>
      </c>
      <c r="AE108" s="74" t="str">
        <f>IF(OR(C108="",E108="",H108=""),"",IF(Table1[[#This Row],[Prop.]]="No Load",IF(E108=1,(H108-10)/C108,IF(E108=2,2*(H108-10)/C108,4*(H108-10))),""))</f>
        <v/>
      </c>
      <c r="AF108" s="45" t="str">
        <f>IF(AND(Table1[[#This Row],[Variant]]=$AF$4,Table1[[#This Row],[Kv*T]]&gt;0,Table1[[#This Row],[Term.]]="D"),Table1[[#This Row],[Kv*T]],"")</f>
        <v/>
      </c>
      <c r="AG108" s="45" t="str">
        <f>IF(AND(Table1[[#This Row],[Variant]]=$AF$4,Table1[[#This Row],[Kv*T]]&gt;0,Table1[[#This Row],[Term.]]="Y"),Table1[[#This Row],[Kv*T]],"")</f>
        <v/>
      </c>
      <c r="AH108" s="73" t="str">
        <f>IF(AND(Table1[[#This Row],[Kv*T "D"]]="",Table1[[#This Row],[Kv*T "Y"]]=""),"",IF(Table1[[#This Row],[Kv*T "D"]]="",Table1[[#This Row],[Kv*T "Y"]]*3^0.5,Table1[[#This Row],[Kv*T "D"]]))</f>
        <v/>
      </c>
      <c r="AI108" s="147" t="str">
        <f>IF(Table1[[#This Row],[Std Inch per turn]]="","",Table1[[#This Row],[Std Inch per turn]])</f>
        <v/>
      </c>
      <c r="AJ108" s="75" t="str">
        <f>IF(AND(Table1[[#This Row],[Variant]]=$AJ$4,Table1[[#This Row],[Kv*T]]&gt;0,Table1[[#This Row],[Term.]]="D"),Table1[[#This Row],[Kv*T]],"")</f>
        <v/>
      </c>
      <c r="AK108" s="75" t="str">
        <f>IF(AND(Table1[[#This Row],[Variant]]=$AJ$4,Table1[[#This Row],[Kv*T]]&gt;0,Table1[[#This Row],[Term.]]="Y"),Table1[[#This Row],[Kv*T]],"")</f>
        <v/>
      </c>
      <c r="AL108" s="73" t="str">
        <f>IF(AND(Table1[[#This Row],[Kv*T "D"2]]="",Table1[[#This Row],[Kv*T "Y"2]]=""),"",IF(Table1[[#This Row],[Kv*T "D"2]]="",Table1[[#This Row],[Kv*T "Y"2]]*3^0.5,Table1[[#This Row],[Kv*T "D"2]]))</f>
        <v/>
      </c>
      <c r="AM108" s="147" t="str">
        <f>IF(Table1[[#This Row],[Std Inch per turn]]="","",Table1[[#This Row],[Std Inch per turn]])</f>
        <v/>
      </c>
      <c r="AN108" s="75" t="str">
        <f>IF(AND(Table1[[#This Row],[Variant]]=$AN$4,Table1[[#This Row],[Kv*T]]&gt;0,Table1[[#This Row],[Term.]]="D"),Table1[[#This Row],[Kv*T]],"")</f>
        <v/>
      </c>
      <c r="AO108" s="75" t="str">
        <f>IF(AND(Table1[[#This Row],[Variant]]=$AN$4,Table1[[#This Row],[Kv*T]]&gt;0,Table1[[#This Row],[Term.]]="Y"),Table1[[#This Row],[Kv*T]],"")</f>
        <v/>
      </c>
      <c r="AP108" s="73" t="str">
        <f>IF(AND(Table1[[#This Row],[Kv*T "D"3]]="",Table1[[#This Row],[Kv*T "Y"3]]=""),"",IF(Table1[[#This Row],[Kv*T "D"3]]="",Table1[[#This Row],[Kv*T "Y"3]]*3^0.5,Table1[[#This Row],[Kv*T "D"3]]))</f>
        <v/>
      </c>
      <c r="AQ108" s="73"/>
      <c r="AR108" s="75" t="str">
        <f>IF(AND(Table1[[#This Row],[Variant]]=$AR$4,Table1[[#This Row],[Kv*T]]&gt;0,Table1[[#This Row],[Term.]]="D"),Table1[[#This Row],[Kv*T]],"")</f>
        <v/>
      </c>
      <c r="AS108" s="75" t="str">
        <f>IF(AND(Table1[[#This Row],[Variant]]=$AR$4,Table1[[#This Row],[Kv*T]]&gt;0,Table1[[#This Row],[Term.]]="Y"),Table1[[#This Row],[Kv*T]],"")</f>
        <v/>
      </c>
      <c r="AT108" s="73" t="str">
        <f>IF(AND(Table1[[#This Row],[Kv*T "D"4]]="",Table1[[#This Row],[Kv*T "Y"4]]=""),"",IF(Table1[[#This Row],[Kv*T "D"4]]="",Table1[[#This Row],[Kv*T "Y"4]]*3^0.5,Table1[[#This Row],[Kv*T "D"4]]))</f>
        <v/>
      </c>
      <c r="AU108" s="73"/>
      <c r="AV108" s="75" t="str">
        <f>IF(AND(Table1[[#This Row],[Variant]]=$AV$4,Table1[[#This Row],[Kv*T]]&gt;0,Table1[[#This Row],[Term.]]="D"),Table1[[#This Row],[Kv*T]],"")</f>
        <v/>
      </c>
      <c r="AW108" s="75" t="str">
        <f>IF(AND(Table1[[#This Row],[Variant]]=$AV$4,Table1[[#This Row],[Kv*T]]&gt;0,Table1[[#This Row],[Term.]]="Y"),Table1[[#This Row],[Kv*T]],"")</f>
        <v/>
      </c>
      <c r="AX108" s="73" t="str">
        <f>IF(AND(Table1[[#This Row],[Kv*T "D"5]]="",Table1[[#This Row],[Kv*T "Y"5]]=""),"",IF(Table1[[#This Row],[Kv*T "D"5]]="",Table1[[#This Row],[Kv*T "Y"5]]*3^0.5,Table1[[#This Row],[Kv*T "D"5]]))</f>
        <v/>
      </c>
      <c r="AY108" s="73"/>
    </row>
    <row r="109" spans="1:51">
      <c r="A109" s="17"/>
      <c r="B109" s="5"/>
      <c r="C109" s="5"/>
      <c r="D109" s="5"/>
      <c r="E109" s="5"/>
      <c r="F109" s="86" t="str">
        <f t="shared" si="15"/>
        <v/>
      </c>
      <c r="G109" s="5"/>
      <c r="H109" s="5"/>
      <c r="I109" s="98" t="str">
        <f>IF(OR(Table1[[#This Row],[Phys. Turns]]="",Table1[[#This Row],[Wire]]="",Table1[[#This Row],[Parallel]]=""),"",Table1[[#This Row],[Phys. Turns]]*VLOOKUP(Table1[[#This Row],[Wire]],wirelist,4,FALSE))</f>
        <v/>
      </c>
      <c r="J109" s="5"/>
      <c r="K109" s="19"/>
      <c r="L109" s="20"/>
      <c r="M109" s="5"/>
      <c r="N109" s="49"/>
      <c r="O109" s="5"/>
      <c r="P109" s="5"/>
      <c r="Q109" s="5"/>
      <c r="R109" s="5"/>
      <c r="S109" s="5"/>
      <c r="T109" s="43" t="str">
        <f t="shared" si="16"/>
        <v/>
      </c>
      <c r="U109" s="102"/>
      <c r="V109" s="144"/>
      <c r="W109" s="46" t="str">
        <f>IF(OR(P109="",Table1[[#This Row],[Prop.]]="No Load"),"",(Tests!AC109/VLOOKUP(Table1[[#This Row],[Prop.]],proplist,6,FALSE))*VLOOKUP(Table1[[#This Row],[Prop.]],proplist,4,FALSE)/28.3*(Table1[[#This Row],[RPM]]/1000)^VLOOKUP(Table1[[#This Row],[Prop.]],proplist,5,FALSE))</f>
        <v/>
      </c>
      <c r="X109" s="47" t="str">
        <f>IF(OR(P109="",Table1[[#This Row],[Prop.]]="No Load"),"",(AC109/VLOOKUP(Table1[[#This Row],[Prop.]],proplist,9,FALSE))*VLOOKUP(Table1[[#This Row],[Prop.]],proplist,7,FALSE)*(Table1[[#This Row],[RPM]]/1000)^(VLOOKUP(Table1[[#This Row],[Prop.]],proplist,8,FALSE))/Table1[[#This Row],[Pin '[W']]])</f>
        <v/>
      </c>
      <c r="Y109" s="43" t="str">
        <f>IF(OR(P109="",Table1[[#This Row],[Prop.]]="No Load"),"",P109*VLOOKUP(Table1[[#This Row],[Prop.]],proplist,3,FALSE)/1056)</f>
        <v/>
      </c>
      <c r="Z109" s="43" t="str">
        <f t="shared" si="14"/>
        <v/>
      </c>
      <c r="AA109" s="44" t="str">
        <f>IF(OR(AB109="",Table1[[#This Row],[Prop.]]="No Load"),"",AB109*(1-X109))</f>
        <v/>
      </c>
      <c r="AB109" s="103" t="str">
        <f t="shared" si="17"/>
        <v/>
      </c>
      <c r="AC109" s="45" t="str">
        <f t="shared" si="18"/>
        <v/>
      </c>
      <c r="AD109" s="73" t="str">
        <f>IF(Table1[[#This Row],[Prop.]]="No Load",Table1[[#This Row],["T"]]*Table1[[#This Row],[RPM]]/Table1[[#This Row],[V]],"")</f>
        <v/>
      </c>
      <c r="AE109" s="74" t="str">
        <f>IF(OR(C109="",E109="",H109=""),"",IF(Table1[[#This Row],[Prop.]]="No Load",IF(E109=1,(H109-10)/C109,IF(E109=2,2*(H109-10)/C109,4*(H109-10))),""))</f>
        <v/>
      </c>
      <c r="AF109" s="45" t="str">
        <f>IF(AND(Table1[[#This Row],[Variant]]=$AF$4,Table1[[#This Row],[Kv*T]]&gt;0,Table1[[#This Row],[Term.]]="D"),Table1[[#This Row],[Kv*T]],"")</f>
        <v/>
      </c>
      <c r="AG109" s="45" t="str">
        <f>IF(AND(Table1[[#This Row],[Variant]]=$AF$4,Table1[[#This Row],[Kv*T]]&gt;0,Table1[[#This Row],[Term.]]="Y"),Table1[[#This Row],[Kv*T]],"")</f>
        <v/>
      </c>
      <c r="AH109" s="73" t="str">
        <f>IF(AND(Table1[[#This Row],[Kv*T "D"]]="",Table1[[#This Row],[Kv*T "Y"]]=""),"",IF(Table1[[#This Row],[Kv*T "D"]]="",Table1[[#This Row],[Kv*T "Y"]]*3^0.5,Table1[[#This Row],[Kv*T "D"]]))</f>
        <v/>
      </c>
      <c r="AI109" s="147" t="str">
        <f>IF(Table1[[#This Row],[Std Inch per turn]]="","",Table1[[#This Row],[Std Inch per turn]])</f>
        <v/>
      </c>
      <c r="AJ109" s="75" t="str">
        <f>IF(AND(Table1[[#This Row],[Variant]]=$AJ$4,Table1[[#This Row],[Kv*T]]&gt;0,Table1[[#This Row],[Term.]]="D"),Table1[[#This Row],[Kv*T]],"")</f>
        <v/>
      </c>
      <c r="AK109" s="75" t="str">
        <f>IF(AND(Table1[[#This Row],[Variant]]=$AJ$4,Table1[[#This Row],[Kv*T]]&gt;0,Table1[[#This Row],[Term.]]="Y"),Table1[[#This Row],[Kv*T]],"")</f>
        <v/>
      </c>
      <c r="AL109" s="73" t="str">
        <f>IF(AND(Table1[[#This Row],[Kv*T "D"2]]="",Table1[[#This Row],[Kv*T "Y"2]]=""),"",IF(Table1[[#This Row],[Kv*T "D"2]]="",Table1[[#This Row],[Kv*T "Y"2]]*3^0.5,Table1[[#This Row],[Kv*T "D"2]]))</f>
        <v/>
      </c>
      <c r="AM109" s="147" t="str">
        <f>IF(Table1[[#This Row],[Std Inch per turn]]="","",Table1[[#This Row],[Std Inch per turn]])</f>
        <v/>
      </c>
      <c r="AN109" s="75" t="str">
        <f>IF(AND(Table1[[#This Row],[Variant]]=$AN$4,Table1[[#This Row],[Kv*T]]&gt;0,Table1[[#This Row],[Term.]]="D"),Table1[[#This Row],[Kv*T]],"")</f>
        <v/>
      </c>
      <c r="AO109" s="75" t="str">
        <f>IF(AND(Table1[[#This Row],[Variant]]=$AN$4,Table1[[#This Row],[Kv*T]]&gt;0,Table1[[#This Row],[Term.]]="Y"),Table1[[#This Row],[Kv*T]],"")</f>
        <v/>
      </c>
      <c r="AP109" s="73" t="str">
        <f>IF(AND(Table1[[#This Row],[Kv*T "D"3]]="",Table1[[#This Row],[Kv*T "Y"3]]=""),"",IF(Table1[[#This Row],[Kv*T "D"3]]="",Table1[[#This Row],[Kv*T "Y"3]]*3^0.5,Table1[[#This Row],[Kv*T "D"3]]))</f>
        <v/>
      </c>
      <c r="AQ109" s="73"/>
      <c r="AR109" s="75" t="str">
        <f>IF(AND(Table1[[#This Row],[Variant]]=$AR$4,Table1[[#This Row],[Kv*T]]&gt;0,Table1[[#This Row],[Term.]]="D"),Table1[[#This Row],[Kv*T]],"")</f>
        <v/>
      </c>
      <c r="AS109" s="75" t="str">
        <f>IF(AND(Table1[[#This Row],[Variant]]=$AR$4,Table1[[#This Row],[Kv*T]]&gt;0,Table1[[#This Row],[Term.]]="Y"),Table1[[#This Row],[Kv*T]],"")</f>
        <v/>
      </c>
      <c r="AT109" s="73" t="str">
        <f>IF(AND(Table1[[#This Row],[Kv*T "D"4]]="",Table1[[#This Row],[Kv*T "Y"4]]=""),"",IF(Table1[[#This Row],[Kv*T "D"4]]="",Table1[[#This Row],[Kv*T "Y"4]]*3^0.5,Table1[[#This Row],[Kv*T "D"4]]))</f>
        <v/>
      </c>
      <c r="AU109" s="73"/>
      <c r="AV109" s="75" t="str">
        <f>IF(AND(Table1[[#This Row],[Variant]]=$AV$4,Table1[[#This Row],[Kv*T]]&gt;0,Table1[[#This Row],[Term.]]="D"),Table1[[#This Row],[Kv*T]],"")</f>
        <v/>
      </c>
      <c r="AW109" s="75" t="str">
        <f>IF(AND(Table1[[#This Row],[Variant]]=$AV$4,Table1[[#This Row],[Kv*T]]&gt;0,Table1[[#This Row],[Term.]]="Y"),Table1[[#This Row],[Kv*T]],"")</f>
        <v/>
      </c>
      <c r="AX109" s="73" t="str">
        <f>IF(AND(Table1[[#This Row],[Kv*T "D"5]]="",Table1[[#This Row],[Kv*T "Y"5]]=""),"",IF(Table1[[#This Row],[Kv*T "D"5]]="",Table1[[#This Row],[Kv*T "Y"5]]*3^0.5,Table1[[#This Row],[Kv*T "D"5]]))</f>
        <v/>
      </c>
      <c r="AY109" s="73"/>
    </row>
    <row r="110" spans="1:51">
      <c r="A110" s="17"/>
      <c r="B110" s="5"/>
      <c r="C110" s="5"/>
      <c r="D110" s="5"/>
      <c r="E110" s="5"/>
      <c r="F110" s="86" t="str">
        <f t="shared" si="15"/>
        <v/>
      </c>
      <c r="G110" s="5"/>
      <c r="H110" s="5"/>
      <c r="I110" s="98" t="str">
        <f>IF(OR(Table1[[#This Row],[Phys. Turns]]="",Table1[[#This Row],[Wire]]="",Table1[[#This Row],[Parallel]]=""),"",Table1[[#This Row],[Phys. Turns]]*VLOOKUP(Table1[[#This Row],[Wire]],wirelist,4,FALSE))</f>
        <v/>
      </c>
      <c r="J110" s="5"/>
      <c r="K110" s="19"/>
      <c r="L110" s="20"/>
      <c r="M110" s="5"/>
      <c r="N110" s="49"/>
      <c r="O110" s="5"/>
      <c r="P110" s="5"/>
      <c r="Q110" s="5"/>
      <c r="R110" s="5"/>
      <c r="S110" s="5"/>
      <c r="T110" s="43" t="str">
        <f t="shared" si="16"/>
        <v/>
      </c>
      <c r="U110" s="102"/>
      <c r="V110" s="144"/>
      <c r="W110" s="46" t="str">
        <f>IF(OR(P110="",Table1[[#This Row],[Prop.]]="No Load"),"",(Tests!AC110/VLOOKUP(Table1[[#This Row],[Prop.]],proplist,6,FALSE))*VLOOKUP(Table1[[#This Row],[Prop.]],proplist,4,FALSE)/28.3*(Table1[[#This Row],[RPM]]/1000)^VLOOKUP(Table1[[#This Row],[Prop.]],proplist,5,FALSE))</f>
        <v/>
      </c>
      <c r="X110" s="47" t="str">
        <f>IF(OR(P110="",Table1[[#This Row],[Prop.]]="No Load"),"",(AC110/VLOOKUP(Table1[[#This Row],[Prop.]],proplist,9,FALSE))*VLOOKUP(Table1[[#This Row],[Prop.]],proplist,7,FALSE)*(Table1[[#This Row],[RPM]]/1000)^(VLOOKUP(Table1[[#This Row],[Prop.]],proplist,8,FALSE))/Table1[[#This Row],[Pin '[W']]])</f>
        <v/>
      </c>
      <c r="Y110" s="43" t="str">
        <f>IF(OR(P110="",Table1[[#This Row],[Prop.]]="No Load"),"",P110*VLOOKUP(Table1[[#This Row],[Prop.]],proplist,3,FALSE)/1056)</f>
        <v/>
      </c>
      <c r="Z110" s="43" t="str">
        <f t="shared" si="14"/>
        <v/>
      </c>
      <c r="AA110" s="44" t="str">
        <f>IF(OR(AB110="",Table1[[#This Row],[Prop.]]="No Load"),"",AB110*(1-X110))</f>
        <v/>
      </c>
      <c r="AB110" s="103" t="str">
        <f t="shared" si="17"/>
        <v/>
      </c>
      <c r="AC110" s="45" t="str">
        <f t="shared" si="18"/>
        <v/>
      </c>
      <c r="AD110" s="73" t="str">
        <f>IF(Table1[[#This Row],[Prop.]]="No Load",Table1[[#This Row],["T"]]*Table1[[#This Row],[RPM]]/Table1[[#This Row],[V]],"")</f>
        <v/>
      </c>
      <c r="AE110" s="74" t="str">
        <f>IF(OR(C110="",E110="",H110=""),"",IF(Table1[[#This Row],[Prop.]]="No Load",IF(E110=1,(H110-10)/C110,IF(E110=2,2*(H110-10)/C110,4*(H110-10))),""))</f>
        <v/>
      </c>
      <c r="AF110" s="45" t="str">
        <f>IF(AND(Table1[[#This Row],[Variant]]=$AF$4,Table1[[#This Row],[Kv*T]]&gt;0,Table1[[#This Row],[Term.]]="D"),Table1[[#This Row],[Kv*T]],"")</f>
        <v/>
      </c>
      <c r="AG110" s="45" t="str">
        <f>IF(AND(Table1[[#This Row],[Variant]]=$AF$4,Table1[[#This Row],[Kv*T]]&gt;0,Table1[[#This Row],[Term.]]="Y"),Table1[[#This Row],[Kv*T]],"")</f>
        <v/>
      </c>
      <c r="AH110" s="73" t="str">
        <f>IF(AND(Table1[[#This Row],[Kv*T "D"]]="",Table1[[#This Row],[Kv*T "Y"]]=""),"",IF(Table1[[#This Row],[Kv*T "D"]]="",Table1[[#This Row],[Kv*T "Y"]]*3^0.5,Table1[[#This Row],[Kv*T "D"]]))</f>
        <v/>
      </c>
      <c r="AI110" s="147" t="str">
        <f>IF(Table1[[#This Row],[Std Inch per turn]]="","",Table1[[#This Row],[Std Inch per turn]])</f>
        <v/>
      </c>
      <c r="AJ110" s="75" t="str">
        <f>IF(AND(Table1[[#This Row],[Variant]]=$AJ$4,Table1[[#This Row],[Kv*T]]&gt;0,Table1[[#This Row],[Term.]]="D"),Table1[[#This Row],[Kv*T]],"")</f>
        <v/>
      </c>
      <c r="AK110" s="75" t="str">
        <f>IF(AND(Table1[[#This Row],[Variant]]=$AJ$4,Table1[[#This Row],[Kv*T]]&gt;0,Table1[[#This Row],[Term.]]="Y"),Table1[[#This Row],[Kv*T]],"")</f>
        <v/>
      </c>
      <c r="AL110" s="73" t="str">
        <f>IF(AND(Table1[[#This Row],[Kv*T "D"2]]="",Table1[[#This Row],[Kv*T "Y"2]]=""),"",IF(Table1[[#This Row],[Kv*T "D"2]]="",Table1[[#This Row],[Kv*T "Y"2]]*3^0.5,Table1[[#This Row],[Kv*T "D"2]]))</f>
        <v/>
      </c>
      <c r="AM110" s="147" t="str">
        <f>IF(Table1[[#This Row],[Std Inch per turn]]="","",Table1[[#This Row],[Std Inch per turn]])</f>
        <v/>
      </c>
      <c r="AN110" s="75" t="str">
        <f>IF(AND(Table1[[#This Row],[Variant]]=$AN$4,Table1[[#This Row],[Kv*T]]&gt;0,Table1[[#This Row],[Term.]]="D"),Table1[[#This Row],[Kv*T]],"")</f>
        <v/>
      </c>
      <c r="AO110" s="75" t="str">
        <f>IF(AND(Table1[[#This Row],[Variant]]=$AN$4,Table1[[#This Row],[Kv*T]]&gt;0,Table1[[#This Row],[Term.]]="Y"),Table1[[#This Row],[Kv*T]],"")</f>
        <v/>
      </c>
      <c r="AP110" s="73" t="str">
        <f>IF(AND(Table1[[#This Row],[Kv*T "D"3]]="",Table1[[#This Row],[Kv*T "Y"3]]=""),"",IF(Table1[[#This Row],[Kv*T "D"3]]="",Table1[[#This Row],[Kv*T "Y"3]]*3^0.5,Table1[[#This Row],[Kv*T "D"3]]))</f>
        <v/>
      </c>
      <c r="AQ110" s="73"/>
      <c r="AR110" s="75" t="str">
        <f>IF(AND(Table1[[#This Row],[Variant]]=$AR$4,Table1[[#This Row],[Kv*T]]&gt;0,Table1[[#This Row],[Term.]]="D"),Table1[[#This Row],[Kv*T]],"")</f>
        <v/>
      </c>
      <c r="AS110" s="75" t="str">
        <f>IF(AND(Table1[[#This Row],[Variant]]=$AR$4,Table1[[#This Row],[Kv*T]]&gt;0,Table1[[#This Row],[Term.]]="Y"),Table1[[#This Row],[Kv*T]],"")</f>
        <v/>
      </c>
      <c r="AT110" s="73" t="str">
        <f>IF(AND(Table1[[#This Row],[Kv*T "D"4]]="",Table1[[#This Row],[Kv*T "Y"4]]=""),"",IF(Table1[[#This Row],[Kv*T "D"4]]="",Table1[[#This Row],[Kv*T "Y"4]]*3^0.5,Table1[[#This Row],[Kv*T "D"4]]))</f>
        <v/>
      </c>
      <c r="AU110" s="73"/>
      <c r="AV110" s="75" t="str">
        <f>IF(AND(Table1[[#This Row],[Variant]]=$AV$4,Table1[[#This Row],[Kv*T]]&gt;0,Table1[[#This Row],[Term.]]="D"),Table1[[#This Row],[Kv*T]],"")</f>
        <v/>
      </c>
      <c r="AW110" s="75" t="str">
        <f>IF(AND(Table1[[#This Row],[Variant]]=$AV$4,Table1[[#This Row],[Kv*T]]&gt;0,Table1[[#This Row],[Term.]]="Y"),Table1[[#This Row],[Kv*T]],"")</f>
        <v/>
      </c>
      <c r="AX110" s="73" t="str">
        <f>IF(AND(Table1[[#This Row],[Kv*T "D"5]]="",Table1[[#This Row],[Kv*T "Y"5]]=""),"",IF(Table1[[#This Row],[Kv*T "D"5]]="",Table1[[#This Row],[Kv*T "Y"5]]*3^0.5,Table1[[#This Row],[Kv*T "D"5]]))</f>
        <v/>
      </c>
      <c r="AY110" s="73"/>
    </row>
    <row r="111" spans="1:51">
      <c r="A111" s="17"/>
      <c r="B111" s="5"/>
      <c r="C111" s="5"/>
      <c r="D111" s="5"/>
      <c r="E111" s="5"/>
      <c r="F111" s="86" t="str">
        <f t="shared" si="15"/>
        <v/>
      </c>
      <c r="G111" s="5"/>
      <c r="H111" s="5"/>
      <c r="I111" s="98" t="str">
        <f>IF(OR(Table1[[#This Row],[Phys. Turns]]="",Table1[[#This Row],[Wire]]="",Table1[[#This Row],[Parallel]]=""),"",Table1[[#This Row],[Phys. Turns]]*VLOOKUP(Table1[[#This Row],[Wire]],wirelist,4,FALSE))</f>
        <v/>
      </c>
      <c r="J111" s="5"/>
      <c r="K111" s="19"/>
      <c r="L111" s="20"/>
      <c r="M111" s="5"/>
      <c r="N111" s="49"/>
      <c r="O111" s="5"/>
      <c r="P111" s="5"/>
      <c r="Q111" s="5"/>
      <c r="R111" s="5"/>
      <c r="S111" s="5"/>
      <c r="T111" s="43" t="str">
        <f t="shared" si="16"/>
        <v/>
      </c>
      <c r="U111" s="102"/>
      <c r="V111" s="144"/>
      <c r="W111" s="46" t="str">
        <f>IF(OR(P111="",Table1[[#This Row],[Prop.]]="No Load"),"",(Tests!AC111/VLOOKUP(Table1[[#This Row],[Prop.]],proplist,6,FALSE))*VLOOKUP(Table1[[#This Row],[Prop.]],proplist,4,FALSE)/28.3*(Table1[[#This Row],[RPM]]/1000)^VLOOKUP(Table1[[#This Row],[Prop.]],proplist,5,FALSE))</f>
        <v/>
      </c>
      <c r="X111" s="47" t="str">
        <f>IF(OR(P111="",Table1[[#This Row],[Prop.]]="No Load"),"",(AC111/VLOOKUP(Table1[[#This Row],[Prop.]],proplist,9,FALSE))*VLOOKUP(Table1[[#This Row],[Prop.]],proplist,7,FALSE)*(Table1[[#This Row],[RPM]]/1000)^(VLOOKUP(Table1[[#This Row],[Prop.]],proplist,8,FALSE))/Table1[[#This Row],[Pin '[W']]])</f>
        <v/>
      </c>
      <c r="Y111" s="43" t="str">
        <f>IF(OR(P111="",Table1[[#This Row],[Prop.]]="No Load"),"",P111*VLOOKUP(Table1[[#This Row],[Prop.]],proplist,3,FALSE)/1056)</f>
        <v/>
      </c>
      <c r="Z111" s="43" t="str">
        <f t="shared" si="14"/>
        <v/>
      </c>
      <c r="AA111" s="44" t="str">
        <f>IF(OR(AB111="",Table1[[#This Row],[Prop.]]="No Load"),"",AB111*(1-X111))</f>
        <v/>
      </c>
      <c r="AB111" s="103" t="str">
        <f t="shared" si="17"/>
        <v/>
      </c>
      <c r="AC111" s="45" t="str">
        <f t="shared" si="18"/>
        <v/>
      </c>
      <c r="AD111" s="73" t="str">
        <f>IF(Table1[[#This Row],[Prop.]]="No Load",Table1[[#This Row],["T"]]*Table1[[#This Row],[RPM]]/Table1[[#This Row],[V]],"")</f>
        <v/>
      </c>
      <c r="AE111" s="74" t="str">
        <f>IF(OR(C111="",E111="",H111=""),"",IF(Table1[[#This Row],[Prop.]]="No Load",IF(E111=1,(H111-10)/C111,IF(E111=2,2*(H111-10)/C111,4*(H111-10))),""))</f>
        <v/>
      </c>
      <c r="AF111" s="45" t="str">
        <f>IF(AND(Table1[[#This Row],[Variant]]=$AF$4,Table1[[#This Row],[Kv*T]]&gt;0,Table1[[#This Row],[Term.]]="D"),Table1[[#This Row],[Kv*T]],"")</f>
        <v/>
      </c>
      <c r="AG111" s="45" t="str">
        <f>IF(AND(Table1[[#This Row],[Variant]]=$AF$4,Table1[[#This Row],[Kv*T]]&gt;0,Table1[[#This Row],[Term.]]="Y"),Table1[[#This Row],[Kv*T]],"")</f>
        <v/>
      </c>
      <c r="AH111" s="73" t="str">
        <f>IF(AND(Table1[[#This Row],[Kv*T "D"]]="",Table1[[#This Row],[Kv*T "Y"]]=""),"",IF(Table1[[#This Row],[Kv*T "D"]]="",Table1[[#This Row],[Kv*T "Y"]]*3^0.5,Table1[[#This Row],[Kv*T "D"]]))</f>
        <v/>
      </c>
      <c r="AI111" s="147" t="str">
        <f>IF(Table1[[#This Row],[Std Inch per turn]]="","",Table1[[#This Row],[Std Inch per turn]])</f>
        <v/>
      </c>
      <c r="AJ111" s="75" t="str">
        <f>IF(AND(Table1[[#This Row],[Variant]]=$AJ$4,Table1[[#This Row],[Kv*T]]&gt;0,Table1[[#This Row],[Term.]]="D"),Table1[[#This Row],[Kv*T]],"")</f>
        <v/>
      </c>
      <c r="AK111" s="75" t="str">
        <f>IF(AND(Table1[[#This Row],[Variant]]=$AJ$4,Table1[[#This Row],[Kv*T]]&gt;0,Table1[[#This Row],[Term.]]="Y"),Table1[[#This Row],[Kv*T]],"")</f>
        <v/>
      </c>
      <c r="AL111" s="73" t="str">
        <f>IF(AND(Table1[[#This Row],[Kv*T "D"2]]="",Table1[[#This Row],[Kv*T "Y"2]]=""),"",IF(Table1[[#This Row],[Kv*T "D"2]]="",Table1[[#This Row],[Kv*T "Y"2]]*3^0.5,Table1[[#This Row],[Kv*T "D"2]]))</f>
        <v/>
      </c>
      <c r="AM111" s="147" t="str">
        <f>IF(Table1[[#This Row],[Std Inch per turn]]="","",Table1[[#This Row],[Std Inch per turn]])</f>
        <v/>
      </c>
      <c r="AN111" s="75" t="str">
        <f>IF(AND(Table1[[#This Row],[Variant]]=$AN$4,Table1[[#This Row],[Kv*T]]&gt;0,Table1[[#This Row],[Term.]]="D"),Table1[[#This Row],[Kv*T]],"")</f>
        <v/>
      </c>
      <c r="AO111" s="75" t="str">
        <f>IF(AND(Table1[[#This Row],[Variant]]=$AN$4,Table1[[#This Row],[Kv*T]]&gt;0,Table1[[#This Row],[Term.]]="Y"),Table1[[#This Row],[Kv*T]],"")</f>
        <v/>
      </c>
      <c r="AP111" s="73" t="str">
        <f>IF(AND(Table1[[#This Row],[Kv*T "D"3]]="",Table1[[#This Row],[Kv*T "Y"3]]=""),"",IF(Table1[[#This Row],[Kv*T "D"3]]="",Table1[[#This Row],[Kv*T "Y"3]]*3^0.5,Table1[[#This Row],[Kv*T "D"3]]))</f>
        <v/>
      </c>
      <c r="AQ111" s="73"/>
      <c r="AR111" s="75" t="str">
        <f>IF(AND(Table1[[#This Row],[Variant]]=$AR$4,Table1[[#This Row],[Kv*T]]&gt;0,Table1[[#This Row],[Term.]]="D"),Table1[[#This Row],[Kv*T]],"")</f>
        <v/>
      </c>
      <c r="AS111" s="75" t="str">
        <f>IF(AND(Table1[[#This Row],[Variant]]=$AR$4,Table1[[#This Row],[Kv*T]]&gt;0,Table1[[#This Row],[Term.]]="Y"),Table1[[#This Row],[Kv*T]],"")</f>
        <v/>
      </c>
      <c r="AT111" s="73" t="str">
        <f>IF(AND(Table1[[#This Row],[Kv*T "D"4]]="",Table1[[#This Row],[Kv*T "Y"4]]=""),"",IF(Table1[[#This Row],[Kv*T "D"4]]="",Table1[[#This Row],[Kv*T "Y"4]]*3^0.5,Table1[[#This Row],[Kv*T "D"4]]))</f>
        <v/>
      </c>
      <c r="AU111" s="73"/>
      <c r="AV111" s="75" t="str">
        <f>IF(AND(Table1[[#This Row],[Variant]]=$AV$4,Table1[[#This Row],[Kv*T]]&gt;0,Table1[[#This Row],[Term.]]="D"),Table1[[#This Row],[Kv*T]],"")</f>
        <v/>
      </c>
      <c r="AW111" s="75" t="str">
        <f>IF(AND(Table1[[#This Row],[Variant]]=$AV$4,Table1[[#This Row],[Kv*T]]&gt;0,Table1[[#This Row],[Term.]]="Y"),Table1[[#This Row],[Kv*T]],"")</f>
        <v/>
      </c>
      <c r="AX111" s="73" t="str">
        <f>IF(AND(Table1[[#This Row],[Kv*T "D"5]]="",Table1[[#This Row],[Kv*T "Y"5]]=""),"",IF(Table1[[#This Row],[Kv*T "D"5]]="",Table1[[#This Row],[Kv*T "Y"5]]*3^0.5,Table1[[#This Row],[Kv*T "D"5]]))</f>
        <v/>
      </c>
      <c r="AY111" s="73"/>
    </row>
    <row r="112" spans="1:51">
      <c r="A112" s="17"/>
      <c r="B112" s="5"/>
      <c r="C112" s="5"/>
      <c r="D112" s="5"/>
      <c r="E112" s="5"/>
      <c r="F112" s="86" t="str">
        <f t="shared" si="15"/>
        <v/>
      </c>
      <c r="G112" s="5"/>
      <c r="H112" s="5"/>
      <c r="I112" s="98" t="str">
        <f>IF(OR(Table1[[#This Row],[Phys. Turns]]="",Table1[[#This Row],[Wire]]="",Table1[[#This Row],[Parallel]]=""),"",Table1[[#This Row],[Phys. Turns]]*VLOOKUP(Table1[[#This Row],[Wire]],wirelist,4,FALSE))</f>
        <v/>
      </c>
      <c r="J112" s="5"/>
      <c r="K112" s="19"/>
      <c r="L112" s="20"/>
      <c r="M112" s="5"/>
      <c r="N112" s="49"/>
      <c r="O112" s="5"/>
      <c r="P112" s="5"/>
      <c r="Q112" s="5"/>
      <c r="R112" s="5"/>
      <c r="S112" s="5"/>
      <c r="T112" s="43" t="str">
        <f t="shared" si="16"/>
        <v/>
      </c>
      <c r="U112" s="102"/>
      <c r="V112" s="144"/>
      <c r="W112" s="46" t="str">
        <f>IF(OR(P112="",Table1[[#This Row],[Prop.]]="No Load"),"",(Tests!AC112/VLOOKUP(Table1[[#This Row],[Prop.]],proplist,6,FALSE))*VLOOKUP(Table1[[#This Row],[Prop.]],proplist,4,FALSE)/28.3*(Table1[[#This Row],[RPM]]/1000)^VLOOKUP(Table1[[#This Row],[Prop.]],proplist,5,FALSE))</f>
        <v/>
      </c>
      <c r="X112" s="47" t="str">
        <f>IF(OR(P112="",Table1[[#This Row],[Prop.]]="No Load"),"",(AC112/VLOOKUP(Table1[[#This Row],[Prop.]],proplist,9,FALSE))*VLOOKUP(Table1[[#This Row],[Prop.]],proplist,7,FALSE)*(Table1[[#This Row],[RPM]]/1000)^(VLOOKUP(Table1[[#This Row],[Prop.]],proplist,8,FALSE))/Table1[[#This Row],[Pin '[W']]])</f>
        <v/>
      </c>
      <c r="Y112" s="43" t="str">
        <f>IF(OR(P112="",Table1[[#This Row],[Prop.]]="No Load"),"",P112*VLOOKUP(Table1[[#This Row],[Prop.]],proplist,3,FALSE)/1056)</f>
        <v/>
      </c>
      <c r="Z112" s="43" t="str">
        <f t="shared" si="14"/>
        <v/>
      </c>
      <c r="AA112" s="44" t="str">
        <f>IF(OR(AB112="",Table1[[#This Row],[Prop.]]="No Load"),"",AB112*(1-X112))</f>
        <v/>
      </c>
      <c r="AB112" s="103" t="str">
        <f t="shared" si="17"/>
        <v/>
      </c>
      <c r="AC112" s="45" t="str">
        <f t="shared" si="18"/>
        <v/>
      </c>
      <c r="AD112" s="73" t="str">
        <f>IF(Table1[[#This Row],[Prop.]]="No Load",Table1[[#This Row],["T"]]*Table1[[#This Row],[RPM]]/Table1[[#This Row],[V]],"")</f>
        <v/>
      </c>
      <c r="AE112" s="74" t="str">
        <f>IF(OR(C112="",E112="",H112=""),"",IF(Table1[[#This Row],[Prop.]]="No Load",IF(E112=1,(H112-10)/C112,IF(E112=2,2*(H112-10)/C112,4*(H112-10))),""))</f>
        <v/>
      </c>
      <c r="AF112" s="45" t="str">
        <f>IF(AND(Table1[[#This Row],[Variant]]=$AF$4,Table1[[#This Row],[Kv*T]]&gt;0,Table1[[#This Row],[Term.]]="D"),Table1[[#This Row],[Kv*T]],"")</f>
        <v/>
      </c>
      <c r="AG112" s="45" t="str">
        <f>IF(AND(Table1[[#This Row],[Variant]]=$AF$4,Table1[[#This Row],[Kv*T]]&gt;0,Table1[[#This Row],[Term.]]="Y"),Table1[[#This Row],[Kv*T]],"")</f>
        <v/>
      </c>
      <c r="AH112" s="73" t="str">
        <f>IF(AND(Table1[[#This Row],[Kv*T "D"]]="",Table1[[#This Row],[Kv*T "Y"]]=""),"",IF(Table1[[#This Row],[Kv*T "D"]]="",Table1[[#This Row],[Kv*T "Y"]]*3^0.5,Table1[[#This Row],[Kv*T "D"]]))</f>
        <v/>
      </c>
      <c r="AI112" s="147" t="str">
        <f>IF(Table1[[#This Row],[Std Inch per turn]]="","",Table1[[#This Row],[Std Inch per turn]])</f>
        <v/>
      </c>
      <c r="AJ112" s="75" t="str">
        <f>IF(AND(Table1[[#This Row],[Variant]]=$AJ$4,Table1[[#This Row],[Kv*T]]&gt;0,Table1[[#This Row],[Term.]]="D"),Table1[[#This Row],[Kv*T]],"")</f>
        <v/>
      </c>
      <c r="AK112" s="75" t="str">
        <f>IF(AND(Table1[[#This Row],[Variant]]=$AJ$4,Table1[[#This Row],[Kv*T]]&gt;0,Table1[[#This Row],[Term.]]="Y"),Table1[[#This Row],[Kv*T]],"")</f>
        <v/>
      </c>
      <c r="AL112" s="73" t="str">
        <f>IF(AND(Table1[[#This Row],[Kv*T "D"2]]="",Table1[[#This Row],[Kv*T "Y"2]]=""),"",IF(Table1[[#This Row],[Kv*T "D"2]]="",Table1[[#This Row],[Kv*T "Y"2]]*3^0.5,Table1[[#This Row],[Kv*T "D"2]]))</f>
        <v/>
      </c>
      <c r="AM112" s="147" t="str">
        <f>IF(Table1[[#This Row],[Std Inch per turn]]="","",Table1[[#This Row],[Std Inch per turn]])</f>
        <v/>
      </c>
      <c r="AN112" s="75" t="str">
        <f>IF(AND(Table1[[#This Row],[Variant]]=$AN$4,Table1[[#This Row],[Kv*T]]&gt;0,Table1[[#This Row],[Term.]]="D"),Table1[[#This Row],[Kv*T]],"")</f>
        <v/>
      </c>
      <c r="AO112" s="75" t="str">
        <f>IF(AND(Table1[[#This Row],[Variant]]=$AN$4,Table1[[#This Row],[Kv*T]]&gt;0,Table1[[#This Row],[Term.]]="Y"),Table1[[#This Row],[Kv*T]],"")</f>
        <v/>
      </c>
      <c r="AP112" s="73" t="str">
        <f>IF(AND(Table1[[#This Row],[Kv*T "D"3]]="",Table1[[#This Row],[Kv*T "Y"3]]=""),"",IF(Table1[[#This Row],[Kv*T "D"3]]="",Table1[[#This Row],[Kv*T "Y"3]]*3^0.5,Table1[[#This Row],[Kv*T "D"3]]))</f>
        <v/>
      </c>
      <c r="AQ112" s="73"/>
      <c r="AR112" s="75" t="str">
        <f>IF(AND(Table1[[#This Row],[Variant]]=$AR$4,Table1[[#This Row],[Kv*T]]&gt;0,Table1[[#This Row],[Term.]]="D"),Table1[[#This Row],[Kv*T]],"")</f>
        <v/>
      </c>
      <c r="AS112" s="75" t="str">
        <f>IF(AND(Table1[[#This Row],[Variant]]=$AR$4,Table1[[#This Row],[Kv*T]]&gt;0,Table1[[#This Row],[Term.]]="Y"),Table1[[#This Row],[Kv*T]],"")</f>
        <v/>
      </c>
      <c r="AT112" s="73" t="str">
        <f>IF(AND(Table1[[#This Row],[Kv*T "D"4]]="",Table1[[#This Row],[Kv*T "Y"4]]=""),"",IF(Table1[[#This Row],[Kv*T "D"4]]="",Table1[[#This Row],[Kv*T "Y"4]]*3^0.5,Table1[[#This Row],[Kv*T "D"4]]))</f>
        <v/>
      </c>
      <c r="AU112" s="73"/>
      <c r="AV112" s="75" t="str">
        <f>IF(AND(Table1[[#This Row],[Variant]]=$AV$4,Table1[[#This Row],[Kv*T]]&gt;0,Table1[[#This Row],[Term.]]="D"),Table1[[#This Row],[Kv*T]],"")</f>
        <v/>
      </c>
      <c r="AW112" s="75" t="str">
        <f>IF(AND(Table1[[#This Row],[Variant]]=$AV$4,Table1[[#This Row],[Kv*T]]&gt;0,Table1[[#This Row],[Term.]]="Y"),Table1[[#This Row],[Kv*T]],"")</f>
        <v/>
      </c>
      <c r="AX112" s="73" t="str">
        <f>IF(AND(Table1[[#This Row],[Kv*T "D"5]]="",Table1[[#This Row],[Kv*T "Y"5]]=""),"",IF(Table1[[#This Row],[Kv*T "D"5]]="",Table1[[#This Row],[Kv*T "Y"5]]*3^0.5,Table1[[#This Row],[Kv*T "D"5]]))</f>
        <v/>
      </c>
      <c r="AY112" s="73"/>
    </row>
    <row r="113" spans="1:51">
      <c r="A113" s="17"/>
      <c r="B113" s="5"/>
      <c r="C113" s="5"/>
      <c r="D113" s="5"/>
      <c r="E113" s="5"/>
      <c r="F113" s="86" t="str">
        <f t="shared" si="15"/>
        <v/>
      </c>
      <c r="G113" s="5"/>
      <c r="H113" s="5"/>
      <c r="I113" s="98" t="str">
        <f>IF(OR(Table1[[#This Row],[Phys. Turns]]="",Table1[[#This Row],[Wire]]="",Table1[[#This Row],[Parallel]]=""),"",Table1[[#This Row],[Phys. Turns]]*VLOOKUP(Table1[[#This Row],[Wire]],wirelist,4,FALSE))</f>
        <v/>
      </c>
      <c r="J113" s="5"/>
      <c r="K113" s="19"/>
      <c r="L113" s="20"/>
      <c r="M113" s="5"/>
      <c r="N113" s="49"/>
      <c r="O113" s="5"/>
      <c r="P113" s="5"/>
      <c r="Q113" s="5"/>
      <c r="R113" s="5"/>
      <c r="S113" s="5"/>
      <c r="T113" s="43" t="str">
        <f t="shared" si="16"/>
        <v/>
      </c>
      <c r="U113" s="102"/>
      <c r="V113" s="144"/>
      <c r="W113" s="46" t="str">
        <f>IF(OR(P113="",Table1[[#This Row],[Prop.]]="No Load"),"",(Tests!AC113/VLOOKUP(Table1[[#This Row],[Prop.]],proplist,6,FALSE))*VLOOKUP(Table1[[#This Row],[Prop.]],proplist,4,FALSE)/28.3*(Table1[[#This Row],[RPM]]/1000)^VLOOKUP(Table1[[#This Row],[Prop.]],proplist,5,FALSE))</f>
        <v/>
      </c>
      <c r="X113" s="47" t="str">
        <f>IF(OR(P113="",Table1[[#This Row],[Prop.]]="No Load"),"",(AC113/VLOOKUP(Table1[[#This Row],[Prop.]],proplist,9,FALSE))*VLOOKUP(Table1[[#This Row],[Prop.]],proplist,7,FALSE)*(Table1[[#This Row],[RPM]]/1000)^(VLOOKUP(Table1[[#This Row],[Prop.]],proplist,8,FALSE))/Table1[[#This Row],[Pin '[W']]])</f>
        <v/>
      </c>
      <c r="Y113" s="43" t="str">
        <f>IF(OR(P113="",Table1[[#This Row],[Prop.]]="No Load"),"",P113*VLOOKUP(Table1[[#This Row],[Prop.]],proplist,3,FALSE)/1056)</f>
        <v/>
      </c>
      <c r="Z113" s="43" t="str">
        <f t="shared" si="14"/>
        <v/>
      </c>
      <c r="AA113" s="44" t="str">
        <f>IF(OR(AB113="",Table1[[#This Row],[Prop.]]="No Load"),"",AB113*(1-X113))</f>
        <v/>
      </c>
      <c r="AB113" s="103" t="str">
        <f t="shared" si="17"/>
        <v/>
      </c>
      <c r="AC113" s="45" t="str">
        <f t="shared" si="18"/>
        <v/>
      </c>
      <c r="AD113" s="73" t="str">
        <f>IF(Table1[[#This Row],[Prop.]]="No Load",Table1[[#This Row],["T"]]*Table1[[#This Row],[RPM]]/Table1[[#This Row],[V]],"")</f>
        <v/>
      </c>
      <c r="AE113" s="74" t="str">
        <f>IF(OR(C113="",E113="",H113=""),"",IF(Table1[[#This Row],[Prop.]]="No Load",IF(E113=1,(H113-10)/C113,IF(E113=2,2*(H113-10)/C113,4*(H113-10))),""))</f>
        <v/>
      </c>
      <c r="AF113" s="45" t="str">
        <f>IF(AND(Table1[[#This Row],[Variant]]=$AF$4,Table1[[#This Row],[Kv*T]]&gt;0,Table1[[#This Row],[Term.]]="D"),Table1[[#This Row],[Kv*T]],"")</f>
        <v/>
      </c>
      <c r="AG113" s="45" t="str">
        <f>IF(AND(Table1[[#This Row],[Variant]]=$AF$4,Table1[[#This Row],[Kv*T]]&gt;0,Table1[[#This Row],[Term.]]="Y"),Table1[[#This Row],[Kv*T]],"")</f>
        <v/>
      </c>
      <c r="AH113" s="73" t="str">
        <f>IF(AND(Table1[[#This Row],[Kv*T "D"]]="",Table1[[#This Row],[Kv*T "Y"]]=""),"",IF(Table1[[#This Row],[Kv*T "D"]]="",Table1[[#This Row],[Kv*T "Y"]]*3^0.5,Table1[[#This Row],[Kv*T "D"]]))</f>
        <v/>
      </c>
      <c r="AI113" s="147" t="str">
        <f>IF(Table1[[#This Row],[Std Inch per turn]]="","",Table1[[#This Row],[Std Inch per turn]])</f>
        <v/>
      </c>
      <c r="AJ113" s="75" t="str">
        <f>IF(AND(Table1[[#This Row],[Variant]]=$AJ$4,Table1[[#This Row],[Kv*T]]&gt;0,Table1[[#This Row],[Term.]]="D"),Table1[[#This Row],[Kv*T]],"")</f>
        <v/>
      </c>
      <c r="AK113" s="75" t="str">
        <f>IF(AND(Table1[[#This Row],[Variant]]=$AJ$4,Table1[[#This Row],[Kv*T]]&gt;0,Table1[[#This Row],[Term.]]="Y"),Table1[[#This Row],[Kv*T]],"")</f>
        <v/>
      </c>
      <c r="AL113" s="73" t="str">
        <f>IF(AND(Table1[[#This Row],[Kv*T "D"2]]="",Table1[[#This Row],[Kv*T "Y"2]]=""),"",IF(Table1[[#This Row],[Kv*T "D"2]]="",Table1[[#This Row],[Kv*T "Y"2]]*3^0.5,Table1[[#This Row],[Kv*T "D"2]]))</f>
        <v/>
      </c>
      <c r="AM113" s="147" t="str">
        <f>IF(Table1[[#This Row],[Std Inch per turn]]="","",Table1[[#This Row],[Std Inch per turn]])</f>
        <v/>
      </c>
      <c r="AN113" s="75" t="str">
        <f>IF(AND(Table1[[#This Row],[Variant]]=$AN$4,Table1[[#This Row],[Kv*T]]&gt;0,Table1[[#This Row],[Term.]]="D"),Table1[[#This Row],[Kv*T]],"")</f>
        <v/>
      </c>
      <c r="AO113" s="75" t="str">
        <f>IF(AND(Table1[[#This Row],[Variant]]=$AN$4,Table1[[#This Row],[Kv*T]]&gt;0,Table1[[#This Row],[Term.]]="Y"),Table1[[#This Row],[Kv*T]],"")</f>
        <v/>
      </c>
      <c r="AP113" s="73" t="str">
        <f>IF(AND(Table1[[#This Row],[Kv*T "D"3]]="",Table1[[#This Row],[Kv*T "Y"3]]=""),"",IF(Table1[[#This Row],[Kv*T "D"3]]="",Table1[[#This Row],[Kv*T "Y"3]]*3^0.5,Table1[[#This Row],[Kv*T "D"3]]))</f>
        <v/>
      </c>
      <c r="AQ113" s="73"/>
      <c r="AR113" s="75" t="str">
        <f>IF(AND(Table1[[#This Row],[Variant]]=$AR$4,Table1[[#This Row],[Kv*T]]&gt;0,Table1[[#This Row],[Term.]]="D"),Table1[[#This Row],[Kv*T]],"")</f>
        <v/>
      </c>
      <c r="AS113" s="75" t="str">
        <f>IF(AND(Table1[[#This Row],[Variant]]=$AR$4,Table1[[#This Row],[Kv*T]]&gt;0,Table1[[#This Row],[Term.]]="Y"),Table1[[#This Row],[Kv*T]],"")</f>
        <v/>
      </c>
      <c r="AT113" s="73" t="str">
        <f>IF(AND(Table1[[#This Row],[Kv*T "D"4]]="",Table1[[#This Row],[Kv*T "Y"4]]=""),"",IF(Table1[[#This Row],[Kv*T "D"4]]="",Table1[[#This Row],[Kv*T "Y"4]]*3^0.5,Table1[[#This Row],[Kv*T "D"4]]))</f>
        <v/>
      </c>
      <c r="AU113" s="73"/>
      <c r="AV113" s="75" t="str">
        <f>IF(AND(Table1[[#This Row],[Variant]]=$AV$4,Table1[[#This Row],[Kv*T]]&gt;0,Table1[[#This Row],[Term.]]="D"),Table1[[#This Row],[Kv*T]],"")</f>
        <v/>
      </c>
      <c r="AW113" s="75" t="str">
        <f>IF(AND(Table1[[#This Row],[Variant]]=$AV$4,Table1[[#This Row],[Kv*T]]&gt;0,Table1[[#This Row],[Term.]]="Y"),Table1[[#This Row],[Kv*T]],"")</f>
        <v/>
      </c>
      <c r="AX113" s="73" t="str">
        <f>IF(AND(Table1[[#This Row],[Kv*T "D"5]]="",Table1[[#This Row],[Kv*T "Y"5]]=""),"",IF(Table1[[#This Row],[Kv*T "D"5]]="",Table1[[#This Row],[Kv*T "Y"5]]*3^0.5,Table1[[#This Row],[Kv*T "D"5]]))</f>
        <v/>
      </c>
      <c r="AY113" s="73"/>
    </row>
    <row r="114" spans="1:51">
      <c r="A114" s="17"/>
      <c r="B114" s="5"/>
      <c r="C114" s="5"/>
      <c r="D114" s="5"/>
      <c r="E114" s="5"/>
      <c r="F114" s="86" t="str">
        <f t="shared" si="15"/>
        <v/>
      </c>
      <c r="G114" s="5"/>
      <c r="H114" s="5"/>
      <c r="I114" s="98" t="str">
        <f>IF(OR(Table1[[#This Row],[Phys. Turns]]="",Table1[[#This Row],[Wire]]="",Table1[[#This Row],[Parallel]]=""),"",Table1[[#This Row],[Phys. Turns]]*VLOOKUP(Table1[[#This Row],[Wire]],wirelist,4,FALSE))</f>
        <v/>
      </c>
      <c r="J114" s="5"/>
      <c r="K114" s="19"/>
      <c r="L114" s="20"/>
      <c r="M114" s="5"/>
      <c r="N114" s="49"/>
      <c r="O114" s="5"/>
      <c r="P114" s="5"/>
      <c r="Q114" s="5"/>
      <c r="R114" s="5"/>
      <c r="S114" s="5"/>
      <c r="T114" s="43" t="str">
        <f t="shared" si="16"/>
        <v/>
      </c>
      <c r="U114" s="102"/>
      <c r="V114" s="144"/>
      <c r="W114" s="46" t="str">
        <f>IF(OR(P114="",Table1[[#This Row],[Prop.]]="No Load"),"",(Tests!AC114/VLOOKUP(Table1[[#This Row],[Prop.]],proplist,6,FALSE))*VLOOKUP(Table1[[#This Row],[Prop.]],proplist,4,FALSE)/28.3*(Table1[[#This Row],[RPM]]/1000)^VLOOKUP(Table1[[#This Row],[Prop.]],proplist,5,FALSE))</f>
        <v/>
      </c>
      <c r="X114" s="47" t="str">
        <f>IF(OR(P114="",Table1[[#This Row],[Prop.]]="No Load"),"",(AC114/VLOOKUP(Table1[[#This Row],[Prop.]],proplist,9,FALSE))*VLOOKUP(Table1[[#This Row],[Prop.]],proplist,7,FALSE)*(Table1[[#This Row],[RPM]]/1000)^(VLOOKUP(Table1[[#This Row],[Prop.]],proplist,8,FALSE))/Table1[[#This Row],[Pin '[W']]])</f>
        <v/>
      </c>
      <c r="Y114" s="43" t="str">
        <f>IF(OR(P114="",Table1[[#This Row],[Prop.]]="No Load"),"",P114*VLOOKUP(Table1[[#This Row],[Prop.]],proplist,3,FALSE)/1056)</f>
        <v/>
      </c>
      <c r="Z114" s="43" t="str">
        <f t="shared" si="14"/>
        <v/>
      </c>
      <c r="AA114" s="44" t="str">
        <f>IF(OR(AB114="",Table1[[#This Row],[Prop.]]="No Load"),"",AB114*(1-X114))</f>
        <v/>
      </c>
      <c r="AB114" s="103" t="str">
        <f t="shared" si="17"/>
        <v/>
      </c>
      <c r="AC114" s="45" t="str">
        <f t="shared" si="18"/>
        <v/>
      </c>
      <c r="AD114" s="73" t="str">
        <f>IF(Table1[[#This Row],[Prop.]]="No Load",Table1[[#This Row],["T"]]*Table1[[#This Row],[RPM]]/Table1[[#This Row],[V]],"")</f>
        <v/>
      </c>
      <c r="AE114" s="74" t="str">
        <f>IF(OR(C114="",E114="",H114=""),"",IF(Table1[[#This Row],[Prop.]]="No Load",IF(E114=1,(H114-10)/C114,IF(E114=2,2*(H114-10)/C114,4*(H114-10))),""))</f>
        <v/>
      </c>
      <c r="AF114" s="45" t="str">
        <f>IF(AND(Table1[[#This Row],[Variant]]=$AF$4,Table1[[#This Row],[Kv*T]]&gt;0,Table1[[#This Row],[Term.]]="D"),Table1[[#This Row],[Kv*T]],"")</f>
        <v/>
      </c>
      <c r="AG114" s="45" t="str">
        <f>IF(AND(Table1[[#This Row],[Variant]]=$AF$4,Table1[[#This Row],[Kv*T]]&gt;0,Table1[[#This Row],[Term.]]="Y"),Table1[[#This Row],[Kv*T]],"")</f>
        <v/>
      </c>
      <c r="AH114" s="73" t="str">
        <f>IF(AND(Table1[[#This Row],[Kv*T "D"]]="",Table1[[#This Row],[Kv*T "Y"]]=""),"",IF(Table1[[#This Row],[Kv*T "D"]]="",Table1[[#This Row],[Kv*T "Y"]]*3^0.5,Table1[[#This Row],[Kv*T "D"]]))</f>
        <v/>
      </c>
      <c r="AI114" s="147" t="str">
        <f>IF(Table1[[#This Row],[Std Inch per turn]]="","",Table1[[#This Row],[Std Inch per turn]])</f>
        <v/>
      </c>
      <c r="AJ114" s="75" t="str">
        <f>IF(AND(Table1[[#This Row],[Variant]]=$AJ$4,Table1[[#This Row],[Kv*T]]&gt;0,Table1[[#This Row],[Term.]]="D"),Table1[[#This Row],[Kv*T]],"")</f>
        <v/>
      </c>
      <c r="AK114" s="75" t="str">
        <f>IF(AND(Table1[[#This Row],[Variant]]=$AJ$4,Table1[[#This Row],[Kv*T]]&gt;0,Table1[[#This Row],[Term.]]="Y"),Table1[[#This Row],[Kv*T]],"")</f>
        <v/>
      </c>
      <c r="AL114" s="73" t="str">
        <f>IF(AND(Table1[[#This Row],[Kv*T "D"2]]="",Table1[[#This Row],[Kv*T "Y"2]]=""),"",IF(Table1[[#This Row],[Kv*T "D"2]]="",Table1[[#This Row],[Kv*T "Y"2]]*3^0.5,Table1[[#This Row],[Kv*T "D"2]]))</f>
        <v/>
      </c>
      <c r="AM114" s="147" t="str">
        <f>IF(Table1[[#This Row],[Std Inch per turn]]="","",Table1[[#This Row],[Std Inch per turn]])</f>
        <v/>
      </c>
      <c r="AN114" s="75" t="str">
        <f>IF(AND(Table1[[#This Row],[Variant]]=$AN$4,Table1[[#This Row],[Kv*T]]&gt;0,Table1[[#This Row],[Term.]]="D"),Table1[[#This Row],[Kv*T]],"")</f>
        <v/>
      </c>
      <c r="AO114" s="75" t="str">
        <f>IF(AND(Table1[[#This Row],[Variant]]=$AN$4,Table1[[#This Row],[Kv*T]]&gt;0,Table1[[#This Row],[Term.]]="Y"),Table1[[#This Row],[Kv*T]],"")</f>
        <v/>
      </c>
      <c r="AP114" s="73" t="str">
        <f>IF(AND(Table1[[#This Row],[Kv*T "D"3]]="",Table1[[#This Row],[Kv*T "Y"3]]=""),"",IF(Table1[[#This Row],[Kv*T "D"3]]="",Table1[[#This Row],[Kv*T "Y"3]]*3^0.5,Table1[[#This Row],[Kv*T "D"3]]))</f>
        <v/>
      </c>
      <c r="AQ114" s="73"/>
      <c r="AR114" s="75" t="str">
        <f>IF(AND(Table1[[#This Row],[Variant]]=$AR$4,Table1[[#This Row],[Kv*T]]&gt;0,Table1[[#This Row],[Term.]]="D"),Table1[[#This Row],[Kv*T]],"")</f>
        <v/>
      </c>
      <c r="AS114" s="75" t="str">
        <f>IF(AND(Table1[[#This Row],[Variant]]=$AR$4,Table1[[#This Row],[Kv*T]]&gt;0,Table1[[#This Row],[Term.]]="Y"),Table1[[#This Row],[Kv*T]],"")</f>
        <v/>
      </c>
      <c r="AT114" s="73" t="str">
        <f>IF(AND(Table1[[#This Row],[Kv*T "D"4]]="",Table1[[#This Row],[Kv*T "Y"4]]=""),"",IF(Table1[[#This Row],[Kv*T "D"4]]="",Table1[[#This Row],[Kv*T "Y"4]]*3^0.5,Table1[[#This Row],[Kv*T "D"4]]))</f>
        <v/>
      </c>
      <c r="AU114" s="73"/>
      <c r="AV114" s="75" t="str">
        <f>IF(AND(Table1[[#This Row],[Variant]]=$AV$4,Table1[[#This Row],[Kv*T]]&gt;0,Table1[[#This Row],[Term.]]="D"),Table1[[#This Row],[Kv*T]],"")</f>
        <v/>
      </c>
      <c r="AW114" s="75" t="str">
        <f>IF(AND(Table1[[#This Row],[Variant]]=$AV$4,Table1[[#This Row],[Kv*T]]&gt;0,Table1[[#This Row],[Term.]]="Y"),Table1[[#This Row],[Kv*T]],"")</f>
        <v/>
      </c>
      <c r="AX114" s="73" t="str">
        <f>IF(AND(Table1[[#This Row],[Kv*T "D"5]]="",Table1[[#This Row],[Kv*T "Y"5]]=""),"",IF(Table1[[#This Row],[Kv*T "D"5]]="",Table1[[#This Row],[Kv*T "Y"5]]*3^0.5,Table1[[#This Row],[Kv*T "D"5]]))</f>
        <v/>
      </c>
      <c r="AY114" s="73"/>
    </row>
    <row r="115" spans="1:51">
      <c r="A115" s="17"/>
      <c r="B115" s="5"/>
      <c r="C115" s="5"/>
      <c r="D115" s="5"/>
      <c r="E115" s="5"/>
      <c r="F115" s="86" t="str">
        <f t="shared" si="15"/>
        <v/>
      </c>
      <c r="G115" s="5"/>
      <c r="H115" s="5"/>
      <c r="I115" s="98" t="str">
        <f>IF(OR(Table1[[#This Row],[Phys. Turns]]="",Table1[[#This Row],[Wire]]="",Table1[[#This Row],[Parallel]]=""),"",Table1[[#This Row],[Phys. Turns]]*VLOOKUP(Table1[[#This Row],[Wire]],wirelist,4,FALSE))</f>
        <v/>
      </c>
      <c r="J115" s="5"/>
      <c r="K115" s="19"/>
      <c r="L115" s="20"/>
      <c r="M115" s="5"/>
      <c r="N115" s="49"/>
      <c r="O115" s="5"/>
      <c r="P115" s="5"/>
      <c r="Q115" s="5"/>
      <c r="R115" s="5"/>
      <c r="S115" s="5"/>
      <c r="T115" s="43" t="str">
        <f t="shared" si="16"/>
        <v/>
      </c>
      <c r="U115" s="102"/>
      <c r="V115" s="144"/>
      <c r="W115" s="46" t="str">
        <f>IF(OR(P115="",Table1[[#This Row],[Prop.]]="No Load"),"",(Tests!AC115/VLOOKUP(Table1[[#This Row],[Prop.]],proplist,6,FALSE))*VLOOKUP(Table1[[#This Row],[Prop.]],proplist,4,FALSE)/28.3*(Table1[[#This Row],[RPM]]/1000)^VLOOKUP(Table1[[#This Row],[Prop.]],proplist,5,FALSE))</f>
        <v/>
      </c>
      <c r="X115" s="47" t="str">
        <f>IF(OR(P115="",Table1[[#This Row],[Prop.]]="No Load"),"",(AC115/VLOOKUP(Table1[[#This Row],[Prop.]],proplist,9,FALSE))*VLOOKUP(Table1[[#This Row],[Prop.]],proplist,7,FALSE)*(Table1[[#This Row],[RPM]]/1000)^(VLOOKUP(Table1[[#This Row],[Prop.]],proplist,8,FALSE))/Table1[[#This Row],[Pin '[W']]])</f>
        <v/>
      </c>
      <c r="Y115" s="43" t="str">
        <f>IF(OR(P115="",Table1[[#This Row],[Prop.]]="No Load"),"",P115*VLOOKUP(Table1[[#This Row],[Prop.]],proplist,3,FALSE)/1056)</f>
        <v/>
      </c>
      <c r="Z115" s="43" t="str">
        <f t="shared" si="14"/>
        <v/>
      </c>
      <c r="AA115" s="44" t="str">
        <f>IF(OR(AB115="",Table1[[#This Row],[Prop.]]="No Load"),"",AB115*(1-X115))</f>
        <v/>
      </c>
      <c r="AB115" s="103" t="str">
        <f t="shared" si="17"/>
        <v/>
      </c>
      <c r="AC115" s="45" t="str">
        <f t="shared" si="18"/>
        <v/>
      </c>
      <c r="AD115" s="73" t="str">
        <f>IF(Table1[[#This Row],[Prop.]]="No Load",Table1[[#This Row],["T"]]*Table1[[#This Row],[RPM]]/Table1[[#This Row],[V]],"")</f>
        <v/>
      </c>
      <c r="AE115" s="74" t="str">
        <f>IF(OR(C115="",E115="",H115=""),"",IF(Table1[[#This Row],[Prop.]]="No Load",IF(E115=1,(H115-10)/C115,IF(E115=2,2*(H115-10)/C115,4*(H115-10))),""))</f>
        <v/>
      </c>
      <c r="AF115" s="45" t="str">
        <f>IF(AND(Table1[[#This Row],[Variant]]=$AF$4,Table1[[#This Row],[Kv*T]]&gt;0,Table1[[#This Row],[Term.]]="D"),Table1[[#This Row],[Kv*T]],"")</f>
        <v/>
      </c>
      <c r="AG115" s="45" t="str">
        <f>IF(AND(Table1[[#This Row],[Variant]]=$AF$4,Table1[[#This Row],[Kv*T]]&gt;0,Table1[[#This Row],[Term.]]="Y"),Table1[[#This Row],[Kv*T]],"")</f>
        <v/>
      </c>
      <c r="AH115" s="73" t="str">
        <f>IF(AND(Table1[[#This Row],[Kv*T "D"]]="",Table1[[#This Row],[Kv*T "Y"]]=""),"",IF(Table1[[#This Row],[Kv*T "D"]]="",Table1[[#This Row],[Kv*T "Y"]]*3^0.5,Table1[[#This Row],[Kv*T "D"]]))</f>
        <v/>
      </c>
      <c r="AI115" s="147" t="str">
        <f>IF(Table1[[#This Row],[Std Inch per turn]]="","",Table1[[#This Row],[Std Inch per turn]])</f>
        <v/>
      </c>
      <c r="AJ115" s="75" t="str">
        <f>IF(AND(Table1[[#This Row],[Variant]]=$AJ$4,Table1[[#This Row],[Kv*T]]&gt;0,Table1[[#This Row],[Term.]]="D"),Table1[[#This Row],[Kv*T]],"")</f>
        <v/>
      </c>
      <c r="AK115" s="75" t="str">
        <f>IF(AND(Table1[[#This Row],[Variant]]=$AJ$4,Table1[[#This Row],[Kv*T]]&gt;0,Table1[[#This Row],[Term.]]="Y"),Table1[[#This Row],[Kv*T]],"")</f>
        <v/>
      </c>
      <c r="AL115" s="73" t="str">
        <f>IF(AND(Table1[[#This Row],[Kv*T "D"2]]="",Table1[[#This Row],[Kv*T "Y"2]]=""),"",IF(Table1[[#This Row],[Kv*T "D"2]]="",Table1[[#This Row],[Kv*T "Y"2]]*3^0.5,Table1[[#This Row],[Kv*T "D"2]]))</f>
        <v/>
      </c>
      <c r="AM115" s="147" t="str">
        <f>IF(Table1[[#This Row],[Std Inch per turn]]="","",Table1[[#This Row],[Std Inch per turn]])</f>
        <v/>
      </c>
      <c r="AN115" s="75" t="str">
        <f>IF(AND(Table1[[#This Row],[Variant]]=$AN$4,Table1[[#This Row],[Kv*T]]&gt;0,Table1[[#This Row],[Term.]]="D"),Table1[[#This Row],[Kv*T]],"")</f>
        <v/>
      </c>
      <c r="AO115" s="75" t="str">
        <f>IF(AND(Table1[[#This Row],[Variant]]=$AN$4,Table1[[#This Row],[Kv*T]]&gt;0,Table1[[#This Row],[Term.]]="Y"),Table1[[#This Row],[Kv*T]],"")</f>
        <v/>
      </c>
      <c r="AP115" s="73" t="str">
        <f>IF(AND(Table1[[#This Row],[Kv*T "D"3]]="",Table1[[#This Row],[Kv*T "Y"3]]=""),"",IF(Table1[[#This Row],[Kv*T "D"3]]="",Table1[[#This Row],[Kv*T "Y"3]]*3^0.5,Table1[[#This Row],[Kv*T "D"3]]))</f>
        <v/>
      </c>
      <c r="AQ115" s="73"/>
      <c r="AR115" s="75" t="str">
        <f>IF(AND(Table1[[#This Row],[Variant]]=$AR$4,Table1[[#This Row],[Kv*T]]&gt;0,Table1[[#This Row],[Term.]]="D"),Table1[[#This Row],[Kv*T]],"")</f>
        <v/>
      </c>
      <c r="AS115" s="75" t="str">
        <f>IF(AND(Table1[[#This Row],[Variant]]=$AR$4,Table1[[#This Row],[Kv*T]]&gt;0,Table1[[#This Row],[Term.]]="Y"),Table1[[#This Row],[Kv*T]],"")</f>
        <v/>
      </c>
      <c r="AT115" s="73" t="str">
        <f>IF(AND(Table1[[#This Row],[Kv*T "D"4]]="",Table1[[#This Row],[Kv*T "Y"4]]=""),"",IF(Table1[[#This Row],[Kv*T "D"4]]="",Table1[[#This Row],[Kv*T "Y"4]]*3^0.5,Table1[[#This Row],[Kv*T "D"4]]))</f>
        <v/>
      </c>
      <c r="AU115" s="73"/>
      <c r="AV115" s="75" t="str">
        <f>IF(AND(Table1[[#This Row],[Variant]]=$AV$4,Table1[[#This Row],[Kv*T]]&gt;0,Table1[[#This Row],[Term.]]="D"),Table1[[#This Row],[Kv*T]],"")</f>
        <v/>
      </c>
      <c r="AW115" s="75" t="str">
        <f>IF(AND(Table1[[#This Row],[Variant]]=$AV$4,Table1[[#This Row],[Kv*T]]&gt;0,Table1[[#This Row],[Term.]]="Y"),Table1[[#This Row],[Kv*T]],"")</f>
        <v/>
      </c>
      <c r="AX115" s="73" t="str">
        <f>IF(AND(Table1[[#This Row],[Kv*T "D"5]]="",Table1[[#This Row],[Kv*T "Y"5]]=""),"",IF(Table1[[#This Row],[Kv*T "D"5]]="",Table1[[#This Row],[Kv*T "Y"5]]*3^0.5,Table1[[#This Row],[Kv*T "D"5]]))</f>
        <v/>
      </c>
      <c r="AY115" s="73"/>
    </row>
    <row r="116" spans="1:51">
      <c r="A116" s="17"/>
      <c r="B116" s="5"/>
      <c r="C116" s="5"/>
      <c r="D116" s="5"/>
      <c r="E116" s="5"/>
      <c r="F116" s="86" t="str">
        <f t="shared" si="15"/>
        <v/>
      </c>
      <c r="G116" s="5"/>
      <c r="H116" s="5"/>
      <c r="I116" s="98" t="str">
        <f>IF(OR(Table1[[#This Row],[Phys. Turns]]="",Table1[[#This Row],[Wire]]="",Table1[[#This Row],[Parallel]]=""),"",Table1[[#This Row],[Phys. Turns]]*VLOOKUP(Table1[[#This Row],[Wire]],wirelist,4,FALSE))</f>
        <v/>
      </c>
      <c r="J116" s="5"/>
      <c r="K116" s="19"/>
      <c r="L116" s="20"/>
      <c r="M116" s="5"/>
      <c r="N116" s="49"/>
      <c r="O116" s="5"/>
      <c r="P116" s="5"/>
      <c r="Q116" s="5"/>
      <c r="R116" s="5"/>
      <c r="S116" s="5"/>
      <c r="T116" s="43" t="str">
        <f t="shared" si="16"/>
        <v/>
      </c>
      <c r="U116" s="102"/>
      <c r="V116" s="144"/>
      <c r="W116" s="46" t="str">
        <f>IF(OR(P116="",Table1[[#This Row],[Prop.]]="No Load"),"",(Tests!AC116/VLOOKUP(Table1[[#This Row],[Prop.]],proplist,6,FALSE))*VLOOKUP(Table1[[#This Row],[Prop.]],proplist,4,FALSE)/28.3*(Table1[[#This Row],[RPM]]/1000)^VLOOKUP(Table1[[#This Row],[Prop.]],proplist,5,FALSE))</f>
        <v/>
      </c>
      <c r="X116" s="47" t="str">
        <f>IF(OR(P116="",Table1[[#This Row],[Prop.]]="No Load"),"",(AC116/VLOOKUP(Table1[[#This Row],[Prop.]],proplist,9,FALSE))*VLOOKUP(Table1[[#This Row],[Prop.]],proplist,7,FALSE)*(Table1[[#This Row],[RPM]]/1000)^(VLOOKUP(Table1[[#This Row],[Prop.]],proplist,8,FALSE))/Table1[[#This Row],[Pin '[W']]])</f>
        <v/>
      </c>
      <c r="Y116" s="43" t="str">
        <f>IF(OR(P116="",Table1[[#This Row],[Prop.]]="No Load"),"",P116*VLOOKUP(Table1[[#This Row],[Prop.]],proplist,3,FALSE)/1056)</f>
        <v/>
      </c>
      <c r="Z116" s="43" t="str">
        <f t="shared" si="14"/>
        <v/>
      </c>
      <c r="AA116" s="44" t="str">
        <f>IF(OR(AB116="",Table1[[#This Row],[Prop.]]="No Load"),"",AB116*(1-X116))</f>
        <v/>
      </c>
      <c r="AB116" s="103" t="str">
        <f t="shared" si="17"/>
        <v/>
      </c>
      <c r="AC116" s="45" t="str">
        <f t="shared" si="18"/>
        <v/>
      </c>
      <c r="AD116" s="73" t="str">
        <f>IF(Table1[[#This Row],[Prop.]]="No Load",Table1[[#This Row],["T"]]*Table1[[#This Row],[RPM]]/Table1[[#This Row],[V]],"")</f>
        <v/>
      </c>
      <c r="AE116" s="74" t="str">
        <f>IF(OR(C116="",E116="",H116=""),"",IF(Table1[[#This Row],[Prop.]]="No Load",IF(E116=1,(H116-10)/C116,IF(E116=2,2*(H116-10)/C116,4*(H116-10))),""))</f>
        <v/>
      </c>
      <c r="AF116" s="45" t="str">
        <f>IF(AND(Table1[[#This Row],[Variant]]=$AF$4,Table1[[#This Row],[Kv*T]]&gt;0,Table1[[#This Row],[Term.]]="D"),Table1[[#This Row],[Kv*T]],"")</f>
        <v/>
      </c>
      <c r="AG116" s="45" t="str">
        <f>IF(AND(Table1[[#This Row],[Variant]]=$AF$4,Table1[[#This Row],[Kv*T]]&gt;0,Table1[[#This Row],[Term.]]="Y"),Table1[[#This Row],[Kv*T]],"")</f>
        <v/>
      </c>
      <c r="AH116" s="73" t="str">
        <f>IF(AND(Table1[[#This Row],[Kv*T "D"]]="",Table1[[#This Row],[Kv*T "Y"]]=""),"",IF(Table1[[#This Row],[Kv*T "D"]]="",Table1[[#This Row],[Kv*T "Y"]]*3^0.5,Table1[[#This Row],[Kv*T "D"]]))</f>
        <v/>
      </c>
      <c r="AI116" s="147" t="str">
        <f>IF(Table1[[#This Row],[Std Inch per turn]]="","",Table1[[#This Row],[Std Inch per turn]])</f>
        <v/>
      </c>
      <c r="AJ116" s="75" t="str">
        <f>IF(AND(Table1[[#This Row],[Variant]]=$AJ$4,Table1[[#This Row],[Kv*T]]&gt;0,Table1[[#This Row],[Term.]]="D"),Table1[[#This Row],[Kv*T]],"")</f>
        <v/>
      </c>
      <c r="AK116" s="75" t="str">
        <f>IF(AND(Table1[[#This Row],[Variant]]=$AJ$4,Table1[[#This Row],[Kv*T]]&gt;0,Table1[[#This Row],[Term.]]="Y"),Table1[[#This Row],[Kv*T]],"")</f>
        <v/>
      </c>
      <c r="AL116" s="73" t="str">
        <f>IF(AND(Table1[[#This Row],[Kv*T "D"2]]="",Table1[[#This Row],[Kv*T "Y"2]]=""),"",IF(Table1[[#This Row],[Kv*T "D"2]]="",Table1[[#This Row],[Kv*T "Y"2]]*3^0.5,Table1[[#This Row],[Kv*T "D"2]]))</f>
        <v/>
      </c>
      <c r="AM116" s="147" t="str">
        <f>IF(Table1[[#This Row],[Std Inch per turn]]="","",Table1[[#This Row],[Std Inch per turn]])</f>
        <v/>
      </c>
      <c r="AN116" s="75" t="str">
        <f>IF(AND(Table1[[#This Row],[Variant]]=$AN$4,Table1[[#This Row],[Kv*T]]&gt;0,Table1[[#This Row],[Term.]]="D"),Table1[[#This Row],[Kv*T]],"")</f>
        <v/>
      </c>
      <c r="AO116" s="75" t="str">
        <f>IF(AND(Table1[[#This Row],[Variant]]=$AN$4,Table1[[#This Row],[Kv*T]]&gt;0,Table1[[#This Row],[Term.]]="Y"),Table1[[#This Row],[Kv*T]],"")</f>
        <v/>
      </c>
      <c r="AP116" s="73" t="str">
        <f>IF(AND(Table1[[#This Row],[Kv*T "D"3]]="",Table1[[#This Row],[Kv*T "Y"3]]=""),"",IF(Table1[[#This Row],[Kv*T "D"3]]="",Table1[[#This Row],[Kv*T "Y"3]]*3^0.5,Table1[[#This Row],[Kv*T "D"3]]))</f>
        <v/>
      </c>
      <c r="AQ116" s="73"/>
      <c r="AR116" s="75" t="str">
        <f>IF(AND(Table1[[#This Row],[Variant]]=$AR$4,Table1[[#This Row],[Kv*T]]&gt;0,Table1[[#This Row],[Term.]]="D"),Table1[[#This Row],[Kv*T]],"")</f>
        <v/>
      </c>
      <c r="AS116" s="75" t="str">
        <f>IF(AND(Table1[[#This Row],[Variant]]=$AR$4,Table1[[#This Row],[Kv*T]]&gt;0,Table1[[#This Row],[Term.]]="Y"),Table1[[#This Row],[Kv*T]],"")</f>
        <v/>
      </c>
      <c r="AT116" s="73" t="str">
        <f>IF(AND(Table1[[#This Row],[Kv*T "D"4]]="",Table1[[#This Row],[Kv*T "Y"4]]=""),"",IF(Table1[[#This Row],[Kv*T "D"4]]="",Table1[[#This Row],[Kv*T "Y"4]]*3^0.5,Table1[[#This Row],[Kv*T "D"4]]))</f>
        <v/>
      </c>
      <c r="AU116" s="73"/>
      <c r="AV116" s="75" t="str">
        <f>IF(AND(Table1[[#This Row],[Variant]]=$AV$4,Table1[[#This Row],[Kv*T]]&gt;0,Table1[[#This Row],[Term.]]="D"),Table1[[#This Row],[Kv*T]],"")</f>
        <v/>
      </c>
      <c r="AW116" s="75" t="str">
        <f>IF(AND(Table1[[#This Row],[Variant]]=$AV$4,Table1[[#This Row],[Kv*T]]&gt;0,Table1[[#This Row],[Term.]]="Y"),Table1[[#This Row],[Kv*T]],"")</f>
        <v/>
      </c>
      <c r="AX116" s="73" t="str">
        <f>IF(AND(Table1[[#This Row],[Kv*T "D"5]]="",Table1[[#This Row],[Kv*T "Y"5]]=""),"",IF(Table1[[#This Row],[Kv*T "D"5]]="",Table1[[#This Row],[Kv*T "Y"5]]*3^0.5,Table1[[#This Row],[Kv*T "D"5]]))</f>
        <v/>
      </c>
      <c r="AY116" s="73"/>
    </row>
    <row r="117" spans="1:51">
      <c r="A117" s="17"/>
      <c r="B117" s="5"/>
      <c r="C117" s="5"/>
      <c r="D117" s="5"/>
      <c r="E117" s="5"/>
      <c r="F117" s="86" t="str">
        <f t="shared" si="15"/>
        <v/>
      </c>
      <c r="G117" s="5"/>
      <c r="H117" s="5"/>
      <c r="I117" s="98" t="str">
        <f>IF(OR(Table1[[#This Row],[Phys. Turns]]="",Table1[[#This Row],[Wire]]="",Table1[[#This Row],[Parallel]]=""),"",Table1[[#This Row],[Phys. Turns]]*VLOOKUP(Table1[[#This Row],[Wire]],wirelist,4,FALSE))</f>
        <v/>
      </c>
      <c r="J117" s="5"/>
      <c r="K117" s="19"/>
      <c r="L117" s="20"/>
      <c r="M117" s="5"/>
      <c r="N117" s="49"/>
      <c r="O117" s="5"/>
      <c r="P117" s="5"/>
      <c r="Q117" s="5"/>
      <c r="R117" s="5"/>
      <c r="S117" s="5"/>
      <c r="T117" s="43" t="str">
        <f t="shared" si="16"/>
        <v/>
      </c>
      <c r="U117" s="102"/>
      <c r="V117" s="144"/>
      <c r="W117" s="46" t="str">
        <f>IF(OR(P117="",Table1[[#This Row],[Prop.]]="No Load"),"",(Tests!AC117/VLOOKUP(Table1[[#This Row],[Prop.]],proplist,6,FALSE))*VLOOKUP(Table1[[#This Row],[Prop.]],proplist,4,FALSE)/28.3*(Table1[[#This Row],[RPM]]/1000)^VLOOKUP(Table1[[#This Row],[Prop.]],proplist,5,FALSE))</f>
        <v/>
      </c>
      <c r="X117" s="47" t="str">
        <f>IF(OR(P117="",Table1[[#This Row],[Prop.]]="No Load"),"",(AC117/VLOOKUP(Table1[[#This Row],[Prop.]],proplist,9,FALSE))*VLOOKUP(Table1[[#This Row],[Prop.]],proplist,7,FALSE)*(Table1[[#This Row],[RPM]]/1000)^(VLOOKUP(Table1[[#This Row],[Prop.]],proplist,8,FALSE))/Table1[[#This Row],[Pin '[W']]])</f>
        <v/>
      </c>
      <c r="Y117" s="43" t="str">
        <f>IF(OR(P117="",Table1[[#This Row],[Prop.]]="No Load"),"",P117*VLOOKUP(Table1[[#This Row],[Prop.]],proplist,3,FALSE)/1056)</f>
        <v/>
      </c>
      <c r="Z117" s="43" t="str">
        <f t="shared" si="14"/>
        <v/>
      </c>
      <c r="AA117" s="44" t="str">
        <f>IF(OR(AB117="",Table1[[#This Row],[Prop.]]="No Load"),"",AB117*(1-X117))</f>
        <v/>
      </c>
      <c r="AB117" s="103" t="str">
        <f t="shared" si="17"/>
        <v/>
      </c>
      <c r="AC117" s="45" t="str">
        <f t="shared" si="18"/>
        <v/>
      </c>
      <c r="AD117" s="73" t="str">
        <f>IF(Table1[[#This Row],[Prop.]]="No Load",Table1[[#This Row],["T"]]*Table1[[#This Row],[RPM]]/Table1[[#This Row],[V]],"")</f>
        <v/>
      </c>
      <c r="AE117" s="74" t="str">
        <f>IF(OR(C117="",E117="",H117=""),"",IF(Table1[[#This Row],[Prop.]]="No Load",IF(E117=1,(H117-10)/C117,IF(E117=2,2*(H117-10)/C117,4*(H117-10))),""))</f>
        <v/>
      </c>
      <c r="AF117" s="45" t="str">
        <f>IF(AND(Table1[[#This Row],[Variant]]=$AF$4,Table1[[#This Row],[Kv*T]]&gt;0,Table1[[#This Row],[Term.]]="D"),Table1[[#This Row],[Kv*T]],"")</f>
        <v/>
      </c>
      <c r="AG117" s="45" t="str">
        <f>IF(AND(Table1[[#This Row],[Variant]]=$AF$4,Table1[[#This Row],[Kv*T]]&gt;0,Table1[[#This Row],[Term.]]="Y"),Table1[[#This Row],[Kv*T]],"")</f>
        <v/>
      </c>
      <c r="AH117" s="73" t="str">
        <f>IF(AND(Table1[[#This Row],[Kv*T "D"]]="",Table1[[#This Row],[Kv*T "Y"]]=""),"",IF(Table1[[#This Row],[Kv*T "D"]]="",Table1[[#This Row],[Kv*T "Y"]]*3^0.5,Table1[[#This Row],[Kv*T "D"]]))</f>
        <v/>
      </c>
      <c r="AI117" s="147" t="str">
        <f>IF(Table1[[#This Row],[Std Inch per turn]]="","",Table1[[#This Row],[Std Inch per turn]])</f>
        <v/>
      </c>
      <c r="AJ117" s="75" t="str">
        <f>IF(AND(Table1[[#This Row],[Variant]]=$AJ$4,Table1[[#This Row],[Kv*T]]&gt;0,Table1[[#This Row],[Term.]]="D"),Table1[[#This Row],[Kv*T]],"")</f>
        <v/>
      </c>
      <c r="AK117" s="75" t="str">
        <f>IF(AND(Table1[[#This Row],[Variant]]=$AJ$4,Table1[[#This Row],[Kv*T]]&gt;0,Table1[[#This Row],[Term.]]="Y"),Table1[[#This Row],[Kv*T]],"")</f>
        <v/>
      </c>
      <c r="AL117" s="73" t="str">
        <f>IF(AND(Table1[[#This Row],[Kv*T "D"2]]="",Table1[[#This Row],[Kv*T "Y"2]]=""),"",IF(Table1[[#This Row],[Kv*T "D"2]]="",Table1[[#This Row],[Kv*T "Y"2]]*3^0.5,Table1[[#This Row],[Kv*T "D"2]]))</f>
        <v/>
      </c>
      <c r="AM117" s="147" t="str">
        <f>IF(Table1[[#This Row],[Std Inch per turn]]="","",Table1[[#This Row],[Std Inch per turn]])</f>
        <v/>
      </c>
      <c r="AN117" s="75" t="str">
        <f>IF(AND(Table1[[#This Row],[Variant]]=$AN$4,Table1[[#This Row],[Kv*T]]&gt;0,Table1[[#This Row],[Term.]]="D"),Table1[[#This Row],[Kv*T]],"")</f>
        <v/>
      </c>
      <c r="AO117" s="75" t="str">
        <f>IF(AND(Table1[[#This Row],[Variant]]=$AN$4,Table1[[#This Row],[Kv*T]]&gt;0,Table1[[#This Row],[Term.]]="Y"),Table1[[#This Row],[Kv*T]],"")</f>
        <v/>
      </c>
      <c r="AP117" s="73" t="str">
        <f>IF(AND(Table1[[#This Row],[Kv*T "D"3]]="",Table1[[#This Row],[Kv*T "Y"3]]=""),"",IF(Table1[[#This Row],[Kv*T "D"3]]="",Table1[[#This Row],[Kv*T "Y"3]]*3^0.5,Table1[[#This Row],[Kv*T "D"3]]))</f>
        <v/>
      </c>
      <c r="AQ117" s="73"/>
      <c r="AR117" s="75" t="str">
        <f>IF(AND(Table1[[#This Row],[Variant]]=$AR$4,Table1[[#This Row],[Kv*T]]&gt;0,Table1[[#This Row],[Term.]]="D"),Table1[[#This Row],[Kv*T]],"")</f>
        <v/>
      </c>
      <c r="AS117" s="75" t="str">
        <f>IF(AND(Table1[[#This Row],[Variant]]=$AR$4,Table1[[#This Row],[Kv*T]]&gt;0,Table1[[#This Row],[Term.]]="Y"),Table1[[#This Row],[Kv*T]],"")</f>
        <v/>
      </c>
      <c r="AT117" s="73" t="str">
        <f>IF(AND(Table1[[#This Row],[Kv*T "D"4]]="",Table1[[#This Row],[Kv*T "Y"4]]=""),"",IF(Table1[[#This Row],[Kv*T "D"4]]="",Table1[[#This Row],[Kv*T "Y"4]]*3^0.5,Table1[[#This Row],[Kv*T "D"4]]))</f>
        <v/>
      </c>
      <c r="AU117" s="73"/>
      <c r="AV117" s="75" t="str">
        <f>IF(AND(Table1[[#This Row],[Variant]]=$AV$4,Table1[[#This Row],[Kv*T]]&gt;0,Table1[[#This Row],[Term.]]="D"),Table1[[#This Row],[Kv*T]],"")</f>
        <v/>
      </c>
      <c r="AW117" s="75" t="str">
        <f>IF(AND(Table1[[#This Row],[Variant]]=$AV$4,Table1[[#This Row],[Kv*T]]&gt;0,Table1[[#This Row],[Term.]]="Y"),Table1[[#This Row],[Kv*T]],"")</f>
        <v/>
      </c>
      <c r="AX117" s="73" t="str">
        <f>IF(AND(Table1[[#This Row],[Kv*T "D"5]]="",Table1[[#This Row],[Kv*T "Y"5]]=""),"",IF(Table1[[#This Row],[Kv*T "D"5]]="",Table1[[#This Row],[Kv*T "Y"5]]*3^0.5,Table1[[#This Row],[Kv*T "D"5]]))</f>
        <v/>
      </c>
      <c r="AY117" s="73"/>
    </row>
    <row r="118" spans="1:51">
      <c r="A118" s="17"/>
      <c r="B118" s="5"/>
      <c r="C118" s="5"/>
      <c r="D118" s="5"/>
      <c r="E118" s="5"/>
      <c r="F118" s="86" t="str">
        <f t="shared" si="15"/>
        <v/>
      </c>
      <c r="G118" s="5"/>
      <c r="H118" s="5"/>
      <c r="I118" s="98" t="str">
        <f>IF(OR(Table1[[#This Row],[Phys. Turns]]="",Table1[[#This Row],[Wire]]="",Table1[[#This Row],[Parallel]]=""),"",Table1[[#This Row],[Phys. Turns]]*VLOOKUP(Table1[[#This Row],[Wire]],wirelist,4,FALSE))</f>
        <v/>
      </c>
      <c r="J118" s="5"/>
      <c r="K118" s="19"/>
      <c r="L118" s="20"/>
      <c r="M118" s="5"/>
      <c r="N118" s="49"/>
      <c r="O118" s="5"/>
      <c r="P118" s="5"/>
      <c r="Q118" s="5"/>
      <c r="R118" s="5"/>
      <c r="S118" s="5"/>
      <c r="T118" s="43" t="str">
        <f t="shared" si="16"/>
        <v/>
      </c>
      <c r="U118" s="102"/>
      <c r="V118" s="144"/>
      <c r="W118" s="46" t="str">
        <f>IF(OR(P118="",Table1[[#This Row],[Prop.]]="No Load"),"",(Tests!AC118/VLOOKUP(Table1[[#This Row],[Prop.]],proplist,6,FALSE))*VLOOKUP(Table1[[#This Row],[Prop.]],proplist,4,FALSE)/28.3*(Table1[[#This Row],[RPM]]/1000)^VLOOKUP(Table1[[#This Row],[Prop.]],proplist,5,FALSE))</f>
        <v/>
      </c>
      <c r="X118" s="47" t="str">
        <f>IF(OR(P118="",Table1[[#This Row],[Prop.]]="No Load"),"",(AC118/VLOOKUP(Table1[[#This Row],[Prop.]],proplist,9,FALSE))*VLOOKUP(Table1[[#This Row],[Prop.]],proplist,7,FALSE)*(Table1[[#This Row],[RPM]]/1000)^(VLOOKUP(Table1[[#This Row],[Prop.]],proplist,8,FALSE))/Table1[[#This Row],[Pin '[W']]])</f>
        <v/>
      </c>
      <c r="Y118" s="43" t="str">
        <f>IF(OR(P118="",Table1[[#This Row],[Prop.]]="No Load"),"",P118*VLOOKUP(Table1[[#This Row],[Prop.]],proplist,3,FALSE)/1056)</f>
        <v/>
      </c>
      <c r="Z118" s="43" t="str">
        <f t="shared" si="14"/>
        <v/>
      </c>
      <c r="AA118" s="44" t="str">
        <f>IF(OR(AB118="",Table1[[#This Row],[Prop.]]="No Load"),"",AB118*(1-X118))</f>
        <v/>
      </c>
      <c r="AB118" s="103" t="str">
        <f t="shared" si="17"/>
        <v/>
      </c>
      <c r="AC118" s="45" t="str">
        <f t="shared" si="18"/>
        <v/>
      </c>
      <c r="AD118" s="73" t="str">
        <f>IF(Table1[[#This Row],[Prop.]]="No Load",Table1[[#This Row],["T"]]*Table1[[#This Row],[RPM]]/Table1[[#This Row],[V]],"")</f>
        <v/>
      </c>
      <c r="AE118" s="74" t="str">
        <f>IF(OR(C118="",E118="",H118=""),"",IF(Table1[[#This Row],[Prop.]]="No Load",IF(E118=1,(H118-10)/C118,IF(E118=2,2*(H118-10)/C118,4*(H118-10))),""))</f>
        <v/>
      </c>
      <c r="AF118" s="45" t="str">
        <f>IF(AND(Table1[[#This Row],[Variant]]=$AF$4,Table1[[#This Row],[Kv*T]]&gt;0,Table1[[#This Row],[Term.]]="D"),Table1[[#This Row],[Kv*T]],"")</f>
        <v/>
      </c>
      <c r="AG118" s="45" t="str">
        <f>IF(AND(Table1[[#This Row],[Variant]]=$AF$4,Table1[[#This Row],[Kv*T]]&gt;0,Table1[[#This Row],[Term.]]="Y"),Table1[[#This Row],[Kv*T]],"")</f>
        <v/>
      </c>
      <c r="AH118" s="73" t="str">
        <f>IF(AND(Table1[[#This Row],[Kv*T "D"]]="",Table1[[#This Row],[Kv*T "Y"]]=""),"",IF(Table1[[#This Row],[Kv*T "D"]]="",Table1[[#This Row],[Kv*T "Y"]]*3^0.5,Table1[[#This Row],[Kv*T "D"]]))</f>
        <v/>
      </c>
      <c r="AI118" s="147" t="str">
        <f>IF(Table1[[#This Row],[Std Inch per turn]]="","",Table1[[#This Row],[Std Inch per turn]])</f>
        <v/>
      </c>
      <c r="AJ118" s="75" t="str">
        <f>IF(AND(Table1[[#This Row],[Variant]]=$AJ$4,Table1[[#This Row],[Kv*T]]&gt;0,Table1[[#This Row],[Term.]]="D"),Table1[[#This Row],[Kv*T]],"")</f>
        <v/>
      </c>
      <c r="AK118" s="75" t="str">
        <f>IF(AND(Table1[[#This Row],[Variant]]=$AJ$4,Table1[[#This Row],[Kv*T]]&gt;0,Table1[[#This Row],[Term.]]="Y"),Table1[[#This Row],[Kv*T]],"")</f>
        <v/>
      </c>
      <c r="AL118" s="73" t="str">
        <f>IF(AND(Table1[[#This Row],[Kv*T "D"2]]="",Table1[[#This Row],[Kv*T "Y"2]]=""),"",IF(Table1[[#This Row],[Kv*T "D"2]]="",Table1[[#This Row],[Kv*T "Y"2]]*3^0.5,Table1[[#This Row],[Kv*T "D"2]]))</f>
        <v/>
      </c>
      <c r="AM118" s="147" t="str">
        <f>IF(Table1[[#This Row],[Std Inch per turn]]="","",Table1[[#This Row],[Std Inch per turn]])</f>
        <v/>
      </c>
      <c r="AN118" s="75" t="str">
        <f>IF(AND(Table1[[#This Row],[Variant]]=$AN$4,Table1[[#This Row],[Kv*T]]&gt;0,Table1[[#This Row],[Term.]]="D"),Table1[[#This Row],[Kv*T]],"")</f>
        <v/>
      </c>
      <c r="AO118" s="75" t="str">
        <f>IF(AND(Table1[[#This Row],[Variant]]=$AN$4,Table1[[#This Row],[Kv*T]]&gt;0,Table1[[#This Row],[Term.]]="Y"),Table1[[#This Row],[Kv*T]],"")</f>
        <v/>
      </c>
      <c r="AP118" s="73" t="str">
        <f>IF(AND(Table1[[#This Row],[Kv*T "D"3]]="",Table1[[#This Row],[Kv*T "Y"3]]=""),"",IF(Table1[[#This Row],[Kv*T "D"3]]="",Table1[[#This Row],[Kv*T "Y"3]]*3^0.5,Table1[[#This Row],[Kv*T "D"3]]))</f>
        <v/>
      </c>
      <c r="AQ118" s="73"/>
      <c r="AR118" s="75" t="str">
        <f>IF(AND(Table1[[#This Row],[Variant]]=$AR$4,Table1[[#This Row],[Kv*T]]&gt;0,Table1[[#This Row],[Term.]]="D"),Table1[[#This Row],[Kv*T]],"")</f>
        <v/>
      </c>
      <c r="AS118" s="75" t="str">
        <f>IF(AND(Table1[[#This Row],[Variant]]=$AR$4,Table1[[#This Row],[Kv*T]]&gt;0,Table1[[#This Row],[Term.]]="Y"),Table1[[#This Row],[Kv*T]],"")</f>
        <v/>
      </c>
      <c r="AT118" s="73" t="str">
        <f>IF(AND(Table1[[#This Row],[Kv*T "D"4]]="",Table1[[#This Row],[Kv*T "Y"4]]=""),"",IF(Table1[[#This Row],[Kv*T "D"4]]="",Table1[[#This Row],[Kv*T "Y"4]]*3^0.5,Table1[[#This Row],[Kv*T "D"4]]))</f>
        <v/>
      </c>
      <c r="AU118" s="73"/>
      <c r="AV118" s="75" t="str">
        <f>IF(AND(Table1[[#This Row],[Variant]]=$AV$4,Table1[[#This Row],[Kv*T]]&gt;0,Table1[[#This Row],[Term.]]="D"),Table1[[#This Row],[Kv*T]],"")</f>
        <v/>
      </c>
      <c r="AW118" s="75" t="str">
        <f>IF(AND(Table1[[#This Row],[Variant]]=$AV$4,Table1[[#This Row],[Kv*T]]&gt;0,Table1[[#This Row],[Term.]]="Y"),Table1[[#This Row],[Kv*T]],"")</f>
        <v/>
      </c>
      <c r="AX118" s="73" t="str">
        <f>IF(AND(Table1[[#This Row],[Kv*T "D"5]]="",Table1[[#This Row],[Kv*T "Y"5]]=""),"",IF(Table1[[#This Row],[Kv*T "D"5]]="",Table1[[#This Row],[Kv*T "Y"5]]*3^0.5,Table1[[#This Row],[Kv*T "D"5]]))</f>
        <v/>
      </c>
      <c r="AY118" s="73"/>
    </row>
    <row r="119" spans="1:51">
      <c r="A119" s="17"/>
      <c r="B119" s="5"/>
      <c r="C119" s="5"/>
      <c r="D119" s="5"/>
      <c r="E119" s="5"/>
      <c r="F119" s="86" t="str">
        <f t="shared" si="15"/>
        <v/>
      </c>
      <c r="G119" s="5"/>
      <c r="H119" s="5"/>
      <c r="I119" s="98" t="str">
        <f>IF(OR(Table1[[#This Row],[Phys. Turns]]="",Table1[[#This Row],[Wire]]="",Table1[[#This Row],[Parallel]]=""),"",Table1[[#This Row],[Phys. Turns]]*VLOOKUP(Table1[[#This Row],[Wire]],wirelist,4,FALSE))</f>
        <v/>
      </c>
      <c r="J119" s="5"/>
      <c r="K119" s="19"/>
      <c r="L119" s="20"/>
      <c r="M119" s="5"/>
      <c r="N119" s="49"/>
      <c r="O119" s="5"/>
      <c r="P119" s="5"/>
      <c r="Q119" s="5"/>
      <c r="R119" s="5"/>
      <c r="S119" s="5"/>
      <c r="T119" s="43" t="str">
        <f t="shared" si="16"/>
        <v/>
      </c>
      <c r="U119" s="102"/>
      <c r="V119" s="144"/>
      <c r="W119" s="46" t="str">
        <f>IF(OR(P119="",Table1[[#This Row],[Prop.]]="No Load"),"",(Tests!AC119/VLOOKUP(Table1[[#This Row],[Prop.]],proplist,6,FALSE))*VLOOKUP(Table1[[#This Row],[Prop.]],proplist,4,FALSE)/28.3*(Table1[[#This Row],[RPM]]/1000)^VLOOKUP(Table1[[#This Row],[Prop.]],proplist,5,FALSE))</f>
        <v/>
      </c>
      <c r="X119" s="47" t="str">
        <f>IF(OR(P119="",Table1[[#This Row],[Prop.]]="No Load"),"",(AC119/VLOOKUP(Table1[[#This Row],[Prop.]],proplist,9,FALSE))*VLOOKUP(Table1[[#This Row],[Prop.]],proplist,7,FALSE)*(Table1[[#This Row],[RPM]]/1000)^(VLOOKUP(Table1[[#This Row],[Prop.]],proplist,8,FALSE))/Table1[[#This Row],[Pin '[W']]])</f>
        <v/>
      </c>
      <c r="Y119" s="43" t="str">
        <f>IF(OR(P119="",Table1[[#This Row],[Prop.]]="No Load"),"",P119*VLOOKUP(Table1[[#This Row],[Prop.]],proplist,3,FALSE)/1056)</f>
        <v/>
      </c>
      <c r="Z119" s="43" t="str">
        <f t="shared" si="14"/>
        <v/>
      </c>
      <c r="AA119" s="44" t="str">
        <f>IF(OR(AB119="",Table1[[#This Row],[Prop.]]="No Load"),"",AB119*(1-X119))</f>
        <v/>
      </c>
      <c r="AB119" s="103" t="str">
        <f t="shared" si="17"/>
        <v/>
      </c>
      <c r="AC119" s="45" t="str">
        <f t="shared" si="18"/>
        <v/>
      </c>
      <c r="AD119" s="73" t="str">
        <f>IF(Table1[[#This Row],[Prop.]]="No Load",Table1[[#This Row],["T"]]*Table1[[#This Row],[RPM]]/Table1[[#This Row],[V]],"")</f>
        <v/>
      </c>
      <c r="AE119" s="74" t="str">
        <f>IF(OR(C119="",E119="",H119=""),"",IF(Table1[[#This Row],[Prop.]]="No Load",IF(E119=1,(H119-10)/C119,IF(E119=2,2*(H119-10)/C119,4*(H119-10))),""))</f>
        <v/>
      </c>
      <c r="AF119" s="45" t="str">
        <f>IF(AND(Table1[[#This Row],[Variant]]=$AF$4,Table1[[#This Row],[Kv*T]]&gt;0,Table1[[#This Row],[Term.]]="D"),Table1[[#This Row],[Kv*T]],"")</f>
        <v/>
      </c>
      <c r="AG119" s="45" t="str">
        <f>IF(AND(Table1[[#This Row],[Variant]]=$AF$4,Table1[[#This Row],[Kv*T]]&gt;0,Table1[[#This Row],[Term.]]="Y"),Table1[[#This Row],[Kv*T]],"")</f>
        <v/>
      </c>
      <c r="AH119" s="73" t="str">
        <f>IF(AND(Table1[[#This Row],[Kv*T "D"]]="",Table1[[#This Row],[Kv*T "Y"]]=""),"",IF(Table1[[#This Row],[Kv*T "D"]]="",Table1[[#This Row],[Kv*T "Y"]]*3^0.5,Table1[[#This Row],[Kv*T "D"]]))</f>
        <v/>
      </c>
      <c r="AI119" s="147" t="str">
        <f>IF(Table1[[#This Row],[Std Inch per turn]]="","",Table1[[#This Row],[Std Inch per turn]])</f>
        <v/>
      </c>
      <c r="AJ119" s="75" t="str">
        <f>IF(AND(Table1[[#This Row],[Variant]]=$AJ$4,Table1[[#This Row],[Kv*T]]&gt;0,Table1[[#This Row],[Term.]]="D"),Table1[[#This Row],[Kv*T]],"")</f>
        <v/>
      </c>
      <c r="AK119" s="75" t="str">
        <f>IF(AND(Table1[[#This Row],[Variant]]=$AJ$4,Table1[[#This Row],[Kv*T]]&gt;0,Table1[[#This Row],[Term.]]="Y"),Table1[[#This Row],[Kv*T]],"")</f>
        <v/>
      </c>
      <c r="AL119" s="73" t="str">
        <f>IF(AND(Table1[[#This Row],[Kv*T "D"2]]="",Table1[[#This Row],[Kv*T "Y"2]]=""),"",IF(Table1[[#This Row],[Kv*T "D"2]]="",Table1[[#This Row],[Kv*T "Y"2]]*3^0.5,Table1[[#This Row],[Kv*T "D"2]]))</f>
        <v/>
      </c>
      <c r="AM119" s="147" t="str">
        <f>IF(Table1[[#This Row],[Std Inch per turn]]="","",Table1[[#This Row],[Std Inch per turn]])</f>
        <v/>
      </c>
      <c r="AN119" s="75" t="str">
        <f>IF(AND(Table1[[#This Row],[Variant]]=$AN$4,Table1[[#This Row],[Kv*T]]&gt;0,Table1[[#This Row],[Term.]]="D"),Table1[[#This Row],[Kv*T]],"")</f>
        <v/>
      </c>
      <c r="AO119" s="75" t="str">
        <f>IF(AND(Table1[[#This Row],[Variant]]=$AN$4,Table1[[#This Row],[Kv*T]]&gt;0,Table1[[#This Row],[Term.]]="Y"),Table1[[#This Row],[Kv*T]],"")</f>
        <v/>
      </c>
      <c r="AP119" s="73" t="str">
        <f>IF(AND(Table1[[#This Row],[Kv*T "D"3]]="",Table1[[#This Row],[Kv*T "Y"3]]=""),"",IF(Table1[[#This Row],[Kv*T "D"3]]="",Table1[[#This Row],[Kv*T "Y"3]]*3^0.5,Table1[[#This Row],[Kv*T "D"3]]))</f>
        <v/>
      </c>
      <c r="AQ119" s="73"/>
      <c r="AR119" s="75" t="str">
        <f>IF(AND(Table1[[#This Row],[Variant]]=$AR$4,Table1[[#This Row],[Kv*T]]&gt;0,Table1[[#This Row],[Term.]]="D"),Table1[[#This Row],[Kv*T]],"")</f>
        <v/>
      </c>
      <c r="AS119" s="75" t="str">
        <f>IF(AND(Table1[[#This Row],[Variant]]=$AR$4,Table1[[#This Row],[Kv*T]]&gt;0,Table1[[#This Row],[Term.]]="Y"),Table1[[#This Row],[Kv*T]],"")</f>
        <v/>
      </c>
      <c r="AT119" s="73" t="str">
        <f>IF(AND(Table1[[#This Row],[Kv*T "D"4]]="",Table1[[#This Row],[Kv*T "Y"4]]=""),"",IF(Table1[[#This Row],[Kv*T "D"4]]="",Table1[[#This Row],[Kv*T "Y"4]]*3^0.5,Table1[[#This Row],[Kv*T "D"4]]))</f>
        <v/>
      </c>
      <c r="AU119" s="73"/>
      <c r="AV119" s="75" t="str">
        <f>IF(AND(Table1[[#This Row],[Variant]]=$AV$4,Table1[[#This Row],[Kv*T]]&gt;0,Table1[[#This Row],[Term.]]="D"),Table1[[#This Row],[Kv*T]],"")</f>
        <v/>
      </c>
      <c r="AW119" s="75" t="str">
        <f>IF(AND(Table1[[#This Row],[Variant]]=$AV$4,Table1[[#This Row],[Kv*T]]&gt;0,Table1[[#This Row],[Term.]]="Y"),Table1[[#This Row],[Kv*T]],"")</f>
        <v/>
      </c>
      <c r="AX119" s="73" t="str">
        <f>IF(AND(Table1[[#This Row],[Kv*T "D"5]]="",Table1[[#This Row],[Kv*T "Y"5]]=""),"",IF(Table1[[#This Row],[Kv*T "D"5]]="",Table1[[#This Row],[Kv*T "Y"5]]*3^0.5,Table1[[#This Row],[Kv*T "D"5]]))</f>
        <v/>
      </c>
      <c r="AY119" s="73"/>
    </row>
    <row r="120" spans="1:51" ht="13.5" thickBot="1">
      <c r="A120" s="104"/>
      <c r="B120" s="105"/>
      <c r="C120" s="105"/>
      <c r="D120" s="105"/>
      <c r="E120" s="105"/>
      <c r="F120" s="106" t="str">
        <f t="shared" si="15"/>
        <v/>
      </c>
      <c r="G120" s="105"/>
      <c r="H120" s="105"/>
      <c r="I120" s="107" t="str">
        <f>IF(OR(Table1[[#This Row],[Phys. Turns]]="",Table1[[#This Row],[Wire]]="",Table1[[#This Row],[Parallel]]=""),"",Table1[[#This Row],[Phys. Turns]]*VLOOKUP(Table1[[#This Row],[Wire]],wirelist,4,FALSE))</f>
        <v/>
      </c>
      <c r="J120" s="105"/>
      <c r="K120" s="161"/>
      <c r="L120" s="160"/>
      <c r="M120" s="5"/>
      <c r="N120" s="162"/>
      <c r="O120" s="105"/>
      <c r="P120" s="105"/>
      <c r="Q120" s="105"/>
      <c r="R120" s="105"/>
      <c r="S120" s="105"/>
      <c r="T120" s="108" t="str">
        <f t="shared" si="16"/>
        <v/>
      </c>
      <c r="U120" s="109"/>
      <c r="V120" s="145"/>
      <c r="W120" s="110" t="str">
        <f>IF(OR(P120="",Table1[[#This Row],[Prop.]]="No Load"),"",(Tests!AC120/VLOOKUP(Table1[[#This Row],[Prop.]],proplist,6,FALSE))*VLOOKUP(Table1[[#This Row],[Prop.]],proplist,4,FALSE)/28.3*(Table1[[#This Row],[RPM]]/1000)^VLOOKUP(Table1[[#This Row],[Prop.]],proplist,5,FALSE))</f>
        <v/>
      </c>
      <c r="X120" s="111" t="str">
        <f>IF(OR(P120="",Table1[[#This Row],[Prop.]]="No Load"),"",(AC120/VLOOKUP(Table1[[#This Row],[Prop.]],proplist,9,FALSE))*VLOOKUP(Table1[[#This Row],[Prop.]],proplist,7,FALSE)*(Table1[[#This Row],[RPM]]/1000)^(VLOOKUP(Table1[[#This Row],[Prop.]],proplist,8,FALSE))/Table1[[#This Row],[Pin '[W']]])</f>
        <v/>
      </c>
      <c r="Y120" s="108" t="str">
        <f>IF(OR(P120="",Table1[[#This Row],[Prop.]]="No Load"),"",P120*VLOOKUP(Table1[[#This Row],[Prop.]],proplist,3,FALSE)/1056)</f>
        <v/>
      </c>
      <c r="Z120" s="108" t="str">
        <f t="shared" si="14"/>
        <v/>
      </c>
      <c r="AA120" s="112" t="str">
        <f>IF(OR(AB120="",Table1[[#This Row],[Prop.]]="No Load"),"",AB120*(1-X120))</f>
        <v/>
      </c>
      <c r="AB120" s="113" t="str">
        <f t="shared" si="17"/>
        <v/>
      </c>
      <c r="AC120" s="45" t="str">
        <f t="shared" si="18"/>
        <v/>
      </c>
      <c r="AD120" s="73" t="str">
        <f>IF(Table1[[#This Row],[Prop.]]="No Load",Table1[[#This Row],["T"]]*Table1[[#This Row],[RPM]]/Table1[[#This Row],[V]],"")</f>
        <v/>
      </c>
      <c r="AE120" s="74" t="str">
        <f>IF(OR(C120="",E120="",H120=""),"",IF(Table1[[#This Row],[Prop.]]="No Load",IF(E120=1,(H120-10)/C120,IF(E120=2,2*(H120-10)/C120,4*(H120-10))),""))</f>
        <v/>
      </c>
      <c r="AF120" s="45" t="str">
        <f>IF(AND(Table1[[#This Row],[Variant]]=$AF$4,Table1[[#This Row],[Kv*T]]&gt;0,Table1[[#This Row],[Term.]]="D"),Table1[[#This Row],[Kv*T]],"")</f>
        <v/>
      </c>
      <c r="AG120" s="45" t="str">
        <f>IF(AND(Table1[[#This Row],[Variant]]=$AF$4,Table1[[#This Row],[Kv*T]]&gt;0,Table1[[#This Row],[Term.]]="Y"),Table1[[#This Row],[Kv*T]],"")</f>
        <v/>
      </c>
      <c r="AH120" s="73" t="str">
        <f>IF(AND(Table1[[#This Row],[Kv*T "D"]]="",Table1[[#This Row],[Kv*T "Y"]]=""),"",IF(Table1[[#This Row],[Kv*T "D"]]="",Table1[[#This Row],[Kv*T "Y"]]*3^0.5,Table1[[#This Row],[Kv*T "D"]]))</f>
        <v/>
      </c>
      <c r="AI120" s="147" t="str">
        <f>IF(Table1[[#This Row],[Std Inch per turn]]="","",Table1[[#This Row],[Std Inch per turn]])</f>
        <v/>
      </c>
      <c r="AJ120" s="75" t="str">
        <f>IF(AND(Table1[[#This Row],[Variant]]=$AJ$4,Table1[[#This Row],[Kv*T]]&gt;0,Table1[[#This Row],[Term.]]="D"),Table1[[#This Row],[Kv*T]],"")</f>
        <v/>
      </c>
      <c r="AK120" s="75" t="str">
        <f>IF(AND(Table1[[#This Row],[Variant]]=$AJ$4,Table1[[#This Row],[Kv*T]]&gt;0,Table1[[#This Row],[Term.]]="Y"),Table1[[#This Row],[Kv*T]],"")</f>
        <v/>
      </c>
      <c r="AL120" s="73" t="str">
        <f>IF(AND(Table1[[#This Row],[Kv*T "D"2]]="",Table1[[#This Row],[Kv*T "Y"2]]=""),"",IF(Table1[[#This Row],[Kv*T "D"2]]="",Table1[[#This Row],[Kv*T "Y"2]]*3^0.5,Table1[[#This Row],[Kv*T "D"2]]))</f>
        <v/>
      </c>
      <c r="AM120" s="147" t="str">
        <f>IF(Table1[[#This Row],[Std Inch per turn]]="","",Table1[[#This Row],[Std Inch per turn]])</f>
        <v/>
      </c>
      <c r="AN120" s="75" t="str">
        <f>IF(AND(Table1[[#This Row],[Variant]]=$AN$4,Table1[[#This Row],[Kv*T]]&gt;0,Table1[[#This Row],[Term.]]="D"),Table1[[#This Row],[Kv*T]],"")</f>
        <v/>
      </c>
      <c r="AO120" s="75" t="str">
        <f>IF(AND(Table1[[#This Row],[Variant]]=$AN$4,Table1[[#This Row],[Kv*T]]&gt;0,Table1[[#This Row],[Term.]]="Y"),Table1[[#This Row],[Kv*T]],"")</f>
        <v/>
      </c>
      <c r="AP120" s="73" t="str">
        <f>IF(AND(Table1[[#This Row],[Kv*T "D"3]]="",Table1[[#This Row],[Kv*T "Y"3]]=""),"",IF(Table1[[#This Row],[Kv*T "D"3]]="",Table1[[#This Row],[Kv*T "Y"3]]*3^0.5,Table1[[#This Row],[Kv*T "D"3]]))</f>
        <v/>
      </c>
      <c r="AQ120" s="73"/>
      <c r="AR120" s="75" t="str">
        <f>IF(AND(Table1[[#This Row],[Variant]]=$AR$4,Table1[[#This Row],[Kv*T]]&gt;0,Table1[[#This Row],[Term.]]="D"),Table1[[#This Row],[Kv*T]],"")</f>
        <v/>
      </c>
      <c r="AS120" s="75" t="str">
        <f>IF(AND(Table1[[#This Row],[Variant]]=$AR$4,Table1[[#This Row],[Kv*T]]&gt;0,Table1[[#This Row],[Term.]]="Y"),Table1[[#This Row],[Kv*T]],"")</f>
        <v/>
      </c>
      <c r="AT120" s="73" t="str">
        <f>IF(AND(Table1[[#This Row],[Kv*T "D"4]]="",Table1[[#This Row],[Kv*T "Y"4]]=""),"",IF(Table1[[#This Row],[Kv*T "D"4]]="",Table1[[#This Row],[Kv*T "Y"4]]*3^0.5,Table1[[#This Row],[Kv*T "D"4]]))</f>
        <v/>
      </c>
      <c r="AU120" s="73"/>
      <c r="AV120" s="75" t="str">
        <f>IF(AND(Table1[[#This Row],[Variant]]=$AV$4,Table1[[#This Row],[Kv*T]]&gt;0,Table1[[#This Row],[Term.]]="D"),Table1[[#This Row],[Kv*T]],"")</f>
        <v/>
      </c>
      <c r="AW120" s="75" t="str">
        <f>IF(AND(Table1[[#This Row],[Variant]]=$AV$4,Table1[[#This Row],[Kv*T]]&gt;0,Table1[[#This Row],[Term.]]="Y"),Table1[[#This Row],[Kv*T]],"")</f>
        <v/>
      </c>
      <c r="AX120" s="73" t="str">
        <f>IF(AND(Table1[[#This Row],[Kv*T "D"5]]="",Table1[[#This Row],[Kv*T "Y"5]]=""),"",IF(Table1[[#This Row],[Kv*T "D"5]]="",Table1[[#This Row],[Kv*T "Y"5]]*3^0.5,Table1[[#This Row],[Kv*T "D"5]]))</f>
        <v/>
      </c>
      <c r="AY120" s="73"/>
    </row>
  </sheetData>
  <mergeCells count="4">
    <mergeCell ref="N4:O4"/>
    <mergeCell ref="AA2:AA3"/>
    <mergeCell ref="A1:AB1"/>
    <mergeCell ref="AB2:AB3"/>
  </mergeCells>
  <phoneticPr fontId="5" type="noConversion"/>
  <conditionalFormatting sqref="P4">
    <cfRule type="containsText" dxfId="79" priority="27" operator="containsText" text="Best">
      <formula>NOT(ISERROR(SEARCH("Best",P4)))</formula>
    </cfRule>
  </conditionalFormatting>
  <conditionalFormatting sqref="Q6:Q120">
    <cfRule type="cellIs" dxfId="78" priority="55" stopIfTrue="1" operator="between">
      <formula>6</formula>
      <formula>9</formula>
    </cfRule>
    <cfRule type="cellIs" dxfId="77" priority="56" stopIfTrue="1" operator="greaterThan">
      <formula>12.7</formula>
    </cfRule>
  </conditionalFormatting>
  <conditionalFormatting sqref="AA6:AA120">
    <cfRule type="cellIs" dxfId="76" priority="5" operator="greaterThan">
      <formula>$AA$4*$B$2</formula>
    </cfRule>
  </conditionalFormatting>
  <conditionalFormatting sqref="AB6:AB120">
    <cfRule type="cellIs" dxfId="75" priority="4" operator="greaterThan">
      <formula>$AB$4*$B$2</formula>
    </cfRule>
  </conditionalFormatting>
  <conditionalFormatting sqref="S6:S21">
    <cfRule type="cellIs" dxfId="74" priority="485" stopIfTrue="1" operator="equal">
      <formula>MAX($O$5:$O$20)</formula>
    </cfRule>
  </conditionalFormatting>
  <conditionalFormatting sqref="S6:S120">
    <cfRule type="top10" dxfId="73" priority="487" percent="1" rank="10"/>
  </conditionalFormatting>
  <conditionalFormatting sqref="T6:T120">
    <cfRule type="top10" dxfId="72" priority="489" percent="1" rank="10"/>
  </conditionalFormatting>
  <conditionalFormatting sqref="W6:W120">
    <cfRule type="top10" dxfId="71" priority="491" percent="1" rank="10"/>
  </conditionalFormatting>
  <conditionalFormatting sqref="X6:X120">
    <cfRule type="top10" dxfId="70" priority="493" percent="1" rank="10"/>
  </conditionalFormatting>
  <conditionalFormatting sqref="Y6:Y120">
    <cfRule type="top10" dxfId="69" priority="495" percent="1" rank="10"/>
  </conditionalFormatting>
  <conditionalFormatting sqref="Z6:Z120">
    <cfRule type="top10" dxfId="68" priority="497" percent="1" rank="10"/>
  </conditionalFormatting>
  <conditionalFormatting sqref="I6:I120">
    <cfRule type="top10" dxfId="67" priority="499" percent="1" rank="10"/>
  </conditionalFormatting>
  <dataValidations count="5">
    <dataValidation type="list" allowBlank="1" showInputMessage="1" showErrorMessage="1" sqref="L231">
      <formula1>#REF!</formula1>
    </dataValidation>
    <dataValidation type="list" allowBlank="1" showInputMessage="1" showErrorMessage="1" sqref="D58:D120">
      <formula1>wirenames</formula1>
    </dataValidation>
    <dataValidation type="list" allowBlank="1" showInputMessage="1" showErrorMessage="1" sqref="G58:G120">
      <formula1>$AD$2:$AD$3</formula1>
    </dataValidation>
    <dataValidation type="list" allowBlank="1" showInputMessage="1" showErrorMessage="1" sqref="M47 M56:M120 M49:M53 M6:M7 M11 M13:M43">
      <formula1>propnames</formula1>
    </dataValidation>
    <dataValidation type="list" allowBlank="1" showInputMessage="1" showErrorMessage="1" sqref="A17:A18 A22:A120">
      <formula1>variantlist</formula1>
    </dataValidation>
  </dataValidations>
  <pageMargins left="0.75" right="0.75" top="1" bottom="1" header="0.5" footer="0.5"/>
  <pageSetup scale="64" orientation="landscape" horizontalDpi="300" verticalDpi="300" r:id="rId1"/>
  <headerFooter alignWithMargins="0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S112"/>
  <sheetViews>
    <sheetView zoomScale="70" workbookViewId="0">
      <pane ySplit="6" topLeftCell="A7" activePane="bottomLeft" state="frozen"/>
      <selection pane="bottomLeft" activeCell="G29" sqref="G29"/>
    </sheetView>
  </sheetViews>
  <sheetFormatPr defaultColWidth="11.42578125" defaultRowHeight="12.75"/>
  <cols>
    <col min="1" max="1" width="7.140625" style="6" customWidth="1"/>
    <col min="2" max="2" width="6.5703125" style="6" customWidth="1"/>
    <col min="3" max="3" width="6.140625" style="6" customWidth="1"/>
    <col min="4" max="4" width="8.28515625" style="6" customWidth="1"/>
    <col min="5" max="5" width="6.85546875" style="6" customWidth="1"/>
    <col min="6" max="6" width="7.140625" style="2" customWidth="1"/>
    <col min="7" max="7" width="6.5703125" style="2" customWidth="1"/>
    <col min="8" max="8" width="6.140625" style="2" customWidth="1"/>
    <col min="9" max="9" width="10.28515625" style="2" bestFit="1" customWidth="1"/>
    <col min="10" max="10" width="7.140625" customWidth="1"/>
    <col min="11" max="11" width="7.5703125" style="6" customWidth="1"/>
    <col min="12" max="12" width="6.140625" style="6" customWidth="1"/>
    <col min="13" max="13" width="8.28515625" customWidth="1"/>
    <col min="14" max="14" width="10.28515625" customWidth="1"/>
    <col min="15" max="15" width="7.140625" customWidth="1"/>
    <col min="16" max="16" width="7.5703125" style="6" customWidth="1"/>
    <col min="17" max="17" width="6.140625" style="6" customWidth="1"/>
    <col min="18" max="18" width="8.28515625" customWidth="1"/>
    <col min="21" max="21" width="12.5703125" bestFit="1" customWidth="1"/>
  </cols>
  <sheetData>
    <row r="1" spans="1:45" ht="21" thickBot="1">
      <c r="A1" s="174" t="str">
        <f>Tests!A1&amp;"-"&amp;Tests!F2</f>
        <v>Turnigy 2730 - Black &amp; Red-14p dLRK</v>
      </c>
      <c r="B1" s="175"/>
      <c r="C1" s="175"/>
      <c r="D1" s="175"/>
      <c r="E1" s="175"/>
      <c r="F1" s="175"/>
      <c r="G1" s="175"/>
      <c r="H1" s="175"/>
      <c r="I1" s="176"/>
      <c r="J1" s="174" t="str">
        <f>Tests!A1&amp;"-"&amp;Tests!G2</f>
        <v>Turnigy 2730 - Black &amp; Red-16p ABCx4</v>
      </c>
      <c r="K1" s="175"/>
      <c r="L1" s="175"/>
      <c r="M1" s="175"/>
      <c r="N1" s="175"/>
      <c r="O1" s="175"/>
      <c r="P1" s="175"/>
      <c r="Q1" s="175"/>
      <c r="R1" s="176"/>
      <c r="S1" s="174" t="str">
        <f>Tests!A1&amp;"-"&amp;Tests!I2</f>
        <v>Turnigy 2730 - Black &amp; Red-Variant 4</v>
      </c>
      <c r="T1" s="175"/>
      <c r="U1" s="175"/>
      <c r="V1" s="175"/>
      <c r="W1" s="175"/>
      <c r="X1" s="175"/>
      <c r="Y1" s="175"/>
      <c r="Z1" s="175"/>
      <c r="AA1" s="176"/>
      <c r="AB1" s="174" t="str">
        <f>Tests!A1&amp;"-"&amp;Tests!J2</f>
        <v>Turnigy 2730 - Black &amp; Red-Variant 5</v>
      </c>
      <c r="AC1" s="175"/>
      <c r="AD1" s="175"/>
      <c r="AE1" s="175"/>
      <c r="AF1" s="175"/>
      <c r="AG1" s="175"/>
      <c r="AH1" s="175"/>
      <c r="AI1" s="175"/>
      <c r="AJ1" s="176"/>
      <c r="AK1" s="174" t="str">
        <f>Tests!AB1&amp;"-"&amp;Tests!AH2</f>
        <v>-</v>
      </c>
      <c r="AL1" s="175"/>
      <c r="AM1" s="175"/>
      <c r="AN1" s="175"/>
      <c r="AO1" s="175"/>
      <c r="AP1" s="175"/>
      <c r="AQ1" s="175"/>
      <c r="AR1" s="175"/>
      <c r="AS1" s="176"/>
    </row>
    <row r="2" spans="1:45" s="6" customFormat="1">
      <c r="A2" s="7" t="s">
        <v>18</v>
      </c>
      <c r="B2" s="31"/>
      <c r="C2" s="31"/>
      <c r="D2" s="179">
        <v>5</v>
      </c>
      <c r="E2" s="180"/>
      <c r="F2" s="9" t="s">
        <v>14</v>
      </c>
      <c r="G2" s="31"/>
      <c r="H2" s="185"/>
      <c r="I2" s="186"/>
      <c r="J2" s="7" t="s">
        <v>18</v>
      </c>
      <c r="K2" s="31"/>
      <c r="L2" s="31"/>
      <c r="M2" s="179">
        <v>5</v>
      </c>
      <c r="N2" s="189"/>
      <c r="O2" s="9" t="s">
        <v>14</v>
      </c>
      <c r="P2" s="31"/>
      <c r="Q2" s="185"/>
      <c r="R2" s="186"/>
      <c r="S2" s="7" t="s">
        <v>18</v>
      </c>
      <c r="T2" s="31"/>
      <c r="U2" s="31"/>
      <c r="V2" s="179">
        <v>5</v>
      </c>
      <c r="W2" s="189"/>
      <c r="X2" s="88" t="s">
        <v>14</v>
      </c>
      <c r="Y2" s="31"/>
      <c r="Z2" s="185"/>
      <c r="AA2" s="186"/>
      <c r="AB2" s="7" t="s">
        <v>18</v>
      </c>
      <c r="AC2" s="31"/>
      <c r="AD2" s="31"/>
      <c r="AE2" s="179">
        <v>5</v>
      </c>
      <c r="AF2" s="189"/>
      <c r="AG2" s="88" t="s">
        <v>14</v>
      </c>
      <c r="AH2" s="31"/>
      <c r="AI2" s="185"/>
      <c r="AJ2" s="186"/>
      <c r="AK2" s="7" t="s">
        <v>18</v>
      </c>
      <c r="AL2" s="31"/>
      <c r="AM2" s="31"/>
      <c r="AN2" s="179">
        <v>5</v>
      </c>
      <c r="AO2" s="189"/>
      <c r="AP2" s="88" t="s">
        <v>14</v>
      </c>
      <c r="AQ2" s="31"/>
      <c r="AR2" s="185"/>
      <c r="AS2" s="186"/>
    </row>
    <row r="3" spans="1:45" s="6" customFormat="1" ht="12.75" customHeight="1">
      <c r="A3" s="7" t="s">
        <v>15</v>
      </c>
      <c r="B3" s="31"/>
      <c r="C3" s="31"/>
      <c r="D3" s="181">
        <f>Tests!F3</f>
        <v>31360.465246933472</v>
      </c>
      <c r="E3" s="182"/>
      <c r="F3" s="37" t="s">
        <v>16</v>
      </c>
      <c r="G3" s="38"/>
      <c r="H3" s="185"/>
      <c r="I3" s="186"/>
      <c r="J3" s="7" t="s">
        <v>15</v>
      </c>
      <c r="K3" s="31"/>
      <c r="L3" s="31"/>
      <c r="M3" s="181">
        <f>Tests!G3</f>
        <v>32119.36139040711</v>
      </c>
      <c r="N3" s="182"/>
      <c r="O3" s="9" t="s">
        <v>16</v>
      </c>
      <c r="P3" s="31"/>
      <c r="Q3" s="185"/>
      <c r="R3" s="186"/>
      <c r="S3" s="7" t="s">
        <v>15</v>
      </c>
      <c r="T3" s="31"/>
      <c r="U3" s="31"/>
      <c r="V3" s="181" t="e">
        <f>Tests!H3</f>
        <v>#DIV/0!</v>
      </c>
      <c r="W3" s="182"/>
      <c r="X3" s="88" t="s">
        <v>16</v>
      </c>
      <c r="Y3" s="31"/>
      <c r="Z3" s="185"/>
      <c r="AA3" s="186"/>
      <c r="AB3" s="7" t="s">
        <v>15</v>
      </c>
      <c r="AC3" s="31"/>
      <c r="AD3" s="31"/>
      <c r="AE3" s="181" t="e">
        <f>Tests!I3</f>
        <v>#DIV/0!</v>
      </c>
      <c r="AF3" s="182"/>
      <c r="AG3" s="88" t="s">
        <v>16</v>
      </c>
      <c r="AH3" s="31"/>
      <c r="AI3" s="185"/>
      <c r="AJ3" s="186"/>
      <c r="AK3" s="7" t="s">
        <v>15</v>
      </c>
      <c r="AL3" s="31"/>
      <c r="AM3" s="31"/>
      <c r="AN3" s="181" t="e">
        <f>Tests!J3</f>
        <v>#DIV/0!</v>
      </c>
      <c r="AO3" s="182"/>
      <c r="AP3" s="88" t="s">
        <v>16</v>
      </c>
      <c r="AQ3" s="31"/>
      <c r="AR3" s="185"/>
      <c r="AS3" s="186"/>
    </row>
    <row r="4" spans="1:45" s="6" customFormat="1" ht="12.75" customHeight="1">
      <c r="A4" s="7" t="s">
        <v>17</v>
      </c>
      <c r="B4" s="31"/>
      <c r="C4" s="31"/>
      <c r="D4" s="181">
        <f>D3/3^0.5</f>
        <v>18105.973052228946</v>
      </c>
      <c r="E4" s="182"/>
      <c r="F4" s="37" t="s">
        <v>16</v>
      </c>
      <c r="G4" s="38"/>
      <c r="H4" s="185"/>
      <c r="I4" s="186"/>
      <c r="J4" s="7" t="s">
        <v>17</v>
      </c>
      <c r="K4" s="31"/>
      <c r="L4" s="31"/>
      <c r="M4" s="181">
        <f>M3/3^0.5</f>
        <v>18544.121944950417</v>
      </c>
      <c r="N4" s="182"/>
      <c r="O4" s="9" t="s">
        <v>16</v>
      </c>
      <c r="P4" s="31"/>
      <c r="Q4" s="185"/>
      <c r="R4" s="186"/>
      <c r="S4" s="7" t="s">
        <v>17</v>
      </c>
      <c r="T4" s="31"/>
      <c r="U4" s="31"/>
      <c r="V4" s="181" t="e">
        <f>V3/3^0.5</f>
        <v>#DIV/0!</v>
      </c>
      <c r="W4" s="182"/>
      <c r="X4" s="88" t="s">
        <v>16</v>
      </c>
      <c r="Y4" s="31"/>
      <c r="Z4" s="185"/>
      <c r="AA4" s="186"/>
      <c r="AB4" s="7" t="s">
        <v>17</v>
      </c>
      <c r="AC4" s="31"/>
      <c r="AD4" s="31"/>
      <c r="AE4" s="181" t="e">
        <f>AE3/3^0.5</f>
        <v>#DIV/0!</v>
      </c>
      <c r="AF4" s="182"/>
      <c r="AG4" s="88" t="s">
        <v>16</v>
      </c>
      <c r="AH4" s="31"/>
      <c r="AI4" s="185"/>
      <c r="AJ4" s="186"/>
      <c r="AK4" s="7" t="s">
        <v>17</v>
      </c>
      <c r="AL4" s="31"/>
      <c r="AM4" s="31"/>
      <c r="AN4" s="181" t="e">
        <f>AN3/3^0.5</f>
        <v>#DIV/0!</v>
      </c>
      <c r="AO4" s="182"/>
      <c r="AP4" s="88" t="s">
        <v>16</v>
      </c>
      <c r="AQ4" s="31"/>
      <c r="AR4" s="185"/>
      <c r="AS4" s="186"/>
    </row>
    <row r="5" spans="1:45" s="6" customFormat="1" ht="12.75" customHeight="1">
      <c r="A5" s="7" t="s">
        <v>19</v>
      </c>
      <c r="B5" s="31"/>
      <c r="C5" s="31"/>
      <c r="D5" s="183">
        <f>Tests!F4</f>
        <v>2.2924175048599009</v>
      </c>
      <c r="E5" s="184"/>
      <c r="F5" s="177" t="s">
        <v>14</v>
      </c>
      <c r="G5" s="178"/>
      <c r="H5" s="187"/>
      <c r="I5" s="188"/>
      <c r="J5" s="7" t="s">
        <v>19</v>
      </c>
      <c r="K5" s="31"/>
      <c r="L5" s="31"/>
      <c r="M5" s="183">
        <f>Tests!G4</f>
        <v>2.2924175048599009</v>
      </c>
      <c r="N5" s="184"/>
      <c r="O5" s="190" t="s">
        <v>14</v>
      </c>
      <c r="P5" s="191"/>
      <c r="Q5" s="187"/>
      <c r="R5" s="188"/>
      <c r="S5" s="7" t="s">
        <v>19</v>
      </c>
      <c r="T5" s="31"/>
      <c r="U5" s="31"/>
      <c r="V5" s="183" t="e">
        <f>Tests!H4</f>
        <v>#DIV/0!</v>
      </c>
      <c r="W5" s="184"/>
      <c r="X5" s="190" t="s">
        <v>14</v>
      </c>
      <c r="Y5" s="191"/>
      <c r="Z5" s="187"/>
      <c r="AA5" s="188"/>
      <c r="AB5" s="7" t="s">
        <v>19</v>
      </c>
      <c r="AC5" s="31"/>
      <c r="AD5" s="31"/>
      <c r="AE5" s="183" t="e">
        <f>Tests!I4</f>
        <v>#DIV/0!</v>
      </c>
      <c r="AF5" s="184"/>
      <c r="AG5" s="190" t="s">
        <v>14</v>
      </c>
      <c r="AH5" s="191"/>
      <c r="AI5" s="187"/>
      <c r="AJ5" s="188"/>
      <c r="AK5" s="7" t="s">
        <v>19</v>
      </c>
      <c r="AL5" s="31"/>
      <c r="AM5" s="31"/>
      <c r="AN5" s="183" t="e">
        <f>Tests!J4</f>
        <v>#DIV/0!</v>
      </c>
      <c r="AO5" s="184"/>
      <c r="AP5" s="190" t="s">
        <v>14</v>
      </c>
      <c r="AQ5" s="191"/>
      <c r="AR5" s="187"/>
      <c r="AS5" s="188"/>
    </row>
    <row r="6" spans="1:45">
      <c r="A6" s="21" t="s">
        <v>13</v>
      </c>
      <c r="B6" s="4" t="s">
        <v>0</v>
      </c>
      <c r="C6" s="4" t="s">
        <v>20</v>
      </c>
      <c r="D6" s="4" t="s">
        <v>29</v>
      </c>
      <c r="E6" s="32"/>
      <c r="F6" s="4" t="s">
        <v>13</v>
      </c>
      <c r="G6" s="4" t="s">
        <v>0</v>
      </c>
      <c r="H6" s="4" t="s">
        <v>20</v>
      </c>
      <c r="I6" s="39" t="s">
        <v>29</v>
      </c>
      <c r="J6" s="21" t="s">
        <v>13</v>
      </c>
      <c r="K6" s="4" t="s">
        <v>0</v>
      </c>
      <c r="L6" s="4" t="s">
        <v>20</v>
      </c>
      <c r="M6" s="4" t="s">
        <v>29</v>
      </c>
      <c r="N6" s="32"/>
      <c r="O6" s="4" t="s">
        <v>13</v>
      </c>
      <c r="P6" s="32" t="s">
        <v>0</v>
      </c>
      <c r="Q6" s="4" t="s">
        <v>20</v>
      </c>
      <c r="R6" s="39" t="s">
        <v>29</v>
      </c>
      <c r="S6" s="21" t="s">
        <v>13</v>
      </c>
      <c r="T6" s="4" t="s">
        <v>0</v>
      </c>
      <c r="U6" s="4" t="s">
        <v>20</v>
      </c>
      <c r="V6" s="4" t="s">
        <v>29</v>
      </c>
      <c r="W6" s="32"/>
      <c r="X6" s="4" t="s">
        <v>13</v>
      </c>
      <c r="Y6" s="32" t="s">
        <v>0</v>
      </c>
      <c r="Z6" s="4" t="s">
        <v>20</v>
      </c>
      <c r="AA6" s="39" t="s">
        <v>29</v>
      </c>
      <c r="AB6" s="21" t="s">
        <v>13</v>
      </c>
      <c r="AC6" s="4" t="s">
        <v>0</v>
      </c>
      <c r="AD6" s="4" t="s">
        <v>20</v>
      </c>
      <c r="AE6" s="4" t="s">
        <v>29</v>
      </c>
      <c r="AF6" s="32"/>
      <c r="AG6" s="4" t="s">
        <v>13</v>
      </c>
      <c r="AH6" s="32" t="s">
        <v>0</v>
      </c>
      <c r="AI6" s="4" t="s">
        <v>20</v>
      </c>
      <c r="AJ6" s="39" t="s">
        <v>29</v>
      </c>
      <c r="AK6" s="21" t="s">
        <v>13</v>
      </c>
      <c r="AL6" s="4" t="s">
        <v>0</v>
      </c>
      <c r="AM6" s="4" t="s">
        <v>20</v>
      </c>
      <c r="AN6" s="4" t="s">
        <v>29</v>
      </c>
      <c r="AO6" s="32"/>
      <c r="AP6" s="4" t="s">
        <v>13</v>
      </c>
      <c r="AQ6" s="32" t="s">
        <v>0</v>
      </c>
      <c r="AR6" s="4" t="s">
        <v>20</v>
      </c>
      <c r="AS6" s="39" t="s">
        <v>29</v>
      </c>
    </row>
    <row r="7" spans="1:45" s="6" customFormat="1">
      <c r="A7" s="33">
        <f t="shared" ref="A7:A24" si="0">D$4/B7</f>
        <v>441.60909883485238</v>
      </c>
      <c r="B7" s="22">
        <v>41</v>
      </c>
      <c r="C7" s="22" t="s">
        <v>21</v>
      </c>
      <c r="D7" s="24">
        <f t="shared" ref="D7:D47" si="1">D$5*B7+D$2*2</f>
        <v>103.98911769925594</v>
      </c>
      <c r="E7" s="29"/>
      <c r="F7" s="24">
        <f>D$3/G7</f>
        <v>1206.171740266672</v>
      </c>
      <c r="G7" s="22">
        <v>26</v>
      </c>
      <c r="H7" s="22" t="s">
        <v>11</v>
      </c>
      <c r="I7" s="40">
        <f t="shared" ref="I7:I47" si="2">D$5*G7+D$2*2</f>
        <v>69.602855126357426</v>
      </c>
      <c r="J7" s="33">
        <f t="shared" ref="J7:J24" si="3">M$4/K7</f>
        <v>452.29565719391263</v>
      </c>
      <c r="K7" s="22">
        <v>41</v>
      </c>
      <c r="L7" s="22" t="s">
        <v>21</v>
      </c>
      <c r="M7" s="24">
        <f t="shared" ref="M7:M47" si="4">M$5*K7+M$2*2</f>
        <v>103.98911769925594</v>
      </c>
      <c r="N7" s="29"/>
      <c r="O7" s="24">
        <f>M$3/P7</f>
        <v>1235.3600534771965</v>
      </c>
      <c r="P7" s="29">
        <v>26</v>
      </c>
      <c r="Q7" s="22" t="s">
        <v>11</v>
      </c>
      <c r="R7" s="40">
        <f t="shared" ref="R7:R47" si="5">M$5*P7+M$2*2</f>
        <v>69.602855126357426</v>
      </c>
      <c r="S7" s="33" t="e">
        <f t="shared" ref="S7:S24" si="6">V$4/T7</f>
        <v>#DIV/0!</v>
      </c>
      <c r="T7" s="22">
        <v>41</v>
      </c>
      <c r="U7" s="22" t="s">
        <v>21</v>
      </c>
      <c r="V7" s="24" t="e">
        <f t="shared" ref="V7:V47" si="7">V$5*T7+V$2*2</f>
        <v>#DIV/0!</v>
      </c>
      <c r="W7" s="29"/>
      <c r="X7" s="24" t="e">
        <f>V$3/Y7</f>
        <v>#DIV/0!</v>
      </c>
      <c r="Y7" s="29">
        <v>26</v>
      </c>
      <c r="Z7" s="22" t="s">
        <v>11</v>
      </c>
      <c r="AA7" s="40" t="e">
        <f t="shared" ref="AA7:AA47" si="8">V$5*Y7+V$2*2</f>
        <v>#DIV/0!</v>
      </c>
      <c r="AB7" s="33" t="e">
        <f t="shared" ref="AB7:AB24" si="9">AE$4/AC7</f>
        <v>#DIV/0!</v>
      </c>
      <c r="AC7" s="22">
        <v>41</v>
      </c>
      <c r="AD7" s="22" t="s">
        <v>21</v>
      </c>
      <c r="AE7" s="24" t="e">
        <f t="shared" ref="AE7:AE47" si="10">AE$5*AC7+AE$2*2</f>
        <v>#DIV/0!</v>
      </c>
      <c r="AF7" s="29"/>
      <c r="AG7" s="24" t="e">
        <f>AE$3/AH7</f>
        <v>#DIV/0!</v>
      </c>
      <c r="AH7" s="29">
        <v>26</v>
      </c>
      <c r="AI7" s="22" t="s">
        <v>11</v>
      </c>
      <c r="AJ7" s="40" t="e">
        <f t="shared" ref="AJ7:AJ47" si="11">AE$5*AH7+AE$2*2</f>
        <v>#DIV/0!</v>
      </c>
      <c r="AK7" s="33" t="e">
        <f t="shared" ref="AK7:AK24" si="12">AN$4/AL7</f>
        <v>#DIV/0!</v>
      </c>
      <c r="AL7" s="22">
        <v>41</v>
      </c>
      <c r="AM7" s="22" t="s">
        <v>21</v>
      </c>
      <c r="AN7" s="24" t="e">
        <f t="shared" ref="AN7:AN47" si="13">AN$5*AL7+AN$2*2</f>
        <v>#DIV/0!</v>
      </c>
      <c r="AO7" s="29"/>
      <c r="AP7" s="24" t="e">
        <f>AN$3/AQ7</f>
        <v>#DIV/0!</v>
      </c>
      <c r="AQ7" s="29">
        <v>26</v>
      </c>
      <c r="AR7" s="22" t="s">
        <v>11</v>
      </c>
      <c r="AS7" s="40" t="e">
        <f t="shared" ref="AS7:AS47" si="14">AN$5*AQ7+AN$2*2</f>
        <v>#DIV/0!</v>
      </c>
    </row>
    <row r="8" spans="1:45" s="8" customFormat="1">
      <c r="A8" s="33">
        <f t="shared" si="0"/>
        <v>452.64932630572366</v>
      </c>
      <c r="B8" s="22">
        <v>40</v>
      </c>
      <c r="C8" s="22" t="s">
        <v>21</v>
      </c>
      <c r="D8" s="24">
        <f t="shared" si="1"/>
        <v>101.69670019439604</v>
      </c>
      <c r="E8" s="30"/>
      <c r="F8" s="24">
        <f>D$4/G8</f>
        <v>1207.0648701485964</v>
      </c>
      <c r="G8" s="22">
        <v>15</v>
      </c>
      <c r="H8" s="22" t="s">
        <v>21</v>
      </c>
      <c r="I8" s="40">
        <f t="shared" si="2"/>
        <v>44.386262572898517</v>
      </c>
      <c r="J8" s="33">
        <f t="shared" si="3"/>
        <v>463.6030486237604</v>
      </c>
      <c r="K8" s="22">
        <v>40</v>
      </c>
      <c r="L8" s="22" t="s">
        <v>21</v>
      </c>
      <c r="M8" s="24">
        <f t="shared" si="4"/>
        <v>101.69670019439604</v>
      </c>
      <c r="N8" s="29"/>
      <c r="O8" s="24">
        <f>M$4/P8</f>
        <v>1236.2747963300278</v>
      </c>
      <c r="P8" s="29">
        <v>15</v>
      </c>
      <c r="Q8" s="22" t="s">
        <v>21</v>
      </c>
      <c r="R8" s="40">
        <f t="shared" si="5"/>
        <v>44.386262572898517</v>
      </c>
      <c r="S8" s="33" t="e">
        <f t="shared" si="6"/>
        <v>#DIV/0!</v>
      </c>
      <c r="T8" s="22">
        <v>40</v>
      </c>
      <c r="U8" s="22" t="s">
        <v>21</v>
      </c>
      <c r="V8" s="24" t="e">
        <f t="shared" si="7"/>
        <v>#DIV/0!</v>
      </c>
      <c r="W8" s="29"/>
      <c r="X8" s="24" t="e">
        <f>V$4/Y8</f>
        <v>#DIV/0!</v>
      </c>
      <c r="Y8" s="29">
        <v>15</v>
      </c>
      <c r="Z8" s="22" t="s">
        <v>21</v>
      </c>
      <c r="AA8" s="40" t="e">
        <f t="shared" si="8"/>
        <v>#DIV/0!</v>
      </c>
      <c r="AB8" s="33" t="e">
        <f t="shared" si="9"/>
        <v>#DIV/0!</v>
      </c>
      <c r="AC8" s="22">
        <v>40</v>
      </c>
      <c r="AD8" s="22" t="s">
        <v>21</v>
      </c>
      <c r="AE8" s="24" t="e">
        <f t="shared" si="10"/>
        <v>#DIV/0!</v>
      </c>
      <c r="AF8" s="29"/>
      <c r="AG8" s="24" t="e">
        <f>AE$4/AH8</f>
        <v>#DIV/0!</v>
      </c>
      <c r="AH8" s="29">
        <v>15</v>
      </c>
      <c r="AI8" s="22" t="s">
        <v>21</v>
      </c>
      <c r="AJ8" s="40" t="e">
        <f t="shared" si="11"/>
        <v>#DIV/0!</v>
      </c>
      <c r="AK8" s="33" t="e">
        <f t="shared" si="12"/>
        <v>#DIV/0!</v>
      </c>
      <c r="AL8" s="22">
        <v>40</v>
      </c>
      <c r="AM8" s="22" t="s">
        <v>21</v>
      </c>
      <c r="AN8" s="24" t="e">
        <f t="shared" si="13"/>
        <v>#DIV/0!</v>
      </c>
      <c r="AO8" s="29"/>
      <c r="AP8" s="24" t="e">
        <f>AN$4/AQ8</f>
        <v>#DIV/0!</v>
      </c>
      <c r="AQ8" s="29">
        <v>15</v>
      </c>
      <c r="AR8" s="22" t="s">
        <v>21</v>
      </c>
      <c r="AS8" s="40" t="e">
        <f t="shared" si="14"/>
        <v>#DIV/0!</v>
      </c>
    </row>
    <row r="9" spans="1:45" s="2" customFormat="1">
      <c r="A9" s="34">
        <f t="shared" si="0"/>
        <v>464.25571928792169</v>
      </c>
      <c r="B9" s="25">
        <v>39</v>
      </c>
      <c r="C9" s="25" t="s">
        <v>21</v>
      </c>
      <c r="D9" s="26">
        <f t="shared" si="1"/>
        <v>99.404282689536132</v>
      </c>
      <c r="E9" s="23"/>
      <c r="F9" s="26">
        <f>D$3/G9</f>
        <v>1254.4186098773389</v>
      </c>
      <c r="G9" s="25">
        <v>25</v>
      </c>
      <c r="H9" s="25" t="s">
        <v>11</v>
      </c>
      <c r="I9" s="41">
        <f t="shared" si="2"/>
        <v>67.310437621497528</v>
      </c>
      <c r="J9" s="34">
        <f t="shared" si="3"/>
        <v>475.49030628077992</v>
      </c>
      <c r="K9" s="25">
        <v>39</v>
      </c>
      <c r="L9" s="25" t="s">
        <v>21</v>
      </c>
      <c r="M9" s="26">
        <f t="shared" si="4"/>
        <v>99.404282689536132</v>
      </c>
      <c r="N9" s="23"/>
      <c r="O9" s="26">
        <f>M$3/P9</f>
        <v>1284.7744556162843</v>
      </c>
      <c r="P9" s="23">
        <v>25</v>
      </c>
      <c r="Q9" s="25" t="s">
        <v>11</v>
      </c>
      <c r="R9" s="41">
        <f t="shared" si="5"/>
        <v>67.310437621497528</v>
      </c>
      <c r="S9" s="34" t="e">
        <f t="shared" si="6"/>
        <v>#DIV/0!</v>
      </c>
      <c r="T9" s="25">
        <v>39</v>
      </c>
      <c r="U9" s="25" t="s">
        <v>21</v>
      </c>
      <c r="V9" s="26" t="e">
        <f t="shared" si="7"/>
        <v>#DIV/0!</v>
      </c>
      <c r="W9" s="23"/>
      <c r="X9" s="26" t="e">
        <f>V$3/Y9</f>
        <v>#DIV/0!</v>
      </c>
      <c r="Y9" s="23">
        <v>25</v>
      </c>
      <c r="Z9" s="25" t="s">
        <v>11</v>
      </c>
      <c r="AA9" s="41" t="e">
        <f t="shared" si="8"/>
        <v>#DIV/0!</v>
      </c>
      <c r="AB9" s="34" t="e">
        <f t="shared" si="9"/>
        <v>#DIV/0!</v>
      </c>
      <c r="AC9" s="25">
        <v>39</v>
      </c>
      <c r="AD9" s="25" t="s">
        <v>21</v>
      </c>
      <c r="AE9" s="26" t="e">
        <f t="shared" si="10"/>
        <v>#DIV/0!</v>
      </c>
      <c r="AF9" s="23"/>
      <c r="AG9" s="26" t="e">
        <f>AE$3/AH9</f>
        <v>#DIV/0!</v>
      </c>
      <c r="AH9" s="23">
        <v>25</v>
      </c>
      <c r="AI9" s="25" t="s">
        <v>11</v>
      </c>
      <c r="AJ9" s="41" t="e">
        <f t="shared" si="11"/>
        <v>#DIV/0!</v>
      </c>
      <c r="AK9" s="34" t="e">
        <f t="shared" si="12"/>
        <v>#DIV/0!</v>
      </c>
      <c r="AL9" s="25">
        <v>39</v>
      </c>
      <c r="AM9" s="25" t="s">
        <v>21</v>
      </c>
      <c r="AN9" s="26" t="e">
        <f t="shared" si="13"/>
        <v>#DIV/0!</v>
      </c>
      <c r="AO9" s="23"/>
      <c r="AP9" s="26" t="e">
        <f>AN$3/AQ9</f>
        <v>#DIV/0!</v>
      </c>
      <c r="AQ9" s="23">
        <v>25</v>
      </c>
      <c r="AR9" s="25" t="s">
        <v>11</v>
      </c>
      <c r="AS9" s="41" t="e">
        <f t="shared" si="14"/>
        <v>#DIV/0!</v>
      </c>
    </row>
    <row r="10" spans="1:45" s="2" customFormat="1">
      <c r="A10" s="34">
        <f t="shared" si="0"/>
        <v>476.47297505865646</v>
      </c>
      <c r="B10" s="25">
        <v>38</v>
      </c>
      <c r="C10" s="25" t="s">
        <v>21</v>
      </c>
      <c r="D10" s="26">
        <f t="shared" si="1"/>
        <v>97.111865184676233</v>
      </c>
      <c r="E10" s="23"/>
      <c r="F10" s="26">
        <f>D$4/G10</f>
        <v>1293.2837894449247</v>
      </c>
      <c r="G10" s="25">
        <v>14</v>
      </c>
      <c r="H10" s="25" t="s">
        <v>21</v>
      </c>
      <c r="I10" s="41">
        <f t="shared" si="2"/>
        <v>42.093845068038611</v>
      </c>
      <c r="J10" s="34">
        <f t="shared" si="3"/>
        <v>488.00320907764257</v>
      </c>
      <c r="K10" s="25">
        <v>38</v>
      </c>
      <c r="L10" s="25" t="s">
        <v>21</v>
      </c>
      <c r="M10" s="26">
        <f t="shared" si="4"/>
        <v>97.111865184676233</v>
      </c>
      <c r="N10" s="23"/>
      <c r="O10" s="26">
        <f>M$4/P10</f>
        <v>1324.5801389250298</v>
      </c>
      <c r="P10" s="23">
        <v>14</v>
      </c>
      <c r="Q10" s="25" t="s">
        <v>21</v>
      </c>
      <c r="R10" s="41">
        <f t="shared" si="5"/>
        <v>42.093845068038611</v>
      </c>
      <c r="S10" s="34" t="e">
        <f t="shared" si="6"/>
        <v>#DIV/0!</v>
      </c>
      <c r="T10" s="25">
        <v>38</v>
      </c>
      <c r="U10" s="25" t="s">
        <v>21</v>
      </c>
      <c r="V10" s="26" t="e">
        <f t="shared" si="7"/>
        <v>#DIV/0!</v>
      </c>
      <c r="W10" s="23"/>
      <c r="X10" s="26" t="e">
        <f>V$4/Y10</f>
        <v>#DIV/0!</v>
      </c>
      <c r="Y10" s="23">
        <v>14</v>
      </c>
      <c r="Z10" s="25" t="s">
        <v>21</v>
      </c>
      <c r="AA10" s="41" t="e">
        <f t="shared" si="8"/>
        <v>#DIV/0!</v>
      </c>
      <c r="AB10" s="34" t="e">
        <f t="shared" si="9"/>
        <v>#DIV/0!</v>
      </c>
      <c r="AC10" s="25">
        <v>38</v>
      </c>
      <c r="AD10" s="25" t="s">
        <v>21</v>
      </c>
      <c r="AE10" s="26" t="e">
        <f t="shared" si="10"/>
        <v>#DIV/0!</v>
      </c>
      <c r="AF10" s="23"/>
      <c r="AG10" s="26" t="e">
        <f>AE$4/AH10</f>
        <v>#DIV/0!</v>
      </c>
      <c r="AH10" s="23">
        <v>14</v>
      </c>
      <c r="AI10" s="25" t="s">
        <v>21</v>
      </c>
      <c r="AJ10" s="41" t="e">
        <f t="shared" si="11"/>
        <v>#DIV/0!</v>
      </c>
      <c r="AK10" s="34" t="e">
        <f t="shared" si="12"/>
        <v>#DIV/0!</v>
      </c>
      <c r="AL10" s="25">
        <v>38</v>
      </c>
      <c r="AM10" s="25" t="s">
        <v>21</v>
      </c>
      <c r="AN10" s="26" t="e">
        <f t="shared" si="13"/>
        <v>#DIV/0!</v>
      </c>
      <c r="AO10" s="23"/>
      <c r="AP10" s="26" t="e">
        <f>AN$4/AQ10</f>
        <v>#DIV/0!</v>
      </c>
      <c r="AQ10" s="23">
        <v>14</v>
      </c>
      <c r="AR10" s="25" t="s">
        <v>21</v>
      </c>
      <c r="AS10" s="41" t="e">
        <f t="shared" si="14"/>
        <v>#DIV/0!</v>
      </c>
    </row>
    <row r="11" spans="1:45" s="1" customFormat="1">
      <c r="A11" s="33">
        <f t="shared" si="0"/>
        <v>489.35062303321479</v>
      </c>
      <c r="B11" s="22">
        <v>37</v>
      </c>
      <c r="C11" s="22" t="s">
        <v>21</v>
      </c>
      <c r="D11" s="24">
        <f t="shared" si="1"/>
        <v>94.819447679816335</v>
      </c>
      <c r="E11" s="29"/>
      <c r="F11" s="24">
        <f>D$3/G11</f>
        <v>1306.6860519555614</v>
      </c>
      <c r="G11" s="22">
        <v>24</v>
      </c>
      <c r="H11" s="22" t="s">
        <v>11</v>
      </c>
      <c r="I11" s="40">
        <f t="shared" si="2"/>
        <v>65.018020116637615</v>
      </c>
      <c r="J11" s="33">
        <f t="shared" si="3"/>
        <v>501.19248499865989</v>
      </c>
      <c r="K11" s="22">
        <v>37</v>
      </c>
      <c r="L11" s="22" t="s">
        <v>21</v>
      </c>
      <c r="M11" s="24">
        <f t="shared" si="4"/>
        <v>94.819447679816335</v>
      </c>
      <c r="N11" s="29"/>
      <c r="O11" s="24">
        <f>M$3/P11</f>
        <v>1338.3067246002963</v>
      </c>
      <c r="P11" s="29">
        <v>24</v>
      </c>
      <c r="Q11" s="22" t="s">
        <v>11</v>
      </c>
      <c r="R11" s="40">
        <f t="shared" si="5"/>
        <v>65.018020116637615</v>
      </c>
      <c r="S11" s="33" t="e">
        <f t="shared" si="6"/>
        <v>#DIV/0!</v>
      </c>
      <c r="T11" s="22">
        <v>37</v>
      </c>
      <c r="U11" s="22" t="s">
        <v>21</v>
      </c>
      <c r="V11" s="24" t="e">
        <f t="shared" si="7"/>
        <v>#DIV/0!</v>
      </c>
      <c r="W11" s="29"/>
      <c r="X11" s="24" t="e">
        <f>V$3/Y11</f>
        <v>#DIV/0!</v>
      </c>
      <c r="Y11" s="29">
        <v>24</v>
      </c>
      <c r="Z11" s="22" t="s">
        <v>11</v>
      </c>
      <c r="AA11" s="40" t="e">
        <f t="shared" si="8"/>
        <v>#DIV/0!</v>
      </c>
      <c r="AB11" s="33" t="e">
        <f t="shared" si="9"/>
        <v>#DIV/0!</v>
      </c>
      <c r="AC11" s="22">
        <v>37</v>
      </c>
      <c r="AD11" s="22" t="s">
        <v>21</v>
      </c>
      <c r="AE11" s="24" t="e">
        <f t="shared" si="10"/>
        <v>#DIV/0!</v>
      </c>
      <c r="AF11" s="29"/>
      <c r="AG11" s="24" t="e">
        <f>AE$3/AH11</f>
        <v>#DIV/0!</v>
      </c>
      <c r="AH11" s="29">
        <v>24</v>
      </c>
      <c r="AI11" s="22" t="s">
        <v>11</v>
      </c>
      <c r="AJ11" s="40" t="e">
        <f t="shared" si="11"/>
        <v>#DIV/0!</v>
      </c>
      <c r="AK11" s="33" t="e">
        <f t="shared" si="12"/>
        <v>#DIV/0!</v>
      </c>
      <c r="AL11" s="22">
        <v>37</v>
      </c>
      <c r="AM11" s="22" t="s">
        <v>21</v>
      </c>
      <c r="AN11" s="24" t="e">
        <f t="shared" si="13"/>
        <v>#DIV/0!</v>
      </c>
      <c r="AO11" s="29"/>
      <c r="AP11" s="24" t="e">
        <f>AN$3/AQ11</f>
        <v>#DIV/0!</v>
      </c>
      <c r="AQ11" s="29">
        <v>24</v>
      </c>
      <c r="AR11" s="22" t="s">
        <v>11</v>
      </c>
      <c r="AS11" s="40" t="e">
        <f t="shared" si="14"/>
        <v>#DIV/0!</v>
      </c>
    </row>
    <row r="12" spans="1:45">
      <c r="A12" s="33">
        <f t="shared" si="0"/>
        <v>502.94369589524854</v>
      </c>
      <c r="B12" s="22">
        <v>36</v>
      </c>
      <c r="C12" s="22" t="s">
        <v>21</v>
      </c>
      <c r="D12" s="24">
        <f t="shared" si="1"/>
        <v>92.527030174956437</v>
      </c>
      <c r="E12" s="29"/>
      <c r="F12" s="24">
        <f>D$3/G12</f>
        <v>1363.4984889971074</v>
      </c>
      <c r="G12" s="22">
        <v>23</v>
      </c>
      <c r="H12" s="22" t="s">
        <v>11</v>
      </c>
      <c r="I12" s="40">
        <f t="shared" si="2"/>
        <v>62.725602611777724</v>
      </c>
      <c r="J12" s="33">
        <f t="shared" si="3"/>
        <v>515.11449847084486</v>
      </c>
      <c r="K12" s="22">
        <v>36</v>
      </c>
      <c r="L12" s="22" t="s">
        <v>21</v>
      </c>
      <c r="M12" s="24">
        <f t="shared" si="4"/>
        <v>92.527030174956437</v>
      </c>
      <c r="N12" s="29"/>
      <c r="O12" s="24">
        <f>M$3/P12</f>
        <v>1396.4939734959612</v>
      </c>
      <c r="P12" s="29">
        <v>23</v>
      </c>
      <c r="Q12" s="22" t="s">
        <v>11</v>
      </c>
      <c r="R12" s="40">
        <f t="shared" si="5"/>
        <v>62.725602611777724</v>
      </c>
      <c r="S12" s="33" t="e">
        <f t="shared" si="6"/>
        <v>#DIV/0!</v>
      </c>
      <c r="T12" s="22">
        <v>36</v>
      </c>
      <c r="U12" s="22" t="s">
        <v>21</v>
      </c>
      <c r="V12" s="24" t="e">
        <f t="shared" si="7"/>
        <v>#DIV/0!</v>
      </c>
      <c r="W12" s="29"/>
      <c r="X12" s="24" t="e">
        <f>V$3/Y12</f>
        <v>#DIV/0!</v>
      </c>
      <c r="Y12" s="29">
        <v>23</v>
      </c>
      <c r="Z12" s="22" t="s">
        <v>11</v>
      </c>
      <c r="AA12" s="40" t="e">
        <f t="shared" si="8"/>
        <v>#DIV/0!</v>
      </c>
      <c r="AB12" s="33" t="e">
        <f t="shared" si="9"/>
        <v>#DIV/0!</v>
      </c>
      <c r="AC12" s="22">
        <v>36</v>
      </c>
      <c r="AD12" s="22" t="s">
        <v>21</v>
      </c>
      <c r="AE12" s="24" t="e">
        <f t="shared" si="10"/>
        <v>#DIV/0!</v>
      </c>
      <c r="AF12" s="29"/>
      <c r="AG12" s="24" t="e">
        <f>AE$3/AH12</f>
        <v>#DIV/0!</v>
      </c>
      <c r="AH12" s="29">
        <v>23</v>
      </c>
      <c r="AI12" s="22" t="s">
        <v>11</v>
      </c>
      <c r="AJ12" s="40" t="e">
        <f t="shared" si="11"/>
        <v>#DIV/0!</v>
      </c>
      <c r="AK12" s="33" t="e">
        <f t="shared" si="12"/>
        <v>#DIV/0!</v>
      </c>
      <c r="AL12" s="22">
        <v>36</v>
      </c>
      <c r="AM12" s="22" t="s">
        <v>21</v>
      </c>
      <c r="AN12" s="24" t="e">
        <f t="shared" si="13"/>
        <v>#DIV/0!</v>
      </c>
      <c r="AO12" s="29"/>
      <c r="AP12" s="24" t="e">
        <f>AN$3/AQ12</f>
        <v>#DIV/0!</v>
      </c>
      <c r="AQ12" s="29">
        <v>23</v>
      </c>
      <c r="AR12" s="22" t="s">
        <v>11</v>
      </c>
      <c r="AS12" s="40" t="e">
        <f t="shared" si="14"/>
        <v>#DIV/0!</v>
      </c>
    </row>
    <row r="13" spans="1:45">
      <c r="A13" s="34">
        <f t="shared" si="0"/>
        <v>517.31351577796988</v>
      </c>
      <c r="B13" s="25">
        <v>35</v>
      </c>
      <c r="C13" s="25" t="s">
        <v>21</v>
      </c>
      <c r="D13" s="26">
        <f t="shared" si="1"/>
        <v>90.234612670096539</v>
      </c>
      <c r="E13" s="23"/>
      <c r="F13" s="26">
        <f>D$4/G13</f>
        <v>1392.7671578637651</v>
      </c>
      <c r="G13" s="25">
        <v>13</v>
      </c>
      <c r="H13" s="25" t="s">
        <v>21</v>
      </c>
      <c r="I13" s="41">
        <f t="shared" si="2"/>
        <v>39.801427563178713</v>
      </c>
      <c r="J13" s="34">
        <f t="shared" si="3"/>
        <v>529.8320555700119</v>
      </c>
      <c r="K13" s="25">
        <v>35</v>
      </c>
      <c r="L13" s="25" t="s">
        <v>21</v>
      </c>
      <c r="M13" s="26">
        <f t="shared" si="4"/>
        <v>90.234612670096539</v>
      </c>
      <c r="N13" s="23"/>
      <c r="O13" s="26">
        <f>M$4/P13</f>
        <v>1426.4709188423399</v>
      </c>
      <c r="P13" s="23">
        <v>13</v>
      </c>
      <c r="Q13" s="25" t="s">
        <v>21</v>
      </c>
      <c r="R13" s="41">
        <f t="shared" si="5"/>
        <v>39.801427563178713</v>
      </c>
      <c r="S13" s="34" t="e">
        <f t="shared" si="6"/>
        <v>#DIV/0!</v>
      </c>
      <c r="T13" s="25">
        <v>35</v>
      </c>
      <c r="U13" s="25" t="s">
        <v>21</v>
      </c>
      <c r="V13" s="26" t="e">
        <f t="shared" si="7"/>
        <v>#DIV/0!</v>
      </c>
      <c r="W13" s="23"/>
      <c r="X13" s="26" t="e">
        <f>V$4/Y13</f>
        <v>#DIV/0!</v>
      </c>
      <c r="Y13" s="23">
        <v>13</v>
      </c>
      <c r="Z13" s="25" t="s">
        <v>21</v>
      </c>
      <c r="AA13" s="41" t="e">
        <f t="shared" si="8"/>
        <v>#DIV/0!</v>
      </c>
      <c r="AB13" s="34" t="e">
        <f t="shared" si="9"/>
        <v>#DIV/0!</v>
      </c>
      <c r="AC13" s="25">
        <v>35</v>
      </c>
      <c r="AD13" s="25" t="s">
        <v>21</v>
      </c>
      <c r="AE13" s="26" t="e">
        <f t="shared" si="10"/>
        <v>#DIV/0!</v>
      </c>
      <c r="AF13" s="23"/>
      <c r="AG13" s="26" t="e">
        <f>AE$4/AH13</f>
        <v>#DIV/0!</v>
      </c>
      <c r="AH13" s="23">
        <v>13</v>
      </c>
      <c r="AI13" s="25" t="s">
        <v>21</v>
      </c>
      <c r="AJ13" s="41" t="e">
        <f t="shared" si="11"/>
        <v>#DIV/0!</v>
      </c>
      <c r="AK13" s="34" t="e">
        <f t="shared" si="12"/>
        <v>#DIV/0!</v>
      </c>
      <c r="AL13" s="25">
        <v>35</v>
      </c>
      <c r="AM13" s="25" t="s">
        <v>21</v>
      </c>
      <c r="AN13" s="26" t="e">
        <f t="shared" si="13"/>
        <v>#DIV/0!</v>
      </c>
      <c r="AO13" s="23"/>
      <c r="AP13" s="26" t="e">
        <f>AN$4/AQ13</f>
        <v>#DIV/0!</v>
      </c>
      <c r="AQ13" s="23">
        <v>13</v>
      </c>
      <c r="AR13" s="25" t="s">
        <v>21</v>
      </c>
      <c r="AS13" s="41" t="e">
        <f t="shared" si="14"/>
        <v>#DIV/0!</v>
      </c>
    </row>
    <row r="14" spans="1:45">
      <c r="A14" s="34">
        <f t="shared" si="0"/>
        <v>532.52861918320434</v>
      </c>
      <c r="B14" s="25">
        <v>34</v>
      </c>
      <c r="C14" s="25" t="s">
        <v>21</v>
      </c>
      <c r="D14" s="26">
        <f t="shared" si="1"/>
        <v>87.942195165236626</v>
      </c>
      <c r="E14" s="23"/>
      <c r="F14" s="26">
        <f>D$3/G14</f>
        <v>1425.4756930424305</v>
      </c>
      <c r="G14" s="25">
        <v>22</v>
      </c>
      <c r="H14" s="25" t="s">
        <v>11</v>
      </c>
      <c r="I14" s="41">
        <f t="shared" si="2"/>
        <v>60.433185106917819</v>
      </c>
      <c r="J14" s="34">
        <f t="shared" si="3"/>
        <v>545.41535132207105</v>
      </c>
      <c r="K14" s="25">
        <v>34</v>
      </c>
      <c r="L14" s="25" t="s">
        <v>21</v>
      </c>
      <c r="M14" s="26">
        <f t="shared" si="4"/>
        <v>87.942195165236626</v>
      </c>
      <c r="N14" s="23"/>
      <c r="O14" s="26">
        <f>M$3/P14</f>
        <v>1459.9709722912323</v>
      </c>
      <c r="P14" s="23">
        <v>22</v>
      </c>
      <c r="Q14" s="25" t="s">
        <v>11</v>
      </c>
      <c r="R14" s="41">
        <f t="shared" si="5"/>
        <v>60.433185106917819</v>
      </c>
      <c r="S14" s="34" t="e">
        <f t="shared" si="6"/>
        <v>#DIV/0!</v>
      </c>
      <c r="T14" s="25">
        <v>34</v>
      </c>
      <c r="U14" s="25" t="s">
        <v>21</v>
      </c>
      <c r="V14" s="26" t="e">
        <f t="shared" si="7"/>
        <v>#DIV/0!</v>
      </c>
      <c r="W14" s="23"/>
      <c r="X14" s="26" t="e">
        <f>V$3/Y14</f>
        <v>#DIV/0!</v>
      </c>
      <c r="Y14" s="23">
        <v>22</v>
      </c>
      <c r="Z14" s="25" t="s">
        <v>11</v>
      </c>
      <c r="AA14" s="41" t="e">
        <f t="shared" si="8"/>
        <v>#DIV/0!</v>
      </c>
      <c r="AB14" s="34" t="e">
        <f t="shared" si="9"/>
        <v>#DIV/0!</v>
      </c>
      <c r="AC14" s="25">
        <v>34</v>
      </c>
      <c r="AD14" s="25" t="s">
        <v>21</v>
      </c>
      <c r="AE14" s="26" t="e">
        <f t="shared" si="10"/>
        <v>#DIV/0!</v>
      </c>
      <c r="AF14" s="23"/>
      <c r="AG14" s="26" t="e">
        <f>AE$3/AH14</f>
        <v>#DIV/0!</v>
      </c>
      <c r="AH14" s="23">
        <v>22</v>
      </c>
      <c r="AI14" s="25" t="s">
        <v>11</v>
      </c>
      <c r="AJ14" s="41" t="e">
        <f t="shared" si="11"/>
        <v>#DIV/0!</v>
      </c>
      <c r="AK14" s="34" t="e">
        <f t="shared" si="12"/>
        <v>#DIV/0!</v>
      </c>
      <c r="AL14" s="25">
        <v>34</v>
      </c>
      <c r="AM14" s="25" t="s">
        <v>21</v>
      </c>
      <c r="AN14" s="26" t="e">
        <f t="shared" si="13"/>
        <v>#DIV/0!</v>
      </c>
      <c r="AO14" s="23"/>
      <c r="AP14" s="26" t="e">
        <f>AN$3/AQ14</f>
        <v>#DIV/0!</v>
      </c>
      <c r="AQ14" s="23">
        <v>22</v>
      </c>
      <c r="AR14" s="25" t="s">
        <v>11</v>
      </c>
      <c r="AS14" s="41" t="e">
        <f t="shared" si="14"/>
        <v>#DIV/0!</v>
      </c>
    </row>
    <row r="15" spans="1:45">
      <c r="A15" s="33">
        <f t="shared" si="0"/>
        <v>548.66585006754383</v>
      </c>
      <c r="B15" s="22">
        <v>33</v>
      </c>
      <c r="C15" s="22" t="s">
        <v>21</v>
      </c>
      <c r="D15" s="24">
        <f t="shared" si="1"/>
        <v>85.649777660376728</v>
      </c>
      <c r="E15" s="29"/>
      <c r="F15" s="24">
        <f>D$3/G15</f>
        <v>1493.3554879492131</v>
      </c>
      <c r="G15" s="22">
        <v>21</v>
      </c>
      <c r="H15" s="22" t="s">
        <v>11</v>
      </c>
      <c r="I15" s="40">
        <f t="shared" si="2"/>
        <v>58.14076760205792</v>
      </c>
      <c r="J15" s="33">
        <f t="shared" si="3"/>
        <v>561.94308924092172</v>
      </c>
      <c r="K15" s="22">
        <v>33</v>
      </c>
      <c r="L15" s="22" t="s">
        <v>21</v>
      </c>
      <c r="M15" s="24">
        <f t="shared" si="4"/>
        <v>85.649777660376728</v>
      </c>
      <c r="N15" s="29"/>
      <c r="O15" s="24">
        <f>M$3/P15</f>
        <v>1529.4933995431957</v>
      </c>
      <c r="P15" s="29">
        <v>21</v>
      </c>
      <c r="Q15" s="22" t="s">
        <v>11</v>
      </c>
      <c r="R15" s="40">
        <f t="shared" si="5"/>
        <v>58.14076760205792</v>
      </c>
      <c r="S15" s="33" t="e">
        <f t="shared" si="6"/>
        <v>#DIV/0!</v>
      </c>
      <c r="T15" s="22">
        <v>33</v>
      </c>
      <c r="U15" s="22" t="s">
        <v>21</v>
      </c>
      <c r="V15" s="24" t="e">
        <f t="shared" si="7"/>
        <v>#DIV/0!</v>
      </c>
      <c r="W15" s="29"/>
      <c r="X15" s="24" t="e">
        <f>V$3/Y15</f>
        <v>#DIV/0!</v>
      </c>
      <c r="Y15" s="29">
        <v>21</v>
      </c>
      <c r="Z15" s="22" t="s">
        <v>11</v>
      </c>
      <c r="AA15" s="40" t="e">
        <f t="shared" si="8"/>
        <v>#DIV/0!</v>
      </c>
      <c r="AB15" s="33" t="e">
        <f t="shared" si="9"/>
        <v>#DIV/0!</v>
      </c>
      <c r="AC15" s="22">
        <v>33</v>
      </c>
      <c r="AD15" s="22" t="s">
        <v>21</v>
      </c>
      <c r="AE15" s="24" t="e">
        <f t="shared" si="10"/>
        <v>#DIV/0!</v>
      </c>
      <c r="AF15" s="29"/>
      <c r="AG15" s="24" t="e">
        <f>AE$3/AH15</f>
        <v>#DIV/0!</v>
      </c>
      <c r="AH15" s="29">
        <v>21</v>
      </c>
      <c r="AI15" s="22" t="s">
        <v>11</v>
      </c>
      <c r="AJ15" s="40" t="e">
        <f t="shared" si="11"/>
        <v>#DIV/0!</v>
      </c>
      <c r="AK15" s="33" t="e">
        <f t="shared" si="12"/>
        <v>#DIV/0!</v>
      </c>
      <c r="AL15" s="22">
        <v>33</v>
      </c>
      <c r="AM15" s="22" t="s">
        <v>21</v>
      </c>
      <c r="AN15" s="24" t="e">
        <f t="shared" si="13"/>
        <v>#DIV/0!</v>
      </c>
      <c r="AO15" s="29"/>
      <c r="AP15" s="24" t="e">
        <f>AN$3/AQ15</f>
        <v>#DIV/0!</v>
      </c>
      <c r="AQ15" s="29">
        <v>21</v>
      </c>
      <c r="AR15" s="22" t="s">
        <v>11</v>
      </c>
      <c r="AS15" s="40" t="e">
        <f t="shared" si="14"/>
        <v>#DIV/0!</v>
      </c>
    </row>
    <row r="16" spans="1:45">
      <c r="A16" s="33">
        <f t="shared" si="0"/>
        <v>565.81165788215458</v>
      </c>
      <c r="B16" s="22">
        <v>32</v>
      </c>
      <c r="C16" s="22" t="s">
        <v>21</v>
      </c>
      <c r="D16" s="24">
        <f t="shared" si="1"/>
        <v>83.35736015551683</v>
      </c>
      <c r="E16" s="29"/>
      <c r="F16" s="24">
        <f>D$4/G16</f>
        <v>1508.8310876857456</v>
      </c>
      <c r="G16" s="22">
        <v>12</v>
      </c>
      <c r="H16" s="22" t="s">
        <v>21</v>
      </c>
      <c r="I16" s="40">
        <f t="shared" si="2"/>
        <v>37.509010058318808</v>
      </c>
      <c r="J16" s="33">
        <f t="shared" si="3"/>
        <v>579.50381077970053</v>
      </c>
      <c r="K16" s="22">
        <v>32</v>
      </c>
      <c r="L16" s="22" t="s">
        <v>21</v>
      </c>
      <c r="M16" s="24">
        <f t="shared" si="4"/>
        <v>83.35736015551683</v>
      </c>
      <c r="N16" s="29"/>
      <c r="O16" s="24">
        <f>M$4/P16</f>
        <v>1545.3434954125348</v>
      </c>
      <c r="P16" s="29">
        <v>12</v>
      </c>
      <c r="Q16" s="22" t="s">
        <v>21</v>
      </c>
      <c r="R16" s="40">
        <f t="shared" si="5"/>
        <v>37.509010058318808</v>
      </c>
      <c r="S16" s="33" t="e">
        <f t="shared" si="6"/>
        <v>#DIV/0!</v>
      </c>
      <c r="T16" s="22">
        <v>32</v>
      </c>
      <c r="U16" s="22" t="s">
        <v>21</v>
      </c>
      <c r="V16" s="24" t="e">
        <f t="shared" si="7"/>
        <v>#DIV/0!</v>
      </c>
      <c r="W16" s="29"/>
      <c r="X16" s="24" t="e">
        <f>V$4/Y16</f>
        <v>#DIV/0!</v>
      </c>
      <c r="Y16" s="29">
        <v>12</v>
      </c>
      <c r="Z16" s="22" t="s">
        <v>21</v>
      </c>
      <c r="AA16" s="40" t="e">
        <f t="shared" si="8"/>
        <v>#DIV/0!</v>
      </c>
      <c r="AB16" s="33" t="e">
        <f t="shared" si="9"/>
        <v>#DIV/0!</v>
      </c>
      <c r="AC16" s="22">
        <v>32</v>
      </c>
      <c r="AD16" s="22" t="s">
        <v>21</v>
      </c>
      <c r="AE16" s="24" t="e">
        <f t="shared" si="10"/>
        <v>#DIV/0!</v>
      </c>
      <c r="AF16" s="29"/>
      <c r="AG16" s="24" t="e">
        <f>AE$4/AH16</f>
        <v>#DIV/0!</v>
      </c>
      <c r="AH16" s="29">
        <v>12</v>
      </c>
      <c r="AI16" s="22" t="s">
        <v>21</v>
      </c>
      <c r="AJ16" s="40" t="e">
        <f t="shared" si="11"/>
        <v>#DIV/0!</v>
      </c>
      <c r="AK16" s="33" t="e">
        <f t="shared" si="12"/>
        <v>#DIV/0!</v>
      </c>
      <c r="AL16" s="22">
        <v>32</v>
      </c>
      <c r="AM16" s="22" t="s">
        <v>21</v>
      </c>
      <c r="AN16" s="24" t="e">
        <f t="shared" si="13"/>
        <v>#DIV/0!</v>
      </c>
      <c r="AO16" s="29"/>
      <c r="AP16" s="24" t="e">
        <f>AN$4/AQ16</f>
        <v>#DIV/0!</v>
      </c>
      <c r="AQ16" s="29">
        <v>12</v>
      </c>
      <c r="AR16" s="22" t="s">
        <v>21</v>
      </c>
      <c r="AS16" s="40" t="e">
        <f t="shared" si="14"/>
        <v>#DIV/0!</v>
      </c>
    </row>
    <row r="17" spans="1:45">
      <c r="A17" s="34">
        <f t="shared" si="0"/>
        <v>584.06364684609503</v>
      </c>
      <c r="B17" s="25">
        <v>31</v>
      </c>
      <c r="C17" s="25" t="s">
        <v>21</v>
      </c>
      <c r="D17" s="26">
        <f t="shared" si="1"/>
        <v>81.064942650656931</v>
      </c>
      <c r="E17" s="23"/>
      <c r="F17" s="26">
        <f>D$3/G17</f>
        <v>1568.0232623466736</v>
      </c>
      <c r="G17" s="25">
        <v>20</v>
      </c>
      <c r="H17" s="25" t="s">
        <v>11</v>
      </c>
      <c r="I17" s="41">
        <f t="shared" si="2"/>
        <v>55.848350097198022</v>
      </c>
      <c r="J17" s="34">
        <f t="shared" si="3"/>
        <v>598.19748209517479</v>
      </c>
      <c r="K17" s="25">
        <v>31</v>
      </c>
      <c r="L17" s="25" t="s">
        <v>21</v>
      </c>
      <c r="M17" s="26">
        <f t="shared" si="4"/>
        <v>81.064942650656931</v>
      </c>
      <c r="N17" s="23"/>
      <c r="O17" s="26">
        <f>M$3/P17</f>
        <v>1605.9680695203556</v>
      </c>
      <c r="P17" s="23">
        <v>20</v>
      </c>
      <c r="Q17" s="25" t="s">
        <v>11</v>
      </c>
      <c r="R17" s="41">
        <f t="shared" si="5"/>
        <v>55.848350097198022</v>
      </c>
      <c r="S17" s="34" t="e">
        <f t="shared" si="6"/>
        <v>#DIV/0!</v>
      </c>
      <c r="T17" s="25">
        <v>31</v>
      </c>
      <c r="U17" s="25" t="s">
        <v>21</v>
      </c>
      <c r="V17" s="26" t="e">
        <f t="shared" si="7"/>
        <v>#DIV/0!</v>
      </c>
      <c r="W17" s="23"/>
      <c r="X17" s="26" t="e">
        <f>V$3/Y17</f>
        <v>#DIV/0!</v>
      </c>
      <c r="Y17" s="23">
        <v>20</v>
      </c>
      <c r="Z17" s="25" t="s">
        <v>11</v>
      </c>
      <c r="AA17" s="41" t="e">
        <f t="shared" si="8"/>
        <v>#DIV/0!</v>
      </c>
      <c r="AB17" s="34" t="e">
        <f t="shared" si="9"/>
        <v>#DIV/0!</v>
      </c>
      <c r="AC17" s="25">
        <v>31</v>
      </c>
      <c r="AD17" s="25" t="s">
        <v>21</v>
      </c>
      <c r="AE17" s="26" t="e">
        <f t="shared" si="10"/>
        <v>#DIV/0!</v>
      </c>
      <c r="AF17" s="23"/>
      <c r="AG17" s="26" t="e">
        <f>AE$3/AH17</f>
        <v>#DIV/0!</v>
      </c>
      <c r="AH17" s="23">
        <v>20</v>
      </c>
      <c r="AI17" s="25" t="s">
        <v>11</v>
      </c>
      <c r="AJ17" s="41" t="e">
        <f t="shared" si="11"/>
        <v>#DIV/0!</v>
      </c>
      <c r="AK17" s="34" t="e">
        <f t="shared" si="12"/>
        <v>#DIV/0!</v>
      </c>
      <c r="AL17" s="25">
        <v>31</v>
      </c>
      <c r="AM17" s="25" t="s">
        <v>21</v>
      </c>
      <c r="AN17" s="26" t="e">
        <f t="shared" si="13"/>
        <v>#DIV/0!</v>
      </c>
      <c r="AO17" s="23"/>
      <c r="AP17" s="26" t="e">
        <f>AN$3/AQ17</f>
        <v>#DIV/0!</v>
      </c>
      <c r="AQ17" s="23">
        <v>20</v>
      </c>
      <c r="AR17" s="25" t="s">
        <v>11</v>
      </c>
      <c r="AS17" s="41" t="e">
        <f t="shared" si="14"/>
        <v>#DIV/0!</v>
      </c>
    </row>
    <row r="18" spans="1:45">
      <c r="A18" s="34">
        <f t="shared" si="0"/>
        <v>603.53243507429818</v>
      </c>
      <c r="B18" s="25">
        <v>30</v>
      </c>
      <c r="C18" s="25" t="s">
        <v>21</v>
      </c>
      <c r="D18" s="26">
        <f t="shared" si="1"/>
        <v>78.772525145797033</v>
      </c>
      <c r="E18" s="23"/>
      <c r="F18" s="26">
        <f>D$4/G18</f>
        <v>1645.9975502026316</v>
      </c>
      <c r="G18" s="25">
        <v>11</v>
      </c>
      <c r="H18" s="25" t="s">
        <v>21</v>
      </c>
      <c r="I18" s="41">
        <f t="shared" si="2"/>
        <v>35.216592553458909</v>
      </c>
      <c r="J18" s="34">
        <f t="shared" si="3"/>
        <v>618.13739816501391</v>
      </c>
      <c r="K18" s="25">
        <v>30</v>
      </c>
      <c r="L18" s="25" t="s">
        <v>21</v>
      </c>
      <c r="M18" s="26">
        <f t="shared" si="4"/>
        <v>78.772525145797033</v>
      </c>
      <c r="N18" s="23"/>
      <c r="O18" s="26">
        <f>M$4/P18</f>
        <v>1685.8292677227653</v>
      </c>
      <c r="P18" s="23">
        <v>11</v>
      </c>
      <c r="Q18" s="25" t="s">
        <v>21</v>
      </c>
      <c r="R18" s="41">
        <f t="shared" si="5"/>
        <v>35.216592553458909</v>
      </c>
      <c r="S18" s="34" t="e">
        <f t="shared" si="6"/>
        <v>#DIV/0!</v>
      </c>
      <c r="T18" s="25">
        <v>30</v>
      </c>
      <c r="U18" s="25" t="s">
        <v>21</v>
      </c>
      <c r="V18" s="26" t="e">
        <f t="shared" si="7"/>
        <v>#DIV/0!</v>
      </c>
      <c r="W18" s="23"/>
      <c r="X18" s="26" t="e">
        <f>V$4/Y18</f>
        <v>#DIV/0!</v>
      </c>
      <c r="Y18" s="23">
        <v>11</v>
      </c>
      <c r="Z18" s="25" t="s">
        <v>21</v>
      </c>
      <c r="AA18" s="41" t="e">
        <f t="shared" si="8"/>
        <v>#DIV/0!</v>
      </c>
      <c r="AB18" s="34" t="e">
        <f t="shared" si="9"/>
        <v>#DIV/0!</v>
      </c>
      <c r="AC18" s="25">
        <v>30</v>
      </c>
      <c r="AD18" s="25" t="s">
        <v>21</v>
      </c>
      <c r="AE18" s="26" t="e">
        <f t="shared" si="10"/>
        <v>#DIV/0!</v>
      </c>
      <c r="AF18" s="23"/>
      <c r="AG18" s="26" t="e">
        <f>AE$4/AH18</f>
        <v>#DIV/0!</v>
      </c>
      <c r="AH18" s="23">
        <v>11</v>
      </c>
      <c r="AI18" s="25" t="s">
        <v>21</v>
      </c>
      <c r="AJ18" s="41" t="e">
        <f t="shared" si="11"/>
        <v>#DIV/0!</v>
      </c>
      <c r="AK18" s="34" t="e">
        <f t="shared" si="12"/>
        <v>#DIV/0!</v>
      </c>
      <c r="AL18" s="25">
        <v>30</v>
      </c>
      <c r="AM18" s="25" t="s">
        <v>21</v>
      </c>
      <c r="AN18" s="26" t="e">
        <f t="shared" si="13"/>
        <v>#DIV/0!</v>
      </c>
      <c r="AO18" s="23"/>
      <c r="AP18" s="26" t="e">
        <f>AN$4/AQ18</f>
        <v>#DIV/0!</v>
      </c>
      <c r="AQ18" s="23">
        <v>11</v>
      </c>
      <c r="AR18" s="25" t="s">
        <v>21</v>
      </c>
      <c r="AS18" s="41" t="e">
        <f t="shared" si="14"/>
        <v>#DIV/0!</v>
      </c>
    </row>
    <row r="19" spans="1:45">
      <c r="A19" s="33">
        <f t="shared" si="0"/>
        <v>624.34389835272225</v>
      </c>
      <c r="B19" s="22">
        <v>29</v>
      </c>
      <c r="C19" s="22" t="s">
        <v>21</v>
      </c>
      <c r="D19" s="24">
        <f t="shared" si="1"/>
        <v>76.480107640937121</v>
      </c>
      <c r="E19" s="29"/>
      <c r="F19" s="24">
        <f>D$3/G19</f>
        <v>1650.5508024701828</v>
      </c>
      <c r="G19" s="22">
        <v>19</v>
      </c>
      <c r="H19" s="22" t="s">
        <v>11</v>
      </c>
      <c r="I19" s="40">
        <f t="shared" si="2"/>
        <v>53.555932592338117</v>
      </c>
      <c r="J19" s="33">
        <f t="shared" si="3"/>
        <v>639.45248086035917</v>
      </c>
      <c r="K19" s="22">
        <v>29</v>
      </c>
      <c r="L19" s="22" t="s">
        <v>21</v>
      </c>
      <c r="M19" s="24">
        <f t="shared" si="4"/>
        <v>76.480107640937121</v>
      </c>
      <c r="N19" s="29"/>
      <c r="O19" s="24">
        <f>M$3/P19</f>
        <v>1690.4927047582689</v>
      </c>
      <c r="P19" s="29">
        <v>19</v>
      </c>
      <c r="Q19" s="22" t="s">
        <v>11</v>
      </c>
      <c r="R19" s="40">
        <f t="shared" si="5"/>
        <v>53.555932592338117</v>
      </c>
      <c r="S19" s="33" t="e">
        <f t="shared" si="6"/>
        <v>#DIV/0!</v>
      </c>
      <c r="T19" s="22">
        <v>29</v>
      </c>
      <c r="U19" s="22" t="s">
        <v>21</v>
      </c>
      <c r="V19" s="24" t="e">
        <f t="shared" si="7"/>
        <v>#DIV/0!</v>
      </c>
      <c r="W19" s="29"/>
      <c r="X19" s="24" t="e">
        <f>V$3/Y19</f>
        <v>#DIV/0!</v>
      </c>
      <c r="Y19" s="29">
        <v>19</v>
      </c>
      <c r="Z19" s="22" t="s">
        <v>11</v>
      </c>
      <c r="AA19" s="40" t="e">
        <f t="shared" si="8"/>
        <v>#DIV/0!</v>
      </c>
      <c r="AB19" s="33" t="e">
        <f t="shared" si="9"/>
        <v>#DIV/0!</v>
      </c>
      <c r="AC19" s="22">
        <v>29</v>
      </c>
      <c r="AD19" s="22" t="s">
        <v>21</v>
      </c>
      <c r="AE19" s="24" t="e">
        <f t="shared" si="10"/>
        <v>#DIV/0!</v>
      </c>
      <c r="AF19" s="29"/>
      <c r="AG19" s="24" t="e">
        <f>AE$3/AH19</f>
        <v>#DIV/0!</v>
      </c>
      <c r="AH19" s="29">
        <v>19</v>
      </c>
      <c r="AI19" s="22" t="s">
        <v>11</v>
      </c>
      <c r="AJ19" s="40" t="e">
        <f t="shared" si="11"/>
        <v>#DIV/0!</v>
      </c>
      <c r="AK19" s="33" t="e">
        <f t="shared" si="12"/>
        <v>#DIV/0!</v>
      </c>
      <c r="AL19" s="22">
        <v>29</v>
      </c>
      <c r="AM19" s="22" t="s">
        <v>21</v>
      </c>
      <c r="AN19" s="24" t="e">
        <f t="shared" si="13"/>
        <v>#DIV/0!</v>
      </c>
      <c r="AO19" s="29"/>
      <c r="AP19" s="24" t="e">
        <f>AN$3/AQ19</f>
        <v>#DIV/0!</v>
      </c>
      <c r="AQ19" s="29">
        <v>19</v>
      </c>
      <c r="AR19" s="22" t="s">
        <v>11</v>
      </c>
      <c r="AS19" s="40" t="e">
        <f t="shared" si="14"/>
        <v>#DIV/0!</v>
      </c>
    </row>
    <row r="20" spans="1:45">
      <c r="A20" s="33">
        <f t="shared" si="0"/>
        <v>646.64189472246233</v>
      </c>
      <c r="B20" s="22">
        <v>28</v>
      </c>
      <c r="C20" s="22" t="s">
        <v>21</v>
      </c>
      <c r="D20" s="24">
        <f t="shared" si="1"/>
        <v>74.187690136077222</v>
      </c>
      <c r="E20" s="29"/>
      <c r="F20" s="24">
        <f>D$3/G20</f>
        <v>1742.2480692740819</v>
      </c>
      <c r="G20" s="22">
        <v>18</v>
      </c>
      <c r="H20" s="22" t="s">
        <v>11</v>
      </c>
      <c r="I20" s="40">
        <f t="shared" si="2"/>
        <v>51.263515087478218</v>
      </c>
      <c r="J20" s="33">
        <f t="shared" si="3"/>
        <v>662.29006946251491</v>
      </c>
      <c r="K20" s="22">
        <v>28</v>
      </c>
      <c r="L20" s="22" t="s">
        <v>21</v>
      </c>
      <c r="M20" s="24">
        <f t="shared" si="4"/>
        <v>74.187690136077222</v>
      </c>
      <c r="N20" s="29"/>
      <c r="O20" s="24">
        <f>M$3/P20</f>
        <v>1784.4089661337284</v>
      </c>
      <c r="P20" s="29">
        <v>18</v>
      </c>
      <c r="Q20" s="22" t="s">
        <v>11</v>
      </c>
      <c r="R20" s="40">
        <f t="shared" si="5"/>
        <v>51.263515087478218</v>
      </c>
      <c r="S20" s="33" t="e">
        <f t="shared" si="6"/>
        <v>#DIV/0!</v>
      </c>
      <c r="T20" s="22">
        <v>28</v>
      </c>
      <c r="U20" s="22" t="s">
        <v>21</v>
      </c>
      <c r="V20" s="24" t="e">
        <f t="shared" si="7"/>
        <v>#DIV/0!</v>
      </c>
      <c r="W20" s="29"/>
      <c r="X20" s="24" t="e">
        <f>V$3/Y20</f>
        <v>#DIV/0!</v>
      </c>
      <c r="Y20" s="29">
        <v>18</v>
      </c>
      <c r="Z20" s="22" t="s">
        <v>11</v>
      </c>
      <c r="AA20" s="40" t="e">
        <f t="shared" si="8"/>
        <v>#DIV/0!</v>
      </c>
      <c r="AB20" s="33" t="e">
        <f t="shared" si="9"/>
        <v>#DIV/0!</v>
      </c>
      <c r="AC20" s="22">
        <v>28</v>
      </c>
      <c r="AD20" s="22" t="s">
        <v>21</v>
      </c>
      <c r="AE20" s="24" t="e">
        <f t="shared" si="10"/>
        <v>#DIV/0!</v>
      </c>
      <c r="AF20" s="29"/>
      <c r="AG20" s="24" t="e">
        <f>AE$3/AH20</f>
        <v>#DIV/0!</v>
      </c>
      <c r="AH20" s="29">
        <v>18</v>
      </c>
      <c r="AI20" s="22" t="s">
        <v>11</v>
      </c>
      <c r="AJ20" s="40" t="e">
        <f t="shared" si="11"/>
        <v>#DIV/0!</v>
      </c>
      <c r="AK20" s="33" t="e">
        <f t="shared" si="12"/>
        <v>#DIV/0!</v>
      </c>
      <c r="AL20" s="22">
        <v>28</v>
      </c>
      <c r="AM20" s="22" t="s">
        <v>21</v>
      </c>
      <c r="AN20" s="24" t="e">
        <f t="shared" si="13"/>
        <v>#DIV/0!</v>
      </c>
      <c r="AO20" s="29"/>
      <c r="AP20" s="24" t="e">
        <f>AN$3/AQ20</f>
        <v>#DIV/0!</v>
      </c>
      <c r="AQ20" s="29">
        <v>18</v>
      </c>
      <c r="AR20" s="22" t="s">
        <v>11</v>
      </c>
      <c r="AS20" s="40" t="e">
        <f t="shared" si="14"/>
        <v>#DIV/0!</v>
      </c>
    </row>
    <row r="21" spans="1:45">
      <c r="A21" s="34">
        <f t="shared" si="0"/>
        <v>670.59159452699805</v>
      </c>
      <c r="B21" s="25">
        <v>27</v>
      </c>
      <c r="C21" s="25" t="s">
        <v>21</v>
      </c>
      <c r="D21" s="26">
        <f t="shared" si="1"/>
        <v>71.895272631217324</v>
      </c>
      <c r="E21" s="23"/>
      <c r="F21" s="26">
        <f>D$4/G21</f>
        <v>1810.5973052228946</v>
      </c>
      <c r="G21" s="25">
        <v>10</v>
      </c>
      <c r="H21" s="25" t="s">
        <v>21</v>
      </c>
      <c r="I21" s="41">
        <f t="shared" si="2"/>
        <v>32.924175048599011</v>
      </c>
      <c r="J21" s="34">
        <f t="shared" si="3"/>
        <v>686.81933129445986</v>
      </c>
      <c r="K21" s="25">
        <v>27</v>
      </c>
      <c r="L21" s="25" t="s">
        <v>21</v>
      </c>
      <c r="M21" s="26">
        <f t="shared" si="4"/>
        <v>71.895272631217324</v>
      </c>
      <c r="N21" s="23"/>
      <c r="O21" s="26">
        <f>M$4/P21</f>
        <v>1854.4121944950416</v>
      </c>
      <c r="P21" s="23">
        <v>10</v>
      </c>
      <c r="Q21" s="25" t="s">
        <v>21</v>
      </c>
      <c r="R21" s="41">
        <f t="shared" si="5"/>
        <v>32.924175048599011</v>
      </c>
      <c r="S21" s="34" t="e">
        <f t="shared" si="6"/>
        <v>#DIV/0!</v>
      </c>
      <c r="T21" s="25">
        <v>27</v>
      </c>
      <c r="U21" s="25" t="s">
        <v>21</v>
      </c>
      <c r="V21" s="26" t="e">
        <f t="shared" si="7"/>
        <v>#DIV/0!</v>
      </c>
      <c r="W21" s="23"/>
      <c r="X21" s="26" t="e">
        <f>V$4/Y21</f>
        <v>#DIV/0!</v>
      </c>
      <c r="Y21" s="23">
        <v>10</v>
      </c>
      <c r="Z21" s="25" t="s">
        <v>21</v>
      </c>
      <c r="AA21" s="41" t="e">
        <f t="shared" si="8"/>
        <v>#DIV/0!</v>
      </c>
      <c r="AB21" s="34" t="e">
        <f t="shared" si="9"/>
        <v>#DIV/0!</v>
      </c>
      <c r="AC21" s="25">
        <v>27</v>
      </c>
      <c r="AD21" s="25" t="s">
        <v>21</v>
      </c>
      <c r="AE21" s="26" t="e">
        <f t="shared" si="10"/>
        <v>#DIV/0!</v>
      </c>
      <c r="AF21" s="23"/>
      <c r="AG21" s="26" t="e">
        <f>AE$4/AH21</f>
        <v>#DIV/0!</v>
      </c>
      <c r="AH21" s="23">
        <v>10</v>
      </c>
      <c r="AI21" s="25" t="s">
        <v>21</v>
      </c>
      <c r="AJ21" s="41" t="e">
        <f t="shared" si="11"/>
        <v>#DIV/0!</v>
      </c>
      <c r="AK21" s="34" t="e">
        <f t="shared" si="12"/>
        <v>#DIV/0!</v>
      </c>
      <c r="AL21" s="25">
        <v>27</v>
      </c>
      <c r="AM21" s="25" t="s">
        <v>21</v>
      </c>
      <c r="AN21" s="26" t="e">
        <f t="shared" si="13"/>
        <v>#DIV/0!</v>
      </c>
      <c r="AO21" s="23"/>
      <c r="AP21" s="26" t="e">
        <f>AN$4/AQ21</f>
        <v>#DIV/0!</v>
      </c>
      <c r="AQ21" s="23">
        <v>10</v>
      </c>
      <c r="AR21" s="25" t="s">
        <v>21</v>
      </c>
      <c r="AS21" s="41" t="e">
        <f t="shared" si="14"/>
        <v>#DIV/0!</v>
      </c>
    </row>
    <row r="22" spans="1:45">
      <c r="A22" s="34">
        <f t="shared" si="0"/>
        <v>696.38357893188254</v>
      </c>
      <c r="B22" s="25">
        <v>26</v>
      </c>
      <c r="C22" s="25" t="s">
        <v>21</v>
      </c>
      <c r="D22" s="26">
        <f t="shared" si="1"/>
        <v>69.602855126357426</v>
      </c>
      <c r="E22" s="23"/>
      <c r="F22" s="26">
        <f>D$3/G22</f>
        <v>1844.733249819616</v>
      </c>
      <c r="G22" s="25">
        <v>17</v>
      </c>
      <c r="H22" s="25" t="s">
        <v>11</v>
      </c>
      <c r="I22" s="41">
        <f t="shared" si="2"/>
        <v>48.971097582618313</v>
      </c>
      <c r="J22" s="34">
        <f t="shared" si="3"/>
        <v>713.23545942116994</v>
      </c>
      <c r="K22" s="25">
        <v>26</v>
      </c>
      <c r="L22" s="25" t="s">
        <v>21</v>
      </c>
      <c r="M22" s="26">
        <f t="shared" si="4"/>
        <v>69.602855126357426</v>
      </c>
      <c r="N22" s="23"/>
      <c r="O22" s="26">
        <f>M$3/P22</f>
        <v>1889.3741994357124</v>
      </c>
      <c r="P22" s="23">
        <v>17</v>
      </c>
      <c r="Q22" s="25" t="s">
        <v>11</v>
      </c>
      <c r="R22" s="41">
        <f t="shared" si="5"/>
        <v>48.971097582618313</v>
      </c>
      <c r="S22" s="34" t="e">
        <f t="shared" si="6"/>
        <v>#DIV/0!</v>
      </c>
      <c r="T22" s="25">
        <v>26</v>
      </c>
      <c r="U22" s="25" t="s">
        <v>21</v>
      </c>
      <c r="V22" s="26" t="e">
        <f t="shared" si="7"/>
        <v>#DIV/0!</v>
      </c>
      <c r="W22" s="23"/>
      <c r="X22" s="26" t="e">
        <f>V$3/Y22</f>
        <v>#DIV/0!</v>
      </c>
      <c r="Y22" s="23">
        <v>17</v>
      </c>
      <c r="Z22" s="25" t="s">
        <v>11</v>
      </c>
      <c r="AA22" s="41" t="e">
        <f t="shared" si="8"/>
        <v>#DIV/0!</v>
      </c>
      <c r="AB22" s="34" t="e">
        <f t="shared" si="9"/>
        <v>#DIV/0!</v>
      </c>
      <c r="AC22" s="25">
        <v>26</v>
      </c>
      <c r="AD22" s="25" t="s">
        <v>21</v>
      </c>
      <c r="AE22" s="26" t="e">
        <f t="shared" si="10"/>
        <v>#DIV/0!</v>
      </c>
      <c r="AF22" s="23"/>
      <c r="AG22" s="26" t="e">
        <f>AE$3/AH22</f>
        <v>#DIV/0!</v>
      </c>
      <c r="AH22" s="23">
        <v>17</v>
      </c>
      <c r="AI22" s="25" t="s">
        <v>11</v>
      </c>
      <c r="AJ22" s="41" t="e">
        <f t="shared" si="11"/>
        <v>#DIV/0!</v>
      </c>
      <c r="AK22" s="34" t="e">
        <f t="shared" si="12"/>
        <v>#DIV/0!</v>
      </c>
      <c r="AL22" s="25">
        <v>26</v>
      </c>
      <c r="AM22" s="25" t="s">
        <v>21</v>
      </c>
      <c r="AN22" s="26" t="e">
        <f t="shared" si="13"/>
        <v>#DIV/0!</v>
      </c>
      <c r="AO22" s="23"/>
      <c r="AP22" s="26" t="e">
        <f>AN$3/AQ22</f>
        <v>#DIV/0!</v>
      </c>
      <c r="AQ22" s="23">
        <v>17</v>
      </c>
      <c r="AR22" s="25" t="s">
        <v>11</v>
      </c>
      <c r="AS22" s="41" t="e">
        <f t="shared" si="14"/>
        <v>#DIV/0!</v>
      </c>
    </row>
    <row r="23" spans="1:45">
      <c r="A23" s="33">
        <f t="shared" si="0"/>
        <v>724.23892208915788</v>
      </c>
      <c r="B23" s="22">
        <v>25</v>
      </c>
      <c r="C23" s="22" t="s">
        <v>21</v>
      </c>
      <c r="D23" s="24">
        <f t="shared" si="1"/>
        <v>67.310437621497528</v>
      </c>
      <c r="E23" s="29"/>
      <c r="F23" s="24">
        <f>D$3/G23</f>
        <v>1960.029077933342</v>
      </c>
      <c r="G23" s="22">
        <v>16</v>
      </c>
      <c r="H23" s="22" t="s">
        <v>11</v>
      </c>
      <c r="I23" s="40">
        <f t="shared" si="2"/>
        <v>46.678680077758415</v>
      </c>
      <c r="J23" s="33">
        <f t="shared" si="3"/>
        <v>741.76487779801664</v>
      </c>
      <c r="K23" s="22">
        <v>25</v>
      </c>
      <c r="L23" s="22" t="s">
        <v>21</v>
      </c>
      <c r="M23" s="24">
        <f t="shared" si="4"/>
        <v>67.310437621497528</v>
      </c>
      <c r="N23" s="29"/>
      <c r="O23" s="24">
        <f>M$3/P23</f>
        <v>2007.4600869004444</v>
      </c>
      <c r="P23" s="29">
        <v>16</v>
      </c>
      <c r="Q23" s="22" t="s">
        <v>11</v>
      </c>
      <c r="R23" s="40">
        <f t="shared" si="5"/>
        <v>46.678680077758415</v>
      </c>
      <c r="S23" s="33" t="e">
        <f t="shared" si="6"/>
        <v>#DIV/0!</v>
      </c>
      <c r="T23" s="22">
        <v>25</v>
      </c>
      <c r="U23" s="22" t="s">
        <v>21</v>
      </c>
      <c r="V23" s="24" t="e">
        <f t="shared" si="7"/>
        <v>#DIV/0!</v>
      </c>
      <c r="W23" s="29"/>
      <c r="X23" s="24" t="e">
        <f>V$3/Y23</f>
        <v>#DIV/0!</v>
      </c>
      <c r="Y23" s="29">
        <v>16</v>
      </c>
      <c r="Z23" s="22" t="s">
        <v>11</v>
      </c>
      <c r="AA23" s="40" t="e">
        <f t="shared" si="8"/>
        <v>#DIV/0!</v>
      </c>
      <c r="AB23" s="33" t="e">
        <f t="shared" si="9"/>
        <v>#DIV/0!</v>
      </c>
      <c r="AC23" s="22">
        <v>25</v>
      </c>
      <c r="AD23" s="22" t="s">
        <v>21</v>
      </c>
      <c r="AE23" s="24" t="e">
        <f t="shared" si="10"/>
        <v>#DIV/0!</v>
      </c>
      <c r="AF23" s="29"/>
      <c r="AG23" s="24" t="e">
        <f>AE$3/AH23</f>
        <v>#DIV/0!</v>
      </c>
      <c r="AH23" s="29">
        <v>16</v>
      </c>
      <c r="AI23" s="22" t="s">
        <v>11</v>
      </c>
      <c r="AJ23" s="40" t="e">
        <f t="shared" si="11"/>
        <v>#DIV/0!</v>
      </c>
      <c r="AK23" s="33" t="e">
        <f t="shared" si="12"/>
        <v>#DIV/0!</v>
      </c>
      <c r="AL23" s="22">
        <v>25</v>
      </c>
      <c r="AM23" s="22" t="s">
        <v>21</v>
      </c>
      <c r="AN23" s="24" t="e">
        <f t="shared" si="13"/>
        <v>#DIV/0!</v>
      </c>
      <c r="AO23" s="29"/>
      <c r="AP23" s="24" t="e">
        <f>AN$3/AQ23</f>
        <v>#DIV/0!</v>
      </c>
      <c r="AQ23" s="29">
        <v>16</v>
      </c>
      <c r="AR23" s="22" t="s">
        <v>11</v>
      </c>
      <c r="AS23" s="40" t="e">
        <f t="shared" si="14"/>
        <v>#DIV/0!</v>
      </c>
    </row>
    <row r="24" spans="1:45">
      <c r="A24" s="33">
        <f t="shared" si="0"/>
        <v>754.41554384287281</v>
      </c>
      <c r="B24" s="22">
        <v>24</v>
      </c>
      <c r="C24" s="22" t="s">
        <v>21</v>
      </c>
      <c r="D24" s="24">
        <f t="shared" si="1"/>
        <v>65.018020116637615</v>
      </c>
      <c r="E24" s="29"/>
      <c r="F24" s="24">
        <f>D$4/G24</f>
        <v>2011.7747835809942</v>
      </c>
      <c r="G24" s="22">
        <v>9</v>
      </c>
      <c r="H24" s="22" t="s">
        <v>21</v>
      </c>
      <c r="I24" s="40">
        <f t="shared" si="2"/>
        <v>30.631757543739109</v>
      </c>
      <c r="J24" s="33">
        <f t="shared" si="3"/>
        <v>772.67174770626741</v>
      </c>
      <c r="K24" s="22">
        <v>24</v>
      </c>
      <c r="L24" s="22" t="s">
        <v>21</v>
      </c>
      <c r="M24" s="24">
        <f t="shared" si="4"/>
        <v>65.018020116637615</v>
      </c>
      <c r="N24" s="29"/>
      <c r="O24" s="24">
        <f>M$4/P24</f>
        <v>2060.4579938833795</v>
      </c>
      <c r="P24" s="29">
        <v>9</v>
      </c>
      <c r="Q24" s="22" t="s">
        <v>21</v>
      </c>
      <c r="R24" s="40">
        <f t="shared" si="5"/>
        <v>30.631757543739109</v>
      </c>
      <c r="S24" s="33" t="e">
        <f t="shared" si="6"/>
        <v>#DIV/0!</v>
      </c>
      <c r="T24" s="22">
        <v>24</v>
      </c>
      <c r="U24" s="22" t="s">
        <v>21</v>
      </c>
      <c r="V24" s="24" t="e">
        <f t="shared" si="7"/>
        <v>#DIV/0!</v>
      </c>
      <c r="W24" s="29"/>
      <c r="X24" s="24" t="e">
        <f>V$4/Y24</f>
        <v>#DIV/0!</v>
      </c>
      <c r="Y24" s="29">
        <v>9</v>
      </c>
      <c r="Z24" s="22" t="s">
        <v>21</v>
      </c>
      <c r="AA24" s="40" t="e">
        <f t="shared" si="8"/>
        <v>#DIV/0!</v>
      </c>
      <c r="AB24" s="33" t="e">
        <f t="shared" si="9"/>
        <v>#DIV/0!</v>
      </c>
      <c r="AC24" s="22">
        <v>24</v>
      </c>
      <c r="AD24" s="22" t="s">
        <v>21</v>
      </c>
      <c r="AE24" s="24" t="e">
        <f t="shared" si="10"/>
        <v>#DIV/0!</v>
      </c>
      <c r="AF24" s="29"/>
      <c r="AG24" s="24" t="e">
        <f>AE$4/AH24</f>
        <v>#DIV/0!</v>
      </c>
      <c r="AH24" s="29">
        <v>9</v>
      </c>
      <c r="AI24" s="22" t="s">
        <v>21</v>
      </c>
      <c r="AJ24" s="40" t="e">
        <f t="shared" si="11"/>
        <v>#DIV/0!</v>
      </c>
      <c r="AK24" s="33" t="e">
        <f t="shared" si="12"/>
        <v>#DIV/0!</v>
      </c>
      <c r="AL24" s="22">
        <v>24</v>
      </c>
      <c r="AM24" s="22" t="s">
        <v>21</v>
      </c>
      <c r="AN24" s="24" t="e">
        <f t="shared" si="13"/>
        <v>#DIV/0!</v>
      </c>
      <c r="AO24" s="29"/>
      <c r="AP24" s="24" t="e">
        <f>AN$4/AQ24</f>
        <v>#DIV/0!</v>
      </c>
      <c r="AQ24" s="29">
        <v>9</v>
      </c>
      <c r="AR24" s="22" t="s">
        <v>21</v>
      </c>
      <c r="AS24" s="40" t="e">
        <f t="shared" si="14"/>
        <v>#DIV/0!</v>
      </c>
    </row>
    <row r="25" spans="1:45">
      <c r="A25" s="34">
        <f>D$3/B25</f>
        <v>764.88939626667002</v>
      </c>
      <c r="B25" s="25">
        <v>41</v>
      </c>
      <c r="C25" s="25" t="s">
        <v>11</v>
      </c>
      <c r="D25" s="26">
        <f t="shared" si="1"/>
        <v>103.98911769925594</v>
      </c>
      <c r="E25" s="23"/>
      <c r="F25" s="26">
        <f>D$3/G25</f>
        <v>2090.697683128898</v>
      </c>
      <c r="G25" s="25">
        <v>15</v>
      </c>
      <c r="H25" s="25" t="s">
        <v>11</v>
      </c>
      <c r="I25" s="41">
        <f t="shared" si="2"/>
        <v>44.386262572898517</v>
      </c>
      <c r="J25" s="34">
        <f>M$3/K25</f>
        <v>783.39905830261239</v>
      </c>
      <c r="K25" s="25">
        <v>41</v>
      </c>
      <c r="L25" s="25" t="s">
        <v>11</v>
      </c>
      <c r="M25" s="26">
        <f t="shared" si="4"/>
        <v>103.98911769925594</v>
      </c>
      <c r="N25" s="23"/>
      <c r="O25" s="26">
        <f>M$3/P25</f>
        <v>2141.2907593604741</v>
      </c>
      <c r="P25" s="23">
        <v>15</v>
      </c>
      <c r="Q25" s="25" t="s">
        <v>11</v>
      </c>
      <c r="R25" s="41">
        <f t="shared" si="5"/>
        <v>44.386262572898517</v>
      </c>
      <c r="S25" s="34" t="e">
        <f>V$3/T25</f>
        <v>#DIV/0!</v>
      </c>
      <c r="T25" s="25">
        <v>41</v>
      </c>
      <c r="U25" s="25" t="s">
        <v>11</v>
      </c>
      <c r="V25" s="26" t="e">
        <f t="shared" si="7"/>
        <v>#DIV/0!</v>
      </c>
      <c r="W25" s="23"/>
      <c r="X25" s="26" t="e">
        <f>V$3/Y25</f>
        <v>#DIV/0!</v>
      </c>
      <c r="Y25" s="23">
        <v>15</v>
      </c>
      <c r="Z25" s="25" t="s">
        <v>11</v>
      </c>
      <c r="AA25" s="41" t="e">
        <f t="shared" si="8"/>
        <v>#DIV/0!</v>
      </c>
      <c r="AB25" s="34" t="e">
        <f>AE$3/AC25</f>
        <v>#DIV/0!</v>
      </c>
      <c r="AC25" s="25">
        <v>41</v>
      </c>
      <c r="AD25" s="25" t="s">
        <v>11</v>
      </c>
      <c r="AE25" s="26" t="e">
        <f t="shared" si="10"/>
        <v>#DIV/0!</v>
      </c>
      <c r="AF25" s="23"/>
      <c r="AG25" s="26" t="e">
        <f>AE$3/AH25</f>
        <v>#DIV/0!</v>
      </c>
      <c r="AH25" s="23">
        <v>15</v>
      </c>
      <c r="AI25" s="25" t="s">
        <v>11</v>
      </c>
      <c r="AJ25" s="41" t="e">
        <f t="shared" si="11"/>
        <v>#DIV/0!</v>
      </c>
      <c r="AK25" s="34" t="e">
        <f>AN$3/AL25</f>
        <v>#DIV/0!</v>
      </c>
      <c r="AL25" s="25">
        <v>41</v>
      </c>
      <c r="AM25" s="25" t="s">
        <v>11</v>
      </c>
      <c r="AN25" s="26" t="e">
        <f t="shared" si="13"/>
        <v>#DIV/0!</v>
      </c>
      <c r="AO25" s="23"/>
      <c r="AP25" s="26" t="e">
        <f>AN$3/AQ25</f>
        <v>#DIV/0!</v>
      </c>
      <c r="AQ25" s="23">
        <v>15</v>
      </c>
      <c r="AR25" s="25" t="s">
        <v>11</v>
      </c>
      <c r="AS25" s="41" t="e">
        <f t="shared" si="14"/>
        <v>#DIV/0!</v>
      </c>
    </row>
    <row r="26" spans="1:45">
      <c r="A26" s="34">
        <f>D$3/B26</f>
        <v>784.01163117333681</v>
      </c>
      <c r="B26" s="25">
        <v>40</v>
      </c>
      <c r="C26" s="25" t="s">
        <v>11</v>
      </c>
      <c r="D26" s="26">
        <f t="shared" si="1"/>
        <v>101.69670019439604</v>
      </c>
      <c r="E26" s="23"/>
      <c r="F26" s="26">
        <f>D$3/G26</f>
        <v>2240.0332319238196</v>
      </c>
      <c r="G26" s="25">
        <v>14</v>
      </c>
      <c r="H26" s="25" t="s">
        <v>11</v>
      </c>
      <c r="I26" s="41">
        <f t="shared" si="2"/>
        <v>42.093845068038611</v>
      </c>
      <c r="J26" s="34">
        <f>M$3/K26</f>
        <v>802.98403476017779</v>
      </c>
      <c r="K26" s="25">
        <v>40</v>
      </c>
      <c r="L26" s="25" t="s">
        <v>11</v>
      </c>
      <c r="M26" s="26">
        <f t="shared" si="4"/>
        <v>101.69670019439604</v>
      </c>
      <c r="N26" s="23"/>
      <c r="O26" s="26">
        <f>M$3/P26</f>
        <v>2294.2400993147935</v>
      </c>
      <c r="P26" s="23">
        <v>14</v>
      </c>
      <c r="Q26" s="25" t="s">
        <v>11</v>
      </c>
      <c r="R26" s="41">
        <f t="shared" si="5"/>
        <v>42.093845068038611</v>
      </c>
      <c r="S26" s="34" t="e">
        <f>V$3/T26</f>
        <v>#DIV/0!</v>
      </c>
      <c r="T26" s="25">
        <v>40</v>
      </c>
      <c r="U26" s="25" t="s">
        <v>11</v>
      </c>
      <c r="V26" s="26" t="e">
        <f t="shared" si="7"/>
        <v>#DIV/0!</v>
      </c>
      <c r="W26" s="23"/>
      <c r="X26" s="26" t="e">
        <f>V$3/Y26</f>
        <v>#DIV/0!</v>
      </c>
      <c r="Y26" s="23">
        <v>14</v>
      </c>
      <c r="Z26" s="25" t="s">
        <v>11</v>
      </c>
      <c r="AA26" s="41" t="e">
        <f t="shared" si="8"/>
        <v>#DIV/0!</v>
      </c>
      <c r="AB26" s="34" t="e">
        <f>AE$3/AC26</f>
        <v>#DIV/0!</v>
      </c>
      <c r="AC26" s="25">
        <v>40</v>
      </c>
      <c r="AD26" s="25" t="s">
        <v>11</v>
      </c>
      <c r="AE26" s="26" t="e">
        <f t="shared" si="10"/>
        <v>#DIV/0!</v>
      </c>
      <c r="AF26" s="23"/>
      <c r="AG26" s="26" t="e">
        <f>AE$3/AH26</f>
        <v>#DIV/0!</v>
      </c>
      <c r="AH26" s="23">
        <v>14</v>
      </c>
      <c r="AI26" s="25" t="s">
        <v>11</v>
      </c>
      <c r="AJ26" s="41" t="e">
        <f t="shared" si="11"/>
        <v>#DIV/0!</v>
      </c>
      <c r="AK26" s="34" t="e">
        <f>AN$3/AL26</f>
        <v>#DIV/0!</v>
      </c>
      <c r="AL26" s="25">
        <v>40</v>
      </c>
      <c r="AM26" s="25" t="s">
        <v>11</v>
      </c>
      <c r="AN26" s="26" t="e">
        <f t="shared" si="13"/>
        <v>#DIV/0!</v>
      </c>
      <c r="AO26" s="23"/>
      <c r="AP26" s="26" t="e">
        <f>AN$3/AQ26</f>
        <v>#DIV/0!</v>
      </c>
      <c r="AQ26" s="23">
        <v>14</v>
      </c>
      <c r="AR26" s="25" t="s">
        <v>11</v>
      </c>
      <c r="AS26" s="41" t="e">
        <f t="shared" si="14"/>
        <v>#DIV/0!</v>
      </c>
    </row>
    <row r="27" spans="1:45">
      <c r="A27" s="33">
        <f>D$4/B27</f>
        <v>787.21621966212808</v>
      </c>
      <c r="B27" s="22">
        <v>23</v>
      </c>
      <c r="C27" s="22" t="s">
        <v>21</v>
      </c>
      <c r="D27" s="24">
        <f t="shared" si="1"/>
        <v>62.725602611777724</v>
      </c>
      <c r="E27" s="29"/>
      <c r="F27" s="24">
        <f>D$4/G27</f>
        <v>2263.2466315286183</v>
      </c>
      <c r="G27" s="22">
        <v>8</v>
      </c>
      <c r="H27" s="22" t="s">
        <v>21</v>
      </c>
      <c r="I27" s="40">
        <f t="shared" si="2"/>
        <v>28.339340038879207</v>
      </c>
      <c r="J27" s="33">
        <f>M$4/K27</f>
        <v>806.26617151958339</v>
      </c>
      <c r="K27" s="22">
        <v>23</v>
      </c>
      <c r="L27" s="22" t="s">
        <v>21</v>
      </c>
      <c r="M27" s="24">
        <f t="shared" si="4"/>
        <v>62.725602611777724</v>
      </c>
      <c r="N27" s="29"/>
      <c r="O27" s="24">
        <f>M$4/P27</f>
        <v>2318.0152431188021</v>
      </c>
      <c r="P27" s="29">
        <v>8</v>
      </c>
      <c r="Q27" s="22" t="s">
        <v>21</v>
      </c>
      <c r="R27" s="40">
        <f t="shared" si="5"/>
        <v>28.339340038879207</v>
      </c>
      <c r="S27" s="33" t="e">
        <f>V$4/T27</f>
        <v>#DIV/0!</v>
      </c>
      <c r="T27" s="22">
        <v>23</v>
      </c>
      <c r="U27" s="22" t="s">
        <v>21</v>
      </c>
      <c r="V27" s="24" t="e">
        <f t="shared" si="7"/>
        <v>#DIV/0!</v>
      </c>
      <c r="W27" s="29"/>
      <c r="X27" s="24" t="e">
        <f>V$4/Y27</f>
        <v>#DIV/0!</v>
      </c>
      <c r="Y27" s="29">
        <v>8</v>
      </c>
      <c r="Z27" s="22" t="s">
        <v>21</v>
      </c>
      <c r="AA27" s="40" t="e">
        <f t="shared" si="8"/>
        <v>#DIV/0!</v>
      </c>
      <c r="AB27" s="33" t="e">
        <f>AE$4/AC27</f>
        <v>#DIV/0!</v>
      </c>
      <c r="AC27" s="22">
        <v>23</v>
      </c>
      <c r="AD27" s="22" t="s">
        <v>21</v>
      </c>
      <c r="AE27" s="24" t="e">
        <f t="shared" si="10"/>
        <v>#DIV/0!</v>
      </c>
      <c r="AF27" s="29"/>
      <c r="AG27" s="24" t="e">
        <f>AE$4/AH27</f>
        <v>#DIV/0!</v>
      </c>
      <c r="AH27" s="29">
        <v>8</v>
      </c>
      <c r="AI27" s="22" t="s">
        <v>21</v>
      </c>
      <c r="AJ27" s="40" t="e">
        <f t="shared" si="11"/>
        <v>#DIV/0!</v>
      </c>
      <c r="AK27" s="33" t="e">
        <f>AN$4/AL27</f>
        <v>#DIV/0!</v>
      </c>
      <c r="AL27" s="22">
        <v>23</v>
      </c>
      <c r="AM27" s="22" t="s">
        <v>21</v>
      </c>
      <c r="AN27" s="24" t="e">
        <f t="shared" si="13"/>
        <v>#DIV/0!</v>
      </c>
      <c r="AO27" s="29"/>
      <c r="AP27" s="24" t="e">
        <f>AN$4/AQ27</f>
        <v>#DIV/0!</v>
      </c>
      <c r="AQ27" s="29">
        <v>8</v>
      </c>
      <c r="AR27" s="22" t="s">
        <v>21</v>
      </c>
      <c r="AS27" s="40" t="e">
        <f t="shared" si="14"/>
        <v>#DIV/0!</v>
      </c>
    </row>
    <row r="28" spans="1:45">
      <c r="A28" s="33">
        <f>D$3/B28</f>
        <v>804.11449351111469</v>
      </c>
      <c r="B28" s="22">
        <v>39</v>
      </c>
      <c r="C28" s="22" t="s">
        <v>11</v>
      </c>
      <c r="D28" s="24">
        <f t="shared" si="1"/>
        <v>99.404282689536132</v>
      </c>
      <c r="E28" s="29"/>
      <c r="F28" s="24">
        <f>D$3/G28</f>
        <v>2412.3434805333441</v>
      </c>
      <c r="G28" s="22">
        <v>13</v>
      </c>
      <c r="H28" s="22" t="s">
        <v>11</v>
      </c>
      <c r="I28" s="40">
        <f t="shared" si="2"/>
        <v>39.801427563178713</v>
      </c>
      <c r="J28" s="33">
        <f>M$3/K28</f>
        <v>823.57336898479764</v>
      </c>
      <c r="K28" s="22">
        <v>39</v>
      </c>
      <c r="L28" s="22" t="s">
        <v>11</v>
      </c>
      <c r="M28" s="24">
        <f t="shared" si="4"/>
        <v>99.404282689536132</v>
      </c>
      <c r="N28" s="29"/>
      <c r="O28" s="24">
        <f>M$3/P28</f>
        <v>2470.720106954393</v>
      </c>
      <c r="P28" s="29">
        <v>13</v>
      </c>
      <c r="Q28" s="22" t="s">
        <v>11</v>
      </c>
      <c r="R28" s="40">
        <f t="shared" si="5"/>
        <v>39.801427563178713</v>
      </c>
      <c r="S28" s="33" t="e">
        <f>V$3/T28</f>
        <v>#DIV/0!</v>
      </c>
      <c r="T28" s="22">
        <v>39</v>
      </c>
      <c r="U28" s="22" t="s">
        <v>11</v>
      </c>
      <c r="V28" s="24" t="e">
        <f t="shared" si="7"/>
        <v>#DIV/0!</v>
      </c>
      <c r="W28" s="29"/>
      <c r="X28" s="24" t="e">
        <f>V$3/Y28</f>
        <v>#DIV/0!</v>
      </c>
      <c r="Y28" s="29">
        <v>13</v>
      </c>
      <c r="Z28" s="22" t="s">
        <v>11</v>
      </c>
      <c r="AA28" s="40" t="e">
        <f t="shared" si="8"/>
        <v>#DIV/0!</v>
      </c>
      <c r="AB28" s="33" t="e">
        <f>AE$3/AC28</f>
        <v>#DIV/0!</v>
      </c>
      <c r="AC28" s="22">
        <v>39</v>
      </c>
      <c r="AD28" s="22" t="s">
        <v>11</v>
      </c>
      <c r="AE28" s="24" t="e">
        <f t="shared" si="10"/>
        <v>#DIV/0!</v>
      </c>
      <c r="AF28" s="29"/>
      <c r="AG28" s="24" t="e">
        <f>AE$3/AH28</f>
        <v>#DIV/0!</v>
      </c>
      <c r="AH28" s="29">
        <v>13</v>
      </c>
      <c r="AI28" s="22" t="s">
        <v>11</v>
      </c>
      <c r="AJ28" s="40" t="e">
        <f t="shared" si="11"/>
        <v>#DIV/0!</v>
      </c>
      <c r="AK28" s="33" t="e">
        <f>AN$3/AL28</f>
        <v>#DIV/0!</v>
      </c>
      <c r="AL28" s="22">
        <v>39</v>
      </c>
      <c r="AM28" s="22" t="s">
        <v>11</v>
      </c>
      <c r="AN28" s="24" t="e">
        <f t="shared" si="13"/>
        <v>#DIV/0!</v>
      </c>
      <c r="AO28" s="29"/>
      <c r="AP28" s="24" t="e">
        <f>AN$3/AQ28</f>
        <v>#DIV/0!</v>
      </c>
      <c r="AQ28" s="29">
        <v>13</v>
      </c>
      <c r="AR28" s="22" t="s">
        <v>11</v>
      </c>
      <c r="AS28" s="40" t="e">
        <f t="shared" si="14"/>
        <v>#DIV/0!</v>
      </c>
    </row>
    <row r="29" spans="1:45">
      <c r="A29" s="34">
        <f>D$4/B29</f>
        <v>822.9987751013158</v>
      </c>
      <c r="B29" s="25">
        <v>22</v>
      </c>
      <c r="C29" s="25" t="s">
        <v>21</v>
      </c>
      <c r="D29" s="26">
        <f t="shared" si="1"/>
        <v>60.433185106917819</v>
      </c>
      <c r="E29" s="23"/>
      <c r="F29" s="26">
        <f>D$4/G29</f>
        <v>2586.5675788898493</v>
      </c>
      <c r="G29" s="25">
        <v>7</v>
      </c>
      <c r="H29" s="25" t="s">
        <v>21</v>
      </c>
      <c r="I29" s="41">
        <f t="shared" si="2"/>
        <v>26.046922534019306</v>
      </c>
      <c r="J29" s="34">
        <f>M$4/K29</f>
        <v>842.91463386138264</v>
      </c>
      <c r="K29" s="25">
        <v>22</v>
      </c>
      <c r="L29" s="25" t="s">
        <v>21</v>
      </c>
      <c r="M29" s="26">
        <f t="shared" si="4"/>
        <v>60.433185106917819</v>
      </c>
      <c r="N29" s="23"/>
      <c r="O29" s="26">
        <f>M$4/P29</f>
        <v>2649.1602778500596</v>
      </c>
      <c r="P29" s="23">
        <v>7</v>
      </c>
      <c r="Q29" s="25" t="s">
        <v>21</v>
      </c>
      <c r="R29" s="41">
        <f t="shared" si="5"/>
        <v>26.046922534019306</v>
      </c>
      <c r="S29" s="34" t="e">
        <f>V$4/T29</f>
        <v>#DIV/0!</v>
      </c>
      <c r="T29" s="25">
        <v>22</v>
      </c>
      <c r="U29" s="25" t="s">
        <v>21</v>
      </c>
      <c r="V29" s="26" t="e">
        <f t="shared" si="7"/>
        <v>#DIV/0!</v>
      </c>
      <c r="W29" s="23"/>
      <c r="X29" s="26" t="e">
        <f>V$4/Y29</f>
        <v>#DIV/0!</v>
      </c>
      <c r="Y29" s="23">
        <v>7</v>
      </c>
      <c r="Z29" s="25" t="s">
        <v>21</v>
      </c>
      <c r="AA29" s="41" t="e">
        <f t="shared" si="8"/>
        <v>#DIV/0!</v>
      </c>
      <c r="AB29" s="34" t="e">
        <f>AE$4/AC29</f>
        <v>#DIV/0!</v>
      </c>
      <c r="AC29" s="25">
        <v>22</v>
      </c>
      <c r="AD29" s="25" t="s">
        <v>21</v>
      </c>
      <c r="AE29" s="26" t="e">
        <f t="shared" si="10"/>
        <v>#DIV/0!</v>
      </c>
      <c r="AF29" s="23"/>
      <c r="AG29" s="26" t="e">
        <f>AE$4/AH29</f>
        <v>#DIV/0!</v>
      </c>
      <c r="AH29" s="23">
        <v>7</v>
      </c>
      <c r="AI29" s="25" t="s">
        <v>21</v>
      </c>
      <c r="AJ29" s="41" t="e">
        <f t="shared" si="11"/>
        <v>#DIV/0!</v>
      </c>
      <c r="AK29" s="34" t="e">
        <f>AN$4/AL29</f>
        <v>#DIV/0!</v>
      </c>
      <c r="AL29" s="25">
        <v>22</v>
      </c>
      <c r="AM29" s="25" t="s">
        <v>21</v>
      </c>
      <c r="AN29" s="26" t="e">
        <f t="shared" si="13"/>
        <v>#DIV/0!</v>
      </c>
      <c r="AO29" s="23"/>
      <c r="AP29" s="26" t="e">
        <f>AN$4/AQ29</f>
        <v>#DIV/0!</v>
      </c>
      <c r="AQ29" s="23">
        <v>7</v>
      </c>
      <c r="AR29" s="25" t="s">
        <v>21</v>
      </c>
      <c r="AS29" s="41" t="e">
        <f t="shared" si="14"/>
        <v>#DIV/0!</v>
      </c>
    </row>
    <row r="30" spans="1:45">
      <c r="A30" s="34">
        <f>D$3/B30</f>
        <v>825.27540123509141</v>
      </c>
      <c r="B30" s="25">
        <v>38</v>
      </c>
      <c r="C30" s="25" t="s">
        <v>11</v>
      </c>
      <c r="D30" s="26">
        <f t="shared" si="1"/>
        <v>97.111865184676233</v>
      </c>
      <c r="E30" s="23"/>
      <c r="F30" s="26">
        <f>D$3/G30</f>
        <v>2613.3721039111228</v>
      </c>
      <c r="G30" s="25">
        <v>12</v>
      </c>
      <c r="H30" s="25" t="s">
        <v>11</v>
      </c>
      <c r="I30" s="41">
        <f t="shared" si="2"/>
        <v>37.509010058318808</v>
      </c>
      <c r="J30" s="34">
        <f>M$3/K30</f>
        <v>845.24635237913446</v>
      </c>
      <c r="K30" s="25">
        <v>38</v>
      </c>
      <c r="L30" s="25" t="s">
        <v>11</v>
      </c>
      <c r="M30" s="26">
        <f t="shared" si="4"/>
        <v>97.111865184676233</v>
      </c>
      <c r="N30" s="23"/>
      <c r="O30" s="26">
        <f>M$3/P30</f>
        <v>2676.6134492005926</v>
      </c>
      <c r="P30" s="23">
        <v>12</v>
      </c>
      <c r="Q30" s="25" t="s">
        <v>11</v>
      </c>
      <c r="R30" s="41">
        <f t="shared" si="5"/>
        <v>37.509010058318808</v>
      </c>
      <c r="S30" s="34" t="e">
        <f>V$3/T30</f>
        <v>#DIV/0!</v>
      </c>
      <c r="T30" s="25">
        <v>38</v>
      </c>
      <c r="U30" s="25" t="s">
        <v>11</v>
      </c>
      <c r="V30" s="26" t="e">
        <f t="shared" si="7"/>
        <v>#DIV/0!</v>
      </c>
      <c r="W30" s="23"/>
      <c r="X30" s="26" t="e">
        <f>V$3/Y30</f>
        <v>#DIV/0!</v>
      </c>
      <c r="Y30" s="23">
        <v>12</v>
      </c>
      <c r="Z30" s="25" t="s">
        <v>11</v>
      </c>
      <c r="AA30" s="41" t="e">
        <f t="shared" si="8"/>
        <v>#DIV/0!</v>
      </c>
      <c r="AB30" s="34" t="e">
        <f>AE$3/AC30</f>
        <v>#DIV/0!</v>
      </c>
      <c r="AC30" s="25">
        <v>38</v>
      </c>
      <c r="AD30" s="25" t="s">
        <v>11</v>
      </c>
      <c r="AE30" s="26" t="e">
        <f t="shared" si="10"/>
        <v>#DIV/0!</v>
      </c>
      <c r="AF30" s="23"/>
      <c r="AG30" s="26" t="e">
        <f>AE$3/AH30</f>
        <v>#DIV/0!</v>
      </c>
      <c r="AH30" s="23">
        <v>12</v>
      </c>
      <c r="AI30" s="25" t="s">
        <v>11</v>
      </c>
      <c r="AJ30" s="41" t="e">
        <f t="shared" si="11"/>
        <v>#DIV/0!</v>
      </c>
      <c r="AK30" s="34" t="e">
        <f>AN$3/AL30</f>
        <v>#DIV/0!</v>
      </c>
      <c r="AL30" s="25">
        <v>38</v>
      </c>
      <c r="AM30" s="25" t="s">
        <v>11</v>
      </c>
      <c r="AN30" s="26" t="e">
        <f t="shared" si="13"/>
        <v>#DIV/0!</v>
      </c>
      <c r="AO30" s="23"/>
      <c r="AP30" s="26" t="e">
        <f>AN$3/AQ30</f>
        <v>#DIV/0!</v>
      </c>
      <c r="AQ30" s="23">
        <v>12</v>
      </c>
      <c r="AR30" s="25" t="s">
        <v>11</v>
      </c>
      <c r="AS30" s="41" t="e">
        <f t="shared" si="14"/>
        <v>#DIV/0!</v>
      </c>
    </row>
    <row r="31" spans="1:45">
      <c r="A31" s="33">
        <f>D$3/B31</f>
        <v>847.58014180901273</v>
      </c>
      <c r="B31" s="22">
        <v>37</v>
      </c>
      <c r="C31" s="22" t="s">
        <v>11</v>
      </c>
      <c r="D31" s="24">
        <f t="shared" si="1"/>
        <v>94.819447679816335</v>
      </c>
      <c r="E31" s="29"/>
      <c r="F31" s="24">
        <f>D$3/G31</f>
        <v>2850.951386084861</v>
      </c>
      <c r="G31" s="22">
        <v>11</v>
      </c>
      <c r="H31" s="22" t="s">
        <v>11</v>
      </c>
      <c r="I31" s="40">
        <f t="shared" si="2"/>
        <v>35.216592553458909</v>
      </c>
      <c r="J31" s="33">
        <f>M$3/K31</f>
        <v>868.09084838938134</v>
      </c>
      <c r="K31" s="22">
        <v>37</v>
      </c>
      <c r="L31" s="22" t="s">
        <v>11</v>
      </c>
      <c r="M31" s="24">
        <f t="shared" si="4"/>
        <v>94.819447679816335</v>
      </c>
      <c r="N31" s="29"/>
      <c r="O31" s="24">
        <f>M$3/P31</f>
        <v>2919.9419445824647</v>
      </c>
      <c r="P31" s="29">
        <v>11</v>
      </c>
      <c r="Q31" s="22" t="s">
        <v>11</v>
      </c>
      <c r="R31" s="40">
        <f t="shared" si="5"/>
        <v>35.216592553458909</v>
      </c>
      <c r="S31" s="33" t="e">
        <f>V$3/T31</f>
        <v>#DIV/0!</v>
      </c>
      <c r="T31" s="22">
        <v>37</v>
      </c>
      <c r="U31" s="22" t="s">
        <v>11</v>
      </c>
      <c r="V31" s="24" t="e">
        <f t="shared" si="7"/>
        <v>#DIV/0!</v>
      </c>
      <c r="W31" s="29"/>
      <c r="X31" s="24" t="e">
        <f>V$3/Y31</f>
        <v>#DIV/0!</v>
      </c>
      <c r="Y31" s="29">
        <v>11</v>
      </c>
      <c r="Z31" s="22" t="s">
        <v>11</v>
      </c>
      <c r="AA31" s="40" t="e">
        <f t="shared" si="8"/>
        <v>#DIV/0!</v>
      </c>
      <c r="AB31" s="33" t="e">
        <f>AE$3/AC31</f>
        <v>#DIV/0!</v>
      </c>
      <c r="AC31" s="22">
        <v>37</v>
      </c>
      <c r="AD31" s="22" t="s">
        <v>11</v>
      </c>
      <c r="AE31" s="24" t="e">
        <f t="shared" si="10"/>
        <v>#DIV/0!</v>
      </c>
      <c r="AF31" s="29"/>
      <c r="AG31" s="24" t="e">
        <f>AE$3/AH31</f>
        <v>#DIV/0!</v>
      </c>
      <c r="AH31" s="29">
        <v>11</v>
      </c>
      <c r="AI31" s="22" t="s">
        <v>11</v>
      </c>
      <c r="AJ31" s="40" t="e">
        <f t="shared" si="11"/>
        <v>#DIV/0!</v>
      </c>
      <c r="AK31" s="33" t="e">
        <f>AN$3/AL31</f>
        <v>#DIV/0!</v>
      </c>
      <c r="AL31" s="22">
        <v>37</v>
      </c>
      <c r="AM31" s="22" t="s">
        <v>11</v>
      </c>
      <c r="AN31" s="24" t="e">
        <f t="shared" si="13"/>
        <v>#DIV/0!</v>
      </c>
      <c r="AO31" s="29"/>
      <c r="AP31" s="24" t="e">
        <f>AN$3/AQ31</f>
        <v>#DIV/0!</v>
      </c>
      <c r="AQ31" s="29">
        <v>11</v>
      </c>
      <c r="AR31" s="22" t="s">
        <v>11</v>
      </c>
      <c r="AS31" s="40" t="e">
        <f t="shared" si="14"/>
        <v>#DIV/0!</v>
      </c>
    </row>
    <row r="32" spans="1:45">
      <c r="A32" s="33">
        <f>D$4/B32</f>
        <v>862.18919296328318</v>
      </c>
      <c r="B32" s="22">
        <v>21</v>
      </c>
      <c r="C32" s="22" t="s">
        <v>21</v>
      </c>
      <c r="D32" s="24">
        <f t="shared" si="1"/>
        <v>58.14076760205792</v>
      </c>
      <c r="E32" s="29"/>
      <c r="F32" s="24">
        <f>D$4/G32</f>
        <v>3017.6621753714912</v>
      </c>
      <c r="G32" s="22">
        <v>6</v>
      </c>
      <c r="H32" s="22" t="s">
        <v>21</v>
      </c>
      <c r="I32" s="40">
        <f t="shared" si="2"/>
        <v>23.754505029159404</v>
      </c>
      <c r="J32" s="33">
        <f>M$4/K32</f>
        <v>883.0534259500198</v>
      </c>
      <c r="K32" s="22">
        <v>21</v>
      </c>
      <c r="L32" s="22" t="s">
        <v>21</v>
      </c>
      <c r="M32" s="24">
        <f t="shared" si="4"/>
        <v>58.14076760205792</v>
      </c>
      <c r="N32" s="29"/>
      <c r="O32" s="24">
        <f>M$4/P32</f>
        <v>3090.6869908250696</v>
      </c>
      <c r="P32" s="29">
        <v>6</v>
      </c>
      <c r="Q32" s="22" t="s">
        <v>21</v>
      </c>
      <c r="R32" s="40">
        <f t="shared" si="5"/>
        <v>23.754505029159404</v>
      </c>
      <c r="S32" s="33" t="e">
        <f>V$4/T32</f>
        <v>#DIV/0!</v>
      </c>
      <c r="T32" s="22">
        <v>21</v>
      </c>
      <c r="U32" s="22" t="s">
        <v>21</v>
      </c>
      <c r="V32" s="24" t="e">
        <f t="shared" si="7"/>
        <v>#DIV/0!</v>
      </c>
      <c r="W32" s="29"/>
      <c r="X32" s="24" t="e">
        <f>V$4/Y32</f>
        <v>#DIV/0!</v>
      </c>
      <c r="Y32" s="29">
        <v>6</v>
      </c>
      <c r="Z32" s="22" t="s">
        <v>21</v>
      </c>
      <c r="AA32" s="40" t="e">
        <f t="shared" si="8"/>
        <v>#DIV/0!</v>
      </c>
      <c r="AB32" s="33" t="e">
        <f>AE$4/AC32</f>
        <v>#DIV/0!</v>
      </c>
      <c r="AC32" s="22">
        <v>21</v>
      </c>
      <c r="AD32" s="22" t="s">
        <v>21</v>
      </c>
      <c r="AE32" s="24" t="e">
        <f t="shared" si="10"/>
        <v>#DIV/0!</v>
      </c>
      <c r="AF32" s="29"/>
      <c r="AG32" s="24" t="e">
        <f>AE$4/AH32</f>
        <v>#DIV/0!</v>
      </c>
      <c r="AH32" s="29">
        <v>6</v>
      </c>
      <c r="AI32" s="22" t="s">
        <v>21</v>
      </c>
      <c r="AJ32" s="40" t="e">
        <f t="shared" si="11"/>
        <v>#DIV/0!</v>
      </c>
      <c r="AK32" s="33" t="e">
        <f>AN$4/AL32</f>
        <v>#DIV/0!</v>
      </c>
      <c r="AL32" s="22">
        <v>21</v>
      </c>
      <c r="AM32" s="22" t="s">
        <v>21</v>
      </c>
      <c r="AN32" s="24" t="e">
        <f t="shared" si="13"/>
        <v>#DIV/0!</v>
      </c>
      <c r="AO32" s="29"/>
      <c r="AP32" s="24" t="e">
        <f>AN$4/AQ32</f>
        <v>#DIV/0!</v>
      </c>
      <c r="AQ32" s="29">
        <v>6</v>
      </c>
      <c r="AR32" s="22" t="s">
        <v>21</v>
      </c>
      <c r="AS32" s="40" t="e">
        <f t="shared" si="14"/>
        <v>#DIV/0!</v>
      </c>
    </row>
    <row r="33" spans="1:45">
      <c r="A33" s="34">
        <f>D$3/B33</f>
        <v>871.12403463704095</v>
      </c>
      <c r="B33" s="25">
        <v>36</v>
      </c>
      <c r="C33" s="25" t="s">
        <v>11</v>
      </c>
      <c r="D33" s="26">
        <f t="shared" si="1"/>
        <v>92.527030174956437</v>
      </c>
      <c r="E33" s="23"/>
      <c r="F33" s="26">
        <f>D$3/G33</f>
        <v>3136.0465246933472</v>
      </c>
      <c r="G33" s="25">
        <v>10</v>
      </c>
      <c r="H33" s="25" t="s">
        <v>11</v>
      </c>
      <c r="I33" s="41">
        <f t="shared" si="2"/>
        <v>32.924175048599011</v>
      </c>
      <c r="J33" s="34">
        <f>M$3/K33</f>
        <v>892.20448306686421</v>
      </c>
      <c r="K33" s="25">
        <v>36</v>
      </c>
      <c r="L33" s="25" t="s">
        <v>11</v>
      </c>
      <c r="M33" s="26">
        <f t="shared" si="4"/>
        <v>92.527030174956437</v>
      </c>
      <c r="N33" s="23"/>
      <c r="O33" s="26">
        <f>M$3/P33</f>
        <v>3211.9361390407112</v>
      </c>
      <c r="P33" s="23">
        <v>10</v>
      </c>
      <c r="Q33" s="25" t="s">
        <v>11</v>
      </c>
      <c r="R33" s="41">
        <f t="shared" si="5"/>
        <v>32.924175048599011</v>
      </c>
      <c r="S33" s="34" t="e">
        <f>V$3/T33</f>
        <v>#DIV/0!</v>
      </c>
      <c r="T33" s="25">
        <v>36</v>
      </c>
      <c r="U33" s="25" t="s">
        <v>11</v>
      </c>
      <c r="V33" s="26" t="e">
        <f t="shared" si="7"/>
        <v>#DIV/0!</v>
      </c>
      <c r="W33" s="23"/>
      <c r="X33" s="26" t="e">
        <f>V$3/Y33</f>
        <v>#DIV/0!</v>
      </c>
      <c r="Y33" s="23">
        <v>10</v>
      </c>
      <c r="Z33" s="25" t="s">
        <v>11</v>
      </c>
      <c r="AA33" s="41" t="e">
        <f t="shared" si="8"/>
        <v>#DIV/0!</v>
      </c>
      <c r="AB33" s="34" t="e">
        <f>AE$3/AC33</f>
        <v>#DIV/0!</v>
      </c>
      <c r="AC33" s="25">
        <v>36</v>
      </c>
      <c r="AD33" s="25" t="s">
        <v>11</v>
      </c>
      <c r="AE33" s="26" t="e">
        <f t="shared" si="10"/>
        <v>#DIV/0!</v>
      </c>
      <c r="AF33" s="23"/>
      <c r="AG33" s="26" t="e">
        <f>AE$3/AH33</f>
        <v>#DIV/0!</v>
      </c>
      <c r="AH33" s="23">
        <v>10</v>
      </c>
      <c r="AI33" s="25" t="s">
        <v>11</v>
      </c>
      <c r="AJ33" s="41" t="e">
        <f t="shared" si="11"/>
        <v>#DIV/0!</v>
      </c>
      <c r="AK33" s="34" t="e">
        <f>AN$3/AL33</f>
        <v>#DIV/0!</v>
      </c>
      <c r="AL33" s="25">
        <v>36</v>
      </c>
      <c r="AM33" s="25" t="s">
        <v>11</v>
      </c>
      <c r="AN33" s="26" t="e">
        <f t="shared" si="13"/>
        <v>#DIV/0!</v>
      </c>
      <c r="AO33" s="23"/>
      <c r="AP33" s="26" t="e">
        <f>AN$3/AQ33</f>
        <v>#DIV/0!</v>
      </c>
      <c r="AQ33" s="23">
        <v>10</v>
      </c>
      <c r="AR33" s="25" t="s">
        <v>11</v>
      </c>
      <c r="AS33" s="41" t="e">
        <f t="shared" si="14"/>
        <v>#DIV/0!</v>
      </c>
    </row>
    <row r="34" spans="1:45">
      <c r="A34" s="34">
        <f>D$3/B34</f>
        <v>896.01329276952777</v>
      </c>
      <c r="B34" s="25">
        <v>35</v>
      </c>
      <c r="C34" s="25" t="s">
        <v>11</v>
      </c>
      <c r="D34" s="26">
        <f t="shared" si="1"/>
        <v>90.234612670096539</v>
      </c>
      <c r="E34" s="23"/>
      <c r="F34" s="26">
        <f>D$3/G34</f>
        <v>3484.4961385481638</v>
      </c>
      <c r="G34" s="25">
        <v>9</v>
      </c>
      <c r="H34" s="25" t="s">
        <v>11</v>
      </c>
      <c r="I34" s="41">
        <f t="shared" si="2"/>
        <v>30.631757543739109</v>
      </c>
      <c r="J34" s="34">
        <f>M$3/K34</f>
        <v>917.69603972591744</v>
      </c>
      <c r="K34" s="25">
        <v>35</v>
      </c>
      <c r="L34" s="25" t="s">
        <v>11</v>
      </c>
      <c r="M34" s="26">
        <f t="shared" si="4"/>
        <v>90.234612670096539</v>
      </c>
      <c r="N34" s="23"/>
      <c r="O34" s="26">
        <f>M$3/P34</f>
        <v>3568.8179322674569</v>
      </c>
      <c r="P34" s="23">
        <v>9</v>
      </c>
      <c r="Q34" s="25" t="s">
        <v>11</v>
      </c>
      <c r="R34" s="41">
        <f t="shared" si="5"/>
        <v>30.631757543739109</v>
      </c>
      <c r="S34" s="34" t="e">
        <f>V$3/T34</f>
        <v>#DIV/0!</v>
      </c>
      <c r="T34" s="25">
        <v>35</v>
      </c>
      <c r="U34" s="25" t="s">
        <v>11</v>
      </c>
      <c r="V34" s="26" t="e">
        <f t="shared" si="7"/>
        <v>#DIV/0!</v>
      </c>
      <c r="W34" s="23"/>
      <c r="X34" s="26" t="e">
        <f>V$3/Y34</f>
        <v>#DIV/0!</v>
      </c>
      <c r="Y34" s="23">
        <v>9</v>
      </c>
      <c r="Z34" s="25" t="s">
        <v>11</v>
      </c>
      <c r="AA34" s="41" t="e">
        <f t="shared" si="8"/>
        <v>#DIV/0!</v>
      </c>
      <c r="AB34" s="34" t="e">
        <f>AE$3/AC34</f>
        <v>#DIV/0!</v>
      </c>
      <c r="AC34" s="25">
        <v>35</v>
      </c>
      <c r="AD34" s="25" t="s">
        <v>11</v>
      </c>
      <c r="AE34" s="26" t="e">
        <f t="shared" si="10"/>
        <v>#DIV/0!</v>
      </c>
      <c r="AF34" s="23"/>
      <c r="AG34" s="26" t="e">
        <f>AE$3/AH34</f>
        <v>#DIV/0!</v>
      </c>
      <c r="AH34" s="23">
        <v>9</v>
      </c>
      <c r="AI34" s="25" t="s">
        <v>11</v>
      </c>
      <c r="AJ34" s="41" t="e">
        <f t="shared" si="11"/>
        <v>#DIV/0!</v>
      </c>
      <c r="AK34" s="34" t="e">
        <f>AN$3/AL34</f>
        <v>#DIV/0!</v>
      </c>
      <c r="AL34" s="25">
        <v>35</v>
      </c>
      <c r="AM34" s="25" t="s">
        <v>11</v>
      </c>
      <c r="AN34" s="26" t="e">
        <f t="shared" si="13"/>
        <v>#DIV/0!</v>
      </c>
      <c r="AO34" s="23"/>
      <c r="AP34" s="26" t="e">
        <f>AN$3/AQ34</f>
        <v>#DIV/0!</v>
      </c>
      <c r="AQ34" s="23">
        <v>9</v>
      </c>
      <c r="AR34" s="25" t="s">
        <v>11</v>
      </c>
      <c r="AS34" s="41" t="e">
        <f t="shared" si="14"/>
        <v>#DIV/0!</v>
      </c>
    </row>
    <row r="35" spans="1:45">
      <c r="A35" s="33">
        <f>D$4/B35</f>
        <v>905.29865261144732</v>
      </c>
      <c r="B35" s="22">
        <v>20</v>
      </c>
      <c r="C35" s="22" t="s">
        <v>21</v>
      </c>
      <c r="D35" s="24">
        <f t="shared" si="1"/>
        <v>55.848350097198022</v>
      </c>
      <c r="E35" s="29"/>
      <c r="F35" s="24">
        <f>D$4/G35</f>
        <v>3621.1946104457893</v>
      </c>
      <c r="G35" s="22">
        <v>5</v>
      </c>
      <c r="H35" s="22" t="s">
        <v>21</v>
      </c>
      <c r="I35" s="40">
        <f t="shared" si="2"/>
        <v>21.462087524299506</v>
      </c>
      <c r="J35" s="33">
        <f>M$4/K35</f>
        <v>927.2060972475208</v>
      </c>
      <c r="K35" s="22">
        <v>20</v>
      </c>
      <c r="L35" s="22" t="s">
        <v>21</v>
      </c>
      <c r="M35" s="24">
        <f t="shared" si="4"/>
        <v>55.848350097198022</v>
      </c>
      <c r="N35" s="29"/>
      <c r="O35" s="24">
        <f>M$4/P35</f>
        <v>3708.8243889900832</v>
      </c>
      <c r="P35" s="29">
        <v>5</v>
      </c>
      <c r="Q35" s="22" t="s">
        <v>21</v>
      </c>
      <c r="R35" s="40">
        <f t="shared" si="5"/>
        <v>21.462087524299506</v>
      </c>
      <c r="S35" s="33" t="e">
        <f>V$4/T35</f>
        <v>#DIV/0!</v>
      </c>
      <c r="T35" s="22">
        <v>20</v>
      </c>
      <c r="U35" s="22" t="s">
        <v>21</v>
      </c>
      <c r="V35" s="24" t="e">
        <f t="shared" si="7"/>
        <v>#DIV/0!</v>
      </c>
      <c r="W35" s="29"/>
      <c r="X35" s="24" t="e">
        <f>V$4/Y35</f>
        <v>#DIV/0!</v>
      </c>
      <c r="Y35" s="29">
        <v>5</v>
      </c>
      <c r="Z35" s="22" t="s">
        <v>21</v>
      </c>
      <c r="AA35" s="40" t="e">
        <f t="shared" si="8"/>
        <v>#DIV/0!</v>
      </c>
      <c r="AB35" s="33" t="e">
        <f>AE$4/AC35</f>
        <v>#DIV/0!</v>
      </c>
      <c r="AC35" s="22">
        <v>20</v>
      </c>
      <c r="AD35" s="22" t="s">
        <v>21</v>
      </c>
      <c r="AE35" s="24" t="e">
        <f t="shared" si="10"/>
        <v>#DIV/0!</v>
      </c>
      <c r="AF35" s="29"/>
      <c r="AG35" s="24" t="e">
        <f>AE$4/AH35</f>
        <v>#DIV/0!</v>
      </c>
      <c r="AH35" s="29">
        <v>5</v>
      </c>
      <c r="AI35" s="22" t="s">
        <v>21</v>
      </c>
      <c r="AJ35" s="40" t="e">
        <f t="shared" si="11"/>
        <v>#DIV/0!</v>
      </c>
      <c r="AK35" s="33" t="e">
        <f>AN$4/AL35</f>
        <v>#DIV/0!</v>
      </c>
      <c r="AL35" s="22">
        <v>20</v>
      </c>
      <c r="AM35" s="22" t="s">
        <v>21</v>
      </c>
      <c r="AN35" s="24" t="e">
        <f t="shared" si="13"/>
        <v>#DIV/0!</v>
      </c>
      <c r="AO35" s="29"/>
      <c r="AP35" s="24" t="e">
        <f>AN$4/AQ35</f>
        <v>#DIV/0!</v>
      </c>
      <c r="AQ35" s="29">
        <v>5</v>
      </c>
      <c r="AR35" s="22" t="s">
        <v>21</v>
      </c>
      <c r="AS35" s="40" t="e">
        <f t="shared" si="14"/>
        <v>#DIV/0!</v>
      </c>
    </row>
    <row r="36" spans="1:45">
      <c r="A36" s="33">
        <f>D$3/B36</f>
        <v>922.36662490980802</v>
      </c>
      <c r="B36" s="22">
        <v>34</v>
      </c>
      <c r="C36" s="22" t="s">
        <v>11</v>
      </c>
      <c r="D36" s="24">
        <f t="shared" si="1"/>
        <v>87.942195165236626</v>
      </c>
      <c r="E36" s="29"/>
      <c r="F36" s="24">
        <f>D$3/G36</f>
        <v>3920.058155866684</v>
      </c>
      <c r="G36" s="22">
        <v>8</v>
      </c>
      <c r="H36" s="22" t="s">
        <v>11</v>
      </c>
      <c r="I36" s="40">
        <f t="shared" si="2"/>
        <v>28.339340038879207</v>
      </c>
      <c r="J36" s="33">
        <f>M$3/K36</f>
        <v>944.6870997178562</v>
      </c>
      <c r="K36" s="22">
        <v>34</v>
      </c>
      <c r="L36" s="22" t="s">
        <v>11</v>
      </c>
      <c r="M36" s="24">
        <f t="shared" si="4"/>
        <v>87.942195165236626</v>
      </c>
      <c r="N36" s="29"/>
      <c r="O36" s="24">
        <f>M$3/P36</f>
        <v>4014.9201738008887</v>
      </c>
      <c r="P36" s="29">
        <v>8</v>
      </c>
      <c r="Q36" s="22" t="s">
        <v>11</v>
      </c>
      <c r="R36" s="40">
        <f t="shared" si="5"/>
        <v>28.339340038879207</v>
      </c>
      <c r="S36" s="33" t="e">
        <f>V$3/T36</f>
        <v>#DIV/0!</v>
      </c>
      <c r="T36" s="22">
        <v>34</v>
      </c>
      <c r="U36" s="22" t="s">
        <v>11</v>
      </c>
      <c r="V36" s="24" t="e">
        <f t="shared" si="7"/>
        <v>#DIV/0!</v>
      </c>
      <c r="W36" s="29"/>
      <c r="X36" s="24" t="e">
        <f>V$3/Y36</f>
        <v>#DIV/0!</v>
      </c>
      <c r="Y36" s="29">
        <v>8</v>
      </c>
      <c r="Z36" s="22" t="s">
        <v>11</v>
      </c>
      <c r="AA36" s="40" t="e">
        <f t="shared" si="8"/>
        <v>#DIV/0!</v>
      </c>
      <c r="AB36" s="33" t="e">
        <f>AE$3/AC36</f>
        <v>#DIV/0!</v>
      </c>
      <c r="AC36" s="22">
        <v>34</v>
      </c>
      <c r="AD36" s="22" t="s">
        <v>11</v>
      </c>
      <c r="AE36" s="24" t="e">
        <f t="shared" si="10"/>
        <v>#DIV/0!</v>
      </c>
      <c r="AF36" s="29"/>
      <c r="AG36" s="24" t="e">
        <f>AE$3/AH36</f>
        <v>#DIV/0!</v>
      </c>
      <c r="AH36" s="29">
        <v>8</v>
      </c>
      <c r="AI36" s="22" t="s">
        <v>11</v>
      </c>
      <c r="AJ36" s="40" t="e">
        <f t="shared" si="11"/>
        <v>#DIV/0!</v>
      </c>
      <c r="AK36" s="33" t="e">
        <f>AN$3/AL36</f>
        <v>#DIV/0!</v>
      </c>
      <c r="AL36" s="22">
        <v>34</v>
      </c>
      <c r="AM36" s="22" t="s">
        <v>11</v>
      </c>
      <c r="AN36" s="24" t="e">
        <f t="shared" si="13"/>
        <v>#DIV/0!</v>
      </c>
      <c r="AO36" s="29"/>
      <c r="AP36" s="24" t="e">
        <f>AN$3/AQ36</f>
        <v>#DIV/0!</v>
      </c>
      <c r="AQ36" s="29">
        <v>8</v>
      </c>
      <c r="AR36" s="22" t="s">
        <v>11</v>
      </c>
      <c r="AS36" s="40" t="e">
        <f t="shared" si="14"/>
        <v>#DIV/0!</v>
      </c>
    </row>
    <row r="37" spans="1:45">
      <c r="A37" s="34">
        <f>D$3/B37</f>
        <v>950.31712869495368</v>
      </c>
      <c r="B37" s="25">
        <v>33</v>
      </c>
      <c r="C37" s="25" t="s">
        <v>11</v>
      </c>
      <c r="D37" s="26">
        <f t="shared" si="1"/>
        <v>85.649777660376728</v>
      </c>
      <c r="E37" s="23"/>
      <c r="F37" s="26">
        <f>D$3/G37</f>
        <v>4480.0664638476392</v>
      </c>
      <c r="G37" s="25">
        <v>7</v>
      </c>
      <c r="H37" s="25" t="s">
        <v>11</v>
      </c>
      <c r="I37" s="41">
        <f t="shared" si="2"/>
        <v>26.046922534019306</v>
      </c>
      <c r="J37" s="34">
        <f>M$3/K37</f>
        <v>973.31398152748818</v>
      </c>
      <c r="K37" s="25">
        <v>33</v>
      </c>
      <c r="L37" s="25" t="s">
        <v>11</v>
      </c>
      <c r="M37" s="26">
        <f t="shared" si="4"/>
        <v>85.649777660376728</v>
      </c>
      <c r="N37" s="23"/>
      <c r="O37" s="26">
        <f>M$3/P37</f>
        <v>4588.480198629587</v>
      </c>
      <c r="P37" s="23">
        <v>7</v>
      </c>
      <c r="Q37" s="25" t="s">
        <v>11</v>
      </c>
      <c r="R37" s="41">
        <f t="shared" si="5"/>
        <v>26.046922534019306</v>
      </c>
      <c r="S37" s="34" t="e">
        <f>V$3/T37</f>
        <v>#DIV/0!</v>
      </c>
      <c r="T37" s="25">
        <v>33</v>
      </c>
      <c r="U37" s="25" t="s">
        <v>11</v>
      </c>
      <c r="V37" s="26" t="e">
        <f t="shared" si="7"/>
        <v>#DIV/0!</v>
      </c>
      <c r="W37" s="23"/>
      <c r="X37" s="26" t="e">
        <f>V$3/Y37</f>
        <v>#DIV/0!</v>
      </c>
      <c r="Y37" s="23">
        <v>7</v>
      </c>
      <c r="Z37" s="25" t="s">
        <v>11</v>
      </c>
      <c r="AA37" s="41" t="e">
        <f t="shared" si="8"/>
        <v>#DIV/0!</v>
      </c>
      <c r="AB37" s="34" t="e">
        <f>AE$3/AC37</f>
        <v>#DIV/0!</v>
      </c>
      <c r="AC37" s="25">
        <v>33</v>
      </c>
      <c r="AD37" s="25" t="s">
        <v>11</v>
      </c>
      <c r="AE37" s="26" t="e">
        <f t="shared" si="10"/>
        <v>#DIV/0!</v>
      </c>
      <c r="AF37" s="23"/>
      <c r="AG37" s="26" t="e">
        <f>AE$3/AH37</f>
        <v>#DIV/0!</v>
      </c>
      <c r="AH37" s="23">
        <v>7</v>
      </c>
      <c r="AI37" s="25" t="s">
        <v>11</v>
      </c>
      <c r="AJ37" s="41" t="e">
        <f t="shared" si="11"/>
        <v>#DIV/0!</v>
      </c>
      <c r="AK37" s="34" t="e">
        <f>AN$3/AL37</f>
        <v>#DIV/0!</v>
      </c>
      <c r="AL37" s="25">
        <v>33</v>
      </c>
      <c r="AM37" s="25" t="s">
        <v>11</v>
      </c>
      <c r="AN37" s="26" t="e">
        <f t="shared" si="13"/>
        <v>#DIV/0!</v>
      </c>
      <c r="AO37" s="23"/>
      <c r="AP37" s="26" t="e">
        <f>AN$3/AQ37</f>
        <v>#DIV/0!</v>
      </c>
      <c r="AQ37" s="23">
        <v>7</v>
      </c>
      <c r="AR37" s="25" t="s">
        <v>11</v>
      </c>
      <c r="AS37" s="41" t="e">
        <f t="shared" si="14"/>
        <v>#DIV/0!</v>
      </c>
    </row>
    <row r="38" spans="1:45">
      <c r="A38" s="34">
        <f>D$4/B38</f>
        <v>952.94595011731292</v>
      </c>
      <c r="B38" s="25">
        <v>19</v>
      </c>
      <c r="C38" s="25" t="s">
        <v>21</v>
      </c>
      <c r="D38" s="26">
        <f t="shared" si="1"/>
        <v>53.555932592338117</v>
      </c>
      <c r="E38" s="23"/>
      <c r="F38" s="26">
        <f>D$4/G38</f>
        <v>4526.4932630572366</v>
      </c>
      <c r="G38" s="25">
        <v>4</v>
      </c>
      <c r="H38" s="25" t="s">
        <v>21</v>
      </c>
      <c r="I38" s="41">
        <f t="shared" si="2"/>
        <v>19.169670019439604</v>
      </c>
      <c r="J38" s="34">
        <f>M$4/K38</f>
        <v>976.00641815528513</v>
      </c>
      <c r="K38" s="25">
        <v>19</v>
      </c>
      <c r="L38" s="25" t="s">
        <v>21</v>
      </c>
      <c r="M38" s="26">
        <f t="shared" si="4"/>
        <v>53.555932592338117</v>
      </c>
      <c r="N38" s="23"/>
      <c r="O38" s="26">
        <f>M$4/P38</f>
        <v>4636.0304862376042</v>
      </c>
      <c r="P38" s="23">
        <v>4</v>
      </c>
      <c r="Q38" s="25" t="s">
        <v>21</v>
      </c>
      <c r="R38" s="41">
        <f t="shared" si="5"/>
        <v>19.169670019439604</v>
      </c>
      <c r="S38" s="34" t="e">
        <f>V$4/T38</f>
        <v>#DIV/0!</v>
      </c>
      <c r="T38" s="25">
        <v>19</v>
      </c>
      <c r="U38" s="25" t="s">
        <v>21</v>
      </c>
      <c r="V38" s="26" t="e">
        <f t="shared" si="7"/>
        <v>#DIV/0!</v>
      </c>
      <c r="W38" s="23"/>
      <c r="X38" s="26" t="e">
        <f>V$4/Y38</f>
        <v>#DIV/0!</v>
      </c>
      <c r="Y38" s="23">
        <v>4</v>
      </c>
      <c r="Z38" s="25" t="s">
        <v>21</v>
      </c>
      <c r="AA38" s="41" t="e">
        <f t="shared" si="8"/>
        <v>#DIV/0!</v>
      </c>
      <c r="AB38" s="34" t="e">
        <f>AE$4/AC38</f>
        <v>#DIV/0!</v>
      </c>
      <c r="AC38" s="25">
        <v>19</v>
      </c>
      <c r="AD38" s="25" t="s">
        <v>21</v>
      </c>
      <c r="AE38" s="26" t="e">
        <f t="shared" si="10"/>
        <v>#DIV/0!</v>
      </c>
      <c r="AF38" s="23"/>
      <c r="AG38" s="26" t="e">
        <f>AE$4/AH38</f>
        <v>#DIV/0!</v>
      </c>
      <c r="AH38" s="23">
        <v>4</v>
      </c>
      <c r="AI38" s="25" t="s">
        <v>21</v>
      </c>
      <c r="AJ38" s="41" t="e">
        <f t="shared" si="11"/>
        <v>#DIV/0!</v>
      </c>
      <c r="AK38" s="34" t="e">
        <f>AN$4/AL38</f>
        <v>#DIV/0!</v>
      </c>
      <c r="AL38" s="25">
        <v>19</v>
      </c>
      <c r="AM38" s="25" t="s">
        <v>21</v>
      </c>
      <c r="AN38" s="26" t="e">
        <f t="shared" si="13"/>
        <v>#DIV/0!</v>
      </c>
      <c r="AO38" s="23"/>
      <c r="AP38" s="26" t="e">
        <f>AN$4/AQ38</f>
        <v>#DIV/0!</v>
      </c>
      <c r="AQ38" s="23">
        <v>4</v>
      </c>
      <c r="AR38" s="25" t="s">
        <v>21</v>
      </c>
      <c r="AS38" s="41" t="e">
        <f t="shared" si="14"/>
        <v>#DIV/0!</v>
      </c>
    </row>
    <row r="39" spans="1:45">
      <c r="A39" s="33">
        <f>D$3/B39</f>
        <v>980.01453896667101</v>
      </c>
      <c r="B39" s="22">
        <v>32</v>
      </c>
      <c r="C39" s="22" t="s">
        <v>11</v>
      </c>
      <c r="D39" s="24">
        <f t="shared" si="1"/>
        <v>83.35736015551683</v>
      </c>
      <c r="E39" s="29"/>
      <c r="F39" s="24">
        <f>D$3/G39</f>
        <v>5226.7442078222457</v>
      </c>
      <c r="G39" s="22">
        <v>6</v>
      </c>
      <c r="H39" s="22" t="s">
        <v>11</v>
      </c>
      <c r="I39" s="40">
        <f t="shared" si="2"/>
        <v>23.754505029159404</v>
      </c>
      <c r="J39" s="33">
        <f>M$3/K39</f>
        <v>1003.7300434502222</v>
      </c>
      <c r="K39" s="22">
        <v>32</v>
      </c>
      <c r="L39" s="22" t="s">
        <v>11</v>
      </c>
      <c r="M39" s="24">
        <f t="shared" si="4"/>
        <v>83.35736015551683</v>
      </c>
      <c r="N39" s="29"/>
      <c r="O39" s="24">
        <f>M$3/P39</f>
        <v>5353.2268984011853</v>
      </c>
      <c r="P39" s="29">
        <v>6</v>
      </c>
      <c r="Q39" s="22" t="s">
        <v>11</v>
      </c>
      <c r="R39" s="40">
        <f t="shared" si="5"/>
        <v>23.754505029159404</v>
      </c>
      <c r="S39" s="33" t="e">
        <f>V$3/T39</f>
        <v>#DIV/0!</v>
      </c>
      <c r="T39" s="22">
        <v>32</v>
      </c>
      <c r="U39" s="22" t="s">
        <v>11</v>
      </c>
      <c r="V39" s="24" t="e">
        <f t="shared" si="7"/>
        <v>#DIV/0!</v>
      </c>
      <c r="W39" s="29"/>
      <c r="X39" s="24" t="e">
        <f>V$3/Y39</f>
        <v>#DIV/0!</v>
      </c>
      <c r="Y39" s="29">
        <v>6</v>
      </c>
      <c r="Z39" s="22" t="s">
        <v>11</v>
      </c>
      <c r="AA39" s="40" t="e">
        <f t="shared" si="8"/>
        <v>#DIV/0!</v>
      </c>
      <c r="AB39" s="33" t="e">
        <f>AE$3/AC39</f>
        <v>#DIV/0!</v>
      </c>
      <c r="AC39" s="22">
        <v>32</v>
      </c>
      <c r="AD39" s="22" t="s">
        <v>11</v>
      </c>
      <c r="AE39" s="24" t="e">
        <f t="shared" si="10"/>
        <v>#DIV/0!</v>
      </c>
      <c r="AF39" s="29"/>
      <c r="AG39" s="24" t="e">
        <f>AE$3/AH39</f>
        <v>#DIV/0!</v>
      </c>
      <c r="AH39" s="29">
        <v>6</v>
      </c>
      <c r="AI39" s="22" t="s">
        <v>11</v>
      </c>
      <c r="AJ39" s="40" t="e">
        <f t="shared" si="11"/>
        <v>#DIV/0!</v>
      </c>
      <c r="AK39" s="33" t="e">
        <f>AN$3/AL39</f>
        <v>#DIV/0!</v>
      </c>
      <c r="AL39" s="22">
        <v>32</v>
      </c>
      <c r="AM39" s="22" t="s">
        <v>11</v>
      </c>
      <c r="AN39" s="24" t="e">
        <f t="shared" si="13"/>
        <v>#DIV/0!</v>
      </c>
      <c r="AO39" s="29"/>
      <c r="AP39" s="24" t="e">
        <f>AN$3/AQ39</f>
        <v>#DIV/0!</v>
      </c>
      <c r="AQ39" s="29">
        <v>6</v>
      </c>
      <c r="AR39" s="22" t="s">
        <v>11</v>
      </c>
      <c r="AS39" s="40" t="e">
        <f t="shared" si="14"/>
        <v>#DIV/0!</v>
      </c>
    </row>
    <row r="40" spans="1:45">
      <c r="A40" s="33">
        <f>D$4/B40</f>
        <v>1005.8873917904971</v>
      </c>
      <c r="B40" s="22">
        <v>18</v>
      </c>
      <c r="C40" s="22" t="s">
        <v>21</v>
      </c>
      <c r="D40" s="24">
        <f t="shared" si="1"/>
        <v>51.263515087478218</v>
      </c>
      <c r="E40" s="29"/>
      <c r="F40" s="24">
        <f>D$4/G40</f>
        <v>6035.3243507429825</v>
      </c>
      <c r="G40" s="22">
        <v>3</v>
      </c>
      <c r="H40" s="22" t="s">
        <v>21</v>
      </c>
      <c r="I40" s="40">
        <f t="shared" si="2"/>
        <v>16.877252514579702</v>
      </c>
      <c r="J40" s="33">
        <f>M$4/K40</f>
        <v>1030.2289969416897</v>
      </c>
      <c r="K40" s="22">
        <v>18</v>
      </c>
      <c r="L40" s="22" t="s">
        <v>21</v>
      </c>
      <c r="M40" s="24">
        <f t="shared" si="4"/>
        <v>51.263515087478218</v>
      </c>
      <c r="N40" s="29"/>
      <c r="O40" s="24">
        <f>M$4/P40</f>
        <v>6181.3739816501393</v>
      </c>
      <c r="P40" s="29">
        <v>3</v>
      </c>
      <c r="Q40" s="22" t="s">
        <v>21</v>
      </c>
      <c r="R40" s="40">
        <f t="shared" si="5"/>
        <v>16.877252514579702</v>
      </c>
      <c r="S40" s="33" t="e">
        <f>V$4/T40</f>
        <v>#DIV/0!</v>
      </c>
      <c r="T40" s="22">
        <v>18</v>
      </c>
      <c r="U40" s="22" t="s">
        <v>21</v>
      </c>
      <c r="V40" s="24" t="e">
        <f t="shared" si="7"/>
        <v>#DIV/0!</v>
      </c>
      <c r="W40" s="29"/>
      <c r="X40" s="24" t="e">
        <f>V$4/Y40</f>
        <v>#DIV/0!</v>
      </c>
      <c r="Y40" s="29">
        <v>3</v>
      </c>
      <c r="Z40" s="22" t="s">
        <v>21</v>
      </c>
      <c r="AA40" s="40" t="e">
        <f t="shared" si="8"/>
        <v>#DIV/0!</v>
      </c>
      <c r="AB40" s="33" t="e">
        <f>AE$4/AC40</f>
        <v>#DIV/0!</v>
      </c>
      <c r="AC40" s="22">
        <v>18</v>
      </c>
      <c r="AD40" s="22" t="s">
        <v>21</v>
      </c>
      <c r="AE40" s="24" t="e">
        <f t="shared" si="10"/>
        <v>#DIV/0!</v>
      </c>
      <c r="AF40" s="29"/>
      <c r="AG40" s="24" t="e">
        <f>AE$4/AH40</f>
        <v>#DIV/0!</v>
      </c>
      <c r="AH40" s="29">
        <v>3</v>
      </c>
      <c r="AI40" s="22" t="s">
        <v>21</v>
      </c>
      <c r="AJ40" s="40" t="e">
        <f t="shared" si="11"/>
        <v>#DIV/0!</v>
      </c>
      <c r="AK40" s="33" t="e">
        <f>AN$4/AL40</f>
        <v>#DIV/0!</v>
      </c>
      <c r="AL40" s="22">
        <v>18</v>
      </c>
      <c r="AM40" s="22" t="s">
        <v>21</v>
      </c>
      <c r="AN40" s="24" t="e">
        <f t="shared" si="13"/>
        <v>#DIV/0!</v>
      </c>
      <c r="AO40" s="29"/>
      <c r="AP40" s="24" t="e">
        <f>AN$4/AQ40</f>
        <v>#DIV/0!</v>
      </c>
      <c r="AQ40" s="29">
        <v>3</v>
      </c>
      <c r="AR40" s="22" t="s">
        <v>21</v>
      </c>
      <c r="AS40" s="40" t="e">
        <f t="shared" si="14"/>
        <v>#DIV/0!</v>
      </c>
    </row>
    <row r="41" spans="1:45">
      <c r="A41" s="34">
        <f>D$3/B41</f>
        <v>1011.6279111914023</v>
      </c>
      <c r="B41" s="25">
        <v>31</v>
      </c>
      <c r="C41" s="25" t="s">
        <v>11</v>
      </c>
      <c r="D41" s="26">
        <f t="shared" si="1"/>
        <v>81.064942650656931</v>
      </c>
      <c r="E41" s="23"/>
      <c r="F41" s="26">
        <f>D$3/G41</f>
        <v>6272.0930493866945</v>
      </c>
      <c r="G41" s="25">
        <v>5</v>
      </c>
      <c r="H41" s="25" t="s">
        <v>11</v>
      </c>
      <c r="I41" s="41">
        <f t="shared" si="2"/>
        <v>21.462087524299506</v>
      </c>
      <c r="J41" s="34">
        <f>M$3/K41</f>
        <v>1036.1084319486165</v>
      </c>
      <c r="K41" s="25">
        <v>31</v>
      </c>
      <c r="L41" s="25" t="s">
        <v>11</v>
      </c>
      <c r="M41" s="26">
        <f t="shared" si="4"/>
        <v>81.064942650656931</v>
      </c>
      <c r="N41" s="23"/>
      <c r="O41" s="26">
        <f>M$3/P41</f>
        <v>6423.8722780814223</v>
      </c>
      <c r="P41" s="23">
        <v>5</v>
      </c>
      <c r="Q41" s="25" t="s">
        <v>11</v>
      </c>
      <c r="R41" s="41">
        <f t="shared" si="5"/>
        <v>21.462087524299506</v>
      </c>
      <c r="S41" s="34" t="e">
        <f>V$3/T41</f>
        <v>#DIV/0!</v>
      </c>
      <c r="T41" s="25">
        <v>31</v>
      </c>
      <c r="U41" s="25" t="s">
        <v>11</v>
      </c>
      <c r="V41" s="26" t="e">
        <f t="shared" si="7"/>
        <v>#DIV/0!</v>
      </c>
      <c r="W41" s="23"/>
      <c r="X41" s="26" t="e">
        <f>V$3/Y41</f>
        <v>#DIV/0!</v>
      </c>
      <c r="Y41" s="23">
        <v>5</v>
      </c>
      <c r="Z41" s="25" t="s">
        <v>11</v>
      </c>
      <c r="AA41" s="41" t="e">
        <f t="shared" si="8"/>
        <v>#DIV/0!</v>
      </c>
      <c r="AB41" s="34" t="e">
        <f>AE$3/AC41</f>
        <v>#DIV/0!</v>
      </c>
      <c r="AC41" s="25">
        <v>31</v>
      </c>
      <c r="AD41" s="25" t="s">
        <v>11</v>
      </c>
      <c r="AE41" s="26" t="e">
        <f t="shared" si="10"/>
        <v>#DIV/0!</v>
      </c>
      <c r="AF41" s="23"/>
      <c r="AG41" s="26" t="e">
        <f>AE$3/AH41</f>
        <v>#DIV/0!</v>
      </c>
      <c r="AH41" s="23">
        <v>5</v>
      </c>
      <c r="AI41" s="25" t="s">
        <v>11</v>
      </c>
      <c r="AJ41" s="41" t="e">
        <f t="shared" si="11"/>
        <v>#DIV/0!</v>
      </c>
      <c r="AK41" s="34" t="e">
        <f>AN$3/AL41</f>
        <v>#DIV/0!</v>
      </c>
      <c r="AL41" s="25">
        <v>31</v>
      </c>
      <c r="AM41" s="25" t="s">
        <v>11</v>
      </c>
      <c r="AN41" s="26" t="e">
        <f t="shared" si="13"/>
        <v>#DIV/0!</v>
      </c>
      <c r="AO41" s="23"/>
      <c r="AP41" s="26" t="e">
        <f>AN$3/AQ41</f>
        <v>#DIV/0!</v>
      </c>
      <c r="AQ41" s="23">
        <v>5</v>
      </c>
      <c r="AR41" s="25" t="s">
        <v>11</v>
      </c>
      <c r="AS41" s="41" t="e">
        <f t="shared" si="14"/>
        <v>#DIV/0!</v>
      </c>
    </row>
    <row r="42" spans="1:45">
      <c r="A42" s="34">
        <f>D$3/B42</f>
        <v>1045.348841564449</v>
      </c>
      <c r="B42" s="25">
        <v>30</v>
      </c>
      <c r="C42" s="25" t="s">
        <v>11</v>
      </c>
      <c r="D42" s="26">
        <f t="shared" si="1"/>
        <v>78.772525145797033</v>
      </c>
      <c r="E42" s="23"/>
      <c r="F42" s="26">
        <f>D$3/G42</f>
        <v>7840.1163117333681</v>
      </c>
      <c r="G42" s="25">
        <v>4</v>
      </c>
      <c r="H42" s="25" t="s">
        <v>11</v>
      </c>
      <c r="I42" s="41">
        <f t="shared" si="2"/>
        <v>19.169670019439604</v>
      </c>
      <c r="J42" s="34">
        <f>M$3/K42</f>
        <v>1070.6453796802371</v>
      </c>
      <c r="K42" s="25">
        <v>30</v>
      </c>
      <c r="L42" s="25" t="s">
        <v>11</v>
      </c>
      <c r="M42" s="26">
        <f t="shared" si="4"/>
        <v>78.772525145797033</v>
      </c>
      <c r="N42" s="23"/>
      <c r="O42" s="26">
        <f>M$3/P42</f>
        <v>8029.8403476017775</v>
      </c>
      <c r="P42" s="23">
        <v>4</v>
      </c>
      <c r="Q42" s="25" t="s">
        <v>11</v>
      </c>
      <c r="R42" s="41">
        <f t="shared" si="5"/>
        <v>19.169670019439604</v>
      </c>
      <c r="S42" s="34" t="e">
        <f>V$3/T42</f>
        <v>#DIV/0!</v>
      </c>
      <c r="T42" s="25">
        <v>30</v>
      </c>
      <c r="U42" s="25" t="s">
        <v>11</v>
      </c>
      <c r="V42" s="26" t="e">
        <f t="shared" si="7"/>
        <v>#DIV/0!</v>
      </c>
      <c r="W42" s="23"/>
      <c r="X42" s="26" t="e">
        <f>V$3/Y42</f>
        <v>#DIV/0!</v>
      </c>
      <c r="Y42" s="23">
        <v>4</v>
      </c>
      <c r="Z42" s="25" t="s">
        <v>11</v>
      </c>
      <c r="AA42" s="41" t="e">
        <f t="shared" si="8"/>
        <v>#DIV/0!</v>
      </c>
      <c r="AB42" s="34" t="e">
        <f>AE$3/AC42</f>
        <v>#DIV/0!</v>
      </c>
      <c r="AC42" s="25">
        <v>30</v>
      </c>
      <c r="AD42" s="25" t="s">
        <v>11</v>
      </c>
      <c r="AE42" s="26" t="e">
        <f t="shared" si="10"/>
        <v>#DIV/0!</v>
      </c>
      <c r="AF42" s="23"/>
      <c r="AG42" s="26" t="e">
        <f>AE$3/AH42</f>
        <v>#DIV/0!</v>
      </c>
      <c r="AH42" s="23">
        <v>4</v>
      </c>
      <c r="AI42" s="25" t="s">
        <v>11</v>
      </c>
      <c r="AJ42" s="41" t="e">
        <f t="shared" si="11"/>
        <v>#DIV/0!</v>
      </c>
      <c r="AK42" s="34" t="e">
        <f>AN$3/AL42</f>
        <v>#DIV/0!</v>
      </c>
      <c r="AL42" s="25">
        <v>30</v>
      </c>
      <c r="AM42" s="25" t="s">
        <v>11</v>
      </c>
      <c r="AN42" s="26" t="e">
        <f t="shared" si="13"/>
        <v>#DIV/0!</v>
      </c>
      <c r="AO42" s="23"/>
      <c r="AP42" s="26" t="e">
        <f>AN$3/AQ42</f>
        <v>#DIV/0!</v>
      </c>
      <c r="AQ42" s="23">
        <v>4</v>
      </c>
      <c r="AR42" s="25" t="s">
        <v>11</v>
      </c>
      <c r="AS42" s="41" t="e">
        <f t="shared" si="14"/>
        <v>#DIV/0!</v>
      </c>
    </row>
    <row r="43" spans="1:45">
      <c r="A43" s="33">
        <f>D$4/B43</f>
        <v>1065.0572383664087</v>
      </c>
      <c r="B43" s="22">
        <v>17</v>
      </c>
      <c r="C43" s="22" t="s">
        <v>21</v>
      </c>
      <c r="D43" s="24">
        <f t="shared" si="1"/>
        <v>48.971097582618313</v>
      </c>
      <c r="E43" s="29"/>
      <c r="F43" s="24">
        <f>D$4/G43</f>
        <v>9052.9865261144732</v>
      </c>
      <c r="G43" s="22">
        <v>2</v>
      </c>
      <c r="H43" s="22" t="s">
        <v>21</v>
      </c>
      <c r="I43" s="40">
        <f t="shared" si="2"/>
        <v>14.584835009719802</v>
      </c>
      <c r="J43" s="33">
        <f>M$4/K43</f>
        <v>1090.8307026441421</v>
      </c>
      <c r="K43" s="22">
        <v>17</v>
      </c>
      <c r="L43" s="22" t="s">
        <v>21</v>
      </c>
      <c r="M43" s="24">
        <f t="shared" si="4"/>
        <v>48.971097582618313</v>
      </c>
      <c r="N43" s="29"/>
      <c r="O43" s="24">
        <f>M$4/P43</f>
        <v>9272.0609724752085</v>
      </c>
      <c r="P43" s="29">
        <v>2</v>
      </c>
      <c r="Q43" s="22" t="s">
        <v>21</v>
      </c>
      <c r="R43" s="40">
        <f t="shared" si="5"/>
        <v>14.584835009719802</v>
      </c>
      <c r="S43" s="33" t="e">
        <f>V$4/T43</f>
        <v>#DIV/0!</v>
      </c>
      <c r="T43" s="22">
        <v>17</v>
      </c>
      <c r="U43" s="22" t="s">
        <v>21</v>
      </c>
      <c r="V43" s="24" t="e">
        <f t="shared" si="7"/>
        <v>#DIV/0!</v>
      </c>
      <c r="W43" s="29"/>
      <c r="X43" s="24" t="e">
        <f>V$4/Y43</f>
        <v>#DIV/0!</v>
      </c>
      <c r="Y43" s="29">
        <v>2</v>
      </c>
      <c r="Z43" s="22" t="s">
        <v>21</v>
      </c>
      <c r="AA43" s="40" t="e">
        <f t="shared" si="8"/>
        <v>#DIV/0!</v>
      </c>
      <c r="AB43" s="33" t="e">
        <f>AE$4/AC43</f>
        <v>#DIV/0!</v>
      </c>
      <c r="AC43" s="22">
        <v>17</v>
      </c>
      <c r="AD43" s="22" t="s">
        <v>21</v>
      </c>
      <c r="AE43" s="24" t="e">
        <f t="shared" si="10"/>
        <v>#DIV/0!</v>
      </c>
      <c r="AF43" s="29"/>
      <c r="AG43" s="24" t="e">
        <f>AE$4/AH43</f>
        <v>#DIV/0!</v>
      </c>
      <c r="AH43" s="29">
        <v>2</v>
      </c>
      <c r="AI43" s="22" t="s">
        <v>21</v>
      </c>
      <c r="AJ43" s="40" t="e">
        <f t="shared" si="11"/>
        <v>#DIV/0!</v>
      </c>
      <c r="AK43" s="33" t="e">
        <f>AN$4/AL43</f>
        <v>#DIV/0!</v>
      </c>
      <c r="AL43" s="22">
        <v>17</v>
      </c>
      <c r="AM43" s="22" t="s">
        <v>21</v>
      </c>
      <c r="AN43" s="24" t="e">
        <f t="shared" si="13"/>
        <v>#DIV/0!</v>
      </c>
      <c r="AO43" s="29"/>
      <c r="AP43" s="24" t="e">
        <f>AN$4/AQ43</f>
        <v>#DIV/0!</v>
      </c>
      <c r="AQ43" s="29">
        <v>2</v>
      </c>
      <c r="AR43" s="22" t="s">
        <v>21</v>
      </c>
      <c r="AS43" s="40" t="e">
        <f t="shared" si="14"/>
        <v>#DIV/0!</v>
      </c>
    </row>
    <row r="44" spans="1:45">
      <c r="A44" s="33">
        <f>D$3/B44</f>
        <v>1081.3953533425336</v>
      </c>
      <c r="B44" s="22">
        <v>29</v>
      </c>
      <c r="C44" s="22" t="s">
        <v>11</v>
      </c>
      <c r="D44" s="24">
        <f t="shared" si="1"/>
        <v>76.480107640937121</v>
      </c>
      <c r="E44" s="29"/>
      <c r="F44" s="24">
        <f>D$3/G44</f>
        <v>10453.488415644491</v>
      </c>
      <c r="G44" s="22">
        <v>3</v>
      </c>
      <c r="H44" s="22" t="s">
        <v>11</v>
      </c>
      <c r="I44" s="40">
        <f t="shared" si="2"/>
        <v>16.877252514579702</v>
      </c>
      <c r="J44" s="33">
        <f>M$3/K44</f>
        <v>1107.5641858761073</v>
      </c>
      <c r="K44" s="22">
        <v>29</v>
      </c>
      <c r="L44" s="22" t="s">
        <v>11</v>
      </c>
      <c r="M44" s="24">
        <f t="shared" si="4"/>
        <v>76.480107640937121</v>
      </c>
      <c r="N44" s="29"/>
      <c r="O44" s="24">
        <f>M$3/P44</f>
        <v>10706.453796802371</v>
      </c>
      <c r="P44" s="29">
        <v>3</v>
      </c>
      <c r="Q44" s="22" t="s">
        <v>11</v>
      </c>
      <c r="R44" s="40">
        <f t="shared" si="5"/>
        <v>16.877252514579702</v>
      </c>
      <c r="S44" s="33" t="e">
        <f>V$3/T44</f>
        <v>#DIV/0!</v>
      </c>
      <c r="T44" s="22">
        <v>29</v>
      </c>
      <c r="U44" s="22" t="s">
        <v>11</v>
      </c>
      <c r="V44" s="24" t="e">
        <f t="shared" si="7"/>
        <v>#DIV/0!</v>
      </c>
      <c r="W44" s="29"/>
      <c r="X44" s="24" t="e">
        <f>V$3/Y44</f>
        <v>#DIV/0!</v>
      </c>
      <c r="Y44" s="29">
        <v>3</v>
      </c>
      <c r="Z44" s="22" t="s">
        <v>11</v>
      </c>
      <c r="AA44" s="40" t="e">
        <f t="shared" si="8"/>
        <v>#DIV/0!</v>
      </c>
      <c r="AB44" s="33" t="e">
        <f>AE$3/AC44</f>
        <v>#DIV/0!</v>
      </c>
      <c r="AC44" s="22">
        <v>29</v>
      </c>
      <c r="AD44" s="22" t="s">
        <v>11</v>
      </c>
      <c r="AE44" s="24" t="e">
        <f t="shared" si="10"/>
        <v>#DIV/0!</v>
      </c>
      <c r="AF44" s="29"/>
      <c r="AG44" s="24" t="e">
        <f>AE$3/AH44</f>
        <v>#DIV/0!</v>
      </c>
      <c r="AH44" s="29">
        <v>3</v>
      </c>
      <c r="AI44" s="22" t="s">
        <v>11</v>
      </c>
      <c r="AJ44" s="40" t="e">
        <f t="shared" si="11"/>
        <v>#DIV/0!</v>
      </c>
      <c r="AK44" s="33" t="e">
        <f>AN$3/AL44</f>
        <v>#DIV/0!</v>
      </c>
      <c r="AL44" s="22">
        <v>29</v>
      </c>
      <c r="AM44" s="22" t="s">
        <v>11</v>
      </c>
      <c r="AN44" s="24" t="e">
        <f t="shared" si="13"/>
        <v>#DIV/0!</v>
      </c>
      <c r="AO44" s="29"/>
      <c r="AP44" s="24" t="e">
        <f>AN$3/AQ44</f>
        <v>#DIV/0!</v>
      </c>
      <c r="AQ44" s="29">
        <v>3</v>
      </c>
      <c r="AR44" s="22" t="s">
        <v>11</v>
      </c>
      <c r="AS44" s="40" t="e">
        <f t="shared" si="14"/>
        <v>#DIV/0!</v>
      </c>
    </row>
    <row r="45" spans="1:45">
      <c r="A45" s="34">
        <f>D$3/B45</f>
        <v>1120.0166159619098</v>
      </c>
      <c r="B45" s="25">
        <v>28</v>
      </c>
      <c r="C45" s="25" t="s">
        <v>11</v>
      </c>
      <c r="D45" s="26">
        <f t="shared" si="1"/>
        <v>74.187690136077222</v>
      </c>
      <c r="E45" s="23"/>
      <c r="F45" s="26">
        <f>D$3/G45</f>
        <v>15680.232623466736</v>
      </c>
      <c r="G45" s="25">
        <v>2</v>
      </c>
      <c r="H45" s="25" t="s">
        <v>11</v>
      </c>
      <c r="I45" s="41">
        <f t="shared" si="2"/>
        <v>14.584835009719802</v>
      </c>
      <c r="J45" s="34">
        <f>M$3/K45</f>
        <v>1147.1200496573967</v>
      </c>
      <c r="K45" s="25">
        <v>28</v>
      </c>
      <c r="L45" s="25" t="s">
        <v>11</v>
      </c>
      <c r="M45" s="26">
        <f t="shared" si="4"/>
        <v>74.187690136077222</v>
      </c>
      <c r="N45" s="23"/>
      <c r="O45" s="26">
        <f>M$3/P45</f>
        <v>16059.680695203555</v>
      </c>
      <c r="P45" s="23">
        <v>2</v>
      </c>
      <c r="Q45" s="25" t="s">
        <v>11</v>
      </c>
      <c r="R45" s="41">
        <f t="shared" si="5"/>
        <v>14.584835009719802</v>
      </c>
      <c r="S45" s="34" t="e">
        <f>V$3/T45</f>
        <v>#DIV/0!</v>
      </c>
      <c r="T45" s="25">
        <v>28</v>
      </c>
      <c r="U45" s="25" t="s">
        <v>11</v>
      </c>
      <c r="V45" s="26" t="e">
        <f t="shared" si="7"/>
        <v>#DIV/0!</v>
      </c>
      <c r="W45" s="23"/>
      <c r="X45" s="26" t="e">
        <f>V$3/Y45</f>
        <v>#DIV/0!</v>
      </c>
      <c r="Y45" s="23">
        <v>2</v>
      </c>
      <c r="Z45" s="25" t="s">
        <v>11</v>
      </c>
      <c r="AA45" s="41" t="e">
        <f t="shared" si="8"/>
        <v>#DIV/0!</v>
      </c>
      <c r="AB45" s="34" t="e">
        <f>AE$3/AC45</f>
        <v>#DIV/0!</v>
      </c>
      <c r="AC45" s="25">
        <v>28</v>
      </c>
      <c r="AD45" s="25" t="s">
        <v>11</v>
      </c>
      <c r="AE45" s="26" t="e">
        <f t="shared" si="10"/>
        <v>#DIV/0!</v>
      </c>
      <c r="AF45" s="23"/>
      <c r="AG45" s="26" t="e">
        <f>AE$3/AH45</f>
        <v>#DIV/0!</v>
      </c>
      <c r="AH45" s="23">
        <v>2</v>
      </c>
      <c r="AI45" s="25" t="s">
        <v>11</v>
      </c>
      <c r="AJ45" s="41" t="e">
        <f t="shared" si="11"/>
        <v>#DIV/0!</v>
      </c>
      <c r="AK45" s="34" t="e">
        <f>AN$3/AL45</f>
        <v>#DIV/0!</v>
      </c>
      <c r="AL45" s="25">
        <v>28</v>
      </c>
      <c r="AM45" s="25" t="s">
        <v>11</v>
      </c>
      <c r="AN45" s="26" t="e">
        <f t="shared" si="13"/>
        <v>#DIV/0!</v>
      </c>
      <c r="AO45" s="23"/>
      <c r="AP45" s="26" t="e">
        <f>AN$3/AQ45</f>
        <v>#DIV/0!</v>
      </c>
      <c r="AQ45" s="23">
        <v>2</v>
      </c>
      <c r="AR45" s="25" t="s">
        <v>11</v>
      </c>
      <c r="AS45" s="41" t="e">
        <f t="shared" si="14"/>
        <v>#DIV/0!</v>
      </c>
    </row>
    <row r="46" spans="1:45">
      <c r="A46" s="34">
        <f>D$4/B46</f>
        <v>1131.6233157643092</v>
      </c>
      <c r="B46" s="25">
        <v>16</v>
      </c>
      <c r="C46" s="25" t="s">
        <v>21</v>
      </c>
      <c r="D46" s="26">
        <f t="shared" si="1"/>
        <v>46.678680077758415</v>
      </c>
      <c r="E46" s="23"/>
      <c r="F46" s="26">
        <f>D$4/G46</f>
        <v>18105.973052228946</v>
      </c>
      <c r="G46" s="25">
        <v>1</v>
      </c>
      <c r="H46" s="25" t="s">
        <v>21</v>
      </c>
      <c r="I46" s="41">
        <f t="shared" si="2"/>
        <v>12.292417504859902</v>
      </c>
      <c r="J46" s="34">
        <f>M$4/K46</f>
        <v>1159.0076215594011</v>
      </c>
      <c r="K46" s="25">
        <v>16</v>
      </c>
      <c r="L46" s="25" t="s">
        <v>21</v>
      </c>
      <c r="M46" s="26">
        <f t="shared" si="4"/>
        <v>46.678680077758415</v>
      </c>
      <c r="N46" s="23"/>
      <c r="O46" s="26">
        <f>M$4/P46</f>
        <v>18544.121944950417</v>
      </c>
      <c r="P46" s="23">
        <v>1</v>
      </c>
      <c r="Q46" s="25" t="s">
        <v>21</v>
      </c>
      <c r="R46" s="41">
        <f t="shared" si="5"/>
        <v>12.292417504859902</v>
      </c>
      <c r="S46" s="34" t="e">
        <f>V$4/T46</f>
        <v>#DIV/0!</v>
      </c>
      <c r="T46" s="25">
        <v>16</v>
      </c>
      <c r="U46" s="25" t="s">
        <v>21</v>
      </c>
      <c r="V46" s="26" t="e">
        <f t="shared" si="7"/>
        <v>#DIV/0!</v>
      </c>
      <c r="W46" s="23"/>
      <c r="X46" s="26" t="e">
        <f>V$4/Y46</f>
        <v>#DIV/0!</v>
      </c>
      <c r="Y46" s="23">
        <v>1</v>
      </c>
      <c r="Z46" s="25" t="s">
        <v>21</v>
      </c>
      <c r="AA46" s="41" t="e">
        <f t="shared" si="8"/>
        <v>#DIV/0!</v>
      </c>
      <c r="AB46" s="34" t="e">
        <f>AE$4/AC46</f>
        <v>#DIV/0!</v>
      </c>
      <c r="AC46" s="25">
        <v>16</v>
      </c>
      <c r="AD46" s="25" t="s">
        <v>21</v>
      </c>
      <c r="AE46" s="26" t="e">
        <f t="shared" si="10"/>
        <v>#DIV/0!</v>
      </c>
      <c r="AF46" s="23"/>
      <c r="AG46" s="26" t="e">
        <f>AE$4/AH46</f>
        <v>#DIV/0!</v>
      </c>
      <c r="AH46" s="23">
        <v>1</v>
      </c>
      <c r="AI46" s="25" t="s">
        <v>21</v>
      </c>
      <c r="AJ46" s="41" t="e">
        <f t="shared" si="11"/>
        <v>#DIV/0!</v>
      </c>
      <c r="AK46" s="34" t="e">
        <f>AN$4/AL46</f>
        <v>#DIV/0!</v>
      </c>
      <c r="AL46" s="25">
        <v>16</v>
      </c>
      <c r="AM46" s="25" t="s">
        <v>21</v>
      </c>
      <c r="AN46" s="26" t="e">
        <f t="shared" si="13"/>
        <v>#DIV/0!</v>
      </c>
      <c r="AO46" s="23"/>
      <c r="AP46" s="26" t="e">
        <f>AN$4/AQ46</f>
        <v>#DIV/0!</v>
      </c>
      <c r="AQ46" s="23">
        <v>1</v>
      </c>
      <c r="AR46" s="25" t="s">
        <v>21</v>
      </c>
      <c r="AS46" s="41" t="e">
        <f t="shared" si="14"/>
        <v>#DIV/0!</v>
      </c>
    </row>
    <row r="47" spans="1:45" ht="13.5" thickBot="1">
      <c r="A47" s="35">
        <f>D$3/B47</f>
        <v>1161.4987128493879</v>
      </c>
      <c r="B47" s="27">
        <v>27</v>
      </c>
      <c r="C47" s="27" t="s">
        <v>11</v>
      </c>
      <c r="D47" s="28">
        <f t="shared" si="1"/>
        <v>71.895272631217324</v>
      </c>
      <c r="E47" s="36"/>
      <c r="F47" s="28">
        <f>D$3/G47</f>
        <v>31360.465246933472</v>
      </c>
      <c r="G47" s="27">
        <v>1</v>
      </c>
      <c r="H47" s="27" t="s">
        <v>11</v>
      </c>
      <c r="I47" s="42">
        <f t="shared" si="2"/>
        <v>12.292417504859902</v>
      </c>
      <c r="J47" s="35">
        <f>M$3/K47</f>
        <v>1189.6059774224855</v>
      </c>
      <c r="K47" s="27">
        <v>27</v>
      </c>
      <c r="L47" s="27" t="s">
        <v>11</v>
      </c>
      <c r="M47" s="28">
        <f t="shared" si="4"/>
        <v>71.895272631217324</v>
      </c>
      <c r="N47" s="36"/>
      <c r="O47" s="28">
        <f>M$3/P47</f>
        <v>32119.36139040711</v>
      </c>
      <c r="P47" s="36">
        <v>1</v>
      </c>
      <c r="Q47" s="27" t="s">
        <v>11</v>
      </c>
      <c r="R47" s="42">
        <f t="shared" si="5"/>
        <v>12.292417504859902</v>
      </c>
      <c r="S47" s="35" t="e">
        <f>V$3/T47</f>
        <v>#DIV/0!</v>
      </c>
      <c r="T47" s="27">
        <v>27</v>
      </c>
      <c r="U47" s="27" t="s">
        <v>11</v>
      </c>
      <c r="V47" s="28" t="e">
        <f t="shared" si="7"/>
        <v>#DIV/0!</v>
      </c>
      <c r="W47" s="36"/>
      <c r="X47" s="28" t="e">
        <f>V$3/Y47</f>
        <v>#DIV/0!</v>
      </c>
      <c r="Y47" s="36">
        <v>1</v>
      </c>
      <c r="Z47" s="27" t="s">
        <v>11</v>
      </c>
      <c r="AA47" s="42" t="e">
        <f t="shared" si="8"/>
        <v>#DIV/0!</v>
      </c>
      <c r="AB47" s="35" t="e">
        <f>AE$3/AC47</f>
        <v>#DIV/0!</v>
      </c>
      <c r="AC47" s="27">
        <v>27</v>
      </c>
      <c r="AD47" s="27" t="s">
        <v>11</v>
      </c>
      <c r="AE47" s="28" t="e">
        <f t="shared" si="10"/>
        <v>#DIV/0!</v>
      </c>
      <c r="AF47" s="36"/>
      <c r="AG47" s="28" t="e">
        <f>AE$3/AH47</f>
        <v>#DIV/0!</v>
      </c>
      <c r="AH47" s="36">
        <v>1</v>
      </c>
      <c r="AI47" s="27" t="s">
        <v>11</v>
      </c>
      <c r="AJ47" s="42" t="e">
        <f t="shared" si="11"/>
        <v>#DIV/0!</v>
      </c>
      <c r="AK47" s="35" t="e">
        <f>AN$3/AL47</f>
        <v>#DIV/0!</v>
      </c>
      <c r="AL47" s="27">
        <v>27</v>
      </c>
      <c r="AM47" s="27" t="s">
        <v>11</v>
      </c>
      <c r="AN47" s="28" t="e">
        <f t="shared" si="13"/>
        <v>#DIV/0!</v>
      </c>
      <c r="AO47" s="36"/>
      <c r="AP47" s="28" t="e">
        <f>AN$3/AQ47</f>
        <v>#DIV/0!</v>
      </c>
      <c r="AQ47" s="36">
        <v>1</v>
      </c>
      <c r="AR47" s="27" t="s">
        <v>11</v>
      </c>
      <c r="AS47" s="42" t="e">
        <f t="shared" si="14"/>
        <v>#DIV/0!</v>
      </c>
    </row>
    <row r="48" spans="1:45">
      <c r="A48" s="14"/>
      <c r="B48" s="14"/>
      <c r="C48" s="14"/>
      <c r="D48" s="14"/>
      <c r="E48" s="14"/>
      <c r="F48" s="15"/>
      <c r="G48" s="15"/>
      <c r="H48" s="15"/>
      <c r="I48" s="16"/>
    </row>
    <row r="49" spans="1:9">
      <c r="A49" s="14"/>
      <c r="B49" s="14"/>
      <c r="C49" s="14"/>
      <c r="D49" s="14"/>
      <c r="E49" s="14"/>
      <c r="F49" s="15"/>
      <c r="G49" s="15"/>
      <c r="H49" s="15"/>
      <c r="I49" s="16"/>
    </row>
    <row r="50" spans="1:9">
      <c r="A50" s="14"/>
      <c r="B50" s="14"/>
      <c r="C50" s="14"/>
      <c r="D50" s="14"/>
      <c r="E50" s="14"/>
      <c r="F50" s="15"/>
      <c r="G50" s="15"/>
      <c r="H50" s="15"/>
      <c r="I50" s="16"/>
    </row>
    <row r="51" spans="1:9">
      <c r="A51" s="14"/>
      <c r="B51" s="14"/>
      <c r="C51" s="14"/>
      <c r="D51" s="14"/>
      <c r="E51" s="14"/>
      <c r="F51" s="15"/>
      <c r="G51" s="15"/>
      <c r="H51" s="15"/>
      <c r="I51" s="16"/>
    </row>
    <row r="52" spans="1:9">
      <c r="I52" s="1"/>
    </row>
    <row r="53" spans="1:9">
      <c r="I53" s="1"/>
    </row>
    <row r="54" spans="1:9">
      <c r="I54" s="1"/>
    </row>
    <row r="55" spans="1:9">
      <c r="I55" s="1"/>
    </row>
    <row r="56" spans="1:9">
      <c r="I56" s="1"/>
    </row>
    <row r="57" spans="1:9">
      <c r="I57" s="1"/>
    </row>
    <row r="58" spans="1:9">
      <c r="I58" s="1"/>
    </row>
    <row r="59" spans="1:9">
      <c r="I59" s="1"/>
    </row>
    <row r="60" spans="1:9">
      <c r="I60" s="1"/>
    </row>
    <row r="61" spans="1:9">
      <c r="I61" s="1"/>
    </row>
    <row r="62" spans="1:9">
      <c r="I62" s="1"/>
    </row>
    <row r="63" spans="1:9">
      <c r="I63" s="1"/>
    </row>
    <row r="64" spans="1:9">
      <c r="I64" s="1"/>
    </row>
    <row r="65" spans="9:9">
      <c r="I65" s="1"/>
    </row>
    <row r="66" spans="9:9">
      <c r="I66" s="1"/>
    </row>
    <row r="67" spans="9:9">
      <c r="I67" s="1"/>
    </row>
    <row r="68" spans="9:9">
      <c r="I68" s="1"/>
    </row>
    <row r="69" spans="9:9">
      <c r="I69" s="1"/>
    </row>
    <row r="70" spans="9:9">
      <c r="I70" s="1"/>
    </row>
    <row r="71" spans="9:9">
      <c r="I71" s="1"/>
    </row>
    <row r="72" spans="9:9">
      <c r="I72" s="1"/>
    </row>
    <row r="73" spans="9:9">
      <c r="I73" s="1"/>
    </row>
    <row r="74" spans="9:9">
      <c r="I74" s="1"/>
    </row>
    <row r="75" spans="9:9">
      <c r="I75" s="1"/>
    </row>
    <row r="76" spans="9:9">
      <c r="I76" s="1"/>
    </row>
    <row r="77" spans="9:9">
      <c r="I77" s="1"/>
    </row>
    <row r="78" spans="9:9">
      <c r="I78" s="1"/>
    </row>
    <row r="79" spans="9:9">
      <c r="I79" s="1"/>
    </row>
    <row r="80" spans="9:9">
      <c r="I80" s="1"/>
    </row>
    <row r="81" spans="9:9">
      <c r="I81" s="1"/>
    </row>
    <row r="82" spans="9:9">
      <c r="I82" s="1"/>
    </row>
    <row r="83" spans="9:9">
      <c r="I83" s="1"/>
    </row>
    <row r="84" spans="9:9">
      <c r="I84" s="1"/>
    </row>
    <row r="85" spans="9:9">
      <c r="I85" s="1"/>
    </row>
    <row r="86" spans="9:9">
      <c r="I86" s="1"/>
    </row>
    <row r="87" spans="9:9">
      <c r="I87" s="1"/>
    </row>
    <row r="88" spans="9:9">
      <c r="I88" s="1"/>
    </row>
    <row r="89" spans="9:9">
      <c r="I89" s="1"/>
    </row>
    <row r="90" spans="9:9">
      <c r="I90" s="1"/>
    </row>
    <row r="91" spans="9:9">
      <c r="I91" s="1"/>
    </row>
    <row r="92" spans="9:9">
      <c r="I92" s="1"/>
    </row>
    <row r="93" spans="9:9">
      <c r="I93" s="1"/>
    </row>
    <row r="94" spans="9:9">
      <c r="I94" s="1"/>
    </row>
    <row r="95" spans="9:9">
      <c r="I95" s="1"/>
    </row>
    <row r="96" spans="9:9">
      <c r="I96" s="1"/>
    </row>
    <row r="97" spans="9:9">
      <c r="I97" s="1"/>
    </row>
    <row r="98" spans="9:9">
      <c r="I98" s="1"/>
    </row>
    <row r="99" spans="9:9">
      <c r="I99" s="1"/>
    </row>
    <row r="100" spans="9:9">
      <c r="I100" s="1"/>
    </row>
    <row r="101" spans="9:9">
      <c r="I101" s="1"/>
    </row>
    <row r="102" spans="9:9">
      <c r="I102" s="1"/>
    </row>
    <row r="103" spans="9:9">
      <c r="I103" s="1"/>
    </row>
    <row r="104" spans="9:9">
      <c r="I104" s="1"/>
    </row>
    <row r="105" spans="9:9">
      <c r="I105" s="1"/>
    </row>
    <row r="106" spans="9:9">
      <c r="I106" s="1"/>
    </row>
    <row r="107" spans="9:9">
      <c r="I107" s="1"/>
    </row>
    <row r="108" spans="9:9">
      <c r="I108" s="1"/>
    </row>
    <row r="109" spans="9:9">
      <c r="I109" s="1"/>
    </row>
    <row r="110" spans="9:9">
      <c r="I110" s="1"/>
    </row>
    <row r="111" spans="9:9">
      <c r="I111" s="1"/>
    </row>
    <row r="112" spans="9:9">
      <c r="I112" s="1"/>
    </row>
  </sheetData>
  <mergeCells count="35">
    <mergeCell ref="AK1:AS1"/>
    <mergeCell ref="AN2:AO2"/>
    <mergeCell ref="AR2:AS5"/>
    <mergeCell ref="AN3:AO3"/>
    <mergeCell ref="AN4:AO4"/>
    <mergeCell ref="AN5:AO5"/>
    <mergeCell ref="AP5:AQ5"/>
    <mergeCell ref="AB1:AJ1"/>
    <mergeCell ref="AE2:AF2"/>
    <mergeCell ref="AI2:AJ5"/>
    <mergeCell ref="AE3:AF3"/>
    <mergeCell ref="AE4:AF4"/>
    <mergeCell ref="AE5:AF5"/>
    <mergeCell ref="AG5:AH5"/>
    <mergeCell ref="S1:AA1"/>
    <mergeCell ref="V2:W2"/>
    <mergeCell ref="Z2:AA5"/>
    <mergeCell ref="V3:W3"/>
    <mergeCell ref="V4:W4"/>
    <mergeCell ref="V5:W5"/>
    <mergeCell ref="X5:Y5"/>
    <mergeCell ref="J1:R1"/>
    <mergeCell ref="M3:N3"/>
    <mergeCell ref="Q2:R5"/>
    <mergeCell ref="M4:N4"/>
    <mergeCell ref="M2:N2"/>
    <mergeCell ref="M5:N5"/>
    <mergeCell ref="O5:P5"/>
    <mergeCell ref="A1:I1"/>
    <mergeCell ref="F5:G5"/>
    <mergeCell ref="D2:E2"/>
    <mergeCell ref="D3:E3"/>
    <mergeCell ref="D4:E4"/>
    <mergeCell ref="D5:E5"/>
    <mergeCell ref="H2:I5"/>
  </mergeCells>
  <phoneticPr fontId="5" type="noConversion"/>
  <pageMargins left="0.75" right="0.75" top="1" bottom="1" header="0" footer="0"/>
  <pageSetup paperSize="9" scale="9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2"/>
  <sheetViews>
    <sheetView workbookViewId="0">
      <pane ySplit="4" topLeftCell="A5" activePane="bottomLeft" state="frozen"/>
      <selection pane="bottomLeft" activeCell="F7" sqref="F7"/>
    </sheetView>
  </sheetViews>
  <sheetFormatPr defaultRowHeight="12.75"/>
  <sheetData>
    <row r="1" spans="1:4" ht="21" thickBot="1">
      <c r="A1" s="174" t="s">
        <v>213</v>
      </c>
      <c r="B1" s="175"/>
      <c r="C1" s="175"/>
      <c r="D1" s="176"/>
    </row>
    <row r="2" spans="1:4">
      <c r="A2">
        <v>1</v>
      </c>
      <c r="B2">
        <v>2</v>
      </c>
      <c r="C2">
        <v>3</v>
      </c>
      <c r="D2">
        <v>4</v>
      </c>
    </row>
    <row r="4" spans="1:4">
      <c r="A4" t="s">
        <v>86</v>
      </c>
      <c r="B4" t="s">
        <v>83</v>
      </c>
      <c r="C4" t="s">
        <v>84</v>
      </c>
      <c r="D4" t="s">
        <v>85</v>
      </c>
    </row>
    <row r="5" spans="1:4">
      <c r="A5" t="s">
        <v>87</v>
      </c>
      <c r="B5">
        <v>0.4</v>
      </c>
      <c r="C5">
        <v>10.16</v>
      </c>
      <c r="D5">
        <v>81.072999999999993</v>
      </c>
    </row>
    <row r="6" spans="1:4">
      <c r="A6" t="s">
        <v>90</v>
      </c>
      <c r="B6">
        <v>0.372</v>
      </c>
      <c r="C6">
        <v>9.4499999999999993</v>
      </c>
      <c r="D6">
        <v>70.138000000000005</v>
      </c>
    </row>
    <row r="7" spans="1:4">
      <c r="A7" t="s">
        <v>93</v>
      </c>
      <c r="B7">
        <v>0.34799999999999998</v>
      </c>
      <c r="C7">
        <v>8.84</v>
      </c>
      <c r="D7">
        <v>61.375</v>
      </c>
    </row>
    <row r="8" spans="1:4">
      <c r="A8" t="s">
        <v>96</v>
      </c>
      <c r="B8">
        <v>0.32400000000000001</v>
      </c>
      <c r="C8">
        <v>8.23</v>
      </c>
      <c r="D8">
        <v>53.197000000000003</v>
      </c>
    </row>
    <row r="9" spans="1:4">
      <c r="A9" t="s">
        <v>99</v>
      </c>
      <c r="B9">
        <v>0.3</v>
      </c>
      <c r="C9">
        <v>7.62</v>
      </c>
      <c r="D9">
        <v>45.603000000000002</v>
      </c>
    </row>
    <row r="10" spans="1:4">
      <c r="A10" t="s">
        <v>102</v>
      </c>
      <c r="B10">
        <v>0.27600000000000002</v>
      </c>
      <c r="C10">
        <v>7.01</v>
      </c>
      <c r="D10">
        <v>38.594000000000001</v>
      </c>
    </row>
    <row r="11" spans="1:4">
      <c r="A11" t="s">
        <v>105</v>
      </c>
      <c r="B11">
        <v>0.252</v>
      </c>
      <c r="C11">
        <v>6.4</v>
      </c>
      <c r="D11">
        <v>32.168999999999997</v>
      </c>
    </row>
    <row r="12" spans="1:4">
      <c r="A12" t="s">
        <v>108</v>
      </c>
      <c r="B12">
        <v>0.23200000000000001</v>
      </c>
      <c r="C12">
        <v>5.89</v>
      </c>
      <c r="D12">
        <v>27.247</v>
      </c>
    </row>
    <row r="13" spans="1:4">
      <c r="A13" t="s">
        <v>111</v>
      </c>
      <c r="B13">
        <v>0.21199999999999999</v>
      </c>
      <c r="C13">
        <v>5.38</v>
      </c>
      <c r="D13">
        <v>22.731999999999999</v>
      </c>
    </row>
    <row r="14" spans="1:4">
      <c r="A14" t="s">
        <v>114</v>
      </c>
      <c r="B14">
        <v>0.192</v>
      </c>
      <c r="C14">
        <v>4.88</v>
      </c>
      <c r="D14">
        <v>18.702999999999999</v>
      </c>
    </row>
    <row r="15" spans="1:4">
      <c r="A15" t="s">
        <v>117</v>
      </c>
      <c r="B15">
        <v>0.17599999999999999</v>
      </c>
      <c r="C15">
        <v>4.47</v>
      </c>
      <c r="D15">
        <v>15.692</v>
      </c>
    </row>
    <row r="16" spans="1:4">
      <c r="A16" t="s">
        <v>120</v>
      </c>
      <c r="B16">
        <v>0.16</v>
      </c>
      <c r="C16">
        <v>4.0599999999999996</v>
      </c>
      <c r="D16">
        <v>12.946</v>
      </c>
    </row>
    <row r="17" spans="1:4">
      <c r="A17" t="s">
        <v>123</v>
      </c>
      <c r="B17">
        <v>0.14399999999999999</v>
      </c>
      <c r="C17">
        <v>3.66</v>
      </c>
      <c r="D17">
        <v>10.52</v>
      </c>
    </row>
    <row r="18" spans="1:4">
      <c r="A18" t="s">
        <v>126</v>
      </c>
      <c r="B18">
        <v>0.128</v>
      </c>
      <c r="C18">
        <v>3.25</v>
      </c>
      <c r="D18">
        <v>8.2949999999999999</v>
      </c>
    </row>
    <row r="19" spans="1:4">
      <c r="A19" t="s">
        <v>129</v>
      </c>
      <c r="B19">
        <v>0.11600000000000001</v>
      </c>
      <c r="C19">
        <v>2.95</v>
      </c>
      <c r="D19">
        <v>6.8339999999999996</v>
      </c>
    </row>
    <row r="20" spans="1:4">
      <c r="A20" t="s">
        <v>132</v>
      </c>
      <c r="B20">
        <v>0.104</v>
      </c>
      <c r="C20">
        <v>2.64</v>
      </c>
      <c r="D20">
        <v>5.4729999999999999</v>
      </c>
    </row>
    <row r="21" spans="1:4">
      <c r="A21" t="s">
        <v>135</v>
      </c>
      <c r="B21">
        <v>9.1999999999999998E-2</v>
      </c>
      <c r="C21">
        <v>2.34</v>
      </c>
      <c r="D21">
        <v>4.3</v>
      </c>
    </row>
    <row r="22" spans="1:4">
      <c r="A22" t="s">
        <v>138</v>
      </c>
      <c r="B22">
        <v>8.1000000000000003E-2</v>
      </c>
      <c r="C22">
        <v>2.0299999999999998</v>
      </c>
      <c r="D22">
        <v>3.2360000000000002</v>
      </c>
    </row>
    <row r="23" spans="1:4">
      <c r="A23" t="s">
        <v>141</v>
      </c>
      <c r="B23">
        <v>7.1999999999999995E-2</v>
      </c>
      <c r="C23">
        <v>1.83</v>
      </c>
      <c r="D23">
        <v>2.63</v>
      </c>
    </row>
    <row r="24" spans="1:4">
      <c r="A24" t="s">
        <v>144</v>
      </c>
      <c r="B24">
        <v>6.4000000000000001E-2</v>
      </c>
      <c r="C24">
        <v>1.63</v>
      </c>
      <c r="D24">
        <v>2.0859999999999999</v>
      </c>
    </row>
    <row r="25" spans="1:4">
      <c r="A25" t="s">
        <v>147</v>
      </c>
      <c r="B25">
        <v>5.6000000000000001E-2</v>
      </c>
      <c r="C25">
        <v>1.42</v>
      </c>
      <c r="D25">
        <v>1.583</v>
      </c>
    </row>
    <row r="26" spans="1:4">
      <c r="A26" t="s">
        <v>150</v>
      </c>
      <c r="B26">
        <v>4.8000000000000001E-2</v>
      </c>
      <c r="C26">
        <v>1.22</v>
      </c>
      <c r="D26">
        <v>1.1679999999999999</v>
      </c>
    </row>
    <row r="27" spans="1:4">
      <c r="A27" t="s">
        <v>153</v>
      </c>
      <c r="B27">
        <v>0.04</v>
      </c>
      <c r="C27">
        <v>1.02</v>
      </c>
      <c r="D27">
        <v>0.81699999999999995</v>
      </c>
    </row>
    <row r="28" spans="1:4">
      <c r="A28" t="s">
        <v>156</v>
      </c>
      <c r="B28">
        <v>3.5999999999999997E-2</v>
      </c>
      <c r="C28">
        <v>0.92</v>
      </c>
      <c r="D28">
        <v>0.66400000000000003</v>
      </c>
    </row>
    <row r="29" spans="1:4">
      <c r="A29" t="s">
        <v>159</v>
      </c>
      <c r="B29">
        <v>3.2000000000000001E-2</v>
      </c>
      <c r="C29">
        <v>0.81</v>
      </c>
      <c r="D29">
        <v>0.51500000000000001</v>
      </c>
    </row>
    <row r="30" spans="1:4">
      <c r="A30" t="s">
        <v>162</v>
      </c>
      <c r="B30">
        <v>2.8000000000000001E-2</v>
      </c>
      <c r="C30">
        <v>0.71</v>
      </c>
      <c r="D30">
        <v>0.39500000000000002</v>
      </c>
    </row>
    <row r="31" spans="1:4">
      <c r="A31" t="s">
        <v>165</v>
      </c>
      <c r="B31">
        <v>2.4E-2</v>
      </c>
      <c r="C31">
        <v>0.61</v>
      </c>
      <c r="D31">
        <v>0.29199999999999998</v>
      </c>
    </row>
    <row r="32" spans="1:4">
      <c r="A32" t="s">
        <v>168</v>
      </c>
      <c r="B32">
        <v>2.3E-2</v>
      </c>
      <c r="C32">
        <v>0.56000000000000005</v>
      </c>
      <c r="D32">
        <v>0.246</v>
      </c>
    </row>
    <row r="33" spans="1:4">
      <c r="A33" t="s">
        <v>170</v>
      </c>
      <c r="B33">
        <v>0.02</v>
      </c>
      <c r="C33">
        <v>0.51</v>
      </c>
      <c r="D33">
        <v>0.20399999999999999</v>
      </c>
    </row>
    <row r="34" spans="1:4">
      <c r="A34" t="s">
        <v>173</v>
      </c>
      <c r="B34">
        <v>1.7999999999999999E-2</v>
      </c>
      <c r="C34">
        <v>0.46</v>
      </c>
      <c r="D34">
        <v>0.16600000000000001</v>
      </c>
    </row>
    <row r="35" spans="1:4">
      <c r="A35" t="s">
        <v>175</v>
      </c>
      <c r="B35">
        <v>1.6E-2</v>
      </c>
      <c r="C35">
        <v>0.41</v>
      </c>
      <c r="D35">
        <v>0.13200000000000001</v>
      </c>
    </row>
    <row r="36" spans="1:4">
      <c r="A36" t="s">
        <v>178</v>
      </c>
      <c r="B36">
        <v>1.4E-2</v>
      </c>
      <c r="C36">
        <v>0.38</v>
      </c>
      <c r="D36">
        <v>0.10100000000000001</v>
      </c>
    </row>
    <row r="37" spans="1:4">
      <c r="A37" t="s">
        <v>181</v>
      </c>
      <c r="B37">
        <v>1.2999999999999999E-2</v>
      </c>
      <c r="C37">
        <v>0.35</v>
      </c>
      <c r="D37">
        <v>9.6000000000000002E-2</v>
      </c>
    </row>
    <row r="38" spans="1:4">
      <c r="A38" t="s">
        <v>184</v>
      </c>
      <c r="B38">
        <v>1.2E-2</v>
      </c>
      <c r="C38">
        <v>0.30499999999999999</v>
      </c>
      <c r="D38">
        <v>7.2999999999999995E-2</v>
      </c>
    </row>
    <row r="39" spans="1:4">
      <c r="A39" t="s">
        <v>187</v>
      </c>
      <c r="B39">
        <v>1.0999999999999999E-2</v>
      </c>
      <c r="C39">
        <v>0.28999999999999998</v>
      </c>
      <c r="D39">
        <v>6.6000000000000003E-2</v>
      </c>
    </row>
    <row r="40" spans="1:4">
      <c r="A40" t="s">
        <v>190</v>
      </c>
      <c r="B40">
        <v>1.06E-2</v>
      </c>
      <c r="C40">
        <v>0.27</v>
      </c>
      <c r="D40">
        <v>5.7000000000000002E-2</v>
      </c>
    </row>
    <row r="41" spans="1:4">
      <c r="A41" t="s">
        <v>193</v>
      </c>
      <c r="B41">
        <v>0.01</v>
      </c>
      <c r="C41">
        <v>0.254</v>
      </c>
      <c r="D41">
        <v>0.05</v>
      </c>
    </row>
    <row r="42" spans="1:4">
      <c r="A42" t="s">
        <v>196</v>
      </c>
      <c r="B42">
        <v>8.9999999999999993E-3</v>
      </c>
      <c r="C42">
        <v>0.22900000000000001</v>
      </c>
      <c r="D42">
        <v>4.1000000000000002E-2</v>
      </c>
    </row>
    <row r="43" spans="1:4">
      <c r="A43" t="s">
        <v>199</v>
      </c>
      <c r="B43">
        <v>8.0000000000000002E-3</v>
      </c>
      <c r="C43">
        <v>0.20300000000000001</v>
      </c>
      <c r="D43">
        <v>3.2000000000000001E-2</v>
      </c>
    </row>
    <row r="44" spans="1:4">
      <c r="A44" t="s">
        <v>202</v>
      </c>
      <c r="B44">
        <v>7.0000000000000001E-3</v>
      </c>
      <c r="C44">
        <v>0.17799999999999999</v>
      </c>
      <c r="D44">
        <v>2.4E-2</v>
      </c>
    </row>
    <row r="45" spans="1:4">
      <c r="A45" t="s">
        <v>205</v>
      </c>
      <c r="B45">
        <v>6.7000000000000002E-3</v>
      </c>
      <c r="C45">
        <v>0.17</v>
      </c>
      <c r="D45">
        <v>2.1999999999999999E-2</v>
      </c>
    </row>
    <row r="46" spans="1:4">
      <c r="A46" t="s">
        <v>207</v>
      </c>
      <c r="B46">
        <v>6.0000000000000001E-3</v>
      </c>
      <c r="C46">
        <v>0.15</v>
      </c>
      <c r="D46">
        <v>1.7000000000000001E-2</v>
      </c>
    </row>
    <row r="47" spans="1:4">
      <c r="A47" t="s">
        <v>209</v>
      </c>
      <c r="B47">
        <v>5.0000000000000001E-3</v>
      </c>
      <c r="C47">
        <v>0.127</v>
      </c>
      <c r="D47">
        <v>1.2E-2</v>
      </c>
    </row>
    <row r="48" spans="1:4">
      <c r="A48" t="s">
        <v>211</v>
      </c>
      <c r="B48">
        <v>4.7000000000000002E-3</v>
      </c>
      <c r="C48">
        <v>0.12</v>
      </c>
      <c r="D48">
        <v>1.0999999999999999E-2</v>
      </c>
    </row>
    <row r="49" spans="1:4">
      <c r="A49" t="s">
        <v>88</v>
      </c>
      <c r="B49">
        <v>0.46</v>
      </c>
      <c r="C49">
        <v>11.68</v>
      </c>
      <c r="D49">
        <v>107.145</v>
      </c>
    </row>
    <row r="50" spans="1:4">
      <c r="A50" t="s">
        <v>91</v>
      </c>
      <c r="B50">
        <v>0.40899999999999997</v>
      </c>
      <c r="C50">
        <v>10.41</v>
      </c>
      <c r="D50">
        <v>85.111999999999995</v>
      </c>
    </row>
    <row r="51" spans="1:4">
      <c r="A51" t="s">
        <v>94</v>
      </c>
      <c r="B51">
        <v>0.36499999999999999</v>
      </c>
      <c r="C51">
        <v>9.27</v>
      </c>
      <c r="D51">
        <v>67.491</v>
      </c>
    </row>
    <row r="52" spans="1:4">
      <c r="A52" t="s">
        <v>97</v>
      </c>
      <c r="B52">
        <v>0.32500000000000001</v>
      </c>
      <c r="C52">
        <v>8.25</v>
      </c>
      <c r="D52">
        <v>53.456000000000003</v>
      </c>
    </row>
    <row r="53" spans="1:4">
      <c r="A53" t="s">
        <v>100</v>
      </c>
      <c r="B53">
        <v>0.28899999999999998</v>
      </c>
      <c r="C53">
        <v>7.35</v>
      </c>
      <c r="D53">
        <v>42.429000000000002</v>
      </c>
    </row>
    <row r="54" spans="1:4">
      <c r="A54" t="s">
        <v>103</v>
      </c>
      <c r="B54">
        <v>0.25800000000000001</v>
      </c>
      <c r="C54">
        <v>6.54</v>
      </c>
      <c r="D54">
        <v>33.591999999999999</v>
      </c>
    </row>
    <row r="55" spans="1:4">
      <c r="A55" t="s">
        <v>106</v>
      </c>
      <c r="B55">
        <v>0.22900000000000001</v>
      </c>
      <c r="C55">
        <v>5.83</v>
      </c>
      <c r="D55">
        <v>26.693999999999999</v>
      </c>
    </row>
    <row r="56" spans="1:4">
      <c r="A56" t="s">
        <v>109</v>
      </c>
      <c r="B56">
        <v>0.20399999999999999</v>
      </c>
      <c r="C56">
        <v>5.19</v>
      </c>
      <c r="D56">
        <v>21.155000000000001</v>
      </c>
    </row>
    <row r="57" spans="1:4">
      <c r="A57" t="s">
        <v>112</v>
      </c>
      <c r="B57">
        <v>0.182</v>
      </c>
      <c r="C57">
        <v>4.62</v>
      </c>
      <c r="D57">
        <v>16.763000000000002</v>
      </c>
    </row>
    <row r="58" spans="1:4">
      <c r="A58" t="s">
        <v>115</v>
      </c>
      <c r="B58">
        <v>0.16200000000000001</v>
      </c>
      <c r="C58">
        <v>4.1100000000000003</v>
      </c>
      <c r="D58">
        <v>13.266999999999999</v>
      </c>
    </row>
    <row r="59" spans="1:4">
      <c r="A59" t="s">
        <v>118</v>
      </c>
      <c r="B59">
        <v>0.14399999999999999</v>
      </c>
      <c r="C59">
        <v>3.66</v>
      </c>
      <c r="D59">
        <v>10.52</v>
      </c>
    </row>
    <row r="60" spans="1:4">
      <c r="A60" t="s">
        <v>121</v>
      </c>
      <c r="B60">
        <v>0.128</v>
      </c>
      <c r="C60">
        <v>3.26</v>
      </c>
      <c r="D60">
        <v>8.3460000000000001</v>
      </c>
    </row>
    <row r="61" spans="1:4">
      <c r="A61" t="s">
        <v>124</v>
      </c>
      <c r="B61">
        <v>0.114</v>
      </c>
      <c r="C61">
        <v>2.9</v>
      </c>
      <c r="D61">
        <v>6.6050000000000004</v>
      </c>
    </row>
    <row r="62" spans="1:4">
      <c r="A62" t="s">
        <v>127</v>
      </c>
      <c r="B62">
        <v>0.10199999999999999</v>
      </c>
      <c r="C62">
        <v>2.59</v>
      </c>
      <c r="D62">
        <v>5.2679999999999998</v>
      </c>
    </row>
    <row r="63" spans="1:4">
      <c r="A63" t="s">
        <v>130</v>
      </c>
      <c r="B63">
        <v>9.0999999999999998E-2</v>
      </c>
      <c r="C63">
        <v>2.2999999999999998</v>
      </c>
      <c r="D63">
        <v>4.1539999999999999</v>
      </c>
    </row>
    <row r="64" spans="1:4">
      <c r="A64" t="s">
        <v>133</v>
      </c>
      <c r="B64">
        <v>8.1000000000000003E-2</v>
      </c>
      <c r="C64">
        <v>2.0499999999999998</v>
      </c>
      <c r="D64">
        <v>3.3</v>
      </c>
    </row>
    <row r="65" spans="1:4">
      <c r="A65" t="s">
        <v>136</v>
      </c>
      <c r="B65">
        <v>7.1999999999999995E-2</v>
      </c>
      <c r="C65">
        <v>1.83</v>
      </c>
      <c r="D65">
        <v>2.63</v>
      </c>
    </row>
    <row r="66" spans="1:4">
      <c r="A66" t="s">
        <v>139</v>
      </c>
      <c r="B66">
        <v>6.4000000000000001E-2</v>
      </c>
      <c r="C66">
        <v>1.63</v>
      </c>
      <c r="D66">
        <v>2.0859999999999999</v>
      </c>
    </row>
    <row r="67" spans="1:4">
      <c r="A67" t="s">
        <v>142</v>
      </c>
      <c r="B67">
        <v>5.7000000000000002E-2</v>
      </c>
      <c r="C67">
        <v>1.45</v>
      </c>
      <c r="D67">
        <v>1.651</v>
      </c>
    </row>
    <row r="68" spans="1:4">
      <c r="A68" t="s">
        <v>145</v>
      </c>
      <c r="B68">
        <v>5.0999999999999997E-2</v>
      </c>
      <c r="C68">
        <v>1.29</v>
      </c>
      <c r="D68">
        <v>1.306</v>
      </c>
    </row>
    <row r="69" spans="1:4">
      <c r="A69" t="s">
        <v>148</v>
      </c>
      <c r="B69">
        <v>4.4999999999999998E-2</v>
      </c>
      <c r="C69">
        <v>1.1499999999999999</v>
      </c>
      <c r="D69">
        <v>1.038</v>
      </c>
    </row>
    <row r="70" spans="1:4">
      <c r="A70" t="s">
        <v>151</v>
      </c>
      <c r="B70">
        <v>0.04</v>
      </c>
      <c r="C70">
        <v>1.02</v>
      </c>
      <c r="D70">
        <v>0.81699999999999995</v>
      </c>
    </row>
    <row r="71" spans="1:4">
      <c r="A71" t="s">
        <v>154</v>
      </c>
      <c r="B71">
        <v>3.5999999999999997E-2</v>
      </c>
      <c r="C71">
        <v>0.91</v>
      </c>
      <c r="D71">
        <v>0.65</v>
      </c>
    </row>
    <row r="72" spans="1:4">
      <c r="A72" t="s">
        <v>157</v>
      </c>
      <c r="B72">
        <v>3.2000000000000001E-2</v>
      </c>
      <c r="C72">
        <v>0.81</v>
      </c>
      <c r="D72">
        <v>0.51500000000000001</v>
      </c>
    </row>
    <row r="73" spans="1:4">
      <c r="A73" t="s">
        <v>160</v>
      </c>
      <c r="B73">
        <v>2.8000000000000001E-2</v>
      </c>
      <c r="C73">
        <v>0.72</v>
      </c>
      <c r="D73">
        <v>0.40699999999999997</v>
      </c>
    </row>
    <row r="74" spans="1:4">
      <c r="A74" t="s">
        <v>163</v>
      </c>
      <c r="B74">
        <v>2.5000000000000001E-2</v>
      </c>
      <c r="C74">
        <v>0.64</v>
      </c>
      <c r="D74">
        <v>0.32100000000000001</v>
      </c>
    </row>
    <row r="75" spans="1:4">
      <c r="A75" t="s">
        <v>166</v>
      </c>
      <c r="B75">
        <v>2.3E-2</v>
      </c>
      <c r="C75">
        <v>0.56999999999999995</v>
      </c>
      <c r="D75">
        <v>0.255</v>
      </c>
    </row>
    <row r="76" spans="1:4">
      <c r="A76" t="s">
        <v>42</v>
      </c>
      <c r="B76">
        <v>0.02</v>
      </c>
      <c r="C76">
        <v>0.51</v>
      </c>
      <c r="D76">
        <v>0.20399999999999999</v>
      </c>
    </row>
    <row r="77" spans="1:4">
      <c r="A77" t="s">
        <v>171</v>
      </c>
      <c r="B77">
        <v>1.7999999999999999E-2</v>
      </c>
      <c r="C77">
        <v>0.45</v>
      </c>
      <c r="D77">
        <v>0.159</v>
      </c>
    </row>
    <row r="78" spans="1:4">
      <c r="A78" t="s">
        <v>36</v>
      </c>
      <c r="B78">
        <v>1.6E-2</v>
      </c>
      <c r="C78">
        <v>0.4</v>
      </c>
      <c r="D78">
        <v>0.125</v>
      </c>
    </row>
    <row r="79" spans="1:4">
      <c r="A79" t="s">
        <v>176</v>
      </c>
      <c r="B79">
        <v>1.4E-2</v>
      </c>
      <c r="C79">
        <v>0.36</v>
      </c>
      <c r="D79">
        <v>0.10100000000000001</v>
      </c>
    </row>
    <row r="80" spans="1:4">
      <c r="A80" t="s">
        <v>179</v>
      </c>
      <c r="B80">
        <v>1.2999999999999999E-2</v>
      </c>
      <c r="C80">
        <v>0.32</v>
      </c>
      <c r="D80">
        <v>0.08</v>
      </c>
    </row>
    <row r="81" spans="1:4">
      <c r="A81" t="s">
        <v>182</v>
      </c>
      <c r="B81">
        <v>1.0999999999999999E-2</v>
      </c>
      <c r="C81">
        <v>0.28999999999999998</v>
      </c>
      <c r="D81">
        <v>6.6000000000000003E-2</v>
      </c>
    </row>
    <row r="82" spans="1:4">
      <c r="A82" t="s">
        <v>185</v>
      </c>
      <c r="B82">
        <v>0.01</v>
      </c>
      <c r="C82">
        <v>0.25</v>
      </c>
      <c r="D82">
        <v>4.9000000000000002E-2</v>
      </c>
    </row>
    <row r="83" spans="1:4">
      <c r="A83" t="s">
        <v>188</v>
      </c>
      <c r="B83">
        <v>0.09</v>
      </c>
      <c r="C83">
        <v>0.22900000000000001</v>
      </c>
      <c r="D83">
        <v>4.1000000000000002E-2</v>
      </c>
    </row>
    <row r="84" spans="1:4">
      <c r="A84" t="s">
        <v>191</v>
      </c>
      <c r="B84">
        <v>8.0000000000000002E-3</v>
      </c>
      <c r="C84">
        <v>0.20300000000000001</v>
      </c>
      <c r="D84">
        <v>3.2000000000000001E-2</v>
      </c>
    </row>
    <row r="85" spans="1:4">
      <c r="A85" t="s">
        <v>194</v>
      </c>
      <c r="B85">
        <v>7.0000000000000001E-3</v>
      </c>
      <c r="C85">
        <v>0.17799999999999999</v>
      </c>
      <c r="D85">
        <v>2.4E-2</v>
      </c>
    </row>
    <row r="86" spans="1:4">
      <c r="A86" t="s">
        <v>197</v>
      </c>
      <c r="B86">
        <v>6.3E-3</v>
      </c>
      <c r="C86">
        <v>0.16</v>
      </c>
      <c r="D86">
        <v>0.02</v>
      </c>
    </row>
    <row r="87" spans="1:4">
      <c r="A87" t="s">
        <v>200</v>
      </c>
      <c r="B87">
        <v>5.5999999999999999E-3</v>
      </c>
      <c r="C87">
        <v>0.14000000000000001</v>
      </c>
      <c r="D87">
        <v>1.4999999999999999E-2</v>
      </c>
    </row>
    <row r="88" spans="1:4">
      <c r="A88" t="s">
        <v>203</v>
      </c>
      <c r="B88">
        <v>5.0000000000000001E-3</v>
      </c>
      <c r="C88">
        <v>0.127</v>
      </c>
      <c r="D88">
        <v>1.2E-2</v>
      </c>
    </row>
    <row r="89" spans="1:4">
      <c r="A89" t="s">
        <v>206</v>
      </c>
      <c r="B89">
        <v>4.4000000000000003E-3</v>
      </c>
      <c r="C89">
        <v>0.11</v>
      </c>
      <c r="D89">
        <v>8.9999999999999993E-3</v>
      </c>
    </row>
    <row r="90" spans="1:4">
      <c r="A90" t="s">
        <v>208</v>
      </c>
      <c r="B90">
        <v>4.0000000000000001E-3</v>
      </c>
      <c r="C90">
        <v>0.10199999999999999</v>
      </c>
      <c r="D90">
        <v>8.0000000000000002E-3</v>
      </c>
    </row>
    <row r="91" spans="1:4">
      <c r="A91" t="s">
        <v>210</v>
      </c>
      <c r="B91">
        <v>3.5000000000000001E-3</v>
      </c>
      <c r="C91">
        <v>0.09</v>
      </c>
      <c r="D91">
        <v>6.0000000000000001E-3</v>
      </c>
    </row>
    <row r="92" spans="1:4">
      <c r="A92" t="s">
        <v>212</v>
      </c>
      <c r="B92">
        <v>3.0999999999999999E-3</v>
      </c>
      <c r="C92">
        <v>0.08</v>
      </c>
      <c r="D92">
        <v>5.0000000000000001E-3</v>
      </c>
    </row>
    <row r="93" spans="1:4">
      <c r="A93" t="s">
        <v>89</v>
      </c>
      <c r="B93">
        <v>0.45400000000000001</v>
      </c>
      <c r="C93">
        <v>11.53</v>
      </c>
      <c r="D93">
        <v>104.411</v>
      </c>
    </row>
    <row r="94" spans="1:4">
      <c r="A94" t="s">
        <v>92</v>
      </c>
      <c r="B94">
        <v>0.42499999999999999</v>
      </c>
      <c r="C94">
        <v>10.8</v>
      </c>
      <c r="D94">
        <v>91.608000000000004</v>
      </c>
    </row>
    <row r="95" spans="1:4">
      <c r="A95" t="s">
        <v>95</v>
      </c>
      <c r="B95">
        <v>0.38</v>
      </c>
      <c r="C95">
        <v>9.65</v>
      </c>
      <c r="D95">
        <v>73.138000000000005</v>
      </c>
    </row>
    <row r="96" spans="1:4">
      <c r="A96" t="s">
        <v>98</v>
      </c>
      <c r="B96">
        <v>0.34</v>
      </c>
      <c r="C96">
        <v>8.64</v>
      </c>
      <c r="D96">
        <v>58.628999999999998</v>
      </c>
    </row>
    <row r="97" spans="1:4">
      <c r="A97" t="s">
        <v>101</v>
      </c>
      <c r="B97">
        <v>0.3</v>
      </c>
      <c r="C97">
        <v>7.62</v>
      </c>
      <c r="D97">
        <v>45.603000000000002</v>
      </c>
    </row>
    <row r="98" spans="1:4">
      <c r="A98" t="s">
        <v>104</v>
      </c>
      <c r="B98">
        <v>0.28299999999999997</v>
      </c>
      <c r="C98">
        <v>7.21</v>
      </c>
      <c r="D98">
        <v>40.828000000000003</v>
      </c>
    </row>
    <row r="99" spans="1:4">
      <c r="A99" t="s">
        <v>107</v>
      </c>
      <c r="B99">
        <v>0.25900000000000001</v>
      </c>
      <c r="C99">
        <v>6.58</v>
      </c>
      <c r="D99">
        <v>34.003999999999998</v>
      </c>
    </row>
    <row r="100" spans="1:4">
      <c r="A100" t="s">
        <v>110</v>
      </c>
      <c r="B100">
        <v>0.23799999999999999</v>
      </c>
      <c r="C100">
        <v>6.05</v>
      </c>
      <c r="D100">
        <v>28.747</v>
      </c>
    </row>
    <row r="101" spans="1:4">
      <c r="A101" t="s">
        <v>113</v>
      </c>
      <c r="B101">
        <v>0.22</v>
      </c>
      <c r="C101">
        <v>5.59</v>
      </c>
      <c r="D101">
        <v>24.542000000000002</v>
      </c>
    </row>
    <row r="102" spans="1:4">
      <c r="A102" t="s">
        <v>116</v>
      </c>
      <c r="B102">
        <v>0.20300000000000001</v>
      </c>
      <c r="C102">
        <v>5.16</v>
      </c>
      <c r="D102">
        <v>20.911000000000001</v>
      </c>
    </row>
    <row r="103" spans="1:4">
      <c r="A103" t="s">
        <v>119</v>
      </c>
      <c r="B103">
        <v>0.17899999999999999</v>
      </c>
      <c r="C103">
        <v>4.57</v>
      </c>
      <c r="D103">
        <v>16.402000000000001</v>
      </c>
    </row>
    <row r="104" spans="1:4">
      <c r="A104" t="s">
        <v>122</v>
      </c>
      <c r="B104">
        <v>0.16400000000000001</v>
      </c>
      <c r="C104">
        <v>4.1900000000000004</v>
      </c>
      <c r="D104">
        <v>13.788</v>
      </c>
    </row>
    <row r="105" spans="1:4">
      <c r="A105" t="s">
        <v>125</v>
      </c>
      <c r="B105">
        <v>0.14699999999999999</v>
      </c>
      <c r="C105">
        <v>3.76</v>
      </c>
      <c r="D105">
        <v>11.103</v>
      </c>
    </row>
    <row r="106" spans="1:4">
      <c r="A106" t="s">
        <v>128</v>
      </c>
      <c r="B106">
        <v>0.13400000000000001</v>
      </c>
      <c r="C106">
        <v>3.4</v>
      </c>
      <c r="D106">
        <v>9.0790000000000006</v>
      </c>
    </row>
    <row r="107" spans="1:4">
      <c r="A107" t="s">
        <v>131</v>
      </c>
      <c r="B107">
        <v>0.12</v>
      </c>
      <c r="C107">
        <v>3.05</v>
      </c>
      <c r="D107">
        <v>7.306</v>
      </c>
    </row>
    <row r="108" spans="1:4">
      <c r="A108" t="s">
        <v>134</v>
      </c>
      <c r="B108">
        <v>0.109</v>
      </c>
      <c r="C108">
        <v>2.77</v>
      </c>
      <c r="D108">
        <v>6.0259999999999998</v>
      </c>
    </row>
    <row r="109" spans="1:4">
      <c r="A109" t="s">
        <v>137</v>
      </c>
      <c r="B109">
        <v>9.5000000000000001E-2</v>
      </c>
      <c r="C109">
        <v>2.41</v>
      </c>
      <c r="D109">
        <v>4.5609999999999999</v>
      </c>
    </row>
    <row r="110" spans="1:4">
      <c r="A110" t="s">
        <v>140</v>
      </c>
      <c r="B110">
        <v>8.3000000000000004E-2</v>
      </c>
      <c r="C110">
        <v>2.11</v>
      </c>
      <c r="D110">
        <v>3.496</v>
      </c>
    </row>
    <row r="111" spans="1:4">
      <c r="A111" t="s">
        <v>143</v>
      </c>
      <c r="B111">
        <v>7.1999999999999995E-2</v>
      </c>
      <c r="C111">
        <v>1.83</v>
      </c>
      <c r="D111">
        <v>2.63</v>
      </c>
    </row>
    <row r="112" spans="1:4">
      <c r="A112" t="s">
        <v>146</v>
      </c>
      <c r="B112">
        <v>6.5000000000000002E-2</v>
      </c>
      <c r="C112">
        <v>1.65</v>
      </c>
      <c r="D112">
        <v>2.0859999999999999</v>
      </c>
    </row>
    <row r="113" spans="1:4">
      <c r="A113" t="s">
        <v>149</v>
      </c>
      <c r="B113">
        <v>5.8000000000000003E-2</v>
      </c>
      <c r="C113">
        <v>1.47</v>
      </c>
      <c r="D113">
        <v>1.6970000000000001</v>
      </c>
    </row>
    <row r="114" spans="1:4">
      <c r="A114" t="s">
        <v>152</v>
      </c>
      <c r="B114">
        <v>4.9000000000000002E-2</v>
      </c>
      <c r="C114">
        <v>1.24</v>
      </c>
      <c r="D114">
        <v>1.2070000000000001</v>
      </c>
    </row>
    <row r="115" spans="1:4">
      <c r="A115" t="s">
        <v>155</v>
      </c>
      <c r="B115">
        <v>4.2000000000000003E-2</v>
      </c>
      <c r="C115">
        <v>1.07</v>
      </c>
      <c r="D115">
        <v>0.89900000000000002</v>
      </c>
    </row>
    <row r="116" spans="1:4">
      <c r="A116" t="s">
        <v>158</v>
      </c>
      <c r="B116">
        <v>3.5000000000000003E-2</v>
      </c>
      <c r="C116">
        <v>0.89</v>
      </c>
      <c r="D116">
        <v>0.57999999999999996</v>
      </c>
    </row>
    <row r="117" spans="1:4">
      <c r="A117" t="s">
        <v>161</v>
      </c>
      <c r="B117">
        <v>3.1E-2</v>
      </c>
      <c r="C117">
        <v>0.81</v>
      </c>
      <c r="D117">
        <v>0.51500000000000001</v>
      </c>
    </row>
    <row r="118" spans="1:4">
      <c r="A118" t="s">
        <v>164</v>
      </c>
      <c r="B118">
        <v>2.8000000000000001E-2</v>
      </c>
      <c r="C118">
        <v>0.71</v>
      </c>
      <c r="D118">
        <v>0.39500000000000002</v>
      </c>
    </row>
    <row r="119" spans="1:4">
      <c r="A119" t="s">
        <v>167</v>
      </c>
      <c r="B119">
        <v>2.5000000000000001E-2</v>
      </c>
      <c r="C119">
        <v>0.64</v>
      </c>
      <c r="D119">
        <v>0.32100000000000001</v>
      </c>
    </row>
    <row r="120" spans="1:4">
      <c r="A120" t="s">
        <v>169</v>
      </c>
      <c r="B120">
        <v>2.3E-2</v>
      </c>
      <c r="C120">
        <v>0.56000000000000005</v>
      </c>
      <c r="D120">
        <v>0.246</v>
      </c>
    </row>
    <row r="121" spans="1:4">
      <c r="A121" t="s">
        <v>172</v>
      </c>
      <c r="B121">
        <v>0.02</v>
      </c>
      <c r="C121">
        <v>0.51</v>
      </c>
      <c r="D121">
        <v>0.20399999999999999</v>
      </c>
    </row>
    <row r="122" spans="1:4">
      <c r="A122" t="s">
        <v>174</v>
      </c>
      <c r="B122">
        <v>1.7999999999999999E-2</v>
      </c>
      <c r="C122">
        <v>0.46</v>
      </c>
      <c r="D122">
        <v>0.16600000000000001</v>
      </c>
    </row>
    <row r="123" spans="1:4">
      <c r="A123" t="s">
        <v>177</v>
      </c>
      <c r="B123">
        <v>1.6E-2</v>
      </c>
      <c r="C123">
        <v>0.41</v>
      </c>
      <c r="D123">
        <v>0.13200000000000001</v>
      </c>
    </row>
    <row r="124" spans="1:4">
      <c r="A124" t="s">
        <v>180</v>
      </c>
      <c r="B124">
        <v>1.35E-2</v>
      </c>
      <c r="C124">
        <v>0.35599999999999998</v>
      </c>
      <c r="D124">
        <v>0.995</v>
      </c>
    </row>
    <row r="125" spans="1:4">
      <c r="A125" t="s">
        <v>183</v>
      </c>
      <c r="B125">
        <v>1.2999999999999999E-2</v>
      </c>
      <c r="C125">
        <v>0.33</v>
      </c>
      <c r="D125">
        <v>0.85499999999999998</v>
      </c>
    </row>
    <row r="126" spans="1:4">
      <c r="A126" t="s">
        <v>186</v>
      </c>
      <c r="B126">
        <v>1.2E-2</v>
      </c>
      <c r="C126">
        <v>0.30499999999999999</v>
      </c>
      <c r="D126">
        <v>7.2999999999999995E-2</v>
      </c>
    </row>
    <row r="127" spans="1:4">
      <c r="A127" t="s">
        <v>189</v>
      </c>
      <c r="B127">
        <v>0.01</v>
      </c>
      <c r="C127">
        <v>0.254</v>
      </c>
      <c r="D127">
        <v>0.05</v>
      </c>
    </row>
    <row r="128" spans="1:4">
      <c r="A128" t="s">
        <v>192</v>
      </c>
      <c r="B128">
        <v>8.9999999999999993E-3</v>
      </c>
      <c r="C128">
        <v>0.22900000000000001</v>
      </c>
      <c r="D128">
        <v>4.1000000000000002E-2</v>
      </c>
    </row>
    <row r="129" spans="1:4">
      <c r="A129" t="s">
        <v>195</v>
      </c>
      <c r="B129">
        <v>8.0000000000000002E-3</v>
      </c>
      <c r="C129">
        <v>0.20300000000000001</v>
      </c>
      <c r="D129">
        <v>3.2000000000000001E-2</v>
      </c>
    </row>
    <row r="130" spans="1:4">
      <c r="A130" t="s">
        <v>198</v>
      </c>
      <c r="B130">
        <v>7.0000000000000001E-3</v>
      </c>
      <c r="C130">
        <v>0.17799999999999999</v>
      </c>
      <c r="D130">
        <v>2.4E-2</v>
      </c>
    </row>
    <row r="131" spans="1:4">
      <c r="A131" t="s">
        <v>201</v>
      </c>
      <c r="B131">
        <v>5.0000000000000001E-3</v>
      </c>
      <c r="C131">
        <v>0.127</v>
      </c>
      <c r="D131">
        <v>1.2E-2</v>
      </c>
    </row>
    <row r="132" spans="1:4">
      <c r="A132" t="s">
        <v>204</v>
      </c>
      <c r="B132">
        <v>4.0000000000000001E-3</v>
      </c>
      <c r="C132">
        <v>0.10199999999999999</v>
      </c>
      <c r="D132">
        <v>8.0000000000000002E-3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S454"/>
  <sheetViews>
    <sheetView workbookViewId="0">
      <pane ySplit="6" topLeftCell="A7" activePane="bottomLeft" state="frozen"/>
      <selection pane="bottomLeft" activeCell="C12" sqref="C12"/>
    </sheetView>
  </sheetViews>
  <sheetFormatPr defaultRowHeight="12.75"/>
  <cols>
    <col min="1" max="2" width="7.85546875" customWidth="1"/>
    <col min="3" max="3" width="30.7109375" customWidth="1"/>
    <col min="4" max="4" width="8.42578125" bestFit="1" customWidth="1"/>
    <col min="5" max="5" width="7.7109375" bestFit="1" customWidth="1"/>
    <col min="6" max="6" width="7.5703125" customWidth="1"/>
    <col min="7" max="7" width="7.5703125" bestFit="1" customWidth="1"/>
    <col min="8" max="8" width="8.85546875" customWidth="1"/>
    <col min="9" max="9" width="9" customWidth="1"/>
    <col min="10" max="10" width="4.5703125" customWidth="1"/>
    <col min="11" max="11" width="8.42578125" customWidth="1"/>
  </cols>
  <sheetData>
    <row r="1" spans="1:19" ht="21" thickBot="1">
      <c r="A1" s="192" t="s">
        <v>71</v>
      </c>
      <c r="B1" s="193"/>
      <c r="C1" s="193"/>
      <c r="D1" s="193"/>
      <c r="E1" s="193"/>
      <c r="F1" s="193"/>
      <c r="G1" s="193"/>
      <c r="H1" s="193"/>
      <c r="I1" s="193"/>
      <c r="J1" s="193"/>
      <c r="K1" s="194"/>
    </row>
    <row r="2" spans="1:19" hidden="1"/>
    <row r="3" spans="1:19" hidden="1"/>
    <row r="4" spans="1:19">
      <c r="A4" s="85" t="s">
        <v>220</v>
      </c>
      <c r="B4" s="85"/>
    </row>
    <row r="5" spans="1:19" s="69" customFormat="1" hidden="1">
      <c r="C5" s="72">
        <v>1</v>
      </c>
      <c r="D5" s="72">
        <v>2</v>
      </c>
      <c r="E5" s="72">
        <v>3</v>
      </c>
      <c r="F5" s="72">
        <v>4</v>
      </c>
      <c r="G5" s="72">
        <v>5</v>
      </c>
      <c r="H5" s="72">
        <v>6</v>
      </c>
      <c r="I5" s="72">
        <v>7</v>
      </c>
      <c r="J5" s="72">
        <v>8</v>
      </c>
      <c r="K5" s="72">
        <v>9</v>
      </c>
    </row>
    <row r="6" spans="1:19" s="62" customFormat="1" ht="15" customHeight="1">
      <c r="A6" s="81" t="s">
        <v>3</v>
      </c>
      <c r="B6" s="125" t="s">
        <v>227</v>
      </c>
      <c r="C6" s="57" t="s">
        <v>38</v>
      </c>
      <c r="D6" s="82" t="s">
        <v>70</v>
      </c>
      <c r="E6" s="58" t="s">
        <v>37</v>
      </c>
      <c r="F6" s="59" t="s">
        <v>33</v>
      </c>
      <c r="G6" s="59" t="s">
        <v>32</v>
      </c>
      <c r="H6" s="83" t="s">
        <v>50</v>
      </c>
      <c r="I6" s="60" t="s">
        <v>31</v>
      </c>
      <c r="J6" s="61" t="s">
        <v>30</v>
      </c>
      <c r="K6" s="83" t="s">
        <v>51</v>
      </c>
      <c r="O6" s="63"/>
      <c r="Q6" s="64"/>
      <c r="R6" s="64"/>
      <c r="S6" s="64"/>
    </row>
    <row r="7" spans="1:19" ht="15" customHeight="1">
      <c r="A7" s="84">
        <v>1</v>
      </c>
      <c r="B7" s="126">
        <v>0.5</v>
      </c>
      <c r="C7" s="124" t="s">
        <v>72</v>
      </c>
      <c r="D7" s="65">
        <v>0</v>
      </c>
      <c r="E7" s="65">
        <v>0</v>
      </c>
      <c r="F7" s="66">
        <v>0</v>
      </c>
      <c r="G7" s="66">
        <v>0</v>
      </c>
      <c r="H7" s="66">
        <v>0</v>
      </c>
      <c r="I7" s="56">
        <v>0</v>
      </c>
      <c r="J7" s="67">
        <v>0</v>
      </c>
      <c r="K7" s="66">
        <v>0</v>
      </c>
      <c r="O7" s="68"/>
      <c r="P7" s="69"/>
    </row>
    <row r="8" spans="1:19" ht="15" customHeight="1">
      <c r="A8" s="84">
        <f>VLOOKUP(propInventory[[#This Row],[Prop Name]],[2]!propInventory3[[Prop Name]:[Instock?]],10,FALSE)</f>
        <v>0</v>
      </c>
      <c r="B8" s="84">
        <f>IF([3]DCBase!$A2="","",[3]DCBase!$A2)</f>
        <v>1</v>
      </c>
      <c r="C8" s="80" t="str">
        <f>IF(propInventory[[#This Row],[myid]]="","",IF([3]DCBase!R2=0,[3]DCBase!D2&amp;"x"&amp;[3]DCBase!E2&amp;" "&amp;[3]DCBase!C2,[3]DCBase!D2&amp;"x"&amp;[3]DCBase!E2&amp;" "&amp;[3]DCBase!C2&amp;" "&amp;[3]DCBase!S2&amp;"mm"))</f>
        <v>4.1x4.1 APC E</v>
      </c>
      <c r="D8" s="65">
        <f>IF(propInventory[[#This Row],[myid]]="","",[3]DCBase!D2)</f>
        <v>4.0999999999999996</v>
      </c>
      <c r="E8" s="65">
        <f>IF(propInventory[[#This Row],[myid]]="","",[3]DCBase!E2)</f>
        <v>4.0999999999999996</v>
      </c>
      <c r="F8" s="66">
        <f>IF(propInventory[[#This Row],[myid]]="","",[3]DCBase!F2)</f>
        <v>0.50228870000000003</v>
      </c>
      <c r="G8" s="66">
        <f>IF(propInventory[[#This Row],[myid]]="","",[3]DCBase!G2)</f>
        <v>2.0465439999999999</v>
      </c>
      <c r="H8" s="66">
        <f>IF(propInventory[[#This Row],[myid]]="","",352.98/([3]DCBase!I2+273.15)*(1-0.0000225577*[3]DCBase!H2)^5.25578)</f>
        <v>1.1758151638376082</v>
      </c>
      <c r="I8" s="56">
        <f>IF(propInventory[[#This Row],[myid]]="","",[3]DCBase!K2)</f>
        <v>5.4098999999999996E-3</v>
      </c>
      <c r="J8" s="67">
        <f>IF(propInventory[[#This Row],[myid]]="","",[3]DCBase!L2)</f>
        <v>3.0904729999999998</v>
      </c>
      <c r="K8" s="66">
        <f>IF(propInventory[[#This Row],[myid]]="","",352.98/([3]DCBase!N2+273.15)*(1-0.0000225577*[3]DCBase!M2)^5.25578)</f>
        <v>1.1952155100729527</v>
      </c>
      <c r="O8" s="68"/>
      <c r="P8" s="69"/>
    </row>
    <row r="9" spans="1:19" ht="15" customHeight="1">
      <c r="A9" s="84">
        <f>VLOOKUP(propInventory[[#This Row],[Prop Name]],[2]!propInventory3[[Prop Name]:[Instock?]],10,FALSE)</f>
        <v>0</v>
      </c>
      <c r="B9" s="84">
        <f>IF([3]DCBase!$A3="","",[3]DCBase!$A3)</f>
        <v>2</v>
      </c>
      <c r="C9" s="80" t="str">
        <f>IF(propInventory[[#This Row],[myid]]="","",IF([3]DCBase!R3=0,[3]DCBase!D3&amp;"x"&amp;[3]DCBase!E3&amp;" "&amp;[3]DCBase!C3,[3]DCBase!D3&amp;"x"&amp;[3]DCBase!E3&amp;" "&amp;[3]DCBase!C3&amp;" "&amp;[3]DCBase!S3&amp;"mm"))</f>
        <v>4.3x2 Grp. Miniprop</v>
      </c>
      <c r="D9" s="65">
        <f>IF(propInventory[[#This Row],[myid]]="","",[3]DCBase!D3)</f>
        <v>4.3</v>
      </c>
      <c r="E9" s="65">
        <f>IF(propInventory[[#This Row],[myid]]="","",[3]DCBase!E3)</f>
        <v>2</v>
      </c>
      <c r="F9" s="66">
        <f>IF(propInventory[[#This Row],[myid]]="","",[3]DCBase!F3)</f>
        <v>0.50385400000000002</v>
      </c>
      <c r="G9" s="66">
        <f>IF(propInventory[[#This Row],[myid]]="","",[3]DCBase!G3)</f>
        <v>2</v>
      </c>
      <c r="H9" s="66">
        <f>IF(propInventory[[#This Row],[myid]]="","",352.98/([3]DCBase!I3+273.15)*(1-0.0000225577*[3]DCBase!H3)^5.25578)</f>
        <v>1.1874514592074905</v>
      </c>
      <c r="I9" s="56">
        <f>IF(propInventory[[#This Row],[myid]]="","",[3]DCBase!K3)</f>
        <v>3.2155999999999999E-3</v>
      </c>
      <c r="J9" s="67">
        <f>IF(propInventory[[#This Row],[myid]]="","",[3]DCBase!L3)</f>
        <v>3</v>
      </c>
      <c r="K9" s="66">
        <f>IF(propInventory[[#This Row],[myid]]="","",352.98/([3]DCBase!N3+273.15)*(1-0.0000225577*[3]DCBase!M3)^5.25578)</f>
        <v>1.1874514592074905</v>
      </c>
      <c r="L9" s="70"/>
      <c r="M9" s="71"/>
      <c r="O9" s="68"/>
      <c r="P9" s="69"/>
      <c r="Q9" s="69"/>
      <c r="R9" s="69"/>
    </row>
    <row r="10" spans="1:19" ht="15" customHeight="1">
      <c r="A10" s="84">
        <f>VLOOKUP(propInventory[[#This Row],[Prop Name]],[2]!propInventory3[[Prop Name]:[Instock?]],10,FALSE)</f>
        <v>1</v>
      </c>
      <c r="B10" s="84">
        <f>IF([3]DCBase!$A4="","",[3]DCBase!$A4)</f>
        <v>3</v>
      </c>
      <c r="C10" s="80" t="str">
        <f>IF(propInventory[[#This Row],[myid]]="","",IF([3]DCBase!R4=0,[3]DCBase!D4&amp;"x"&amp;[3]DCBase!E4&amp;" "&amp;[3]DCBase!C4,[3]DCBase!D4&amp;"x"&amp;[3]DCBase!E4&amp;" "&amp;[3]DCBase!C4&amp;" "&amp;[3]DCBase!S4&amp;"mm"))</f>
        <v>4.5x4.1 APC E</v>
      </c>
      <c r="D10" s="65">
        <f>IF(propInventory[[#This Row],[myid]]="","",[3]DCBase!D4)</f>
        <v>4.5</v>
      </c>
      <c r="E10" s="65">
        <f>IF(propInventory[[#This Row],[myid]]="","",[3]DCBase!E4)</f>
        <v>4.0999999999999996</v>
      </c>
      <c r="F10" s="66">
        <f>IF(propInventory[[#This Row],[myid]]="","",[3]DCBase!F4)</f>
        <v>0.67123560000000004</v>
      </c>
      <c r="G10" s="66">
        <f>IF(propInventory[[#This Row],[myid]]="","",[3]DCBase!G4)</f>
        <v>2.073493</v>
      </c>
      <c r="H10" s="66">
        <f>IF(propInventory[[#This Row],[myid]]="","",352.98/([3]DCBase!I4+273.15)*(1-0.0000225577*[3]DCBase!H4)^5.25578)</f>
        <v>1.1758151638376082</v>
      </c>
      <c r="I10" s="56">
        <f>IF(propInventory[[#This Row],[myid]]="","",[3]DCBase!K4)</f>
        <v>7.8230000000000001E-3</v>
      </c>
      <c r="J10" s="67">
        <f>IF(propInventory[[#This Row],[myid]]="","",[3]DCBase!L4)</f>
        <v>3.097283</v>
      </c>
      <c r="K10" s="66">
        <f>IF(propInventory[[#This Row],[myid]]="","",352.98/([3]DCBase!N4+273.15)*(1-0.0000225577*[3]DCBase!M4)^5.25578)</f>
        <v>1.1955527824836802</v>
      </c>
      <c r="L10" s="70"/>
      <c r="M10" s="71"/>
      <c r="O10" s="68"/>
      <c r="P10" s="69"/>
      <c r="Q10" s="69"/>
      <c r="R10" s="69"/>
    </row>
    <row r="11" spans="1:19" ht="15" customHeight="1">
      <c r="A11" s="84">
        <f>VLOOKUP(propInventory[[#This Row],[Prop Name]],[2]!propInventory3[[Prop Name]:[Instock?]],10,FALSE)</f>
        <v>1</v>
      </c>
      <c r="B11" s="84">
        <f>IF([3]DCBase!$A5="","",[3]DCBase!$A5)</f>
        <v>4</v>
      </c>
      <c r="C11" s="80" t="str">
        <f>IF(propInventory[[#This Row],[myid]]="","",IF([3]DCBase!R5=0,[3]DCBase!D5&amp;"x"&amp;[3]DCBase!E5&amp;" "&amp;[3]DCBase!C5,[3]DCBase!D5&amp;"x"&amp;[3]DCBase!E5&amp;" "&amp;[3]DCBase!C5&amp;" "&amp;[3]DCBase!S5&amp;"mm"))</f>
        <v>4.7x4.7 GrpCamSpeed</v>
      </c>
      <c r="D11" s="65">
        <f>IF(propInventory[[#This Row],[myid]]="","",[3]DCBase!D5)</f>
        <v>4.7</v>
      </c>
      <c r="E11" s="65">
        <f>IF(propInventory[[#This Row],[myid]]="","",[3]DCBase!E5)</f>
        <v>4.7</v>
      </c>
      <c r="F11" s="66">
        <f>IF(propInventory[[#This Row],[myid]]="","",[3]DCBase!F5)</f>
        <v>0.91</v>
      </c>
      <c r="G11" s="66">
        <f>IF(propInventory[[#This Row],[myid]]="","",[3]DCBase!G5)</f>
        <v>2</v>
      </c>
      <c r="H11" s="66">
        <f>IF(propInventory[[#This Row],[myid]]="","",352.98/([3]DCBase!I5+273.15)*(1-0.0000225577*[3]DCBase!H5)^5.25578)</f>
        <v>1.1874514592074905</v>
      </c>
      <c r="I11" s="56">
        <f>IF(propInventory[[#This Row],[myid]]="","",[3]DCBase!K5)</f>
        <v>1.48088E-2</v>
      </c>
      <c r="J11" s="67">
        <f>IF(propInventory[[#This Row],[myid]]="","",[3]DCBase!L5)</f>
        <v>2.9816560000000001</v>
      </c>
      <c r="K11" s="66">
        <f>IF(propInventory[[#This Row],[myid]]="","",352.98/([3]DCBase!N5+273.15)*(1-0.0000225577*[3]DCBase!M5)^5.25578)</f>
        <v>1.1874514592074905</v>
      </c>
      <c r="L11" s="70"/>
      <c r="M11" s="71"/>
      <c r="O11" s="68"/>
      <c r="P11" s="69"/>
      <c r="Q11" s="69"/>
      <c r="R11" s="69"/>
    </row>
    <row r="12" spans="1:19" ht="15" customHeight="1">
      <c r="A12" s="84">
        <f>VLOOKUP(propInventory[[#This Row],[Prop Name]],[2]!propInventory3[[Prop Name]:[Instock?]],10,FALSE)</f>
        <v>4</v>
      </c>
      <c r="B12" s="84">
        <f>IF([3]DCBase!$A6="","",[3]DCBase!$A6)</f>
        <v>5</v>
      </c>
      <c r="C12" s="80" t="str">
        <f>IF(propInventory[[#This Row],[myid]]="","",IF([3]DCBase!R6=0,[3]DCBase!D6&amp;"x"&amp;[3]DCBase!E6&amp;" "&amp;[3]DCBase!C6,[3]DCBase!D6&amp;"x"&amp;[3]DCBase!E6&amp;" "&amp;[3]DCBase!C6&amp;" "&amp;[3]DCBase!S6&amp;"mm"))</f>
        <v>4.75x4.75 APC E</v>
      </c>
      <c r="D12" s="65">
        <f>IF(propInventory[[#This Row],[myid]]="","",[3]DCBase!D6)</f>
        <v>4.75</v>
      </c>
      <c r="E12" s="65">
        <f>IF(propInventory[[#This Row],[myid]]="","",[3]DCBase!E6)</f>
        <v>4.75</v>
      </c>
      <c r="F12" s="66">
        <f>IF(propInventory[[#This Row],[myid]]="","",[3]DCBase!F6)</f>
        <v>0.710704</v>
      </c>
      <c r="G12" s="66">
        <f>IF(propInventory[[#This Row],[myid]]="","",[3]DCBase!G6)</f>
        <v>2.0875900000000001</v>
      </c>
      <c r="H12" s="66">
        <f>IF(propInventory[[#This Row],[myid]]="","",352.98/([3]DCBase!I6+273.15)*(1-0.0000225577*[3]DCBase!H6)^5.25578)</f>
        <v>1.1758151638376082</v>
      </c>
      <c r="I12" s="56">
        <f>IF(propInventory[[#This Row],[myid]]="","",[3]DCBase!K6)</f>
        <v>1.84333E-2</v>
      </c>
      <c r="J12" s="67">
        <f>IF(propInventory[[#This Row],[myid]]="","",[3]DCBase!L6)</f>
        <v>2.9521060000000001</v>
      </c>
      <c r="K12" s="66">
        <f>IF(propInventory[[#This Row],[myid]]="","",352.98/([3]DCBase!N6+273.15)*(1-0.0000225577*[3]DCBase!M6)^5.25578)</f>
        <v>1.1952155100729527</v>
      </c>
      <c r="L12" s="70"/>
      <c r="M12" s="71"/>
      <c r="O12" s="68"/>
      <c r="P12" s="69"/>
      <c r="Q12" s="69"/>
      <c r="R12" s="69"/>
    </row>
    <row r="13" spans="1:19" ht="15" customHeight="1">
      <c r="A13" s="84">
        <f>VLOOKUP(propInventory[[#This Row],[Prop Name]],[2]!propInventory3[[Prop Name]:[Instock?]],10,FALSE)</f>
        <v>0</v>
      </c>
      <c r="B13" s="84">
        <f>IF([3]DCBase!$A7="","",[3]DCBase!$A7)</f>
        <v>6</v>
      </c>
      <c r="C13" s="80" t="str">
        <f>IF(propInventory[[#This Row],[myid]]="","",IF([3]DCBase!R7=0,[3]DCBase!D7&amp;"x"&amp;[3]DCBase!E7&amp;" "&amp;[3]DCBase!C7,[3]DCBase!D7&amp;"x"&amp;[3]DCBase!E7&amp;" "&amp;[3]DCBase!C7&amp;" "&amp;[3]DCBase!S7&amp;"mm"))</f>
        <v>4.75x5.5 APC E</v>
      </c>
      <c r="D13" s="65">
        <f>IF(propInventory[[#This Row],[myid]]="","",[3]DCBase!D7)</f>
        <v>4.75</v>
      </c>
      <c r="E13" s="65">
        <f>IF(propInventory[[#This Row],[myid]]="","",[3]DCBase!E7)</f>
        <v>5.5</v>
      </c>
      <c r="F13" s="66">
        <f>IF(propInventory[[#This Row],[myid]]="","",[3]DCBase!F7)</f>
        <v>0.6704599</v>
      </c>
      <c r="G13" s="66">
        <f>IF(propInventory[[#This Row],[myid]]="","",[3]DCBase!G7)</f>
        <v>2.11517</v>
      </c>
      <c r="H13" s="66">
        <f>IF(propInventory[[#This Row],[myid]]="","",352.98/([3]DCBase!I7+273.15)*(1-0.0000225577*[3]DCBase!H7)^5.25578)</f>
        <v>1.1758151638376082</v>
      </c>
      <c r="I13" s="56">
        <f>IF(propInventory[[#This Row],[myid]]="","",[3]DCBase!K7)</f>
        <v>1.8090499999999999E-2</v>
      </c>
      <c r="J13" s="67">
        <f>IF(propInventory[[#This Row],[myid]]="","",[3]DCBase!L7)</f>
        <v>3</v>
      </c>
      <c r="K13" s="66">
        <f>IF(propInventory[[#This Row],[myid]]="","",352.98/([3]DCBase!N7+273.15)*(1-0.0000225577*[3]DCBase!M7)^5.25578)</f>
        <v>1.1952155100729527</v>
      </c>
      <c r="L13" s="70"/>
      <c r="M13" s="71"/>
      <c r="O13" s="68"/>
      <c r="P13" s="69"/>
      <c r="Q13" s="69"/>
      <c r="R13" s="69"/>
    </row>
    <row r="14" spans="1:19" ht="15" customHeight="1">
      <c r="A14" s="84">
        <f>VLOOKUP(propInventory[[#This Row],[Prop Name]],[2]!propInventory3[[Prop Name]:[Instock?]],10,FALSE)</f>
        <v>3</v>
      </c>
      <c r="B14" s="84">
        <f>IF([3]DCBase!$A8="","",[3]DCBase!$A8)</f>
        <v>7</v>
      </c>
      <c r="C14" s="80" t="str">
        <f>IF(propInventory[[#This Row],[myid]]="","",IF([3]DCBase!R8=0,[3]DCBase!D8&amp;"x"&amp;[3]DCBase!E8&amp;" "&amp;[3]DCBase!C8,[3]DCBase!D8&amp;"x"&amp;[3]DCBase!E8&amp;" "&amp;[3]DCBase!C8&amp;" "&amp;[3]DCBase!S8&amp;"mm"))</f>
        <v>5x3 GWS HD</v>
      </c>
      <c r="D14" s="65">
        <f>IF(propInventory[[#This Row],[myid]]="","",[3]DCBase!D8)</f>
        <v>5</v>
      </c>
      <c r="E14" s="65">
        <f>IF(propInventory[[#This Row],[myid]]="","",[3]DCBase!E8)</f>
        <v>3</v>
      </c>
      <c r="F14" s="66">
        <f>IF(propInventory[[#This Row],[myid]]="","",[3]DCBase!F8)</f>
        <v>0.8895305</v>
      </c>
      <c r="G14" s="66">
        <f>IF(propInventory[[#This Row],[myid]]="","",[3]DCBase!G8)</f>
        <v>2.0151370000000002</v>
      </c>
      <c r="H14" s="66">
        <f>IF(propInventory[[#This Row],[myid]]="","",352.98/([3]DCBase!I8+273.15)*(1-0.0000225577*[3]DCBase!H8)^5.25578)</f>
        <v>1.1758151638376082</v>
      </c>
      <c r="I14" s="56">
        <f>IF(propInventory[[#This Row],[myid]]="","",[3]DCBase!K8)</f>
        <v>9.3357000000000006E-3</v>
      </c>
      <c r="J14" s="67">
        <f>IF(propInventory[[#This Row],[myid]]="","",[3]DCBase!L8)</f>
        <v>2.942698</v>
      </c>
      <c r="K14" s="66">
        <f>IF(propInventory[[#This Row],[myid]]="","",352.98/([3]DCBase!N8+273.15)*(1-0.0000225577*[3]DCBase!M8)^5.25578)</f>
        <v>1.2249869859448206</v>
      </c>
      <c r="L14" s="70"/>
      <c r="M14" s="71"/>
      <c r="O14" s="68"/>
      <c r="P14" s="69"/>
      <c r="Q14" s="69"/>
      <c r="R14" s="69"/>
    </row>
    <row r="15" spans="1:19" ht="15" customHeight="1">
      <c r="A15" s="84">
        <f>VLOOKUP(propInventory[[#This Row],[Prop Name]],[2]!propInventory3[[Prop Name]:[Instock?]],10,FALSE)</f>
        <v>0</v>
      </c>
      <c r="B15" s="84">
        <f>IF([3]DCBase!$A9="","",[3]DCBase!$A9)</f>
        <v>8</v>
      </c>
      <c r="C15" s="80" t="str">
        <f>IF(propInventory[[#This Row],[myid]]="","",IF([3]DCBase!R9=0,[3]DCBase!D9&amp;"x"&amp;[3]DCBase!E9&amp;" "&amp;[3]DCBase!C9,[3]DCBase!D9&amp;"x"&amp;[3]DCBase!E9&amp;" "&amp;[3]DCBase!C9&amp;" "&amp;[3]DCBase!S9&amp;"mm"))</f>
        <v>5x4.3 Günther</v>
      </c>
      <c r="D15" s="65">
        <f>IF(propInventory[[#This Row],[myid]]="","",[3]DCBase!D9)</f>
        <v>5</v>
      </c>
      <c r="E15" s="65">
        <f>IF(propInventory[[#This Row],[myid]]="","",[3]DCBase!E9)</f>
        <v>4.3</v>
      </c>
      <c r="F15" s="66">
        <f>IF(propInventory[[#This Row],[myid]]="","",[3]DCBase!F9)</f>
        <v>0.78743490000000005</v>
      </c>
      <c r="G15" s="66">
        <f>IF(propInventory[[#This Row],[myid]]="","",[3]DCBase!G9)</f>
        <v>2.2219000000000002</v>
      </c>
      <c r="H15" s="66">
        <f>IF(propInventory[[#This Row],[myid]]="","",352.98/([3]DCBase!I9+273.15)*(1-0.0000225577*[3]DCBase!H9)^5.25578)</f>
        <v>1.1758151638376082</v>
      </c>
      <c r="I15" s="56">
        <f>IF(propInventory[[#This Row],[myid]]="","",[3]DCBase!K9)</f>
        <v>1.2950100000000001E-2</v>
      </c>
      <c r="J15" s="67">
        <f>IF(propInventory[[#This Row],[myid]]="","",[3]DCBase!L9)</f>
        <v>3</v>
      </c>
      <c r="K15" s="66">
        <f>IF(propInventory[[#This Row],[myid]]="","",352.98/([3]DCBase!N9+273.15)*(1-0.0000225577*[3]DCBase!M9)^5.25578)</f>
        <v>1.220968625325449</v>
      </c>
      <c r="L15" s="70"/>
      <c r="M15" s="71"/>
      <c r="O15" s="68"/>
      <c r="P15" s="69"/>
      <c r="Q15" s="69"/>
      <c r="R15" s="69"/>
    </row>
    <row r="16" spans="1:19" ht="15" customHeight="1">
      <c r="A16" s="84">
        <f>VLOOKUP(propInventory[[#This Row],[Prop Name]],[2]!propInventory3[[Prop Name]:[Instock?]],10,FALSE)</f>
        <v>7</v>
      </c>
      <c r="B16" s="84">
        <f>IF([3]DCBase!$A10="","",[3]DCBase!$A10)</f>
        <v>9</v>
      </c>
      <c r="C16" s="80" t="str">
        <f>IF(propInventory[[#This Row],[myid]]="","",IF([3]DCBase!R10=0,[3]DCBase!D10&amp;"x"&amp;[3]DCBase!E10&amp;" "&amp;[3]DCBase!C10,[3]DCBase!D10&amp;"x"&amp;[3]DCBase!E10&amp;" "&amp;[3]DCBase!C10&amp;" "&amp;[3]DCBase!S10&amp;"mm"))</f>
        <v>5x4.3 GWS HD</v>
      </c>
      <c r="D16" s="65">
        <f>IF(propInventory[[#This Row],[myid]]="","",[3]DCBase!D10)</f>
        <v>5</v>
      </c>
      <c r="E16" s="65">
        <f>IF(propInventory[[#This Row],[myid]]="","",[3]DCBase!E10)</f>
        <v>4.3</v>
      </c>
      <c r="F16" s="66">
        <f>IF(propInventory[[#This Row],[myid]]="","",[3]DCBase!F10)</f>
        <v>1.045482</v>
      </c>
      <c r="G16" s="66">
        <f>IF(propInventory[[#This Row],[myid]]="","",[3]DCBase!G10)</f>
        <v>2.0954630000000001</v>
      </c>
      <c r="H16" s="66">
        <f>IF(propInventory[[#This Row],[myid]]="","",352.98/([3]DCBase!I10+273.15)*(1-0.0000225577*[3]DCBase!H10)^5.25578)</f>
        <v>1.1758151638376082</v>
      </c>
      <c r="I16" s="56">
        <f>IF(propInventory[[#This Row],[myid]]="","",[3]DCBase!K10)</f>
        <v>2.3210100000000001E-2</v>
      </c>
      <c r="J16" s="67">
        <f>IF(propInventory[[#This Row],[myid]]="","",[3]DCBase!L10)</f>
        <v>2.7895319999999999</v>
      </c>
      <c r="K16" s="66">
        <f>IF(propInventory[[#This Row],[myid]]="","",352.98/([3]DCBase!N10+273.15)*(1-0.0000225577*[3]DCBase!M10)^5.25578)</f>
        <v>1.2559596659939196</v>
      </c>
      <c r="L16" s="70"/>
      <c r="M16" s="71"/>
      <c r="O16" s="68"/>
      <c r="P16" s="69"/>
      <c r="Q16" s="69"/>
      <c r="R16" s="69"/>
    </row>
    <row r="17" spans="1:18" ht="15" customHeight="1">
      <c r="A17" s="84">
        <f>VLOOKUP(propInventory[[#This Row],[Prop Name]],[2]!propInventory3[[Prop Name]:[Instock?]],10,FALSE)</f>
        <v>3</v>
      </c>
      <c r="B17" s="84">
        <f>IF([3]DCBase!$A11="","",[3]DCBase!$A11)</f>
        <v>10</v>
      </c>
      <c r="C17" s="80" t="str">
        <f>IF(propInventory[[#This Row],[myid]]="","",IF([3]DCBase!R11=0,[3]DCBase!D11&amp;"x"&amp;[3]DCBase!E11&amp;" "&amp;[3]DCBase!C11,[3]DCBase!D11&amp;"x"&amp;[3]DCBase!E11&amp;" "&amp;[3]DCBase!C11&amp;" "&amp;[3]DCBase!S11&amp;"mm"))</f>
        <v>5.25x4.75 APC E</v>
      </c>
      <c r="D17" s="65">
        <f>IF(propInventory[[#This Row],[myid]]="","",[3]DCBase!D11)</f>
        <v>5.25</v>
      </c>
      <c r="E17" s="65">
        <f>IF(propInventory[[#This Row],[myid]]="","",[3]DCBase!E11)</f>
        <v>4.75</v>
      </c>
      <c r="F17" s="66">
        <f>IF(propInventory[[#This Row],[myid]]="","",[3]DCBase!F11)</f>
        <v>1.4893270000000001</v>
      </c>
      <c r="G17" s="66">
        <f>IF(propInventory[[#This Row],[myid]]="","",[3]DCBase!G11)</f>
        <v>2</v>
      </c>
      <c r="H17" s="66">
        <f>IF(propInventory[[#This Row],[myid]]="","",352.98/([3]DCBase!I11+273.15)*(1-0.0000225577*[3]DCBase!H11)^5.25578)</f>
        <v>1.1758151638376082</v>
      </c>
      <c r="I17" s="56">
        <f>IF(propInventory[[#This Row],[myid]]="","",[3]DCBase!K11)</f>
        <v>2.15803E-2</v>
      </c>
      <c r="J17" s="67">
        <f>IF(propInventory[[#This Row],[myid]]="","",[3]DCBase!L11)</f>
        <v>3</v>
      </c>
      <c r="K17" s="66">
        <f>IF(propInventory[[#This Row],[myid]]="","",352.98/([3]DCBase!N11+273.15)*(1-0.0000225577*[3]DCBase!M11)^5.25578)</f>
        <v>1.1952155100729527</v>
      </c>
      <c r="L17" s="70"/>
      <c r="M17" s="71"/>
      <c r="O17" s="68"/>
      <c r="P17" s="69"/>
      <c r="Q17" s="69"/>
      <c r="R17" s="69"/>
    </row>
    <row r="18" spans="1:18" ht="15" customHeight="1">
      <c r="A18" s="84">
        <f>VLOOKUP(propInventory[[#This Row],[Prop Name]],[2]!propInventory3[[Prop Name]:[Instock?]],10,FALSE)</f>
        <v>0</v>
      </c>
      <c r="B18" s="84">
        <f>IF([3]DCBase!$A12="","",[3]DCBase!$A12)</f>
        <v>11</v>
      </c>
      <c r="C18" s="80" t="str">
        <f>IF(propInventory[[#This Row],[myid]]="","",IF([3]DCBase!R12=0,[3]DCBase!D12&amp;"x"&amp;[3]DCBase!E12&amp;" "&amp;[3]DCBase!C12,[3]DCBase!D12&amp;"x"&amp;[3]DCBase!E12&amp;" "&amp;[3]DCBase!C12&amp;" "&amp;[3]DCBase!S12&amp;"mm"))</f>
        <v>5.25x6.25 APC E</v>
      </c>
      <c r="D18" s="65">
        <f>IF(propInventory[[#This Row],[myid]]="","",[3]DCBase!D12)</f>
        <v>5.25</v>
      </c>
      <c r="E18" s="65">
        <f>IF(propInventory[[#This Row],[myid]]="","",[3]DCBase!E12)</f>
        <v>6.25</v>
      </c>
      <c r="F18" s="66">
        <f>IF(propInventory[[#This Row],[myid]]="","",[3]DCBase!F12)</f>
        <v>0.99392910000000001</v>
      </c>
      <c r="G18" s="66">
        <f>IF(propInventory[[#This Row],[myid]]="","",[3]DCBase!G12)</f>
        <v>2.1227659999999999</v>
      </c>
      <c r="H18" s="66">
        <f>IF(propInventory[[#This Row],[myid]]="","",352.98/([3]DCBase!I12+273.15)*(1-0.0000225577*[3]DCBase!H12)^5.25578)</f>
        <v>1.1758151638376082</v>
      </c>
      <c r="I18" s="56">
        <f>IF(propInventory[[#This Row],[myid]]="","",[3]DCBase!K12)</f>
        <v>2.9046599999999999E-2</v>
      </c>
      <c r="J18" s="67">
        <f>IF(propInventory[[#This Row],[myid]]="","",[3]DCBase!L12)</f>
        <v>3.04</v>
      </c>
      <c r="K18" s="66">
        <f>IF(propInventory[[#This Row],[myid]]="","",352.98/([3]DCBase!N12+273.15)*(1-0.0000225577*[3]DCBase!M12)^5.25578)</f>
        <v>1.1952155100729527</v>
      </c>
      <c r="L18" s="70"/>
      <c r="M18" s="71"/>
      <c r="O18" s="68"/>
      <c r="P18" s="69"/>
      <c r="Q18" s="69"/>
      <c r="R18" s="69"/>
    </row>
    <row r="19" spans="1:18" ht="15" customHeight="1">
      <c r="A19" s="84">
        <f>VLOOKUP(propInventory[[#This Row],[Prop Name]],[2]!propInventory3[[Prop Name]:[Instock?]],10,FALSE)</f>
        <v>0</v>
      </c>
      <c r="B19" s="84">
        <f>IF([3]DCBase!$A13="","",[3]DCBase!$A13)</f>
        <v>12</v>
      </c>
      <c r="C19" s="80" t="str">
        <f>IF(propInventory[[#This Row],[myid]]="","",IF([3]DCBase!R13=0,[3]DCBase!D13&amp;"x"&amp;[3]DCBase!E13&amp;" "&amp;[3]DCBase!C13,[3]DCBase!D13&amp;"x"&amp;[3]DCBase!E13&amp;" "&amp;[3]DCBase!C13&amp;" "&amp;[3]DCBase!S13&amp;"mm"))</f>
        <v>5.5x4.3 GrpCamSpeed</v>
      </c>
      <c r="D19" s="65">
        <f>IF(propInventory[[#This Row],[myid]]="","",[3]DCBase!D13)</f>
        <v>5.5</v>
      </c>
      <c r="E19" s="65">
        <f>IF(propInventory[[#This Row],[myid]]="","",[3]DCBase!E13)</f>
        <v>4.3</v>
      </c>
      <c r="F19" s="66">
        <f>IF(propInventory[[#This Row],[myid]]="","",[3]DCBase!F13)</f>
        <v>1.35782</v>
      </c>
      <c r="G19" s="66">
        <f>IF(propInventory[[#This Row],[myid]]="","",[3]DCBase!G13)</f>
        <v>2</v>
      </c>
      <c r="H19" s="66">
        <f>IF(propInventory[[#This Row],[myid]]="","",352.98/([3]DCBase!I13+273.15)*(1-0.0000225577*[3]DCBase!H13)^5.25578)</f>
        <v>1.1874514592074905</v>
      </c>
      <c r="I19" s="56">
        <f>IF(propInventory[[#This Row],[myid]]="","",[3]DCBase!K13)</f>
        <v>2.8718199999999999E-2</v>
      </c>
      <c r="J19" s="67">
        <f>IF(propInventory[[#This Row],[myid]]="","",[3]DCBase!L13)</f>
        <v>2.9025799999999999</v>
      </c>
      <c r="K19" s="66">
        <f>IF(propInventory[[#This Row],[myid]]="","",352.98/([3]DCBase!N13+273.15)*(1-0.0000225577*[3]DCBase!M13)^5.25578)</f>
        <v>1.1874514592074905</v>
      </c>
      <c r="L19" s="70"/>
      <c r="M19" s="71"/>
      <c r="O19" s="68"/>
      <c r="P19" s="69"/>
      <c r="Q19" s="69"/>
      <c r="R19" s="69"/>
    </row>
    <row r="20" spans="1:18" ht="15" customHeight="1">
      <c r="A20" s="84">
        <f>VLOOKUP(propInventory[[#This Row],[Prop Name]],[2]!propInventory3[[Prop Name]:[Instock?]],10,FALSE)</f>
        <v>2</v>
      </c>
      <c r="B20" s="84">
        <f>IF([3]DCBase!$A14="","",[3]DCBase!$A14)</f>
        <v>13</v>
      </c>
      <c r="C20" s="80" t="str">
        <f>IF(propInventory[[#This Row],[myid]]="","",IF([3]DCBase!R14=0,[3]DCBase!D14&amp;"x"&amp;[3]DCBase!E14&amp;" "&amp;[3]DCBase!C14,[3]DCBase!D14&amp;"x"&amp;[3]DCBase!E14&amp;" "&amp;[3]DCBase!C14&amp;" "&amp;[3]DCBase!S14&amp;"mm"))</f>
        <v>5.5x4.5 APC E</v>
      </c>
      <c r="D20" s="65">
        <f>IF(propInventory[[#This Row],[myid]]="","",[3]DCBase!D14)</f>
        <v>5.5</v>
      </c>
      <c r="E20" s="65">
        <f>IF(propInventory[[#This Row],[myid]]="","",[3]DCBase!E14)</f>
        <v>4.5</v>
      </c>
      <c r="F20" s="66">
        <f>IF(propInventory[[#This Row],[myid]]="","",[3]DCBase!F14)</f>
        <v>1.0356300000000001</v>
      </c>
      <c r="G20" s="66">
        <f>IF(propInventory[[#This Row],[myid]]="","",[3]DCBase!G14)</f>
        <v>2.1303679999999998</v>
      </c>
      <c r="H20" s="66">
        <f>IF(propInventory[[#This Row],[myid]]="","",352.98/([3]DCBase!I14+273.15)*(1-0.0000225577*[3]DCBase!H14)^5.25578)</f>
        <v>1.1758151638376082</v>
      </c>
      <c r="I20" s="56">
        <f>IF(propInventory[[#This Row],[myid]]="","",[3]DCBase!K14)</f>
        <v>1.42241E-2</v>
      </c>
      <c r="J20" s="67">
        <f>IF(propInventory[[#This Row],[myid]]="","",[3]DCBase!L14)</f>
        <v>3.0932040000000001</v>
      </c>
      <c r="K20" s="66">
        <f>IF(propInventory[[#This Row],[myid]]="","",352.98/([3]DCBase!N14+273.15)*(1-0.0000225577*[3]DCBase!M14)^5.25578)</f>
        <v>1.1952155100729527</v>
      </c>
      <c r="L20" s="70"/>
      <c r="M20" s="71"/>
      <c r="O20" s="68"/>
      <c r="P20" s="69"/>
      <c r="Q20" s="69"/>
      <c r="R20" s="69"/>
    </row>
    <row r="21" spans="1:18" ht="15" customHeight="1">
      <c r="A21" s="84">
        <f>VLOOKUP(propInventory[[#This Row],[Prop Name]],[2]!propInventory3[[Prop Name]:[Instock?]],10,FALSE)</f>
        <v>0</v>
      </c>
      <c r="B21" s="84">
        <f>IF([3]DCBase!$A15="","",[3]DCBase!$A15)</f>
        <v>14</v>
      </c>
      <c r="C21" s="80" t="str">
        <f>IF(propInventory[[#This Row],[myid]]="","",IF([3]DCBase!R15=0,[3]DCBase!D15&amp;"x"&amp;[3]DCBase!E15&amp;" "&amp;[3]DCBase!C15,[3]DCBase!D15&amp;"x"&amp;[3]DCBase!E15&amp;" "&amp;[3]DCBase!C15&amp;" "&amp;[3]DCBase!S15&amp;"mm"))</f>
        <v>5.5x5.5 Graupner Speed</v>
      </c>
      <c r="D21" s="65">
        <f>IF(propInventory[[#This Row],[myid]]="","",[3]DCBase!D15)</f>
        <v>5.5</v>
      </c>
      <c r="E21" s="65">
        <f>IF(propInventory[[#This Row],[myid]]="","",[3]DCBase!E15)</f>
        <v>5.5</v>
      </c>
      <c r="F21" s="66">
        <f>IF(propInventory[[#This Row],[myid]]="","",[3]DCBase!F15)</f>
        <v>1.35</v>
      </c>
      <c r="G21" s="66">
        <f>IF(propInventory[[#This Row],[myid]]="","",[3]DCBase!G15)</f>
        <v>2.0699999999999998</v>
      </c>
      <c r="H21" s="66">
        <f>IF(propInventory[[#This Row],[myid]]="","",352.98/([3]DCBase!I15+273.15)*(1-0.0000225577*[3]DCBase!H15)^5.25578)</f>
        <v>1.1952155100729527</v>
      </c>
      <c r="I21" s="56">
        <f>IF(propInventory[[#This Row],[myid]]="","",[3]DCBase!K15)</f>
        <v>1.6E-2</v>
      </c>
      <c r="J21" s="67">
        <f>IF(propInventory[[#This Row],[myid]]="","",[3]DCBase!L15)</f>
        <v>3.2</v>
      </c>
      <c r="K21" s="66">
        <f>IF(propInventory[[#This Row],[myid]]="","",352.98/([3]DCBase!N15+273.15)*(1-0.0000225577*[3]DCBase!M15)^5.25578)</f>
        <v>1.1952155100729527</v>
      </c>
      <c r="L21" s="70"/>
      <c r="M21" s="71"/>
      <c r="O21" s="68"/>
      <c r="P21" s="69"/>
      <c r="Q21" s="69"/>
      <c r="R21" s="69"/>
    </row>
    <row r="22" spans="1:18" ht="15" customHeight="1">
      <c r="A22" s="84">
        <f>VLOOKUP(propInventory[[#This Row],[Prop Name]],[2]!propInventory3[[Prop Name]:[Instock?]],10,FALSE)</f>
        <v>0</v>
      </c>
      <c r="B22" s="84">
        <f>IF([3]DCBase!$A16="","",[3]DCBase!$A16)</f>
        <v>15</v>
      </c>
      <c r="C22" s="80" t="str">
        <f>IF(propInventory[[#This Row],[myid]]="","",IF([3]DCBase!R16=0,[3]DCBase!D16&amp;"x"&amp;[3]DCBase!E16&amp;" "&amp;[3]DCBase!C16,[3]DCBase!D16&amp;"x"&amp;[3]DCBase!E16&amp;" "&amp;[3]DCBase!C16&amp;" "&amp;[3]DCBase!S16&amp;"mm"))</f>
        <v>5.5x6.25 APC E</v>
      </c>
      <c r="D22" s="65">
        <f>IF(propInventory[[#This Row],[myid]]="","",[3]DCBase!D16)</f>
        <v>5.5</v>
      </c>
      <c r="E22" s="65">
        <f>IF(propInventory[[#This Row],[myid]]="","",[3]DCBase!E16)</f>
        <v>6.25</v>
      </c>
      <c r="F22" s="66">
        <f>IF(propInventory[[#This Row],[myid]]="","",[3]DCBase!F16)</f>
        <v>1.106735</v>
      </c>
      <c r="G22" s="66">
        <f>IF(propInventory[[#This Row],[myid]]="","",[3]DCBase!G16)</f>
        <v>2.0586035599999999</v>
      </c>
      <c r="H22" s="66">
        <f>IF(propInventory[[#This Row],[myid]]="","",352.98/([3]DCBase!I16+273.15)*(1-0.0000225577*[3]DCBase!H16)^5.25578)</f>
        <v>1.1758151638376082</v>
      </c>
      <c r="I22" s="56">
        <f>IF(propInventory[[#This Row],[myid]]="","",[3]DCBase!K16)</f>
        <v>3.5193200000000001E-2</v>
      </c>
      <c r="J22" s="67">
        <f>IF(propInventory[[#This Row],[myid]]="","",[3]DCBase!L16)</f>
        <v>2.9143979999999998</v>
      </c>
      <c r="K22" s="66">
        <f>IF(propInventory[[#This Row],[myid]]="","",352.98/([3]DCBase!N16+273.15)*(1-0.0000225577*[3]DCBase!M16)^5.25578)</f>
        <v>1.1952155100729527</v>
      </c>
      <c r="L22" s="70"/>
      <c r="M22" s="71"/>
      <c r="O22" s="68"/>
      <c r="P22" s="69"/>
      <c r="Q22" s="69"/>
      <c r="R22" s="69"/>
    </row>
    <row r="23" spans="1:18" ht="15" customHeight="1">
      <c r="A23" s="84">
        <f>VLOOKUP(propInventory[[#This Row],[Prop Name]],[2]!propInventory3[[Prop Name]:[Instock?]],10,FALSE)</f>
        <v>1</v>
      </c>
      <c r="B23" s="84">
        <f>IF([3]DCBase!$A17="","",[3]DCBase!$A17)</f>
        <v>16</v>
      </c>
      <c r="C23" s="80" t="str">
        <f>IF(propInventory[[#This Row],[myid]]="","",IF([3]DCBase!R17=0,[3]DCBase!D17&amp;"x"&amp;[3]DCBase!E17&amp;" "&amp;[3]DCBase!C17,[3]DCBase!D17&amp;"x"&amp;[3]DCBase!E17&amp;" "&amp;[3]DCBase!C17&amp;" "&amp;[3]DCBase!S17&amp;"mm"))</f>
        <v>6x3 GWS HD</v>
      </c>
      <c r="D23" s="65">
        <f>IF(propInventory[[#This Row],[myid]]="","",[3]DCBase!D17)</f>
        <v>6</v>
      </c>
      <c r="E23" s="65">
        <f>IF(propInventory[[#This Row],[myid]]="","",[3]DCBase!E17)</f>
        <v>3</v>
      </c>
      <c r="F23" s="66">
        <f>IF(propInventory[[#This Row],[myid]]="","",[3]DCBase!F17)</f>
        <v>1.2917149999999999</v>
      </c>
      <c r="G23" s="66">
        <f>IF(propInventory[[#This Row],[myid]]="","",[3]DCBase!G17)</f>
        <v>2.0954039999999998</v>
      </c>
      <c r="H23" s="66">
        <f>IF(propInventory[[#This Row],[myid]]="","",352.98/([3]DCBase!I17+273.15)*(1-0.0000225577*[3]DCBase!H17)^5.25578)</f>
        <v>1.1758151638376082</v>
      </c>
      <c r="I23" s="56">
        <f>IF(propInventory[[#This Row],[myid]]="","",[3]DCBase!K17)</f>
        <v>1.5850699999999999E-2</v>
      </c>
      <c r="J23" s="67">
        <f>IF(propInventory[[#This Row],[myid]]="","",[3]DCBase!L17)</f>
        <v>3.009884</v>
      </c>
      <c r="K23" s="66">
        <f>IF(propInventory[[#This Row],[myid]]="","",352.98/([3]DCBase!N17+273.15)*(1-0.0000225577*[3]DCBase!M17)^5.25578)</f>
        <v>1.2559596659939196</v>
      </c>
      <c r="L23" s="70"/>
      <c r="M23" s="71"/>
      <c r="O23" s="68"/>
      <c r="P23" s="69"/>
      <c r="Q23" s="69"/>
      <c r="R23" s="69"/>
    </row>
    <row r="24" spans="1:18" ht="15" customHeight="1">
      <c r="A24" s="84">
        <f>VLOOKUP(propInventory[[#This Row],[Prop Name]],[2]!propInventory3[[Prop Name]:[Instock?]],10,FALSE)</f>
        <v>4</v>
      </c>
      <c r="B24" s="84">
        <f>IF([3]DCBase!$A18="","",[3]DCBase!$A18)</f>
        <v>17</v>
      </c>
      <c r="C24" s="80" t="str">
        <f>IF(propInventory[[#This Row],[myid]]="","",IF([3]DCBase!R18=0,[3]DCBase!D18&amp;"x"&amp;[3]DCBase!E18&amp;" "&amp;[3]DCBase!C18,[3]DCBase!D18&amp;"x"&amp;[3]DCBase!E18&amp;" "&amp;[3]DCBase!C18&amp;" "&amp;[3]DCBase!S18&amp;"mm"))</f>
        <v>6x4 APC E</v>
      </c>
      <c r="D24" s="65">
        <f>IF(propInventory[[#This Row],[myid]]="","",[3]DCBase!D18)</f>
        <v>6</v>
      </c>
      <c r="E24" s="65">
        <f>IF(propInventory[[#This Row],[myid]]="","",[3]DCBase!E18)</f>
        <v>4</v>
      </c>
      <c r="F24" s="66">
        <f>IF(propInventory[[#This Row],[myid]]="","",[3]DCBase!F18)</f>
        <v>1.5245340000000001</v>
      </c>
      <c r="G24" s="66">
        <f>IF(propInventory[[#This Row],[myid]]="","",[3]DCBase!G18)</f>
        <v>2.1145109999999998</v>
      </c>
      <c r="H24" s="66">
        <f>IF(propInventory[[#This Row],[myid]]="","",352.98/([3]DCBase!I18+273.15)*(1-0.0000225577*[3]DCBase!H18)^5.25578)</f>
        <v>1.1758151638376082</v>
      </c>
      <c r="I24" s="56">
        <f>IF(propInventory[[#This Row],[myid]]="","",[3]DCBase!K18)</f>
        <v>1.5742599999999999E-2</v>
      </c>
      <c r="J24" s="67">
        <f>IF(propInventory[[#This Row],[myid]]="","",[3]DCBase!L18)</f>
        <v>3.1481750000000002</v>
      </c>
      <c r="K24" s="66">
        <f>IF(propInventory[[#This Row],[myid]]="","",352.98/([3]DCBase!N18+273.15)*(1-0.0000225577*[3]DCBase!M18)^5.25578)</f>
        <v>1.1952155100729527</v>
      </c>
      <c r="L24" s="70"/>
      <c r="M24" s="71"/>
      <c r="O24" s="68"/>
      <c r="P24" s="69"/>
      <c r="Q24" s="69"/>
      <c r="R24" s="69"/>
    </row>
    <row r="25" spans="1:18" ht="15" customHeight="1">
      <c r="A25" s="84">
        <f>VLOOKUP(propInventory[[#This Row],[Prop Name]],[2]!propInventory3[[Prop Name]:[Instock?]],10,FALSE)</f>
        <v>0</v>
      </c>
      <c r="B25" s="84">
        <f>IF([3]DCBase!$A19="","",[3]DCBase!$A19)</f>
        <v>18</v>
      </c>
      <c r="C25" s="80" t="str">
        <f>IF(propInventory[[#This Row],[myid]]="","",IF([3]DCBase!R19=0,[3]DCBase!D19&amp;"x"&amp;[3]DCBase!E19&amp;" "&amp;[3]DCBase!C19,[3]DCBase!D19&amp;"x"&amp;[3]DCBase!E19&amp;" "&amp;[3]DCBase!C19&amp;" "&amp;[3]DCBase!S19&amp;"mm"))</f>
        <v>6x4 Jamara Folding 30mm</v>
      </c>
      <c r="D25" s="65">
        <f>IF(propInventory[[#This Row],[myid]]="","",[3]DCBase!D19)</f>
        <v>6</v>
      </c>
      <c r="E25" s="65">
        <f>IF(propInventory[[#This Row],[myid]]="","",[3]DCBase!E19)</f>
        <v>4</v>
      </c>
      <c r="F25" s="66">
        <f>IF(propInventory[[#This Row],[myid]]="","",[3]DCBase!F19)</f>
        <v>1.9441900000000001</v>
      </c>
      <c r="G25" s="66">
        <f>IF(propInventory[[#This Row],[myid]]="","",[3]DCBase!G19)</f>
        <v>2</v>
      </c>
      <c r="H25" s="66">
        <f>IF(propInventory[[#This Row],[myid]]="","",352.98/([3]DCBase!I19+273.15)*(1-0.0000225577*[3]DCBase!H19)^5.25578)</f>
        <v>1.1874514592074905</v>
      </c>
      <c r="I25" s="56">
        <f>IF(propInventory[[#This Row],[myid]]="","",[3]DCBase!K19)</f>
        <v>2.6646900000000001E-2</v>
      </c>
      <c r="J25" s="67">
        <f>IF(propInventory[[#This Row],[myid]]="","",[3]DCBase!L19)</f>
        <v>3</v>
      </c>
      <c r="K25" s="66">
        <f>IF(propInventory[[#This Row],[myid]]="","",352.98/([3]DCBase!N19+273.15)*(1-0.0000225577*[3]DCBase!M19)^5.25578)</f>
        <v>1.1874514592074905</v>
      </c>
      <c r="L25" s="70"/>
      <c r="M25" s="71"/>
      <c r="O25" s="68"/>
      <c r="P25" s="69"/>
      <c r="Q25" s="69"/>
      <c r="R25" s="69"/>
    </row>
    <row r="26" spans="1:18" ht="15" customHeight="1">
      <c r="A26" s="84">
        <f>VLOOKUP(propInventory[[#This Row],[Prop Name]],[2]!propInventory3[[Prop Name]:[Instock?]],10,FALSE)</f>
        <v>0</v>
      </c>
      <c r="B26" s="84">
        <f>IF([3]DCBase!$A20="","",[3]DCBase!$A20)</f>
        <v>19</v>
      </c>
      <c r="C26" s="80" t="str">
        <f>IF(propInventory[[#This Row],[myid]]="","",IF([3]DCBase!R20=0,[3]DCBase!D20&amp;"x"&amp;[3]DCBase!E20&amp;" "&amp;[3]DCBase!C20,[3]DCBase!D20&amp;"x"&amp;[3]DCBase!E20&amp;" "&amp;[3]DCBase!C20&amp;" "&amp;[3]DCBase!S20&amp;"mm"))</f>
        <v>6x5 Aeronaut E-Prop</v>
      </c>
      <c r="D26" s="65">
        <f>IF(propInventory[[#This Row],[myid]]="","",[3]DCBase!D20)</f>
        <v>6</v>
      </c>
      <c r="E26" s="65">
        <f>IF(propInventory[[#This Row],[myid]]="","",[3]DCBase!E20)</f>
        <v>5</v>
      </c>
      <c r="F26" s="66">
        <f>IF(propInventory[[#This Row],[myid]]="","",[3]DCBase!F20)</f>
        <v>1.507199</v>
      </c>
      <c r="G26" s="66">
        <f>IF(propInventory[[#This Row],[myid]]="","",[3]DCBase!G20)</f>
        <v>2.137095</v>
      </c>
      <c r="H26" s="66">
        <f>IF(propInventory[[#This Row],[myid]]="","",352.98/([3]DCBase!I20+273.15)*(1-0.0000225577*[3]DCBase!H20)^5.25578)</f>
        <v>1.1758151638376082</v>
      </c>
      <c r="I26" s="56">
        <f>IF(propInventory[[#This Row],[myid]]="","",[3]DCBase!K20)</f>
        <v>2.8456700000000001E-2</v>
      </c>
      <c r="J26" s="67">
        <f>IF(propInventory[[#This Row],[myid]]="","",[3]DCBase!L20)</f>
        <v>3</v>
      </c>
      <c r="K26" s="66">
        <f>IF(propInventory[[#This Row],[myid]]="","",352.98/([3]DCBase!N20+273.15)*(1-0.0000225577*[3]DCBase!M20)^5.25578)</f>
        <v>1.2249869859448206</v>
      </c>
      <c r="L26" s="70"/>
      <c r="M26" s="71"/>
      <c r="O26" s="68"/>
      <c r="P26" s="69"/>
      <c r="Q26" s="69"/>
      <c r="R26" s="69"/>
    </row>
    <row r="27" spans="1:18" ht="15" customHeight="1">
      <c r="A27" s="84">
        <f>VLOOKUP(propInventory[[#This Row],[Prop Name]],[2]!propInventory3[[Prop Name]:[Instock?]],10,FALSE)</f>
        <v>0</v>
      </c>
      <c r="B27" s="84">
        <f>IF([3]DCBase!$A21="","",[3]DCBase!$A21)</f>
        <v>20</v>
      </c>
      <c r="C27" s="80" t="str">
        <f>IF(propInventory[[#This Row],[myid]]="","",IF([3]DCBase!R21=0,[3]DCBase!D21&amp;"x"&amp;[3]DCBase!E21&amp;" "&amp;[3]DCBase!C21,[3]DCBase!D21&amp;"x"&amp;[3]DCBase!E21&amp;" "&amp;[3]DCBase!C21&amp;" "&amp;[3]DCBase!S21&amp;"mm"))</f>
        <v>6x5 GWS RS</v>
      </c>
      <c r="D27" s="65">
        <f>IF(propInventory[[#This Row],[myid]]="","",[3]DCBase!D21)</f>
        <v>6</v>
      </c>
      <c r="E27" s="65">
        <f>IF(propInventory[[#This Row],[myid]]="","",[3]DCBase!E21)</f>
        <v>5</v>
      </c>
      <c r="F27" s="66">
        <f>IF(propInventory[[#This Row],[myid]]="","",[3]DCBase!F21)</f>
        <v>2.6567340000000002</v>
      </c>
      <c r="G27" s="66">
        <f>IF(propInventory[[#This Row],[myid]]="","",[3]DCBase!G21)</f>
        <v>2.047542</v>
      </c>
      <c r="H27" s="66">
        <f>IF(propInventory[[#This Row],[myid]]="","",352.98/([3]DCBase!I21+273.15)*(1-0.0000225577*[3]DCBase!H21)^5.25578)</f>
        <v>1.1758151638376082</v>
      </c>
      <c r="I27" s="56">
        <f>IF(propInventory[[#This Row],[myid]]="","",[3]DCBase!K21)</f>
        <v>2.94396E-2</v>
      </c>
      <c r="J27" s="67">
        <f>IF(propInventory[[#This Row],[myid]]="","",[3]DCBase!L21)</f>
        <v>3.149247576</v>
      </c>
      <c r="K27" s="66">
        <f>IF(propInventory[[#This Row],[myid]]="","",352.98/([3]DCBase!N21+273.15)*(1-0.0000225577*[3]DCBase!M21)^5.25578)</f>
        <v>1.220968625325449</v>
      </c>
      <c r="L27" s="70"/>
      <c r="M27" s="71"/>
      <c r="O27" s="68"/>
      <c r="P27" s="69"/>
      <c r="Q27" s="69"/>
      <c r="R27" s="69"/>
    </row>
    <row r="28" spans="1:18" ht="15" customHeight="1">
      <c r="A28" s="84">
        <f>VLOOKUP(propInventory[[#This Row],[Prop Name]],[2]!propInventory3[[Prop Name]:[Instock?]],10,FALSE)</f>
        <v>7</v>
      </c>
      <c r="B28" s="84">
        <f>IF([3]DCBase!$A22="","",[3]DCBase!$A22)</f>
        <v>21</v>
      </c>
      <c r="C28" s="80" t="str">
        <f>IF(propInventory[[#This Row],[myid]]="","",IF([3]DCBase!R22=0,[3]DCBase!D22&amp;"x"&amp;[3]DCBase!E22&amp;" "&amp;[3]DCBase!C22,[3]DCBase!D22&amp;"x"&amp;[3]DCBase!E22&amp;" "&amp;[3]DCBase!C22&amp;" "&amp;[3]DCBase!S22&amp;"mm"))</f>
        <v>6x5.5 APC E</v>
      </c>
      <c r="D28" s="65">
        <f>IF(propInventory[[#This Row],[myid]]="","",[3]DCBase!D22)</f>
        <v>6</v>
      </c>
      <c r="E28" s="65">
        <f>IF(propInventory[[#This Row],[myid]]="","",[3]DCBase!E22)</f>
        <v>5.5</v>
      </c>
      <c r="F28" s="66">
        <f>IF(propInventory[[#This Row],[myid]]="","",[3]DCBase!F22)</f>
        <v>1.6921299999999999</v>
      </c>
      <c r="G28" s="66">
        <f>IF(propInventory[[#This Row],[myid]]="","",[3]DCBase!G22)</f>
        <v>2.121302</v>
      </c>
      <c r="H28" s="66">
        <f>IF(propInventory[[#This Row],[myid]]="","",352.98/([3]DCBase!I22+273.15)*(1-0.0000225577*[3]DCBase!H22)^5.25578)</f>
        <v>1.1758151638376082</v>
      </c>
      <c r="I28" s="56">
        <f>IF(propInventory[[#This Row],[myid]]="","",[3]DCBase!K22)</f>
        <v>3.39613E-2</v>
      </c>
      <c r="J28" s="67">
        <f>IF(propInventory[[#This Row],[myid]]="","",[3]DCBase!L22)</f>
        <v>3.03</v>
      </c>
      <c r="K28" s="66">
        <f>IF(propInventory[[#This Row],[myid]]="","",352.98/([3]DCBase!N22+273.15)*(1-0.0000225577*[3]DCBase!M22)^5.25578)</f>
        <v>1.1952155100729527</v>
      </c>
      <c r="L28" s="70"/>
      <c r="M28" s="71"/>
      <c r="O28" s="68"/>
      <c r="P28" s="69"/>
      <c r="Q28" s="69"/>
      <c r="R28" s="69"/>
    </row>
    <row r="29" spans="1:18" ht="15" customHeight="1">
      <c r="A29" s="84">
        <f>VLOOKUP(propInventory[[#This Row],[Prop Name]],[2]!propInventory3[[Prop Name]:[Instock?]],10,FALSE)</f>
        <v>0</v>
      </c>
      <c r="B29" s="84">
        <f>IF([3]DCBase!$A23="","",[3]DCBase!$A23)</f>
        <v>22</v>
      </c>
      <c r="C29" s="80" t="str">
        <f>IF(propInventory[[#This Row],[myid]]="","",IF([3]DCBase!R23=0,[3]DCBase!D23&amp;"x"&amp;[3]DCBase!E23&amp;" "&amp;[3]DCBase!C23,[3]DCBase!D23&amp;"x"&amp;[3]DCBase!E23&amp;" "&amp;[3]DCBase!C23&amp;" "&amp;[3]DCBase!S23&amp;"mm"))</f>
        <v>6x5.5 Graupner Speed</v>
      </c>
      <c r="D29" s="65">
        <f>IF(propInventory[[#This Row],[myid]]="","",[3]DCBase!D23)</f>
        <v>6</v>
      </c>
      <c r="E29" s="65">
        <f>IF(propInventory[[#This Row],[myid]]="","",[3]DCBase!E23)</f>
        <v>5.5</v>
      </c>
      <c r="F29" s="66">
        <f>IF(propInventory[[#This Row],[myid]]="","",[3]DCBase!F23)</f>
        <v>2.0500050000000001</v>
      </c>
      <c r="G29" s="66">
        <f>IF(propInventory[[#This Row],[myid]]="","",[3]DCBase!G23)</f>
        <v>2.02</v>
      </c>
      <c r="H29" s="66">
        <f>IF(propInventory[[#This Row],[myid]]="","",352.98/([3]DCBase!I23+273.15)*(1-0.0000225577*[3]DCBase!H23)^5.25578)</f>
        <v>1.1952155100729527</v>
      </c>
      <c r="I29" s="56">
        <f>IF(propInventory[[#This Row],[myid]]="","",[3]DCBase!K23)</f>
        <v>2.1999999999999999E-2</v>
      </c>
      <c r="J29" s="67">
        <f>IF(propInventory[[#This Row],[myid]]="","",[3]DCBase!L23)</f>
        <v>3.15</v>
      </c>
      <c r="K29" s="66">
        <f>IF(propInventory[[#This Row],[myid]]="","",352.98/([3]DCBase!N23+273.15)*(1-0.0000225577*[3]DCBase!M23)^5.25578)</f>
        <v>1.1952155100729527</v>
      </c>
      <c r="L29" s="70"/>
      <c r="M29" s="71"/>
      <c r="O29" s="68"/>
      <c r="P29" s="69"/>
      <c r="Q29" s="69"/>
      <c r="R29" s="69"/>
    </row>
    <row r="30" spans="1:18" ht="15" customHeight="1">
      <c r="A30" s="84">
        <f>VLOOKUP(propInventory[[#This Row],[Prop Name]],[2]!propInventory3[[Prop Name]:[Instock?]],10,FALSE)</f>
        <v>0</v>
      </c>
      <c r="B30" s="84">
        <f>IF([3]DCBase!$A24="","",[3]DCBase!$A24)</f>
        <v>23</v>
      </c>
      <c r="C30" s="80" t="str">
        <f>IF(propInventory[[#This Row],[myid]]="","",IF([3]DCBase!R24=0,[3]DCBase!D24&amp;"x"&amp;[3]DCBase!E24&amp;" "&amp;[3]DCBase!C24,[3]DCBase!D24&amp;"x"&amp;[3]DCBase!E24&amp;" "&amp;[3]DCBase!C24&amp;" "&amp;[3]DCBase!S24&amp;"mm"))</f>
        <v>6x6 Graupner Speed</v>
      </c>
      <c r="D30" s="65">
        <f>IF(propInventory[[#This Row],[myid]]="","",[3]DCBase!D24)</f>
        <v>6</v>
      </c>
      <c r="E30" s="65">
        <f>IF(propInventory[[#This Row],[myid]]="","",[3]DCBase!E24)</f>
        <v>6</v>
      </c>
      <c r="F30" s="66">
        <f>IF(propInventory[[#This Row],[myid]]="","",[3]DCBase!F24)</f>
        <v>1.800001</v>
      </c>
      <c r="G30" s="66">
        <f>IF(propInventory[[#This Row],[myid]]="","",[3]DCBase!G24)</f>
        <v>2.11</v>
      </c>
      <c r="H30" s="66">
        <f>IF(propInventory[[#This Row],[myid]]="","",352.98/([3]DCBase!I24+273.15)*(1-0.0000225577*[3]DCBase!H24)^5.25578)</f>
        <v>1.1952155100729527</v>
      </c>
      <c r="I30" s="56">
        <f>IF(propInventory[[#This Row],[myid]]="","",[3]DCBase!K24)</f>
        <v>3.5287399999999997E-2</v>
      </c>
      <c r="J30" s="67">
        <f>IF(propInventory[[#This Row],[myid]]="","",[3]DCBase!L24)</f>
        <v>3</v>
      </c>
      <c r="K30" s="66">
        <f>IF(propInventory[[#This Row],[myid]]="","",352.98/([3]DCBase!N24+273.15)*(1-0.0000225577*[3]DCBase!M24)^5.25578)</f>
        <v>1.1952155100729527</v>
      </c>
      <c r="L30" s="70"/>
      <c r="M30" s="71"/>
      <c r="O30" s="68"/>
      <c r="P30" s="69"/>
      <c r="Q30" s="69"/>
      <c r="R30" s="69"/>
    </row>
    <row r="31" spans="1:18" ht="15" customHeight="1">
      <c r="A31" s="84">
        <f>VLOOKUP(propInventory[[#This Row],[Prop Name]],[2]!propInventory3[[Prop Name]:[Instock?]],10,FALSE)</f>
        <v>0</v>
      </c>
      <c r="B31" s="84">
        <f>IF([3]DCBase!$A25="","",[3]DCBase!$A25)</f>
        <v>24</v>
      </c>
      <c r="C31" s="80" t="str">
        <f>IF(propInventory[[#This Row],[myid]]="","",IF([3]DCBase!R25=0,[3]DCBase!D25&amp;"x"&amp;[3]DCBase!E25&amp;" "&amp;[3]DCBase!C25,[3]DCBase!D25&amp;"x"&amp;[3]DCBase!E25&amp;" "&amp;[3]DCBase!C25&amp;" "&amp;[3]DCBase!S25&amp;"mm"))</f>
        <v>6.5x4 Aeronaut E-Prop</v>
      </c>
      <c r="D31" s="65">
        <f>IF(propInventory[[#This Row],[myid]]="","",[3]DCBase!D25)</f>
        <v>6.5</v>
      </c>
      <c r="E31" s="65">
        <f>IF(propInventory[[#This Row],[myid]]="","",[3]DCBase!E25)</f>
        <v>4</v>
      </c>
      <c r="F31" s="66">
        <f>IF(propInventory[[#This Row],[myid]]="","",[3]DCBase!F25)</f>
        <v>2.1882229999999998</v>
      </c>
      <c r="G31" s="66">
        <f>IF(propInventory[[#This Row],[myid]]="","",[3]DCBase!G25)</f>
        <v>2.087437</v>
      </c>
      <c r="H31" s="66">
        <f>IF(propInventory[[#This Row],[myid]]="","",352.98/([3]DCBase!I25+273.15)*(1-0.0000225577*[3]DCBase!H25)^5.25578)</f>
        <v>1.1758151638376082</v>
      </c>
      <c r="I31" s="56">
        <f>IF(propInventory[[#This Row],[myid]]="","",[3]DCBase!K25)</f>
        <v>3.12254E-2</v>
      </c>
      <c r="J31" s="67">
        <f>IF(propInventory[[#This Row],[myid]]="","",[3]DCBase!L25)</f>
        <v>3</v>
      </c>
      <c r="K31" s="66">
        <f>IF(propInventory[[#This Row],[myid]]="","",352.98/([3]DCBase!N25+273.15)*(1-0.0000225577*[3]DCBase!M25)^5.25578)</f>
        <v>1.2249869859448206</v>
      </c>
      <c r="L31" s="70"/>
      <c r="M31" s="71"/>
      <c r="O31" s="68"/>
      <c r="P31" s="69"/>
      <c r="Q31" s="69"/>
      <c r="R31" s="69"/>
    </row>
    <row r="32" spans="1:18" ht="15" customHeight="1">
      <c r="A32" s="84">
        <f>VLOOKUP(propInventory[[#This Row],[Prop Name]],[2]!propInventory3[[Prop Name]:[Instock?]],10,FALSE)</f>
        <v>0</v>
      </c>
      <c r="B32" s="84">
        <f>IF([3]DCBase!$A26="","",[3]DCBase!$A26)</f>
        <v>25</v>
      </c>
      <c r="C32" s="80" t="str">
        <f>IF(propInventory[[#This Row],[myid]]="","",IF([3]DCBase!R26=0,[3]DCBase!D26&amp;"x"&amp;[3]DCBase!E26&amp;" "&amp;[3]DCBase!C26,[3]DCBase!D26&amp;"x"&amp;[3]DCBase!E26&amp;" "&amp;[3]DCBase!C26&amp;" "&amp;[3]DCBase!S26&amp;"mm"))</f>
        <v>6.5x6.5 Graupner Speed</v>
      </c>
      <c r="D32" s="65">
        <f>IF(propInventory[[#This Row],[myid]]="","",[3]DCBase!D26)</f>
        <v>6.5</v>
      </c>
      <c r="E32" s="65">
        <f>IF(propInventory[[#This Row],[myid]]="","",[3]DCBase!E26)</f>
        <v>6.5</v>
      </c>
      <c r="F32" s="66">
        <f>IF(propInventory[[#This Row],[myid]]="","",[3]DCBase!F26)</f>
        <v>2.630001</v>
      </c>
      <c r="G32" s="66">
        <f>IF(propInventory[[#This Row],[myid]]="","",[3]DCBase!G26)</f>
        <v>2.0099999999999998</v>
      </c>
      <c r="H32" s="66">
        <f>IF(propInventory[[#This Row],[myid]]="","",352.98/([3]DCBase!I26+273.15)*(1-0.0000225577*[3]DCBase!H26)^5.25578)</f>
        <v>1.1952155100729527</v>
      </c>
      <c r="I32" s="56">
        <f>IF(propInventory[[#This Row],[myid]]="","",[3]DCBase!K26)</f>
        <v>6.1449299999999998E-2</v>
      </c>
      <c r="J32" s="67">
        <f>IF(propInventory[[#This Row],[myid]]="","",[3]DCBase!L26)</f>
        <v>3</v>
      </c>
      <c r="K32" s="66">
        <f>IF(propInventory[[#This Row],[myid]]="","",352.98/([3]DCBase!N26+273.15)*(1-0.0000225577*[3]DCBase!M26)^5.25578)</f>
        <v>1.1952155100729527</v>
      </c>
      <c r="L32" s="70"/>
      <c r="M32" s="71"/>
      <c r="O32" s="68"/>
      <c r="P32" s="69"/>
      <c r="Q32" s="69"/>
      <c r="R32" s="69"/>
    </row>
    <row r="33" spans="1:18" ht="15" customHeight="1">
      <c r="A33" s="84">
        <f>VLOOKUP(propInventory[[#This Row],[Prop Name]],[2]!propInventory3[[Prop Name]:[Instock?]],10,FALSE)</f>
        <v>4</v>
      </c>
      <c r="B33" s="84">
        <f>IF([3]DCBase!$A27="","",[3]DCBase!$A27)</f>
        <v>26</v>
      </c>
      <c r="C33" s="80" t="str">
        <f>IF(propInventory[[#This Row],[myid]]="","",IF([3]DCBase!R27=0,[3]DCBase!D27&amp;"x"&amp;[3]DCBase!E27&amp;" "&amp;[3]DCBase!C27,[3]DCBase!D27&amp;"x"&amp;[3]DCBase!E27&amp;" "&amp;[3]DCBase!C27&amp;" "&amp;[3]DCBase!S27&amp;"mm"))</f>
        <v>7x3.5 GWS HD</v>
      </c>
      <c r="D33" s="65">
        <f>IF(propInventory[[#This Row],[myid]]="","",[3]DCBase!D27)</f>
        <v>7</v>
      </c>
      <c r="E33" s="65">
        <f>IF(propInventory[[#This Row],[myid]]="","",[3]DCBase!E27)</f>
        <v>3.5</v>
      </c>
      <c r="F33" s="66">
        <f>IF(propInventory[[#This Row],[myid]]="","",[3]DCBase!F27)</f>
        <v>1.4219740000000001</v>
      </c>
      <c r="G33" s="66">
        <f>IF(propInventory[[#This Row],[myid]]="","",[3]DCBase!G27)</f>
        <v>2.2102840000000001</v>
      </c>
      <c r="H33" s="66">
        <f>IF(propInventory[[#This Row],[myid]]="","",352.98/([3]DCBase!I27+273.15)*(1-0.0000225577*[3]DCBase!H27)^5.25578)</f>
        <v>1.1758151638376082</v>
      </c>
      <c r="I33" s="56">
        <f>IF(propInventory[[#This Row],[myid]]="","",[3]DCBase!K27)</f>
        <v>2.08782E-2</v>
      </c>
      <c r="J33" s="67">
        <f>IF(propInventory[[#This Row],[myid]]="","",[3]DCBase!L27)</f>
        <v>3.0622400000000001</v>
      </c>
      <c r="K33" s="66">
        <f>IF(propInventory[[#This Row],[myid]]="","",352.98/([3]DCBase!N27+273.15)*(1-0.0000225577*[3]DCBase!M27)^5.25578)</f>
        <v>1.2559596659939196</v>
      </c>
      <c r="L33" s="70"/>
      <c r="M33" s="71"/>
      <c r="O33" s="68"/>
      <c r="P33" s="69"/>
      <c r="Q33" s="69"/>
      <c r="R33" s="69"/>
    </row>
    <row r="34" spans="1:18" ht="15" customHeight="1">
      <c r="A34" s="84">
        <f>VLOOKUP(propInventory[[#This Row],[Prop Name]],[2]!propInventory3[[Prop Name]:[Instock?]],10,FALSE)</f>
        <v>2</v>
      </c>
      <c r="B34" s="84">
        <f>IF([3]DCBase!$A28="","",[3]DCBase!$A28)</f>
        <v>27</v>
      </c>
      <c r="C34" s="80" t="str">
        <f>IF(propInventory[[#This Row],[myid]]="","",IF([3]DCBase!R28=0,[3]DCBase!D28&amp;"x"&amp;[3]DCBase!E28&amp;" "&amp;[3]DCBase!C28,[3]DCBase!D28&amp;"x"&amp;[3]DCBase!E28&amp;" "&amp;[3]DCBase!C28&amp;" "&amp;[3]DCBase!S28&amp;"mm"))</f>
        <v>7x5 APC E</v>
      </c>
      <c r="D34" s="65">
        <f>IF(propInventory[[#This Row],[myid]]="","",[3]DCBase!D28)</f>
        <v>7</v>
      </c>
      <c r="E34" s="65">
        <f>IF(propInventory[[#This Row],[myid]]="","",[3]DCBase!E28)</f>
        <v>5</v>
      </c>
      <c r="F34" s="66">
        <f>IF(propInventory[[#This Row],[myid]]="","",[3]DCBase!F28)</f>
        <v>3.3181449999999999</v>
      </c>
      <c r="G34" s="66">
        <f>IF(propInventory[[#This Row],[myid]]="","",[3]DCBase!G28)</f>
        <v>2.128231</v>
      </c>
      <c r="H34" s="66">
        <f>IF(propInventory[[#This Row],[myid]]="","",352.98/([3]DCBase!I28+273.15)*(1-0.0000225577*[3]DCBase!H28)^5.25578)</f>
        <v>1.1758151638376082</v>
      </c>
      <c r="I34" s="56">
        <f>IF(propInventory[[#This Row],[myid]]="","",[3]DCBase!K28)</f>
        <v>3.5790799999999998E-2</v>
      </c>
      <c r="J34" s="67">
        <f>IF(propInventory[[#This Row],[myid]]="","",[3]DCBase!L28)</f>
        <v>3.198747</v>
      </c>
      <c r="K34" s="66">
        <f>IF(propInventory[[#This Row],[myid]]="","",352.98/([3]DCBase!N28+273.15)*(1-0.0000225577*[3]DCBase!M28)^5.25578)</f>
        <v>1.1952155100729527</v>
      </c>
      <c r="L34" s="70"/>
      <c r="M34" s="71"/>
      <c r="O34" s="68"/>
      <c r="P34" s="69"/>
      <c r="Q34" s="69"/>
      <c r="R34" s="69"/>
    </row>
    <row r="35" spans="1:18" ht="15" customHeight="1">
      <c r="A35" s="84">
        <f>VLOOKUP(propInventory[[#This Row],[Prop Name]],[2]!propInventory3[[Prop Name]:[Instock?]],10,FALSE)</f>
        <v>0</v>
      </c>
      <c r="B35" s="84">
        <f>IF([3]DCBase!$A29="","",[3]DCBase!$A29)</f>
        <v>29</v>
      </c>
      <c r="C35" s="80" t="str">
        <f>IF(propInventory[[#This Row],[myid]]="","",IF([3]DCBase!R29=0,[3]DCBase!D29&amp;"x"&amp;[3]DCBase!E29&amp;" "&amp;[3]DCBase!C29,[3]DCBase!D29&amp;"x"&amp;[3]DCBase!E29&amp;" "&amp;[3]DCBase!C29&amp;" "&amp;[3]DCBase!S29&amp;"mm"))</f>
        <v>7x6 AeroCarbon 32mm</v>
      </c>
      <c r="D35" s="65">
        <f>IF(propInventory[[#This Row],[myid]]="","",[3]DCBase!D29)</f>
        <v>7</v>
      </c>
      <c r="E35" s="65">
        <f>IF(propInventory[[#This Row],[myid]]="","",[3]DCBase!E29)</f>
        <v>6</v>
      </c>
      <c r="F35" s="66">
        <f>IF(propInventory[[#This Row],[myid]]="","",[3]DCBase!F29)</f>
        <v>2.5149210000000002</v>
      </c>
      <c r="G35" s="66">
        <f>IF(propInventory[[#This Row],[myid]]="","",[3]DCBase!G29)</f>
        <v>2.0468176549999999</v>
      </c>
      <c r="H35" s="66">
        <f>IF(propInventory[[#This Row],[myid]]="","",352.98/([3]DCBase!I29+273.15)*(1-0.0000225577*[3]DCBase!H29)^5.25578)</f>
        <v>1.220968625325449</v>
      </c>
      <c r="I35" s="56">
        <f>IF(propInventory[[#This Row],[myid]]="","",[3]DCBase!K29)</f>
        <v>4.6844299999999998E-2</v>
      </c>
      <c r="J35" s="67">
        <f>IF(propInventory[[#This Row],[myid]]="","",[3]DCBase!L29)</f>
        <v>3</v>
      </c>
      <c r="K35" s="66">
        <f>IF(propInventory[[#This Row],[myid]]="","",352.98/([3]DCBase!N29+273.15)*(1-0.0000225577*[3]DCBase!M29)^5.25578)</f>
        <v>1.220968625325449</v>
      </c>
      <c r="L35" s="70"/>
      <c r="M35" s="71"/>
      <c r="O35" s="68"/>
      <c r="P35" s="69"/>
      <c r="Q35" s="69"/>
      <c r="R35" s="69"/>
    </row>
    <row r="36" spans="1:18" ht="15" customHeight="1">
      <c r="A36" s="84">
        <f>VLOOKUP(propInventory[[#This Row],[Prop Name]],[2]!propInventory3[[Prop Name]:[Instock?]],10,FALSE)</f>
        <v>1</v>
      </c>
      <c r="B36" s="84">
        <f>IF([3]DCBase!$A30="","",[3]DCBase!$A30)</f>
        <v>30</v>
      </c>
      <c r="C36" s="80" t="str">
        <f>IF(propInventory[[#This Row],[myid]]="","",IF([3]DCBase!R30=0,[3]DCBase!D30&amp;"x"&amp;[3]DCBase!E30&amp;" "&amp;[3]DCBase!C30,[3]DCBase!D30&amp;"x"&amp;[3]DCBase!E30&amp;" "&amp;[3]DCBase!C30&amp;" "&amp;[3]DCBase!S30&amp;"mm"))</f>
        <v>7x6 APC SF</v>
      </c>
      <c r="D36" s="65">
        <f>IF(propInventory[[#This Row],[myid]]="","",[3]DCBase!D30)</f>
        <v>7</v>
      </c>
      <c r="E36" s="65">
        <f>IF(propInventory[[#This Row],[myid]]="","",[3]DCBase!E30)</f>
        <v>6</v>
      </c>
      <c r="F36" s="66">
        <f>IF(propInventory[[#This Row],[myid]]="","",[3]DCBase!F30)</f>
        <v>4.0710889999999997</v>
      </c>
      <c r="G36" s="66">
        <f>IF(propInventory[[#This Row],[myid]]="","",[3]DCBase!G30)</f>
        <v>2.0870359999999999</v>
      </c>
      <c r="H36" s="66">
        <f>IF(propInventory[[#This Row],[myid]]="","",352.98/([3]DCBase!I30+273.15)*(1-0.0000225577*[3]DCBase!H30)^5.25578)</f>
        <v>1.1758151638376082</v>
      </c>
      <c r="I36" s="56">
        <f>IF(propInventory[[#This Row],[myid]]="","",[3]DCBase!K30)</f>
        <v>5.5870200000000002E-2</v>
      </c>
      <c r="J36" s="67">
        <f>IF(propInventory[[#This Row],[myid]]="","",[3]DCBase!L30)</f>
        <v>3.2115520000000002</v>
      </c>
      <c r="K36" s="66">
        <f>IF(propInventory[[#This Row],[myid]]="","",352.98/([3]DCBase!N30+273.15)*(1-0.0000225577*[3]DCBase!M30)^5.25578)</f>
        <v>1.220968625325449</v>
      </c>
      <c r="L36" s="70"/>
      <c r="M36" s="71"/>
      <c r="O36" s="68"/>
      <c r="P36" s="69"/>
      <c r="Q36" s="69"/>
      <c r="R36" s="69"/>
    </row>
    <row r="37" spans="1:18" ht="15" customHeight="1">
      <c r="A37" s="84">
        <f>VLOOKUP(propInventory[[#This Row],[Prop Name]],[2]!propInventory3[[Prop Name]:[Instock?]],10,FALSE)</f>
        <v>0</v>
      </c>
      <c r="B37" s="84">
        <f>IF([3]DCBase!$A31="","",[3]DCBase!$A31)</f>
        <v>31</v>
      </c>
      <c r="C37" s="80" t="str">
        <f>IF(propInventory[[#This Row],[myid]]="","",IF([3]DCBase!R31=0,[3]DCBase!D31&amp;"x"&amp;[3]DCBase!E31&amp;" "&amp;[3]DCBase!C31,[3]DCBase!D31&amp;"x"&amp;[3]DCBase!E31&amp;" "&amp;[3]DCBase!C31&amp;" "&amp;[3]DCBase!S31&amp;"mm"))</f>
        <v>7x6 GWS RS</v>
      </c>
      <c r="D37" s="65">
        <f>IF(propInventory[[#This Row],[myid]]="","",[3]DCBase!D31)</f>
        <v>7</v>
      </c>
      <c r="E37" s="65">
        <f>IF(propInventory[[#This Row],[myid]]="","",[3]DCBase!E31)</f>
        <v>6</v>
      </c>
      <c r="F37" s="66">
        <f>IF(propInventory[[#This Row],[myid]]="","",[3]DCBase!F31)</f>
        <v>5.2135350000000003</v>
      </c>
      <c r="G37" s="66">
        <f>IF(propInventory[[#This Row],[myid]]="","",[3]DCBase!G31)</f>
        <v>2.023968</v>
      </c>
      <c r="H37" s="66">
        <f>IF(propInventory[[#This Row],[myid]]="","",352.98/([3]DCBase!I31+273.15)*(1-0.0000225577*[3]DCBase!H31)^5.25578)</f>
        <v>1.1758151638376082</v>
      </c>
      <c r="I37" s="56">
        <f>IF(propInventory[[#This Row],[myid]]="","",[3]DCBase!K31)</f>
        <v>0.11263919999999999</v>
      </c>
      <c r="J37" s="67">
        <f>IF(propInventory[[#This Row],[myid]]="","",[3]DCBase!L31)</f>
        <v>3</v>
      </c>
      <c r="K37" s="66">
        <f>IF(propInventory[[#This Row],[myid]]="","",352.98/([3]DCBase!N31+273.15)*(1-0.0000225577*[3]DCBase!M31)^5.25578)</f>
        <v>1.2249869859448206</v>
      </c>
      <c r="L37" s="70"/>
      <c r="M37" s="71"/>
      <c r="O37" s="68"/>
      <c r="P37" s="69"/>
      <c r="Q37" s="69"/>
      <c r="R37" s="69"/>
    </row>
    <row r="38" spans="1:18" ht="15" customHeight="1">
      <c r="A38" s="84">
        <f>VLOOKUP(propInventory[[#This Row],[Prop Name]],[2]!propInventory3[[Prop Name]:[Instock?]],10,FALSE)</f>
        <v>0</v>
      </c>
      <c r="B38" s="84">
        <f>IF([3]DCBase!$A32="","",[3]DCBase!$A32)</f>
        <v>32</v>
      </c>
      <c r="C38" s="80" t="str">
        <f>IF(propInventory[[#This Row],[myid]]="","",IF([3]DCBase!R32=0,[3]DCBase!D32&amp;"x"&amp;[3]DCBase!E32&amp;" "&amp;[3]DCBase!C32,[3]DCBase!D32&amp;"x"&amp;[3]DCBase!E32&amp;" "&amp;[3]DCBase!C32&amp;" "&amp;[3]DCBase!S32&amp;"mm"))</f>
        <v>7x7 Aeronaut E-Prop</v>
      </c>
      <c r="D38" s="65">
        <f>IF(propInventory[[#This Row],[myid]]="","",[3]DCBase!D32)</f>
        <v>7</v>
      </c>
      <c r="E38" s="65">
        <f>IF(propInventory[[#This Row],[myid]]="","",[3]DCBase!E32)</f>
        <v>7</v>
      </c>
      <c r="F38" s="66">
        <f>IF(propInventory[[#This Row],[myid]]="","",[3]DCBase!F32)</f>
        <v>3.0449329999999999</v>
      </c>
      <c r="G38" s="66">
        <f>IF(propInventory[[#This Row],[myid]]="","",[3]DCBase!G32)</f>
        <v>2.1000960000000002</v>
      </c>
      <c r="H38" s="66">
        <f>IF(propInventory[[#This Row],[myid]]="","",352.98/([3]DCBase!I32+273.15)*(1-0.0000225577*[3]DCBase!H32)^5.25578)</f>
        <v>1.1758151638376082</v>
      </c>
      <c r="I38" s="56">
        <f>IF(propInventory[[#This Row],[myid]]="","",[3]DCBase!K32)</f>
        <v>8.5161399999999998E-2</v>
      </c>
      <c r="J38" s="67">
        <f>IF(propInventory[[#This Row],[myid]]="","",[3]DCBase!L32)</f>
        <v>3</v>
      </c>
      <c r="K38" s="66">
        <f>IF(propInventory[[#This Row],[myid]]="","",352.98/([3]DCBase!N32+273.15)*(1-0.0000225577*[3]DCBase!M32)^5.25578)</f>
        <v>1.2249869859448206</v>
      </c>
      <c r="L38" s="70"/>
      <c r="M38" s="71"/>
      <c r="O38" s="68"/>
      <c r="P38" s="69"/>
      <c r="Q38" s="69"/>
      <c r="R38" s="69"/>
    </row>
    <row r="39" spans="1:18" ht="15" customHeight="1">
      <c r="A39" s="84">
        <f>VLOOKUP(propInventory[[#This Row],[Prop Name]],[2]!propInventory3[[Prop Name]:[Instock?]],10,FALSE)</f>
        <v>3</v>
      </c>
      <c r="B39" s="84">
        <f>IF([3]DCBase!$A33="","",[3]DCBase!$A33)</f>
        <v>33</v>
      </c>
      <c r="C39" s="80" t="str">
        <f>IF(propInventory[[#This Row],[myid]]="","",IF([3]DCBase!R33=0,[3]DCBase!D33&amp;"x"&amp;[3]DCBase!E33&amp;" "&amp;[3]DCBase!C33,[3]DCBase!D33&amp;"x"&amp;[3]DCBase!E33&amp;" "&amp;[3]DCBase!C33&amp;" "&amp;[3]DCBase!S33&amp;"mm"))</f>
        <v>8x3.8 APC SF</v>
      </c>
      <c r="D39" s="65">
        <f>IF(propInventory[[#This Row],[myid]]="","",[3]DCBase!D33)</f>
        <v>8</v>
      </c>
      <c r="E39" s="65">
        <f>IF(propInventory[[#This Row],[myid]]="","",[3]DCBase!E33)</f>
        <v>3.8</v>
      </c>
      <c r="F39" s="66">
        <f>IF(propInventory[[#This Row],[myid]]="","",[3]DCBase!F33)</f>
        <v>4.7328809999999999</v>
      </c>
      <c r="G39" s="66">
        <f>IF(propInventory[[#This Row],[myid]]="","",[3]DCBase!G33)</f>
        <v>2.1796989999999998</v>
      </c>
      <c r="H39" s="66">
        <f>IF(propInventory[[#This Row],[myid]]="","",352.98/([3]DCBase!I33+273.15)*(1-0.0000225577*[3]DCBase!H33)^5.25578)</f>
        <v>1.1758151638376082</v>
      </c>
      <c r="I39" s="56">
        <f>IF(propInventory[[#This Row],[myid]]="","",[3]DCBase!K33)</f>
        <v>9.3156000000000003E-2</v>
      </c>
      <c r="J39" s="67">
        <f>IF(propInventory[[#This Row],[myid]]="","",[3]DCBase!L33)</f>
        <v>3</v>
      </c>
      <c r="K39" s="66">
        <f>IF(propInventory[[#This Row],[myid]]="","",352.98/([3]DCBase!N33+273.15)*(1-0.0000225577*[3]DCBase!M33)^5.25578)</f>
        <v>1.220968625325449</v>
      </c>
      <c r="L39" s="70"/>
      <c r="M39" s="71"/>
      <c r="O39" s="68"/>
      <c r="P39" s="69"/>
      <c r="Q39" s="69"/>
      <c r="R39" s="69"/>
    </row>
    <row r="40" spans="1:18" ht="15" customHeight="1">
      <c r="A40" s="84">
        <f>VLOOKUP(propInventory[[#This Row],[Prop Name]],[2]!propInventory3[[Prop Name]:[Instock?]],10,FALSE)</f>
        <v>4</v>
      </c>
      <c r="B40" s="84">
        <f>IF([3]DCBase!$A34="","",[3]DCBase!$A34)</f>
        <v>34</v>
      </c>
      <c r="C40" s="80" t="str">
        <f>IF(propInventory[[#This Row],[myid]]="","",IF([3]DCBase!R34=0,[3]DCBase!D34&amp;"x"&amp;[3]DCBase!E34&amp;" "&amp;[3]DCBase!C34,[3]DCBase!D34&amp;"x"&amp;[3]DCBase!E34&amp;" "&amp;[3]DCBase!C34&amp;" "&amp;[3]DCBase!S34&amp;"mm"))</f>
        <v>8x4 APC E</v>
      </c>
      <c r="D40" s="65">
        <f>IF(propInventory[[#This Row],[myid]]="","",[3]DCBase!D34)</f>
        <v>8</v>
      </c>
      <c r="E40" s="65">
        <f>IF(propInventory[[#This Row],[myid]]="","",[3]DCBase!E34)</f>
        <v>4</v>
      </c>
      <c r="F40" s="66">
        <f>IF(propInventory[[#This Row],[myid]]="","",[3]DCBase!F34)</f>
        <v>6.1306120000000002</v>
      </c>
      <c r="G40" s="66">
        <f>IF(propInventory[[#This Row],[myid]]="","",[3]DCBase!G34)</f>
        <v>2.0154839999999998</v>
      </c>
      <c r="H40" s="66">
        <f>IF(propInventory[[#This Row],[myid]]="","",352.98/([3]DCBase!I34+273.15)*(1-0.0000225577*[3]DCBase!H34)^5.25578)</f>
        <v>1.1758151638376082</v>
      </c>
      <c r="I40" s="56">
        <f>IF(propInventory[[#This Row],[myid]]="","",[3]DCBase!K34)</f>
        <v>6.28079E-2</v>
      </c>
      <c r="J40" s="67">
        <f>IF(propInventory[[#This Row],[myid]]="","",[3]DCBase!L34)</f>
        <v>3.1306970000000001</v>
      </c>
      <c r="K40" s="66">
        <f>IF(propInventory[[#This Row],[myid]]="","",352.98/([3]DCBase!N34+273.15)*(1-0.0000225577*[3]DCBase!M34)^5.25578)</f>
        <v>1.1952155100729527</v>
      </c>
      <c r="L40" s="70"/>
      <c r="M40" s="71"/>
      <c r="O40" s="68"/>
      <c r="P40" s="69"/>
      <c r="Q40" s="69"/>
      <c r="R40" s="69"/>
    </row>
    <row r="41" spans="1:18" ht="15" customHeight="1">
      <c r="A41" s="84">
        <f>VLOOKUP(propInventory[[#This Row],[Prop Name]],[2]!propInventory3[[Prop Name]:[Instock?]],10,FALSE)</f>
        <v>13</v>
      </c>
      <c r="B41" s="84">
        <f>IF([3]DCBase!$A35="","",[3]DCBase!$A35)</f>
        <v>35</v>
      </c>
      <c r="C41" s="80" t="str">
        <f>IF(propInventory[[#This Row],[myid]]="","",IF([3]DCBase!R35=0,[3]DCBase!D35&amp;"x"&amp;[3]DCBase!E35&amp;" "&amp;[3]DCBase!C35,[3]DCBase!D35&amp;"x"&amp;[3]DCBase!E35&amp;" "&amp;[3]DCBase!C35&amp;" "&amp;[3]DCBase!S35&amp;"mm"))</f>
        <v>8x4 GWS HD</v>
      </c>
      <c r="D41" s="65">
        <f>IF(propInventory[[#This Row],[myid]]="","",[3]DCBase!D35)</f>
        <v>8</v>
      </c>
      <c r="E41" s="65">
        <f>IF(propInventory[[#This Row],[myid]]="","",[3]DCBase!E35)</f>
        <v>4</v>
      </c>
      <c r="F41" s="66">
        <f>IF(propInventory[[#This Row],[myid]]="","",[3]DCBase!F35)</f>
        <v>4.1671060000000004</v>
      </c>
      <c r="G41" s="66">
        <f>IF(propInventory[[#This Row],[myid]]="","",[3]DCBase!G35)</f>
        <v>2.1084459999999998</v>
      </c>
      <c r="H41" s="66">
        <f>IF(propInventory[[#This Row],[myid]]="","",352.98/([3]DCBase!I35+273.15)*(1-0.0000225577*[3]DCBase!H35)^5.25578)</f>
        <v>1.1758151638376082</v>
      </c>
      <c r="I41" s="56">
        <f>IF(propInventory[[#This Row],[myid]]="","",[3]DCBase!K35)</f>
        <v>6.2054699999999997E-2</v>
      </c>
      <c r="J41" s="67">
        <f>IF(propInventory[[#This Row],[myid]]="","",[3]DCBase!L35)</f>
        <v>3.023997</v>
      </c>
      <c r="K41" s="66">
        <f>IF(propInventory[[#This Row],[myid]]="","",352.98/([3]DCBase!N35+273.15)*(1-0.0000225577*[3]DCBase!M35)^5.25578)</f>
        <v>1.220968625325449</v>
      </c>
      <c r="L41" s="70"/>
      <c r="M41" s="71"/>
      <c r="O41" s="68"/>
      <c r="P41" s="69"/>
      <c r="Q41" s="69"/>
      <c r="R41" s="69"/>
    </row>
    <row r="42" spans="1:18" ht="15" customHeight="1">
      <c r="A42" s="84">
        <f>VLOOKUP(propInventory[[#This Row],[Prop Name]],[2]!propInventory3[[Prop Name]:[Instock?]],10,FALSE)</f>
        <v>1</v>
      </c>
      <c r="B42" s="84">
        <f>IF([3]DCBase!$A36="","",[3]DCBase!$A36)</f>
        <v>36</v>
      </c>
      <c r="C42" s="80" t="str">
        <f>IF(propInventory[[#This Row],[myid]]="","",IF([3]DCBase!R36=0,[3]DCBase!D36&amp;"x"&amp;[3]DCBase!E36&amp;" "&amp;[3]DCBase!C36,[3]DCBase!D36&amp;"x"&amp;[3]DCBase!E36&amp;" "&amp;[3]DCBase!C36&amp;" "&amp;[3]DCBase!S36&amp;"mm"))</f>
        <v>8x4.3 GWS RS</v>
      </c>
      <c r="D42" s="65">
        <f>IF(propInventory[[#This Row],[myid]]="","",[3]DCBase!D36)</f>
        <v>8</v>
      </c>
      <c r="E42" s="65">
        <f>IF(propInventory[[#This Row],[myid]]="","",[3]DCBase!E36)</f>
        <v>4.3</v>
      </c>
      <c r="F42" s="66">
        <f>IF(propInventory[[#This Row],[myid]]="","",[3]DCBase!F36)</f>
        <v>7.193778</v>
      </c>
      <c r="G42" s="66">
        <f>IF(propInventory[[#This Row],[myid]]="","",[3]DCBase!G36)</f>
        <v>1.9687950000000001</v>
      </c>
      <c r="H42" s="66">
        <f>IF(propInventory[[#This Row],[myid]]="","",352.98/([3]DCBase!I36+273.15)*(1-0.0000225577*[3]DCBase!H36)^5.25578)</f>
        <v>1.1758151638376082</v>
      </c>
      <c r="I42" s="56">
        <f>IF(propInventory[[#This Row],[myid]]="","",[3]DCBase!K36)</f>
        <v>9.7740800000000003E-2</v>
      </c>
      <c r="J42" s="67">
        <f>IF(propInventory[[#This Row],[myid]]="","",[3]DCBase!L36)</f>
        <v>2.943031</v>
      </c>
      <c r="K42" s="66">
        <f>IF(propInventory[[#This Row],[myid]]="","",352.98/([3]DCBase!N36+273.15)*(1-0.0000225577*[3]DCBase!M36)^5.25578)</f>
        <v>1.2559596659939196</v>
      </c>
      <c r="L42" s="70"/>
      <c r="M42" s="71"/>
      <c r="O42" s="68"/>
      <c r="P42" s="69"/>
      <c r="Q42" s="69"/>
      <c r="R42" s="69"/>
    </row>
    <row r="43" spans="1:18" ht="15" customHeight="1">
      <c r="A43" s="84">
        <f>VLOOKUP(propInventory[[#This Row],[Prop Name]],[2]!propInventory3[[Prop Name]:[Instock?]],10,FALSE)</f>
        <v>0</v>
      </c>
      <c r="B43" s="84">
        <f>IF([3]DCBase!$A37="","",[3]DCBase!$A37)</f>
        <v>37</v>
      </c>
      <c r="C43" s="80" t="str">
        <f>IF(propInventory[[#This Row],[myid]]="","",IF([3]DCBase!R37=0,[3]DCBase!D37&amp;"x"&amp;[3]DCBase!E37&amp;" "&amp;[3]DCBase!C37,[3]DCBase!D37&amp;"x"&amp;[3]DCBase!E37&amp;" "&amp;[3]DCBase!C37&amp;" "&amp;[3]DCBase!S37&amp;"mm"))</f>
        <v>8x5 AeroCAM 42mm</v>
      </c>
      <c r="D43" s="65">
        <f>IF(propInventory[[#This Row],[myid]]="","",[3]DCBase!D37)</f>
        <v>8</v>
      </c>
      <c r="E43" s="65">
        <f>IF(propInventory[[#This Row],[myid]]="","",[3]DCBase!E37)</f>
        <v>5</v>
      </c>
      <c r="F43" s="66">
        <f>IF(propInventory[[#This Row],[myid]]="","",[3]DCBase!F37)</f>
        <v>6.1458000000000004</v>
      </c>
      <c r="G43" s="66">
        <f>IF(propInventory[[#This Row],[myid]]="","",[3]DCBase!G37)</f>
        <v>2</v>
      </c>
      <c r="H43" s="66">
        <f>IF(propInventory[[#This Row],[myid]]="","",352.98/([3]DCBase!I37+273.15)*(1-0.0000225577*[3]DCBase!H37)^5.25578)</f>
        <v>1.2249869859448206</v>
      </c>
      <c r="I43" s="56">
        <f>IF(propInventory[[#This Row],[myid]]="","",[3]DCBase!K37)</f>
        <v>7.9417500000000002E-2</v>
      </c>
      <c r="J43" s="67">
        <f>IF(propInventory[[#This Row],[myid]]="","",[3]DCBase!L37)</f>
        <v>3.08</v>
      </c>
      <c r="K43" s="66">
        <f>IF(propInventory[[#This Row],[myid]]="","",352.98/([3]DCBase!N37+273.15)*(1-0.0000225577*[3]DCBase!M37)^5.25578)</f>
        <v>1.2249869859448206</v>
      </c>
      <c r="L43" s="70"/>
      <c r="M43" s="71"/>
      <c r="O43" s="68"/>
      <c r="P43" s="69"/>
      <c r="Q43" s="69"/>
      <c r="R43" s="69"/>
    </row>
    <row r="44" spans="1:18" ht="15" customHeight="1">
      <c r="A44" s="84">
        <f>VLOOKUP(propInventory[[#This Row],[Prop Name]],[2]!propInventory3[[Prop Name]:[Instock?]],10,FALSE)</f>
        <v>0</v>
      </c>
      <c r="B44" s="84">
        <f>IF([3]DCBase!$A38="","",[3]DCBase!$A38)</f>
        <v>38</v>
      </c>
      <c r="C44" s="80" t="str">
        <f>IF(propInventory[[#This Row],[myid]]="","",IF([3]DCBase!R38=0,[3]DCBase!D38&amp;"x"&amp;[3]DCBase!E38&amp;" "&amp;[3]DCBase!C38,[3]DCBase!D38&amp;"x"&amp;[3]DCBase!E38&amp;" "&amp;[3]DCBase!C38&amp;" "&amp;[3]DCBase!S38&amp;"mm"))</f>
        <v>8x5 AeroCarbon 42mm</v>
      </c>
      <c r="D44" s="65">
        <f>IF(propInventory[[#This Row],[myid]]="","",[3]DCBase!D38)</f>
        <v>8</v>
      </c>
      <c r="E44" s="65">
        <f>IF(propInventory[[#This Row],[myid]]="","",[3]DCBase!E38)</f>
        <v>5</v>
      </c>
      <c r="F44" s="66">
        <f>IF(propInventory[[#This Row],[myid]]="","",[3]DCBase!F38)</f>
        <v>4.9800000000000004</v>
      </c>
      <c r="G44" s="66">
        <f>IF(propInventory[[#This Row],[myid]]="","",[3]DCBase!G38)</f>
        <v>2</v>
      </c>
      <c r="H44" s="66">
        <f>IF(propInventory[[#This Row],[myid]]="","",352.98/([3]DCBase!I38+273.15)*(1-0.0000225577*[3]DCBase!H38)^5.25578)</f>
        <v>1.1874514592074905</v>
      </c>
      <c r="I44" s="56">
        <f>IF(propInventory[[#This Row],[myid]]="","",[3]DCBase!K38)</f>
        <v>8.3240700000000001E-2</v>
      </c>
      <c r="J44" s="67">
        <f>IF(propInventory[[#This Row],[myid]]="","",[3]DCBase!L38)</f>
        <v>3.08</v>
      </c>
      <c r="K44" s="66">
        <f>IF(propInventory[[#This Row],[myid]]="","",352.98/([3]DCBase!N38+273.15)*(1-0.0000225577*[3]DCBase!M38)^5.25578)</f>
        <v>1.2249869859448206</v>
      </c>
      <c r="L44" s="70"/>
      <c r="M44" s="71"/>
      <c r="O44" s="68"/>
      <c r="P44" s="69"/>
      <c r="Q44" s="69"/>
      <c r="R44" s="69"/>
    </row>
    <row r="45" spans="1:18" ht="15" customHeight="1">
      <c r="A45" s="84">
        <f>VLOOKUP(propInventory[[#This Row],[Prop Name]],[2]!propInventory3[[Prop Name]:[Instock?]],10,FALSE)</f>
        <v>1</v>
      </c>
      <c r="B45" s="84">
        <f>IF([3]DCBase!$A39="","",[3]DCBase!$A39)</f>
        <v>39</v>
      </c>
      <c r="C45" s="80" t="str">
        <f>IF(propInventory[[#This Row],[myid]]="","",IF([3]DCBase!R39=0,[3]DCBase!D39&amp;"x"&amp;[3]DCBase!E39&amp;" "&amp;[3]DCBase!C39,[3]DCBase!D39&amp;"x"&amp;[3]DCBase!E39&amp;" "&amp;[3]DCBase!C39&amp;" "&amp;[3]DCBase!S39&amp;"mm"))</f>
        <v>8x6 APC E</v>
      </c>
      <c r="D45" s="65">
        <f>IF(propInventory[[#This Row],[myid]]="","",[3]DCBase!D39)</f>
        <v>8</v>
      </c>
      <c r="E45" s="65">
        <f>IF(propInventory[[#This Row],[myid]]="","",[3]DCBase!E39)</f>
        <v>6</v>
      </c>
      <c r="F45" s="66">
        <f>IF(propInventory[[#This Row],[myid]]="","",[3]DCBase!F39)</f>
        <v>6.8200620000000001</v>
      </c>
      <c r="G45" s="66">
        <f>IF(propInventory[[#This Row],[myid]]="","",[3]DCBase!G39)</f>
        <v>2.0754030000000001</v>
      </c>
      <c r="H45" s="66">
        <f>IF(propInventory[[#This Row],[myid]]="","",352.98/([3]DCBase!I39+273.15)*(1-0.0000225577*[3]DCBase!H39)^5.25578)</f>
        <v>1.1758151638376082</v>
      </c>
      <c r="I45" s="56">
        <f>IF(propInventory[[#This Row],[myid]]="","",[3]DCBase!K39)</f>
        <v>0.11099290000000001</v>
      </c>
      <c r="J45" s="67">
        <f>IF(propInventory[[#This Row],[myid]]="","",[3]DCBase!L39)</f>
        <v>3.130878</v>
      </c>
      <c r="K45" s="66">
        <f>IF(propInventory[[#This Row],[myid]]="","",352.98/([3]DCBase!N39+273.15)*(1-0.0000225577*[3]DCBase!M39)^5.25578)</f>
        <v>1.1952155100729527</v>
      </c>
      <c r="L45" s="70"/>
      <c r="M45" s="71"/>
      <c r="O45" s="68"/>
      <c r="P45" s="69"/>
      <c r="Q45" s="69"/>
      <c r="R45" s="69"/>
    </row>
    <row r="46" spans="1:18" ht="15" customHeight="1">
      <c r="A46" s="84">
        <f>VLOOKUP(propInventory[[#This Row],[Prop Name]],[2]!propInventory3[[Prop Name]:[Instock?]],10,FALSE)</f>
        <v>0</v>
      </c>
      <c r="B46" s="84">
        <f>IF([3]DCBase!$A40="","",[3]DCBase!$A40)</f>
        <v>40</v>
      </c>
      <c r="C46" s="80" t="str">
        <f>IF(propInventory[[#This Row],[myid]]="","",IF([3]DCBase!R40=0,[3]DCBase!D40&amp;"x"&amp;[3]DCBase!E40&amp;" "&amp;[3]DCBase!C40,[3]DCBase!D40&amp;"x"&amp;[3]DCBase!E40&amp;" "&amp;[3]DCBase!C40&amp;" "&amp;[3]DCBase!S40&amp;"mm"))</f>
        <v>8x6 APC SF</v>
      </c>
      <c r="D46" s="65">
        <f>IF(propInventory[[#This Row],[myid]]="","",[3]DCBase!D40)</f>
        <v>8</v>
      </c>
      <c r="E46" s="65">
        <f>IF(propInventory[[#This Row],[myid]]="","",[3]DCBase!E40)</f>
        <v>6</v>
      </c>
      <c r="F46" s="66">
        <f>IF(propInventory[[#This Row],[myid]]="","",[3]DCBase!F40)</f>
        <v>6.8716619999999997</v>
      </c>
      <c r="G46" s="66">
        <f>IF(propInventory[[#This Row],[myid]]="","",[3]DCBase!G40)</f>
        <v>2.1628150000000002</v>
      </c>
      <c r="H46" s="66">
        <f>IF(propInventory[[#This Row],[myid]]="","",352.98/([3]DCBase!I40+273.15)*(1-0.0000225577*[3]DCBase!H40)^5.25578)</f>
        <v>1.1758151638376082</v>
      </c>
      <c r="I46" s="56">
        <f>IF(propInventory[[#This Row],[myid]]="","",[3]DCBase!K40)</f>
        <v>0.21453040000000001</v>
      </c>
      <c r="J46" s="67">
        <f>IF(propInventory[[#This Row],[myid]]="","",[3]DCBase!L40)</f>
        <v>3</v>
      </c>
      <c r="K46" s="66">
        <f>IF(propInventory[[#This Row],[myid]]="","",352.98/([3]DCBase!N40+273.15)*(1-0.0000225577*[3]DCBase!M40)^5.25578)</f>
        <v>1.220968625325449</v>
      </c>
      <c r="L46" s="70"/>
      <c r="M46" s="71"/>
      <c r="O46" s="68"/>
      <c r="P46" s="69"/>
      <c r="Q46" s="69"/>
      <c r="R46" s="69"/>
    </row>
    <row r="47" spans="1:18" ht="15" customHeight="1">
      <c r="A47" s="84">
        <f>VLOOKUP(propInventory[[#This Row],[Prop Name]],[2]!propInventory3[[Prop Name]:[Instock?]],10,FALSE)</f>
        <v>0</v>
      </c>
      <c r="B47" s="84">
        <f>IF([3]DCBase!$A41="","",[3]DCBase!$A41)</f>
        <v>41</v>
      </c>
      <c r="C47" s="80" t="str">
        <f>IF(propInventory[[#This Row],[myid]]="","",IF([3]DCBase!R41=0,[3]DCBase!D41&amp;"x"&amp;[3]DCBase!E41&amp;" "&amp;[3]DCBase!C41,[3]DCBase!D41&amp;"x"&amp;[3]DCBase!E41&amp;" "&amp;[3]DCBase!C41&amp;" "&amp;[3]DCBase!S41&amp;"mm"))</f>
        <v>8x6 Graupner Slim</v>
      </c>
      <c r="D47" s="65">
        <f>IF(propInventory[[#This Row],[myid]]="","",[3]DCBase!D41)</f>
        <v>8</v>
      </c>
      <c r="E47" s="65">
        <f>IF(propInventory[[#This Row],[myid]]="","",[3]DCBase!E41)</f>
        <v>6</v>
      </c>
      <c r="F47" s="66">
        <f>IF(propInventory[[#This Row],[myid]]="","",[3]DCBase!F41)</f>
        <v>7.4958049999999998</v>
      </c>
      <c r="G47" s="66">
        <f>IF(propInventory[[#This Row],[myid]]="","",[3]DCBase!G41)</f>
        <v>1.9794</v>
      </c>
      <c r="H47" s="66">
        <f>IF(propInventory[[#This Row],[myid]]="","",352.98/([3]DCBase!I41+273.15)*(1-0.0000225577*[3]DCBase!H41)^5.25578)</f>
        <v>1.1952155100729527</v>
      </c>
      <c r="I47" s="56">
        <f>IF(propInventory[[#This Row],[myid]]="","",[3]DCBase!K41)</f>
        <v>0.1693819</v>
      </c>
      <c r="J47" s="67">
        <f>IF(propInventory[[#This Row],[myid]]="","",[3]DCBase!L41)</f>
        <v>2.8418969999999999</v>
      </c>
      <c r="K47" s="66">
        <f>IF(propInventory[[#This Row],[myid]]="","",352.98/([3]DCBase!N41+273.15)*(1-0.0000225577*[3]DCBase!M41)^5.25578)</f>
        <v>1.1952155100729527</v>
      </c>
      <c r="L47" s="70"/>
      <c r="M47" s="71"/>
      <c r="O47" s="68"/>
      <c r="P47" s="69"/>
      <c r="Q47" s="69"/>
      <c r="R47" s="69"/>
    </row>
    <row r="48" spans="1:18" ht="15" customHeight="1">
      <c r="A48" s="84">
        <f>VLOOKUP(propInventory[[#This Row],[Prop Name]],[2]!propInventory3[[Prop Name]:[Instock?]],10,FALSE)</f>
        <v>0</v>
      </c>
      <c r="B48" s="84">
        <f>IF([3]DCBase!$A42="","",[3]DCBase!$A42)</f>
        <v>42</v>
      </c>
      <c r="C48" s="80" t="str">
        <f>IF(propInventory[[#This Row],[myid]]="","",IF([3]DCBase!R42=0,[3]DCBase!D42&amp;"x"&amp;[3]DCBase!E42&amp;" "&amp;[3]DCBase!C42,[3]DCBase!D42&amp;"x"&amp;[3]DCBase!E42&amp;" "&amp;[3]DCBase!C42&amp;" "&amp;[3]DCBase!S42&amp;"mm"))</f>
        <v>8x6 GWS RS</v>
      </c>
      <c r="D48" s="65">
        <f>IF(propInventory[[#This Row],[myid]]="","",[3]DCBase!D42)</f>
        <v>8</v>
      </c>
      <c r="E48" s="65">
        <f>IF(propInventory[[#This Row],[myid]]="","",[3]DCBase!E42)</f>
        <v>6</v>
      </c>
      <c r="F48" s="66">
        <f>IF(propInventory[[#This Row],[myid]]="","",[3]DCBase!F42)</f>
        <v>5.9109610000000004</v>
      </c>
      <c r="G48" s="66">
        <f>IF(propInventory[[#This Row],[myid]]="","",[3]DCBase!G42)</f>
        <v>2.1364369999999999</v>
      </c>
      <c r="H48" s="66">
        <f>IF(propInventory[[#This Row],[myid]]="","",352.98/([3]DCBase!I42+273.15)*(1-0.0000225577*[3]DCBase!H42)^5.25578)</f>
        <v>1.220968625325449</v>
      </c>
      <c r="I48" s="56">
        <f>IF(propInventory[[#This Row],[myid]]="","",[3]DCBase!K42)</f>
        <v>0.1526373</v>
      </c>
      <c r="J48" s="67">
        <f>IF(propInventory[[#This Row],[myid]]="","",[3]DCBase!L42)</f>
        <v>3.02891691</v>
      </c>
      <c r="K48" s="66">
        <f>IF(propInventory[[#This Row],[myid]]="","",352.98/([3]DCBase!N42+273.15)*(1-0.0000225577*[3]DCBase!M42)^5.25578)</f>
        <v>1.220968625325449</v>
      </c>
      <c r="L48" s="70"/>
      <c r="M48" s="71"/>
      <c r="O48" s="68"/>
      <c r="P48" s="69"/>
      <c r="Q48" s="69"/>
      <c r="R48" s="69"/>
    </row>
    <row r="49" spans="1:18" ht="15" customHeight="1">
      <c r="A49" s="84">
        <f>VLOOKUP(propInventory[[#This Row],[Prop Name]],[2]!propInventory3[[Prop Name]:[Instock?]],10,FALSE)</f>
        <v>0</v>
      </c>
      <c r="B49" s="84">
        <f>IF([3]DCBase!$A43="","",[3]DCBase!$A43)</f>
        <v>43</v>
      </c>
      <c r="C49" s="80" t="str">
        <f>IF(propInventory[[#This Row],[myid]]="","",IF([3]DCBase!R43=0,[3]DCBase!D43&amp;"x"&amp;[3]DCBase!E43&amp;" "&amp;[3]DCBase!C43,[3]DCBase!D43&amp;"x"&amp;[3]DCBase!E43&amp;" "&amp;[3]DCBase!C43&amp;" "&amp;[3]DCBase!S43&amp;"mm"))</f>
        <v>8x8 APC E</v>
      </c>
      <c r="D49" s="65">
        <f>IF(propInventory[[#This Row],[myid]]="","",[3]DCBase!D43)</f>
        <v>8</v>
      </c>
      <c r="E49" s="65">
        <f>IF(propInventory[[#This Row],[myid]]="","",[3]DCBase!E43)</f>
        <v>8</v>
      </c>
      <c r="F49" s="66">
        <f>IF(propInventory[[#This Row],[myid]]="","",[3]DCBase!F43)</f>
        <v>7.0172249999999998</v>
      </c>
      <c r="G49" s="66">
        <f>IF(propInventory[[#This Row],[myid]]="","",[3]DCBase!G43)</f>
        <v>2.0820280000000002</v>
      </c>
      <c r="H49" s="66">
        <f>IF(propInventory[[#This Row],[myid]]="","",352.98/([3]DCBase!I43+273.15)*(1-0.0000225577*[3]DCBase!H43)^5.25578)</f>
        <v>1.1758151638376082</v>
      </c>
      <c r="I49" s="56">
        <f>IF(propInventory[[#This Row],[myid]]="","",[3]DCBase!K43)</f>
        <v>8.6810200000000004E-2</v>
      </c>
      <c r="J49" s="67">
        <f>IF(propInventory[[#This Row],[myid]]="","",[3]DCBase!L43)</f>
        <v>3.4014250000000001</v>
      </c>
      <c r="K49" s="66">
        <f>IF(propInventory[[#This Row],[myid]]="","",352.98/([3]DCBase!N43+273.15)*(1-0.0000225577*[3]DCBase!M43)^5.25578)</f>
        <v>1.1952155100729527</v>
      </c>
      <c r="L49" s="70"/>
      <c r="M49" s="71"/>
      <c r="O49" s="68"/>
      <c r="P49" s="69"/>
      <c r="Q49" s="69"/>
      <c r="R49" s="69"/>
    </row>
    <row r="50" spans="1:18" ht="15" customHeight="1">
      <c r="A50" s="84">
        <f>VLOOKUP(propInventory[[#This Row],[Prop Name]],[2]!propInventory3[[Prop Name]:[Instock?]],10,FALSE)</f>
        <v>0</v>
      </c>
      <c r="B50" s="84">
        <f>IF([3]DCBase!$A44="","",[3]DCBase!$A44)</f>
        <v>44</v>
      </c>
      <c r="C50" s="80" t="str">
        <f>IF(propInventory[[#This Row],[myid]]="","",IF([3]DCBase!R44=0,[3]DCBase!D44&amp;"x"&amp;[3]DCBase!E44&amp;" "&amp;[3]DCBase!C44,[3]DCBase!D44&amp;"x"&amp;[3]DCBase!E44&amp;" "&amp;[3]DCBase!C44&amp;" "&amp;[3]DCBase!S44&amp;"mm"))</f>
        <v>8.5x5 Aeronaut E-Prop</v>
      </c>
      <c r="D50" s="65">
        <f>IF(propInventory[[#This Row],[myid]]="","",[3]DCBase!D44)</f>
        <v>8.5</v>
      </c>
      <c r="E50" s="65">
        <f>IF(propInventory[[#This Row],[myid]]="","",[3]DCBase!E44)</f>
        <v>5</v>
      </c>
      <c r="F50" s="66">
        <f>IF(propInventory[[#This Row],[myid]]="","",[3]DCBase!F44)</f>
        <v>0</v>
      </c>
      <c r="G50" s="66">
        <f>IF(propInventory[[#This Row],[myid]]="","",[3]DCBase!G44)</f>
        <v>0</v>
      </c>
      <c r="H50" s="66">
        <f>IF(propInventory[[#This Row],[myid]]="","",352.98/([3]DCBase!I44+273.15)*(1-0.0000225577*[3]DCBase!H44)^5.25578)</f>
        <v>1.2249869859448206</v>
      </c>
      <c r="I50" s="56">
        <f>IF(propInventory[[#This Row],[myid]]="","",[3]DCBase!K44)</f>
        <v>8.5403999999999994E-2</v>
      </c>
      <c r="J50" s="67">
        <f>IF(propInventory[[#This Row],[myid]]="","",[3]DCBase!L44)</f>
        <v>3</v>
      </c>
      <c r="K50" s="66">
        <f>IF(propInventory[[#This Row],[myid]]="","",352.98/([3]DCBase!N44+273.15)*(1-0.0000225577*[3]DCBase!M44)^5.25578)</f>
        <v>1.2249869859448206</v>
      </c>
      <c r="L50" s="70"/>
      <c r="M50" s="71"/>
      <c r="O50" s="68"/>
      <c r="P50" s="69"/>
      <c r="Q50" s="69"/>
      <c r="R50" s="69"/>
    </row>
    <row r="51" spans="1:18" ht="15" customHeight="1">
      <c r="A51" s="84">
        <f>VLOOKUP(propInventory[[#This Row],[Prop Name]],[2]!propInventory3[[Prop Name]:[Instock?]],10,FALSE)</f>
        <v>0</v>
      </c>
      <c r="B51" s="84">
        <f>IF([3]DCBase!$A45="","",[3]DCBase!$A45)</f>
        <v>45</v>
      </c>
      <c r="C51" s="80" t="str">
        <f>IF(propInventory[[#This Row],[myid]]="","",IF([3]DCBase!R45=0,[3]DCBase!D45&amp;"x"&amp;[3]DCBase!E45&amp;" "&amp;[3]DCBase!C45,[3]DCBase!D45&amp;"x"&amp;[3]DCBase!E45&amp;" "&amp;[3]DCBase!C45&amp;" "&amp;[3]DCBase!S45&amp;"mm"))</f>
        <v>8.5x6 Aeronaut E-Prop</v>
      </c>
      <c r="D51" s="65">
        <f>IF(propInventory[[#This Row],[myid]]="","",[3]DCBase!D45)</f>
        <v>8.5</v>
      </c>
      <c r="E51" s="65">
        <f>IF(propInventory[[#This Row],[myid]]="","",[3]DCBase!E45)</f>
        <v>6</v>
      </c>
      <c r="F51" s="66">
        <f>IF(propInventory[[#This Row],[myid]]="","",[3]DCBase!F45)</f>
        <v>0</v>
      </c>
      <c r="G51" s="66">
        <f>IF(propInventory[[#This Row],[myid]]="","",[3]DCBase!G45)</f>
        <v>0</v>
      </c>
      <c r="H51" s="66">
        <f>IF(propInventory[[#This Row],[myid]]="","",352.98/([3]DCBase!I45+273.15)*(1-0.0000225577*[3]DCBase!H45)^5.25578)</f>
        <v>1.2249869859448206</v>
      </c>
      <c r="I51" s="56">
        <f>IF(propInventory[[#This Row],[myid]]="","",[3]DCBase!K45)</f>
        <v>0.120397</v>
      </c>
      <c r="J51" s="67">
        <f>IF(propInventory[[#This Row],[myid]]="","",[3]DCBase!L45)</f>
        <v>3</v>
      </c>
      <c r="K51" s="66">
        <f>IF(propInventory[[#This Row],[myid]]="","",352.98/([3]DCBase!N45+273.15)*(1-0.0000225577*[3]DCBase!M45)^5.25578)</f>
        <v>1.2249869859448206</v>
      </c>
      <c r="L51" s="70"/>
      <c r="M51" s="71"/>
      <c r="O51" s="68"/>
      <c r="P51" s="69"/>
      <c r="Q51" s="69"/>
      <c r="R51" s="69"/>
    </row>
    <row r="52" spans="1:18" ht="15" customHeight="1">
      <c r="A52" s="84">
        <f>VLOOKUP(propInventory[[#This Row],[Prop Name]],[2]!propInventory3[[Prop Name]:[Instock?]],10,FALSE)</f>
        <v>0</v>
      </c>
      <c r="B52" s="84">
        <f>IF([3]DCBase!$A46="","",[3]DCBase!$A46)</f>
        <v>46</v>
      </c>
      <c r="C52" s="80" t="str">
        <f>IF(propInventory[[#This Row],[myid]]="","",IF([3]DCBase!R46=0,[3]DCBase!D46&amp;"x"&amp;[3]DCBase!E46&amp;" "&amp;[3]DCBase!C46,[3]DCBase!D46&amp;"x"&amp;[3]DCBase!E46&amp;" "&amp;[3]DCBase!C46&amp;" "&amp;[3]DCBase!S46&amp;"mm"))</f>
        <v>8.5x7 Aeronaut E-Prop</v>
      </c>
      <c r="D52" s="65">
        <f>IF(propInventory[[#This Row],[myid]]="","",[3]DCBase!D46)</f>
        <v>8.5</v>
      </c>
      <c r="E52" s="65">
        <f>IF(propInventory[[#This Row],[myid]]="","",[3]DCBase!E46)</f>
        <v>7</v>
      </c>
      <c r="F52" s="66">
        <f>IF(propInventory[[#This Row],[myid]]="","",[3]DCBase!F46)</f>
        <v>0</v>
      </c>
      <c r="G52" s="66">
        <f>IF(propInventory[[#This Row],[myid]]="","",[3]DCBase!G46)</f>
        <v>0</v>
      </c>
      <c r="H52" s="66">
        <f>IF(propInventory[[#This Row],[myid]]="","",352.98/([3]DCBase!I46+273.15)*(1-0.0000225577*[3]DCBase!H46)^5.25578)</f>
        <v>1.2249869859448206</v>
      </c>
      <c r="I52" s="56">
        <f>IF(propInventory[[#This Row],[myid]]="","",[3]DCBase!K46)</f>
        <v>0.165741</v>
      </c>
      <c r="J52" s="67">
        <f>IF(propInventory[[#This Row],[myid]]="","",[3]DCBase!L46)</f>
        <v>3</v>
      </c>
      <c r="K52" s="66">
        <f>IF(propInventory[[#This Row],[myid]]="","",352.98/([3]DCBase!N46+273.15)*(1-0.0000225577*[3]DCBase!M46)^5.25578)</f>
        <v>1.2249869859448206</v>
      </c>
      <c r="L52" s="70"/>
      <c r="M52" s="71"/>
      <c r="O52" s="68"/>
      <c r="P52" s="69"/>
      <c r="Q52" s="69"/>
      <c r="R52" s="69"/>
    </row>
    <row r="53" spans="1:18" ht="15" customHeight="1">
      <c r="A53" s="84">
        <f>VLOOKUP(propInventory[[#This Row],[Prop Name]],[2]!propInventory3[[Prop Name]:[Instock?]],10,FALSE)</f>
        <v>1</v>
      </c>
      <c r="B53" s="84">
        <f>IF([3]DCBase!$A47="","",[3]DCBase!$A47)</f>
        <v>47</v>
      </c>
      <c r="C53" s="80" t="str">
        <f>IF(propInventory[[#This Row],[myid]]="","",IF([3]DCBase!R47=0,[3]DCBase!D47&amp;"x"&amp;[3]DCBase!E47&amp;" "&amp;[3]DCBase!C47,[3]DCBase!D47&amp;"x"&amp;[3]DCBase!E47&amp;" "&amp;[3]DCBase!C47&amp;" "&amp;[3]DCBase!S47&amp;"mm"))</f>
        <v>9x3.8 APC SF</v>
      </c>
      <c r="D53" s="65">
        <f>IF(propInventory[[#This Row],[myid]]="","",[3]DCBase!D47)</f>
        <v>9</v>
      </c>
      <c r="E53" s="65">
        <f>IF(propInventory[[#This Row],[myid]]="","",[3]DCBase!E47)</f>
        <v>3.8</v>
      </c>
      <c r="F53" s="66">
        <f>IF(propInventory[[#This Row],[myid]]="","",[3]DCBase!F47)</f>
        <v>6.4940220000000002</v>
      </c>
      <c r="G53" s="66">
        <f>IF(propInventory[[#This Row],[myid]]="","",[3]DCBase!G47)</f>
        <v>2.226359</v>
      </c>
      <c r="H53" s="66">
        <f>IF(propInventory[[#This Row],[myid]]="","",352.98/([3]DCBase!I47+273.15)*(1-0.0000225577*[3]DCBase!H47)^5.25578)</f>
        <v>1.1758151638376082</v>
      </c>
      <c r="I53" s="56">
        <f>IF(propInventory[[#This Row],[myid]]="","",[3]DCBase!K47)</f>
        <v>0.14073959999999999</v>
      </c>
      <c r="J53" s="67">
        <f>IF(propInventory[[#This Row],[myid]]="","",[3]DCBase!L47)</f>
        <v>3</v>
      </c>
      <c r="K53" s="66">
        <f>IF(propInventory[[#This Row],[myid]]="","",352.98/([3]DCBase!N47+273.15)*(1-0.0000225577*[3]DCBase!M47)^5.25578)</f>
        <v>1.220968625325449</v>
      </c>
      <c r="L53" s="70"/>
      <c r="M53" s="71"/>
      <c r="O53" s="68"/>
      <c r="P53" s="69"/>
      <c r="Q53" s="69"/>
      <c r="R53" s="69"/>
    </row>
    <row r="54" spans="1:18" ht="15" customHeight="1">
      <c r="A54" s="84">
        <f>VLOOKUP(propInventory[[#This Row],[Prop Name]],[2]!propInventory3[[Prop Name]:[Instock?]],10,FALSE)</f>
        <v>1</v>
      </c>
      <c r="B54" s="84">
        <f>IF([3]DCBase!$A48="","",[3]DCBase!$A48)</f>
        <v>48</v>
      </c>
      <c r="C54" s="80" t="str">
        <f>IF(propInventory[[#This Row],[myid]]="","",IF([3]DCBase!R48=0,[3]DCBase!D48&amp;"x"&amp;[3]DCBase!E48&amp;" "&amp;[3]DCBase!C48,[3]DCBase!D48&amp;"x"&amp;[3]DCBase!E48&amp;" "&amp;[3]DCBase!C48&amp;" "&amp;[3]DCBase!S48&amp;"mm"))</f>
        <v>9x4.5 APC E</v>
      </c>
      <c r="D54" s="65">
        <f>IF(propInventory[[#This Row],[myid]]="","",[3]DCBase!D48)</f>
        <v>9</v>
      </c>
      <c r="E54" s="65">
        <f>IF(propInventory[[#This Row],[myid]]="","",[3]DCBase!E48)</f>
        <v>4.5</v>
      </c>
      <c r="F54" s="66">
        <f>IF(propInventory[[#This Row],[myid]]="","",[3]DCBase!F48)</f>
        <v>5.8125330000000002</v>
      </c>
      <c r="G54" s="66">
        <f>IF(propInventory[[#This Row],[myid]]="","",[3]DCBase!G48)</f>
        <v>2.2108690000000002</v>
      </c>
      <c r="H54" s="66">
        <f>IF(propInventory[[#This Row],[myid]]="","",352.98/([3]DCBase!I48+273.15)*(1-0.0000225577*[3]DCBase!H48)^5.25578)</f>
        <v>1.1758151638376082</v>
      </c>
      <c r="I54" s="56">
        <f>IF(propInventory[[#This Row],[myid]]="","",[3]DCBase!K48)</f>
        <v>9.5807500000000004E-2</v>
      </c>
      <c r="J54" s="67">
        <f>IF(propInventory[[#This Row],[myid]]="","",[3]DCBase!L48)</f>
        <v>3.1678289999999998</v>
      </c>
      <c r="K54" s="66">
        <f>IF(propInventory[[#This Row],[myid]]="","",352.98/([3]DCBase!N48+273.15)*(1-0.0000225577*[3]DCBase!M48)^5.25578)</f>
        <v>1.1952155100729527</v>
      </c>
      <c r="L54" s="70"/>
      <c r="M54" s="71"/>
      <c r="O54" s="68"/>
      <c r="P54" s="69"/>
      <c r="Q54" s="69"/>
      <c r="R54" s="69"/>
    </row>
    <row r="55" spans="1:18" ht="15" customHeight="1">
      <c r="A55" s="84">
        <f>VLOOKUP(propInventory[[#This Row],[Prop Name]],[2]!propInventory3[[Prop Name]:[Instock?]],10,FALSE)</f>
        <v>0</v>
      </c>
      <c r="B55" s="84">
        <f>IF([3]DCBase!$A49="","",[3]DCBase!$A49)</f>
        <v>49</v>
      </c>
      <c r="C55" s="80" t="str">
        <f>IF(propInventory[[#This Row],[myid]]="","",IF([3]DCBase!R49=0,[3]DCBase!D49&amp;"x"&amp;[3]DCBase!E49&amp;" "&amp;[3]DCBase!C49,[3]DCBase!D49&amp;"x"&amp;[3]DCBase!E49&amp;" "&amp;[3]DCBase!C49&amp;" "&amp;[3]DCBase!S49&amp;"mm"))</f>
        <v>9x4.7 APC SF</v>
      </c>
      <c r="D55" s="65">
        <f>IF(propInventory[[#This Row],[myid]]="","",[3]DCBase!D49)</f>
        <v>9</v>
      </c>
      <c r="E55" s="65">
        <f>IF(propInventory[[#This Row],[myid]]="","",[3]DCBase!E49)</f>
        <v>4.7</v>
      </c>
      <c r="F55" s="66">
        <f>IF(propInventory[[#This Row],[myid]]="","",[3]DCBase!F49)</f>
        <v>8.5848390000000006</v>
      </c>
      <c r="G55" s="66">
        <f>IF(propInventory[[#This Row],[myid]]="","",[3]DCBase!G49)</f>
        <v>2.0834990000000002</v>
      </c>
      <c r="H55" s="66">
        <f>IF(propInventory[[#This Row],[myid]]="","",352.98/([3]DCBase!I49+273.15)*(1-0.0000225577*[3]DCBase!H49)^5.25578)</f>
        <v>1.1758151638376082</v>
      </c>
      <c r="I55" s="56">
        <f>IF(propInventory[[#This Row],[myid]]="","",[3]DCBase!K49)</f>
        <v>0.14776800000000001</v>
      </c>
      <c r="J55" s="67">
        <f>IF(propInventory[[#This Row],[myid]]="","",[3]DCBase!L49)</f>
        <v>3.0170469999999998</v>
      </c>
      <c r="K55" s="66">
        <f>IF(propInventory[[#This Row],[myid]]="","",352.98/([3]DCBase!N49+273.15)*(1-0.0000225577*[3]DCBase!M49)^5.25578)</f>
        <v>1.2514764974556585</v>
      </c>
      <c r="L55" s="70"/>
      <c r="M55" s="71"/>
      <c r="O55" s="68"/>
      <c r="P55" s="69"/>
      <c r="Q55" s="69"/>
      <c r="R55" s="69"/>
    </row>
    <row r="56" spans="1:18" ht="15" customHeight="1">
      <c r="A56" s="84">
        <f>VLOOKUP(propInventory[[#This Row],[Prop Name]],[2]!propInventory3[[Prop Name]:[Instock?]],10,FALSE)</f>
        <v>0</v>
      </c>
      <c r="B56" s="84">
        <f>IF([3]DCBase!$A50="","",[3]DCBase!$A50)</f>
        <v>50</v>
      </c>
      <c r="C56" s="80" t="str">
        <f>IF(propInventory[[#This Row],[myid]]="","",IF([3]DCBase!R50=0,[3]DCBase!D50&amp;"x"&amp;[3]DCBase!E50&amp;" "&amp;[3]DCBase!C50,[3]DCBase!D50&amp;"x"&amp;[3]DCBase!E50&amp;" "&amp;[3]DCBase!C50&amp;" "&amp;[3]DCBase!S50&amp;"mm"))</f>
        <v>9x4.7 GWS RS</v>
      </c>
      <c r="D56" s="65">
        <f>IF(propInventory[[#This Row],[myid]]="","",[3]DCBase!D50)</f>
        <v>9</v>
      </c>
      <c r="E56" s="65">
        <f>IF(propInventory[[#This Row],[myid]]="","",[3]DCBase!E50)</f>
        <v>4.7</v>
      </c>
      <c r="F56" s="66">
        <f>IF(propInventory[[#This Row],[myid]]="","",[3]DCBase!F50)</f>
        <v>11.55195</v>
      </c>
      <c r="G56" s="66">
        <f>IF(propInventory[[#This Row],[myid]]="","",[3]DCBase!G50)</f>
        <v>2.0001980000000001</v>
      </c>
      <c r="H56" s="66">
        <f>IF(propInventory[[#This Row],[myid]]="","",352.98/([3]DCBase!I50+273.15)*(1-0.0000225577*[3]DCBase!H50)^5.25578)</f>
        <v>1.1758151638376082</v>
      </c>
      <c r="I56" s="56">
        <f>IF(propInventory[[#This Row],[myid]]="","",[3]DCBase!K50)</f>
        <v>0.1726087</v>
      </c>
      <c r="J56" s="67">
        <f>IF(propInventory[[#This Row],[myid]]="","",[3]DCBase!L50)</f>
        <v>2.9988839999999999</v>
      </c>
      <c r="K56" s="66">
        <f>IF(propInventory[[#This Row],[myid]]="","",352.98/([3]DCBase!N50+273.15)*(1-0.0000225577*[3]DCBase!M50)^5.25578)</f>
        <v>1.2249869859448206</v>
      </c>
      <c r="L56" s="70"/>
      <c r="M56" s="71"/>
      <c r="O56" s="68"/>
      <c r="P56" s="69"/>
      <c r="Q56" s="69"/>
      <c r="R56" s="69"/>
    </row>
    <row r="57" spans="1:18" ht="15" customHeight="1">
      <c r="A57" s="84">
        <f>VLOOKUP(propInventory[[#This Row],[Prop Name]],[2]!propInventory3[[Prop Name]:[Instock?]],10,FALSE)</f>
        <v>0</v>
      </c>
      <c r="B57" s="84">
        <f>IF([3]DCBase!$A51="","",[3]DCBase!$A51)</f>
        <v>51</v>
      </c>
      <c r="C57" s="80" t="str">
        <f>IF(propInventory[[#This Row],[myid]]="","",IF([3]DCBase!R51=0,[3]DCBase!D51&amp;"x"&amp;[3]DCBase!E51&amp;" "&amp;[3]DCBase!C51,[3]DCBase!D51&amp;"x"&amp;[3]DCBase!E51&amp;" "&amp;[3]DCBase!C51&amp;" "&amp;[3]DCBase!S51&amp;"mm"))</f>
        <v>9x5 AeroCAM 42mm</v>
      </c>
      <c r="D57" s="65">
        <f>IF(propInventory[[#This Row],[myid]]="","",[3]DCBase!D51)</f>
        <v>9</v>
      </c>
      <c r="E57" s="65">
        <f>IF(propInventory[[#This Row],[myid]]="","",[3]DCBase!E51)</f>
        <v>5</v>
      </c>
      <c r="F57" s="66">
        <f>IF(propInventory[[#This Row],[myid]]="","",[3]DCBase!F51)</f>
        <v>6.5433709999999996</v>
      </c>
      <c r="G57" s="66">
        <f>IF(propInventory[[#This Row],[myid]]="","",[3]DCBase!G51)</f>
        <v>2.1239750000000002</v>
      </c>
      <c r="H57" s="66">
        <f>IF(propInventory[[#This Row],[myid]]="","",352.98/([3]DCBase!I51+273.15)*(1-0.0000225577*[3]DCBase!H51)^5.25578)</f>
        <v>1.2249869859448206</v>
      </c>
      <c r="I57" s="56">
        <f>IF(propInventory[[#This Row],[myid]]="","",[3]DCBase!K51)</f>
        <v>0.14674119999999999</v>
      </c>
      <c r="J57" s="67">
        <f>IF(propInventory[[#This Row],[myid]]="","",[3]DCBase!L51)</f>
        <v>3</v>
      </c>
      <c r="K57" s="66">
        <f>IF(propInventory[[#This Row],[myid]]="","",352.98/([3]DCBase!N51+273.15)*(1-0.0000225577*[3]DCBase!M51)^5.25578)</f>
        <v>1.2249869859448206</v>
      </c>
      <c r="L57" s="70"/>
      <c r="M57" s="71"/>
      <c r="O57" s="68"/>
      <c r="P57" s="69"/>
      <c r="Q57" s="69"/>
      <c r="R57" s="69"/>
    </row>
    <row r="58" spans="1:18" ht="15" customHeight="1">
      <c r="A58" s="84">
        <f>VLOOKUP(propInventory[[#This Row],[Prop Name]],[2]!propInventory3[[Prop Name]:[Instock?]],10,FALSE)</f>
        <v>0</v>
      </c>
      <c r="B58" s="84">
        <f>IF([3]DCBase!$A52="","",[3]DCBase!$A52)</f>
        <v>52</v>
      </c>
      <c r="C58" s="80" t="str">
        <f>IF(propInventory[[#This Row],[myid]]="","",IF([3]DCBase!R52=0,[3]DCBase!D52&amp;"x"&amp;[3]DCBase!E52&amp;" "&amp;[3]DCBase!C52,[3]DCBase!D52&amp;"x"&amp;[3]DCBase!E52&amp;" "&amp;[3]DCBase!C52&amp;" "&amp;[3]DCBase!S52&amp;"mm"))</f>
        <v>9x5 AeroCarbon 42mm</v>
      </c>
      <c r="D58" s="65">
        <f>IF(propInventory[[#This Row],[myid]]="","",[3]DCBase!D52)</f>
        <v>9</v>
      </c>
      <c r="E58" s="65">
        <f>IF(propInventory[[#This Row],[myid]]="","",[3]DCBase!E52)</f>
        <v>5</v>
      </c>
      <c r="F58" s="66">
        <f>IF(propInventory[[#This Row],[myid]]="","",[3]DCBase!F52)</f>
        <v>7.37</v>
      </c>
      <c r="G58" s="66">
        <f>IF(propInventory[[#This Row],[myid]]="","",[3]DCBase!G52)</f>
        <v>2</v>
      </c>
      <c r="H58" s="66">
        <f>IF(propInventory[[#This Row],[myid]]="","",352.98/([3]DCBase!I52+273.15)*(1-0.0000225577*[3]DCBase!H52)^5.25578)</f>
        <v>1.1874514592074905</v>
      </c>
      <c r="I58" s="56">
        <f>IF(propInventory[[#This Row],[myid]]="","",[3]DCBase!K52)</f>
        <v>0.10528170000000001</v>
      </c>
      <c r="J58" s="67">
        <f>IF(propInventory[[#This Row],[myid]]="","",[3]DCBase!L52)</f>
        <v>3</v>
      </c>
      <c r="K58" s="66">
        <f>IF(propInventory[[#This Row],[myid]]="","",352.98/([3]DCBase!N52+273.15)*(1-0.0000225577*[3]DCBase!M52)^5.25578)</f>
        <v>1.2249869859448206</v>
      </c>
      <c r="L58" s="70"/>
      <c r="M58" s="71"/>
      <c r="O58" s="68"/>
      <c r="P58" s="69"/>
      <c r="Q58" s="69"/>
      <c r="R58" s="69"/>
    </row>
    <row r="59" spans="1:18" ht="15" customHeight="1">
      <c r="A59" s="84">
        <f>VLOOKUP(propInventory[[#This Row],[Prop Name]],[2]!propInventory3[[Prop Name]:[Instock?]],10,FALSE)</f>
        <v>3</v>
      </c>
      <c r="B59" s="84">
        <f>IF([3]DCBase!$A53="","",[3]DCBase!$A53)</f>
        <v>53</v>
      </c>
      <c r="C59" s="80" t="str">
        <f>IF(propInventory[[#This Row],[myid]]="","",IF([3]DCBase!R53=0,[3]DCBase!D53&amp;"x"&amp;[3]DCBase!E53&amp;" "&amp;[3]DCBase!C53,[3]DCBase!D53&amp;"x"&amp;[3]DCBase!E53&amp;" "&amp;[3]DCBase!C53&amp;" "&amp;[3]DCBase!S53&amp;"mm"))</f>
        <v>9x5 GWS HD</v>
      </c>
      <c r="D59" s="65">
        <f>IF(propInventory[[#This Row],[myid]]="","",[3]DCBase!D53)</f>
        <v>9</v>
      </c>
      <c r="E59" s="65">
        <f>IF(propInventory[[#This Row],[myid]]="","",[3]DCBase!E53)</f>
        <v>5</v>
      </c>
      <c r="F59" s="66">
        <f>IF(propInventory[[#This Row],[myid]]="","",[3]DCBase!F53)</f>
        <v>8.3995160000000002</v>
      </c>
      <c r="G59" s="66">
        <f>IF(propInventory[[#This Row],[myid]]="","",[3]DCBase!G53)</f>
        <v>2.088492</v>
      </c>
      <c r="H59" s="66">
        <f>IF(propInventory[[#This Row],[myid]]="","",352.98/([3]DCBase!I53+273.15)*(1-0.0000225577*[3]DCBase!H53)^5.25578)</f>
        <v>1.1758151638376082</v>
      </c>
      <c r="I59" s="56">
        <f>IF(propInventory[[#This Row],[myid]]="","",[3]DCBase!K53)</f>
        <v>0.1193794</v>
      </c>
      <c r="J59" s="67">
        <f>IF(propInventory[[#This Row],[myid]]="","",[3]DCBase!L53)</f>
        <v>3.0404640000000001</v>
      </c>
      <c r="K59" s="66">
        <f>IF(propInventory[[#This Row],[myid]]="","",352.98/([3]DCBase!N53+273.15)*(1-0.0000225577*[3]DCBase!M53)^5.25578)</f>
        <v>1.1801594788826961</v>
      </c>
      <c r="L59" s="70"/>
      <c r="M59" s="71"/>
      <c r="O59" s="68"/>
      <c r="P59" s="69"/>
      <c r="Q59" s="69"/>
      <c r="R59" s="69"/>
    </row>
    <row r="60" spans="1:18" ht="15" customHeight="1">
      <c r="A60" s="84">
        <f>VLOOKUP(propInventory[[#This Row],[Prop Name]],[2]!propInventory3[[Prop Name]:[Instock?]],10,FALSE)</f>
        <v>0</v>
      </c>
      <c r="B60" s="84">
        <f>IF([3]DCBase!$A54="","",[3]DCBase!$A54)</f>
        <v>54</v>
      </c>
      <c r="C60" s="80" t="str">
        <f>IF(propInventory[[#This Row],[myid]]="","",IF([3]DCBase!R54=0,[3]DCBase!D54&amp;"x"&amp;[3]DCBase!E54&amp;" "&amp;[3]DCBase!C54,[3]DCBase!D54&amp;"x"&amp;[3]DCBase!E54&amp;" "&amp;[3]DCBase!C54&amp;" "&amp;[3]DCBase!S54&amp;"mm"))</f>
        <v>9x6 Graupner Slim</v>
      </c>
      <c r="D60" s="65">
        <f>IF(propInventory[[#This Row],[myid]]="","",[3]DCBase!D54)</f>
        <v>9</v>
      </c>
      <c r="E60" s="65">
        <f>IF(propInventory[[#This Row],[myid]]="","",[3]DCBase!E54)</f>
        <v>6</v>
      </c>
      <c r="F60" s="66">
        <f>IF(propInventory[[#This Row],[myid]]="","",[3]DCBase!F54)</f>
        <v>12.61225</v>
      </c>
      <c r="G60" s="66">
        <f>IF(propInventory[[#This Row],[myid]]="","",[3]DCBase!G54)</f>
        <v>1.9721</v>
      </c>
      <c r="H60" s="66">
        <f>IF(propInventory[[#This Row],[myid]]="","",352.98/([3]DCBase!I54+273.15)*(1-0.0000225577*[3]DCBase!H54)^5.25578)</f>
        <v>1.1952155100729527</v>
      </c>
      <c r="I60" s="56">
        <f>IF(propInventory[[#This Row],[myid]]="","",[3]DCBase!K54)</f>
        <v>0.19056100000000001</v>
      </c>
      <c r="J60" s="67">
        <f>IF(propInventory[[#This Row],[myid]]="","",[3]DCBase!L54)</f>
        <v>3</v>
      </c>
      <c r="K60" s="66">
        <f>IF(propInventory[[#This Row],[myid]]="","",352.98/([3]DCBase!N54+273.15)*(1-0.0000225577*[3]DCBase!M54)^5.25578)</f>
        <v>1.1952155100729527</v>
      </c>
      <c r="L60" s="70"/>
      <c r="M60" s="71"/>
      <c r="O60" s="68"/>
      <c r="P60" s="69"/>
      <c r="Q60" s="69"/>
      <c r="R60" s="69"/>
    </row>
    <row r="61" spans="1:18" ht="15" customHeight="1">
      <c r="A61" s="84">
        <f>VLOOKUP(propInventory[[#This Row],[Prop Name]],[2]!propInventory3[[Prop Name]:[Instock?]],10,FALSE)</f>
        <v>0</v>
      </c>
      <c r="B61" s="84">
        <f>IF([3]DCBase!$A55="","",[3]DCBase!$A55)</f>
        <v>55</v>
      </c>
      <c r="C61" s="80" t="str">
        <f>IF(propInventory[[#This Row],[myid]]="","",IF([3]DCBase!R55=0,[3]DCBase!D55&amp;"x"&amp;[3]DCBase!E55&amp;" "&amp;[3]DCBase!C55,[3]DCBase!D55&amp;"x"&amp;[3]DCBase!E55&amp;" "&amp;[3]DCBase!C55&amp;" "&amp;[3]DCBase!S55&amp;"mm"))</f>
        <v>9x6.5 AeroCarbon 42mm</v>
      </c>
      <c r="D61" s="65">
        <f>IF(propInventory[[#This Row],[myid]]="","",[3]DCBase!D55)</f>
        <v>9</v>
      </c>
      <c r="E61" s="65">
        <f>IF(propInventory[[#This Row],[myid]]="","",[3]DCBase!E55)</f>
        <v>6.5</v>
      </c>
      <c r="F61" s="66">
        <f>IF(propInventory[[#This Row],[myid]]="","",[3]DCBase!F55)</f>
        <v>7.0712419999999998</v>
      </c>
      <c r="G61" s="66">
        <f>IF(propInventory[[#This Row],[myid]]="","",[3]DCBase!G55)</f>
        <v>2.1234099999999998</v>
      </c>
      <c r="H61" s="66">
        <f>IF(propInventory[[#This Row],[myid]]="","",352.98/([3]DCBase!I55+273.15)*(1-0.0000225577*[3]DCBase!H55)^5.25578)</f>
        <v>1.1874514592074905</v>
      </c>
      <c r="I61" s="56">
        <f>IF(propInventory[[#This Row],[myid]]="","",[3]DCBase!K55)</f>
        <v>0.237037</v>
      </c>
      <c r="J61" s="67">
        <f>IF(propInventory[[#This Row],[myid]]="","",[3]DCBase!L55)</f>
        <v>3</v>
      </c>
      <c r="K61" s="66">
        <f>IF(propInventory[[#This Row],[myid]]="","",352.98/([3]DCBase!N55+273.15)*(1-0.0000225577*[3]DCBase!M55)^5.25578)</f>
        <v>1.2249869859448206</v>
      </c>
      <c r="L61" s="70"/>
      <c r="M61" s="71"/>
      <c r="O61" s="68"/>
      <c r="P61" s="69"/>
      <c r="Q61" s="69"/>
      <c r="R61" s="69"/>
    </row>
    <row r="62" spans="1:18" ht="15" customHeight="1">
      <c r="A62" s="84">
        <f>VLOOKUP(propInventory[[#This Row],[Prop Name]],[2]!propInventory3[[Prop Name]:[Instock?]],10,FALSE)</f>
        <v>0</v>
      </c>
      <c r="B62" s="84">
        <f>IF([3]DCBase!$A56="","",[3]DCBase!$A56)</f>
        <v>56</v>
      </c>
      <c r="C62" s="80" t="str">
        <f>IF(propInventory[[#This Row],[myid]]="","",IF([3]DCBase!R56=0,[3]DCBase!D56&amp;"x"&amp;[3]DCBase!E56&amp;" "&amp;[3]DCBase!C56,[3]DCBase!D56&amp;"x"&amp;[3]DCBase!E56&amp;" "&amp;[3]DCBase!C56&amp;" "&amp;[3]DCBase!S56&amp;"mm"))</f>
        <v>9x7 GWS RS</v>
      </c>
      <c r="D62" s="65">
        <f>IF(propInventory[[#This Row],[myid]]="","",[3]DCBase!D56)</f>
        <v>9</v>
      </c>
      <c r="E62" s="65">
        <f>IF(propInventory[[#This Row],[myid]]="","",[3]DCBase!E56)</f>
        <v>7</v>
      </c>
      <c r="F62" s="66">
        <f>IF(propInventory[[#This Row],[myid]]="","",[3]DCBase!F56)</f>
        <v>11.83229</v>
      </c>
      <c r="G62" s="66">
        <f>IF(propInventory[[#This Row],[myid]]="","",[3]DCBase!G56)</f>
        <v>2.1171329999999999</v>
      </c>
      <c r="H62" s="66">
        <f>IF(propInventory[[#This Row],[myid]]="","",352.98/([3]DCBase!I56+273.15)*(1-0.0000225577*[3]DCBase!H56)^5.25578)</f>
        <v>1.1758151638376082</v>
      </c>
      <c r="I62" s="56">
        <f>IF(propInventory[[#This Row],[myid]]="","",[3]DCBase!K56)</f>
        <v>0.26101479999999999</v>
      </c>
      <c r="J62" s="67">
        <f>IF(propInventory[[#This Row],[myid]]="","",[3]DCBase!L56)</f>
        <v>3.04</v>
      </c>
      <c r="K62" s="66">
        <f>IF(propInventory[[#This Row],[myid]]="","",352.98/([3]DCBase!N56+273.15)*(1-0.0000225577*[3]DCBase!M56)^5.25578)</f>
        <v>1.2249869859448206</v>
      </c>
      <c r="L62" s="70"/>
      <c r="M62" s="71"/>
      <c r="O62" s="68"/>
      <c r="P62" s="69"/>
      <c r="Q62" s="69"/>
      <c r="R62" s="69"/>
    </row>
    <row r="63" spans="1:18" ht="15" customHeight="1">
      <c r="A63" s="84">
        <f>VLOOKUP(propInventory[[#This Row],[Prop Name]],[2]!propInventory3[[Prop Name]:[Instock?]],10,FALSE)</f>
        <v>0</v>
      </c>
      <c r="B63" s="84">
        <f>IF([3]DCBase!$A57="","",[3]DCBase!$A57)</f>
        <v>57</v>
      </c>
      <c r="C63" s="80" t="str">
        <f>IF(propInventory[[#This Row],[myid]]="","",IF([3]DCBase!R57=0,[3]DCBase!D57&amp;"x"&amp;[3]DCBase!E57&amp;" "&amp;[3]DCBase!C57,[3]DCBase!D57&amp;"x"&amp;[3]DCBase!E57&amp;" "&amp;[3]DCBase!C57&amp;" "&amp;[3]DCBase!S57&amp;"mm"))</f>
        <v>9x7 GWS RS 3-Blade</v>
      </c>
      <c r="D63" s="65">
        <f>IF(propInventory[[#This Row],[myid]]="","",[3]DCBase!D57)</f>
        <v>9</v>
      </c>
      <c r="E63" s="65">
        <f>IF(propInventory[[#This Row],[myid]]="","",[3]DCBase!E57)</f>
        <v>7</v>
      </c>
      <c r="F63" s="66">
        <f>IF(propInventory[[#This Row],[myid]]="","",[3]DCBase!F57)</f>
        <v>13.824870000000001</v>
      </c>
      <c r="G63" s="66">
        <f>IF(propInventory[[#This Row],[myid]]="","",[3]DCBase!G57)</f>
        <v>2.0243229999999999</v>
      </c>
      <c r="H63" s="66">
        <f>IF(propInventory[[#This Row],[myid]]="","",352.98/([3]DCBase!I57+273.15)*(1-0.0000225577*[3]DCBase!H57)^5.25578)</f>
        <v>1.1758151638376082</v>
      </c>
      <c r="I63" s="56">
        <f>IF(propInventory[[#This Row],[myid]]="","",[3]DCBase!K57)</f>
        <v>0.334561</v>
      </c>
      <c r="J63" s="67">
        <f>IF(propInventory[[#This Row],[myid]]="","",[3]DCBase!L57)</f>
        <v>3.0289082359999999</v>
      </c>
      <c r="K63" s="66">
        <f>IF(propInventory[[#This Row],[myid]]="","",352.98/([3]DCBase!N57+273.15)*(1-0.0000225577*[3]DCBase!M57)^5.25578)</f>
        <v>1.2514764974556585</v>
      </c>
      <c r="L63" s="70"/>
      <c r="M63" s="71"/>
      <c r="O63" s="68"/>
      <c r="P63" s="69"/>
      <c r="Q63" s="69"/>
      <c r="R63" s="69"/>
    </row>
    <row r="64" spans="1:18" ht="15" customHeight="1">
      <c r="A64" s="84">
        <f>VLOOKUP(propInventory[[#This Row],[Prop Name]],[2]!propInventory3[[Prop Name]:[Instock?]],10,FALSE)</f>
        <v>0</v>
      </c>
      <c r="B64" s="84">
        <f>IF([3]DCBase!$A58="","",[3]DCBase!$A58)</f>
        <v>58</v>
      </c>
      <c r="C64" s="80" t="str">
        <f>IF(propInventory[[#This Row],[myid]]="","",IF([3]DCBase!R58=0,[3]DCBase!D58&amp;"x"&amp;[3]DCBase!E58&amp;" "&amp;[3]DCBase!C58,[3]DCBase!D58&amp;"x"&amp;[3]DCBase!E58&amp;" "&amp;[3]DCBase!C58&amp;" "&amp;[3]DCBase!S58&amp;"mm"))</f>
        <v>9x7.5 APC E</v>
      </c>
      <c r="D64" s="65">
        <f>IF(propInventory[[#This Row],[myid]]="","",[3]DCBase!D58)</f>
        <v>9</v>
      </c>
      <c r="E64" s="65">
        <f>IF(propInventory[[#This Row],[myid]]="","",[3]DCBase!E58)</f>
        <v>7.5</v>
      </c>
      <c r="F64" s="66">
        <f>IF(propInventory[[#This Row],[myid]]="","",[3]DCBase!F58)</f>
        <v>9.6697579999999999</v>
      </c>
      <c r="G64" s="66">
        <f>IF(propInventory[[#This Row],[myid]]="","",[3]DCBase!G58)</f>
        <v>2.1152319999999998</v>
      </c>
      <c r="H64" s="66">
        <f>IF(propInventory[[#This Row],[myid]]="","",352.98/([3]DCBase!I58+273.15)*(1-0.0000225577*[3]DCBase!H58)^5.25578)</f>
        <v>1.1758151638376082</v>
      </c>
      <c r="I64" s="56">
        <f>IF(propInventory[[#This Row],[myid]]="","",[3]DCBase!K58)</f>
        <v>0.12653539999999999</v>
      </c>
      <c r="J64" s="67">
        <f>IF(propInventory[[#This Row],[myid]]="","",[3]DCBase!L58)</f>
        <v>3.3545419999999999</v>
      </c>
      <c r="K64" s="66">
        <f>IF(propInventory[[#This Row],[myid]]="","",352.98/([3]DCBase!N58+273.15)*(1-0.0000225577*[3]DCBase!M58)^5.25578)</f>
        <v>1.1952155100729527</v>
      </c>
      <c r="L64" s="70"/>
      <c r="M64" s="71"/>
      <c r="O64" s="68"/>
      <c r="P64" s="69"/>
      <c r="Q64" s="69"/>
      <c r="R64" s="69"/>
    </row>
    <row r="65" spans="1:18" ht="15" customHeight="1">
      <c r="A65" s="84">
        <f>VLOOKUP(propInventory[[#This Row],[Prop Name]],[2]!propInventory3[[Prop Name]:[Instock?]],10,FALSE)</f>
        <v>1</v>
      </c>
      <c r="B65" s="84">
        <f>IF([3]DCBase!$A59="","",[3]DCBase!$A59)</f>
        <v>59</v>
      </c>
      <c r="C65" s="80" t="str">
        <f>IF(propInventory[[#This Row],[myid]]="","",IF([3]DCBase!R59=0,[3]DCBase!D59&amp;"x"&amp;[3]DCBase!E59&amp;" "&amp;[3]DCBase!C59,[3]DCBase!D59&amp;"x"&amp;[3]DCBase!E59&amp;" "&amp;[3]DCBase!C59&amp;" "&amp;[3]DCBase!S59&amp;"mm"))</f>
        <v>9x7.5 APC SF</v>
      </c>
      <c r="D65" s="65">
        <f>IF(propInventory[[#This Row],[myid]]="","",[3]DCBase!D59)</f>
        <v>9</v>
      </c>
      <c r="E65" s="65">
        <f>IF(propInventory[[#This Row],[myid]]="","",[3]DCBase!E59)</f>
        <v>7.5</v>
      </c>
      <c r="F65" s="66">
        <f>IF(propInventory[[#This Row],[myid]]="","",[3]DCBase!F59)</f>
        <v>11.59379</v>
      </c>
      <c r="G65" s="66">
        <f>IF(propInventory[[#This Row],[myid]]="","",[3]DCBase!G59)</f>
        <v>2.192275</v>
      </c>
      <c r="H65" s="66">
        <f>IF(propInventory[[#This Row],[myid]]="","",352.98/([3]DCBase!I59+273.15)*(1-0.0000225577*[3]DCBase!H59)^5.25578)</f>
        <v>1.220968625325449</v>
      </c>
      <c r="I65" s="56">
        <f>IF(propInventory[[#This Row],[myid]]="","",[3]DCBase!K59)</f>
        <v>0.25330009999999997</v>
      </c>
      <c r="J65" s="67">
        <f>IF(propInventory[[#This Row],[myid]]="","",[3]DCBase!L59)</f>
        <v>3.268172276</v>
      </c>
      <c r="K65" s="66">
        <f>IF(propInventory[[#This Row],[myid]]="","",352.98/([3]DCBase!N59+273.15)*(1-0.0000225577*[3]DCBase!M59)^5.25578)</f>
        <v>1.220968625325449</v>
      </c>
      <c r="L65" s="70"/>
      <c r="M65" s="71"/>
      <c r="O65" s="68"/>
      <c r="P65" s="69"/>
      <c r="Q65" s="69"/>
      <c r="R65" s="69"/>
    </row>
    <row r="66" spans="1:18" ht="15" customHeight="1">
      <c r="A66" s="84">
        <f>VLOOKUP(propInventory[[#This Row],[Prop Name]],[2]!propInventory3[[Prop Name]:[Instock?]],10,FALSE)</f>
        <v>0</v>
      </c>
      <c r="B66" s="84">
        <f>IF([3]DCBase!$A60="","",[3]DCBase!$A60)</f>
        <v>60</v>
      </c>
      <c r="C66" s="80" t="str">
        <f>IF(propInventory[[#This Row],[myid]]="","",IF([3]DCBase!R60=0,[3]DCBase!D60&amp;"x"&amp;[3]DCBase!E60&amp;" "&amp;[3]DCBase!C60,[3]DCBase!D60&amp;"x"&amp;[3]DCBase!E60&amp;" "&amp;[3]DCBase!C60&amp;" "&amp;[3]DCBase!S60&amp;"mm"))</f>
        <v>9x8 APC Sport</v>
      </c>
      <c r="D66" s="65">
        <f>IF(propInventory[[#This Row],[myid]]="","",[3]DCBase!D60)</f>
        <v>9</v>
      </c>
      <c r="E66" s="65">
        <f>IF(propInventory[[#This Row],[myid]]="","",[3]DCBase!E60)</f>
        <v>8</v>
      </c>
      <c r="F66" s="66">
        <f>IF(propInventory[[#This Row],[myid]]="","",[3]DCBase!F60)</f>
        <v>0</v>
      </c>
      <c r="G66" s="66">
        <f>IF(propInventory[[#This Row],[myid]]="","",[3]DCBase!G60)</f>
        <v>0</v>
      </c>
      <c r="H66" s="66">
        <f>IF(propInventory[[#This Row],[myid]]="","",352.98/([3]DCBase!I60+273.15)*(1-0.0000225577*[3]DCBase!H60)^5.25578)</f>
        <v>1.2249869859448206</v>
      </c>
      <c r="I66" s="56">
        <f>IF(propInventory[[#This Row],[myid]]="","",[3]DCBase!K60)</f>
        <v>0.25940000000000002</v>
      </c>
      <c r="J66" s="67">
        <f>IF(propInventory[[#This Row],[myid]]="","",[3]DCBase!L60)</f>
        <v>3</v>
      </c>
      <c r="K66" s="66">
        <f>IF(propInventory[[#This Row],[myid]]="","",352.98/([3]DCBase!N60+273.15)*(1-0.0000225577*[3]DCBase!M60)^5.25578)</f>
        <v>1.182130401350806</v>
      </c>
      <c r="L66" s="70"/>
      <c r="M66" s="71"/>
      <c r="O66" s="68"/>
      <c r="P66" s="69"/>
      <c r="Q66" s="69"/>
      <c r="R66" s="69"/>
    </row>
    <row r="67" spans="1:18" ht="15" customHeight="1">
      <c r="A67" s="84">
        <f>VLOOKUP(propInventory[[#This Row],[Prop Name]],[2]!propInventory3[[Prop Name]:[Instock?]],10,FALSE)</f>
        <v>0</v>
      </c>
      <c r="B67" s="84">
        <f>IF([3]DCBase!$A61="","",[3]DCBase!$A61)</f>
        <v>61</v>
      </c>
      <c r="C67" s="80" t="str">
        <f>IF(propInventory[[#This Row],[myid]]="","",IF([3]DCBase!R61=0,[3]DCBase!D61&amp;"x"&amp;[3]DCBase!E61&amp;" "&amp;[3]DCBase!C61,[3]DCBase!D61&amp;"x"&amp;[3]DCBase!E61&amp;" "&amp;[3]DCBase!C61&amp;" "&amp;[3]DCBase!S61&amp;"mm"))</f>
        <v>9x9 APC E</v>
      </c>
      <c r="D67" s="65">
        <f>IF(propInventory[[#This Row],[myid]]="","",[3]DCBase!D61)</f>
        <v>9</v>
      </c>
      <c r="E67" s="65">
        <f>IF(propInventory[[#This Row],[myid]]="","",[3]DCBase!E61)</f>
        <v>9</v>
      </c>
      <c r="F67" s="66">
        <f>IF(propInventory[[#This Row],[myid]]="","",[3]DCBase!F61)</f>
        <v>12.56744</v>
      </c>
      <c r="G67" s="66">
        <f>IF(propInventory[[#This Row],[myid]]="","",[3]DCBase!G61)</f>
        <v>1.999136</v>
      </c>
      <c r="H67" s="66">
        <f>IF(propInventory[[#This Row],[myid]]="","",352.98/([3]DCBase!I61+273.15)*(1-0.0000225577*[3]DCBase!H61)^5.25578)</f>
        <v>1.1758151638376082</v>
      </c>
      <c r="I67" s="56">
        <f>IF(propInventory[[#This Row],[myid]]="","",[3]DCBase!K61)</f>
        <v>0.15699730000000001</v>
      </c>
      <c r="J67" s="67">
        <f>IF(propInventory[[#This Row],[myid]]="","",[3]DCBase!L61)</f>
        <v>3.3810760000000002</v>
      </c>
      <c r="K67" s="66">
        <f>IF(propInventory[[#This Row],[myid]]="","",352.98/([3]DCBase!N61+273.15)*(1-0.0000225577*[3]DCBase!M61)^5.25578)</f>
        <v>1.1952155100729527</v>
      </c>
      <c r="L67" s="70"/>
      <c r="M67" s="71"/>
      <c r="O67" s="68"/>
      <c r="P67" s="69"/>
      <c r="Q67" s="69"/>
      <c r="R67" s="69"/>
    </row>
    <row r="68" spans="1:18" ht="15" customHeight="1">
      <c r="A68" s="84">
        <f>VLOOKUP(propInventory[[#This Row],[Prop Name]],[2]!propInventory3[[Prop Name]:[Instock?]],10,FALSE)</f>
        <v>0</v>
      </c>
      <c r="B68" s="84">
        <f>IF([3]DCBase!$A62="","",[3]DCBase!$A62)</f>
        <v>62</v>
      </c>
      <c r="C68" s="80" t="str">
        <f>IF(propInventory[[#This Row],[myid]]="","",IF([3]DCBase!R62=0,[3]DCBase!D62&amp;"x"&amp;[3]DCBase!E62&amp;" "&amp;[3]DCBase!C62,[3]DCBase!D62&amp;"x"&amp;[3]DCBase!E62&amp;" "&amp;[3]DCBase!C62&amp;" "&amp;[3]DCBase!S62&amp;"mm"))</f>
        <v>9.5x5 AeroCAM 42mm</v>
      </c>
      <c r="D68" s="65">
        <f>IF(propInventory[[#This Row],[myid]]="","",[3]DCBase!D62)</f>
        <v>9.5</v>
      </c>
      <c r="E68" s="65">
        <f>IF(propInventory[[#This Row],[myid]]="","",[3]DCBase!E62)</f>
        <v>5</v>
      </c>
      <c r="F68" s="66">
        <f>IF(propInventory[[#This Row],[myid]]="","",[3]DCBase!F62)</f>
        <v>11.09235</v>
      </c>
      <c r="G68" s="66">
        <f>IF(propInventory[[#This Row],[myid]]="","",[3]DCBase!G62)</f>
        <v>2</v>
      </c>
      <c r="H68" s="66">
        <f>IF(propInventory[[#This Row],[myid]]="","",352.98/([3]DCBase!I62+273.15)*(1-0.0000225577*[3]DCBase!H62)^5.25578)</f>
        <v>1.2249869859448206</v>
      </c>
      <c r="I68" s="56">
        <f>IF(propInventory[[#This Row],[myid]]="","",[3]DCBase!K62)</f>
        <v>0.18816759999999999</v>
      </c>
      <c r="J68" s="67">
        <f>IF(propInventory[[#This Row],[myid]]="","",[3]DCBase!L62)</f>
        <v>3</v>
      </c>
      <c r="K68" s="66">
        <f>IF(propInventory[[#This Row],[myid]]="","",352.98/([3]DCBase!N62+273.15)*(1-0.0000225577*[3]DCBase!M62)^5.25578)</f>
        <v>1.2249869859448206</v>
      </c>
      <c r="L68" s="70"/>
      <c r="M68" s="71"/>
      <c r="O68" s="68"/>
      <c r="P68" s="69"/>
      <c r="Q68" s="69"/>
      <c r="R68" s="69"/>
    </row>
    <row r="69" spans="1:18" ht="15" customHeight="1">
      <c r="A69" s="84">
        <f>VLOOKUP(propInventory[[#This Row],[Prop Name]],[2]!propInventory3[[Prop Name]:[Instock?]],10,FALSE)</f>
        <v>0</v>
      </c>
      <c r="B69" s="84">
        <f>IF([3]DCBase!$A63="","",[3]DCBase!$A63)</f>
        <v>63</v>
      </c>
      <c r="C69" s="80" t="str">
        <f>IF(propInventory[[#This Row],[myid]]="","",IF([3]DCBase!R63=0,[3]DCBase!D63&amp;"x"&amp;[3]DCBase!E63&amp;" "&amp;[3]DCBase!C63,[3]DCBase!D63&amp;"x"&amp;[3]DCBase!E63&amp;" "&amp;[3]DCBase!C63&amp;" "&amp;[3]DCBase!S63&amp;"mm"))</f>
        <v>9.5x5 AeroCarbon 42mm</v>
      </c>
      <c r="D69" s="65">
        <f>IF(propInventory[[#This Row],[myid]]="","",[3]DCBase!D63)</f>
        <v>9.5</v>
      </c>
      <c r="E69" s="65">
        <f>IF(propInventory[[#This Row],[myid]]="","",[3]DCBase!E63)</f>
        <v>5</v>
      </c>
      <c r="F69" s="66">
        <f>IF(propInventory[[#This Row],[myid]]="","",[3]DCBase!F63)</f>
        <v>8.82</v>
      </c>
      <c r="G69" s="66">
        <f>IF(propInventory[[#This Row],[myid]]="","",[3]DCBase!G63)</f>
        <v>2</v>
      </c>
      <c r="H69" s="66">
        <f>IF(propInventory[[#This Row],[myid]]="","",352.98/([3]DCBase!I63+273.15)*(1-0.0000225577*[3]DCBase!H63)^5.25578)</f>
        <v>1.1874514592074905</v>
      </c>
      <c r="I69" s="56">
        <f>IF(propInventory[[#This Row],[myid]]="","",[3]DCBase!K63)</f>
        <v>0.13224659999999999</v>
      </c>
      <c r="J69" s="67">
        <f>IF(propInventory[[#This Row],[myid]]="","",[3]DCBase!L63)</f>
        <v>3.08</v>
      </c>
      <c r="K69" s="66">
        <f>IF(propInventory[[#This Row],[myid]]="","",352.98/([3]DCBase!N63+273.15)*(1-0.0000225577*[3]DCBase!M63)^5.25578)</f>
        <v>1.2249869859448206</v>
      </c>
      <c r="L69" s="70"/>
      <c r="M69" s="71"/>
      <c r="O69" s="68"/>
      <c r="P69" s="69"/>
      <c r="Q69" s="69"/>
      <c r="R69" s="69"/>
    </row>
    <row r="70" spans="1:18" ht="15" customHeight="1">
      <c r="A70" s="84">
        <f>VLOOKUP(propInventory[[#This Row],[Prop Name]],[2]!propInventory3[[Prop Name]:[Instock?]],10,FALSE)</f>
        <v>0</v>
      </c>
      <c r="B70" s="84">
        <f>IF([3]DCBase!$A64="","",[3]DCBase!$A64)</f>
        <v>64</v>
      </c>
      <c r="C70" s="80" t="str">
        <f>IF(propInventory[[#This Row],[myid]]="","",IF([3]DCBase!R64=0,[3]DCBase!D64&amp;"x"&amp;[3]DCBase!E64&amp;" "&amp;[3]DCBase!C64,[3]DCBase!D64&amp;"x"&amp;[3]DCBase!E64&amp;" "&amp;[3]DCBase!C64&amp;" "&amp;[3]DCBase!S64&amp;"mm"))</f>
        <v>9.5x5 Aeronaut E-Prop</v>
      </c>
      <c r="D70" s="65">
        <f>IF(propInventory[[#This Row],[myid]]="","",[3]DCBase!D64)</f>
        <v>9.5</v>
      </c>
      <c r="E70" s="65">
        <f>IF(propInventory[[#This Row],[myid]]="","",[3]DCBase!E64)</f>
        <v>5</v>
      </c>
      <c r="F70" s="66">
        <f>IF(propInventory[[#This Row],[myid]]="","",[3]DCBase!F64)</f>
        <v>0</v>
      </c>
      <c r="G70" s="66">
        <f>IF(propInventory[[#This Row],[myid]]="","",[3]DCBase!G64)</f>
        <v>0</v>
      </c>
      <c r="H70" s="66">
        <f>IF(propInventory[[#This Row],[myid]]="","",352.98/([3]DCBase!I64+273.15)*(1-0.0000225577*[3]DCBase!H64)^5.25578)</f>
        <v>1.2249869859448206</v>
      </c>
      <c r="I70" s="56">
        <f>IF(propInventory[[#This Row],[myid]]="","",[3]DCBase!K64)</f>
        <v>0.1182267</v>
      </c>
      <c r="J70" s="67">
        <f>IF(propInventory[[#This Row],[myid]]="","",[3]DCBase!L64)</f>
        <v>3.1636929999999999</v>
      </c>
      <c r="K70" s="66">
        <f>IF(propInventory[[#This Row],[myid]]="","",352.98/([3]DCBase!N64+273.15)*(1-0.0000225577*[3]DCBase!M64)^5.25578)</f>
        <v>1.2249869859448206</v>
      </c>
      <c r="L70" s="70"/>
      <c r="M70" s="71"/>
      <c r="O70" s="68"/>
      <c r="P70" s="69"/>
      <c r="Q70" s="69"/>
      <c r="R70" s="69"/>
    </row>
    <row r="71" spans="1:18" ht="15" customHeight="1">
      <c r="A71" s="84">
        <f>VLOOKUP(propInventory[[#This Row],[Prop Name]],[2]!propInventory3[[Prop Name]:[Instock?]],10,FALSE)</f>
        <v>0</v>
      </c>
      <c r="B71" s="84">
        <f>IF([3]DCBase!$A65="","",[3]DCBase!$A65)</f>
        <v>65</v>
      </c>
      <c r="C71" s="80" t="str">
        <f>IF(propInventory[[#This Row],[myid]]="","",IF([3]DCBase!R65=0,[3]DCBase!D65&amp;"x"&amp;[3]DCBase!E65&amp;" "&amp;[3]DCBase!C65,[3]DCBase!D65&amp;"x"&amp;[3]DCBase!E65&amp;" "&amp;[3]DCBase!C65&amp;" "&amp;[3]DCBase!S65&amp;"mm"))</f>
        <v>9.5x6 Aeronaut E-Prop</v>
      </c>
      <c r="D71" s="65">
        <f>IF(propInventory[[#This Row],[myid]]="","",[3]DCBase!D65)</f>
        <v>9.5</v>
      </c>
      <c r="E71" s="65">
        <f>IF(propInventory[[#This Row],[myid]]="","",[3]DCBase!E65)</f>
        <v>6</v>
      </c>
      <c r="F71" s="66">
        <f>IF(propInventory[[#This Row],[myid]]="","",[3]DCBase!F65)</f>
        <v>8.7182630000000003</v>
      </c>
      <c r="G71" s="66">
        <f>IF(propInventory[[#This Row],[myid]]="","",[3]DCBase!G65)</f>
        <v>2.1334270000000002</v>
      </c>
      <c r="H71" s="66">
        <f>IF(propInventory[[#This Row],[myid]]="","",352.98/([3]DCBase!I65+273.15)*(1-0.0000225577*[3]DCBase!H65)^5.25578)</f>
        <v>1.1758151638376082</v>
      </c>
      <c r="I71" s="56">
        <f>IF(propInventory[[#This Row],[myid]]="","",[3]DCBase!K65)</f>
        <v>0.19531299999999999</v>
      </c>
      <c r="J71" s="67">
        <f>IF(propInventory[[#This Row],[myid]]="","",[3]DCBase!L65)</f>
        <v>3</v>
      </c>
      <c r="K71" s="66">
        <f>IF(propInventory[[#This Row],[myid]]="","",352.98/([3]DCBase!N65+273.15)*(1-0.0000225577*[3]DCBase!M65)^5.25578)</f>
        <v>1.2249869859448206</v>
      </c>
      <c r="L71" s="70"/>
      <c r="M71" s="71"/>
      <c r="O71" s="68"/>
      <c r="P71" s="69"/>
      <c r="Q71" s="69"/>
      <c r="R71" s="69"/>
    </row>
    <row r="72" spans="1:18" ht="15" customHeight="1">
      <c r="A72" s="84">
        <f>VLOOKUP(propInventory[[#This Row],[Prop Name]],[2]!propInventory3[[Prop Name]:[Instock?]],10,FALSE)</f>
        <v>0</v>
      </c>
      <c r="B72" s="84">
        <f>IF([3]DCBase!$A66="","",[3]DCBase!$A66)</f>
        <v>66</v>
      </c>
      <c r="C72" s="80" t="str">
        <f>IF(propInventory[[#This Row],[myid]]="","",IF([3]DCBase!R66=0,[3]DCBase!D66&amp;"x"&amp;[3]DCBase!E66&amp;" "&amp;[3]DCBase!C66,[3]DCBase!D66&amp;"x"&amp;[3]DCBase!E66&amp;" "&amp;[3]DCBase!C66&amp;" "&amp;[3]DCBase!S66&amp;"mm"))</f>
        <v>9.5x7 Aeronaut E-Prop</v>
      </c>
      <c r="D72" s="65">
        <f>IF(propInventory[[#This Row],[myid]]="","",[3]DCBase!D66)</f>
        <v>9.5</v>
      </c>
      <c r="E72" s="65">
        <f>IF(propInventory[[#This Row],[myid]]="","",[3]DCBase!E66)</f>
        <v>7</v>
      </c>
      <c r="F72" s="66">
        <f>IF(propInventory[[#This Row],[myid]]="","",[3]DCBase!F66)</f>
        <v>0</v>
      </c>
      <c r="G72" s="66">
        <f>IF(propInventory[[#This Row],[myid]]="","",[3]DCBase!G66)</f>
        <v>0</v>
      </c>
      <c r="H72" s="66">
        <f>IF(propInventory[[#This Row],[myid]]="","",352.98/([3]DCBase!I66+273.15)*(1-0.0000225577*[3]DCBase!H66)^5.25578)</f>
        <v>1.2249869859448206</v>
      </c>
      <c r="I72" s="56">
        <f>IF(propInventory[[#This Row],[myid]]="","",[3]DCBase!K66)</f>
        <v>0.24778</v>
      </c>
      <c r="J72" s="67">
        <f>IF(propInventory[[#This Row],[myid]]="","",[3]DCBase!L66)</f>
        <v>3</v>
      </c>
      <c r="K72" s="66">
        <f>IF(propInventory[[#This Row],[myid]]="","",352.98/([3]DCBase!N66+273.15)*(1-0.0000225577*[3]DCBase!M66)^5.25578)</f>
        <v>1.2249869859448206</v>
      </c>
      <c r="L72" s="70"/>
      <c r="M72" s="71"/>
      <c r="O72" s="68"/>
      <c r="P72" s="69"/>
      <c r="Q72" s="69"/>
      <c r="R72" s="69"/>
    </row>
    <row r="73" spans="1:18" ht="15" customHeight="1">
      <c r="A73" s="84">
        <f>VLOOKUP(propInventory[[#This Row],[Prop Name]],[2]!propInventory3[[Prop Name]:[Instock?]],10,FALSE)</f>
        <v>5</v>
      </c>
      <c r="B73" s="84">
        <f>IF([3]DCBase!$A67="","",[3]DCBase!$A67)</f>
        <v>67</v>
      </c>
      <c r="C73" s="80" t="str">
        <f>IF(propInventory[[#This Row],[myid]]="","",IF([3]DCBase!R67=0,[3]DCBase!D67&amp;"x"&amp;[3]DCBase!E67&amp;" "&amp;[3]DCBase!C67,[3]DCBase!D67&amp;"x"&amp;[3]DCBase!E67&amp;" "&amp;[3]DCBase!C67&amp;" "&amp;[3]DCBase!S67&amp;"mm"))</f>
        <v>10x4.7 APC SF</v>
      </c>
      <c r="D73" s="65">
        <f>IF(propInventory[[#This Row],[myid]]="","",[3]DCBase!D67)</f>
        <v>10</v>
      </c>
      <c r="E73" s="65">
        <f>IF(propInventory[[#This Row],[myid]]="","",[3]DCBase!E67)</f>
        <v>4.7</v>
      </c>
      <c r="F73" s="66">
        <f>IF(propInventory[[#This Row],[myid]]="","",[3]DCBase!F67)</f>
        <v>12.383649999999999</v>
      </c>
      <c r="G73" s="66">
        <f>IF(propInventory[[#This Row],[myid]]="","",[3]DCBase!G67)</f>
        <v>2.2090339999999999</v>
      </c>
      <c r="H73" s="66">
        <f>IF(propInventory[[#This Row],[myid]]="","",352.98/([3]DCBase!I67+273.15)*(1-0.0000225577*[3]DCBase!H67)^5.25578)</f>
        <v>1.1758151638376082</v>
      </c>
      <c r="I73" s="56">
        <f>IF(propInventory[[#This Row],[myid]]="","",[3]DCBase!K67)</f>
        <v>0.3275246</v>
      </c>
      <c r="J73" s="67">
        <f>IF(propInventory[[#This Row],[myid]]="","",[3]DCBase!L67)</f>
        <v>3</v>
      </c>
      <c r="K73" s="66">
        <f>IF(propInventory[[#This Row],[myid]]="","",352.98/([3]DCBase!N67+273.15)*(1-0.0000225577*[3]DCBase!M67)^5.25578)</f>
        <v>1.220968625325449</v>
      </c>
      <c r="L73" s="70"/>
      <c r="M73" s="71"/>
      <c r="O73" s="68"/>
      <c r="P73" s="69"/>
      <c r="Q73" s="69"/>
      <c r="R73" s="69"/>
    </row>
    <row r="74" spans="1:18" ht="15" customHeight="1">
      <c r="A74" s="84">
        <f>VLOOKUP(propInventory[[#This Row],[Prop Name]],[2]!propInventory3[[Prop Name]:[Instock?]],10,FALSE)</f>
        <v>1</v>
      </c>
      <c r="B74" s="84">
        <f>IF([3]DCBase!$A68="","",[3]DCBase!$A68)</f>
        <v>68</v>
      </c>
      <c r="C74" s="80" t="str">
        <f>IF(propInventory[[#This Row],[myid]]="","",IF([3]DCBase!R68=0,[3]DCBase!D68&amp;"x"&amp;[3]DCBase!E68&amp;" "&amp;[3]DCBase!C68,[3]DCBase!D68&amp;"x"&amp;[3]DCBase!E68&amp;" "&amp;[3]DCBase!C68&amp;" "&amp;[3]DCBase!S68&amp;"mm"))</f>
        <v>10x4.7 GWS RS</v>
      </c>
      <c r="D74" s="65">
        <f>IF(propInventory[[#This Row],[myid]]="","",[3]DCBase!D68)</f>
        <v>10</v>
      </c>
      <c r="E74" s="65">
        <f>IF(propInventory[[#This Row],[myid]]="","",[3]DCBase!E68)</f>
        <v>4.7</v>
      </c>
      <c r="F74" s="66">
        <f>IF(propInventory[[#This Row],[myid]]="","",[3]DCBase!F68)</f>
        <v>15.81917</v>
      </c>
      <c r="G74" s="66">
        <f>IF(propInventory[[#This Row],[myid]]="","",[3]DCBase!G68)</f>
        <v>2.080219</v>
      </c>
      <c r="H74" s="66">
        <f>IF(propInventory[[#This Row],[myid]]="","",352.98/([3]DCBase!I68+273.15)*(1-0.0000225577*[3]DCBase!H68)^5.25578)</f>
        <v>1.1758151638376082</v>
      </c>
      <c r="I74" s="56">
        <f>IF(propInventory[[#This Row],[myid]]="","",[3]DCBase!K68)</f>
        <v>0.27365909999999999</v>
      </c>
      <c r="J74" s="67">
        <f>IF(propInventory[[#This Row],[myid]]="","",[3]DCBase!L68)</f>
        <v>3.11</v>
      </c>
      <c r="K74" s="66">
        <f>IF(propInventory[[#This Row],[myid]]="","",352.98/([3]DCBase!N68+273.15)*(1-0.0000225577*[3]DCBase!M68)^5.25578)</f>
        <v>1.2249869859448206</v>
      </c>
      <c r="L74" s="70"/>
      <c r="M74" s="71"/>
      <c r="O74" s="68"/>
      <c r="P74" s="69"/>
      <c r="Q74" s="69"/>
      <c r="R74" s="69"/>
    </row>
    <row r="75" spans="1:18" ht="15" customHeight="1">
      <c r="A75" s="84">
        <f>VLOOKUP(propInventory[[#This Row],[Prop Name]],[2]!propInventory3[[Prop Name]:[Instock?]],10,FALSE)</f>
        <v>2</v>
      </c>
      <c r="B75" s="84">
        <f>IF([3]DCBase!$A69="","",[3]DCBase!$A69)</f>
        <v>69</v>
      </c>
      <c r="C75" s="80" t="str">
        <f>IF(propInventory[[#This Row],[myid]]="","",IF([3]DCBase!R69=0,[3]DCBase!D69&amp;"x"&amp;[3]DCBase!E69&amp;" "&amp;[3]DCBase!C69,[3]DCBase!D69&amp;"x"&amp;[3]DCBase!E69&amp;" "&amp;[3]DCBase!C69&amp;" "&amp;[3]DCBase!S69&amp;"mm"))</f>
        <v>10x5 APC E</v>
      </c>
      <c r="D75" s="65">
        <f>IF(propInventory[[#This Row],[myid]]="","",[3]DCBase!D69)</f>
        <v>10</v>
      </c>
      <c r="E75" s="65">
        <f>IF(propInventory[[#This Row],[myid]]="","",[3]DCBase!E69)</f>
        <v>5</v>
      </c>
      <c r="F75" s="66">
        <f>IF(propInventory[[#This Row],[myid]]="","",[3]DCBase!F69)</f>
        <v>10.7392</v>
      </c>
      <c r="G75" s="66">
        <f>IF(propInventory[[#This Row],[myid]]="","",[3]DCBase!G69)</f>
        <v>2.1266020000000001</v>
      </c>
      <c r="H75" s="66">
        <f>IF(propInventory[[#This Row],[myid]]="","",352.98/([3]DCBase!I69+273.15)*(1-0.0000225577*[3]DCBase!H69)^5.25578)</f>
        <v>1.1758151638376082</v>
      </c>
      <c r="I75" s="56">
        <f>IF(propInventory[[#This Row],[myid]]="","",[3]DCBase!K69)</f>
        <v>0.1225038</v>
      </c>
      <c r="J75" s="67">
        <f>IF(propInventory[[#This Row],[myid]]="","",[3]DCBase!L69)</f>
        <v>3.2637139999999998</v>
      </c>
      <c r="K75" s="66">
        <f>IF(propInventory[[#This Row],[myid]]="","",352.98/([3]DCBase!N69+273.15)*(1-0.0000225577*[3]DCBase!M69)^5.25578)</f>
        <v>1.1952155100729527</v>
      </c>
      <c r="L75" s="70"/>
      <c r="M75" s="71"/>
      <c r="O75" s="68"/>
      <c r="P75" s="69"/>
      <c r="Q75" s="69"/>
      <c r="R75" s="69"/>
    </row>
    <row r="76" spans="1:18" ht="15" customHeight="1">
      <c r="A76" s="84">
        <f>VLOOKUP(propInventory[[#This Row],[Prop Name]],[2]!propInventory3[[Prop Name]:[Instock?]],10,FALSE)</f>
        <v>0</v>
      </c>
      <c r="B76" s="84">
        <f>IF([3]DCBase!$A70="","",[3]DCBase!$A70)</f>
        <v>70</v>
      </c>
      <c r="C76" s="80" t="str">
        <f>IF(propInventory[[#This Row],[myid]]="","",IF([3]DCBase!R70=0,[3]DCBase!D70&amp;"x"&amp;[3]DCBase!E70&amp;" "&amp;[3]DCBase!C70,[3]DCBase!D70&amp;"x"&amp;[3]DCBase!E70&amp;" "&amp;[3]DCBase!C70&amp;" "&amp;[3]DCBase!S70&amp;"mm"))</f>
        <v>10x5 APC Sport</v>
      </c>
      <c r="D76" s="65">
        <f>IF(propInventory[[#This Row],[myid]]="","",[3]DCBase!D70)</f>
        <v>10</v>
      </c>
      <c r="E76" s="65">
        <f>IF(propInventory[[#This Row],[myid]]="","",[3]DCBase!E70)</f>
        <v>5</v>
      </c>
      <c r="F76" s="66">
        <f>IF(propInventory[[#This Row],[myid]]="","",[3]DCBase!F70)</f>
        <v>0</v>
      </c>
      <c r="G76" s="66">
        <f>IF(propInventory[[#This Row],[myid]]="","",[3]DCBase!G70)</f>
        <v>0</v>
      </c>
      <c r="H76" s="66">
        <f>IF(propInventory[[#This Row],[myid]]="","",352.98/([3]DCBase!I70+273.15)*(1-0.0000225577*[3]DCBase!H70)^5.25578)</f>
        <v>1.2249869859448206</v>
      </c>
      <c r="I76" s="56">
        <f>IF(propInventory[[#This Row],[myid]]="","",[3]DCBase!K70)</f>
        <v>0.2437028</v>
      </c>
      <c r="J76" s="67">
        <f>IF(propInventory[[#This Row],[myid]]="","",[3]DCBase!L70)</f>
        <v>2.9966547079999999</v>
      </c>
      <c r="K76" s="66">
        <f>IF(propInventory[[#This Row],[myid]]="","",352.98/([3]DCBase!N70+273.15)*(1-0.0000225577*[3]DCBase!M70)^5.25578)</f>
        <v>1.182130401350806</v>
      </c>
      <c r="L76" s="70"/>
      <c r="M76" s="71"/>
      <c r="O76" s="68"/>
      <c r="P76" s="69"/>
      <c r="Q76" s="69"/>
      <c r="R76" s="69"/>
    </row>
    <row r="77" spans="1:18" ht="15" customHeight="1">
      <c r="A77" s="84">
        <f>VLOOKUP(propInventory[[#This Row],[Prop Name]],[2]!propInventory3[[Prop Name]:[Instock?]],10,FALSE)</f>
        <v>0</v>
      </c>
      <c r="B77" s="84">
        <f>IF([3]DCBase!$A71="","",[3]DCBase!$A71)</f>
        <v>71</v>
      </c>
      <c r="C77" s="80" t="str">
        <f>IF(propInventory[[#This Row],[myid]]="","",IF([3]DCBase!R71=0,[3]DCBase!D71&amp;"x"&amp;[3]DCBase!E71&amp;" "&amp;[3]DCBase!C71,[3]DCBase!D71&amp;"x"&amp;[3]DCBase!E71&amp;" "&amp;[3]DCBase!C71&amp;" "&amp;[3]DCBase!S71&amp;"mm"))</f>
        <v>10x6 AeroCAM 42mm</v>
      </c>
      <c r="D77" s="65">
        <f>IF(propInventory[[#This Row],[myid]]="","",[3]DCBase!D71)</f>
        <v>10</v>
      </c>
      <c r="E77" s="65">
        <f>IF(propInventory[[#This Row],[myid]]="","",[3]DCBase!E71)</f>
        <v>6</v>
      </c>
      <c r="F77" s="66">
        <f>IF(propInventory[[#This Row],[myid]]="","",[3]DCBase!F71)</f>
        <v>8.2632860000000008</v>
      </c>
      <c r="G77" s="66">
        <f>IF(propInventory[[#This Row],[myid]]="","",[3]DCBase!G71)</f>
        <v>2.201597</v>
      </c>
      <c r="H77" s="66">
        <f>IF(propInventory[[#This Row],[myid]]="","",352.98/([3]DCBase!I71+273.15)*(1-0.0000225577*[3]DCBase!H71)^5.25578)</f>
        <v>1.2249869859448206</v>
      </c>
      <c r="I77" s="56">
        <f>IF(propInventory[[#This Row],[myid]]="","",[3]DCBase!K71)</f>
        <v>0.20672409999999999</v>
      </c>
      <c r="J77" s="67">
        <f>IF(propInventory[[#This Row],[myid]]="","",[3]DCBase!L71)</f>
        <v>3</v>
      </c>
      <c r="K77" s="66">
        <f>IF(propInventory[[#This Row],[myid]]="","",352.98/([3]DCBase!N71+273.15)*(1-0.0000225577*[3]DCBase!M71)^5.25578)</f>
        <v>1.2249869859448206</v>
      </c>
      <c r="L77" s="70"/>
      <c r="M77" s="71"/>
      <c r="O77" s="68"/>
      <c r="P77" s="69"/>
      <c r="Q77" s="69"/>
      <c r="R77" s="69"/>
    </row>
    <row r="78" spans="1:18" ht="15" customHeight="1">
      <c r="A78" s="84">
        <f>VLOOKUP(propInventory[[#This Row],[Prop Name]],[2]!propInventory3[[Prop Name]:[Instock?]],10,FALSE)</f>
        <v>0</v>
      </c>
      <c r="B78" s="84">
        <f>IF([3]DCBase!$A72="","",[3]DCBase!$A72)</f>
        <v>72</v>
      </c>
      <c r="C78" s="80" t="str">
        <f>IF(propInventory[[#This Row],[myid]]="","",IF([3]DCBase!R72=0,[3]DCBase!D72&amp;"x"&amp;[3]DCBase!E72&amp;" "&amp;[3]DCBase!C72,[3]DCBase!D72&amp;"x"&amp;[3]DCBase!E72&amp;" "&amp;[3]DCBase!C72&amp;" "&amp;[3]DCBase!S72&amp;"mm"))</f>
        <v>10x6 Aeronaut E-Prop</v>
      </c>
      <c r="D78" s="65">
        <f>IF(propInventory[[#This Row],[myid]]="","",[3]DCBase!D72)</f>
        <v>10</v>
      </c>
      <c r="E78" s="65">
        <f>IF(propInventory[[#This Row],[myid]]="","",[3]DCBase!E72)</f>
        <v>6</v>
      </c>
      <c r="F78" s="66">
        <f>IF(propInventory[[#This Row],[myid]]="","",[3]DCBase!F72)</f>
        <v>0</v>
      </c>
      <c r="G78" s="66">
        <f>IF(propInventory[[#This Row],[myid]]="","",[3]DCBase!G72)</f>
        <v>0</v>
      </c>
      <c r="H78" s="66">
        <f>IF(propInventory[[#This Row],[myid]]="","",352.98/([3]DCBase!I72+273.15)*(1-0.0000225577*[3]DCBase!H72)^5.25578)</f>
        <v>1.2249869859448206</v>
      </c>
      <c r="I78" s="56">
        <f>IF(propInventory[[#This Row],[myid]]="","",[3]DCBase!K72)</f>
        <v>0.23894299999999999</v>
      </c>
      <c r="J78" s="67">
        <f>IF(propInventory[[#This Row],[myid]]="","",[3]DCBase!L72)</f>
        <v>3</v>
      </c>
      <c r="K78" s="66">
        <f>IF(propInventory[[#This Row],[myid]]="","",352.98/([3]DCBase!N72+273.15)*(1-0.0000225577*[3]DCBase!M72)^5.25578)</f>
        <v>1.2249869859448206</v>
      </c>
      <c r="L78" s="70"/>
      <c r="M78" s="71"/>
      <c r="O78" s="68"/>
      <c r="P78" s="69"/>
      <c r="Q78" s="69"/>
      <c r="R78" s="69"/>
    </row>
    <row r="79" spans="1:18" ht="15" customHeight="1">
      <c r="A79" s="84">
        <f>VLOOKUP(propInventory[[#This Row],[Prop Name]],[2]!propInventory3[[Prop Name]:[Instock?]],10,FALSE)</f>
        <v>0</v>
      </c>
      <c r="B79" s="84">
        <f>IF([3]DCBase!$A73="","",[3]DCBase!$A73)</f>
        <v>73</v>
      </c>
      <c r="C79" s="80" t="str">
        <f>IF(propInventory[[#This Row],[myid]]="","",IF([3]DCBase!R73=0,[3]DCBase!D73&amp;"x"&amp;[3]DCBase!E73&amp;" "&amp;[3]DCBase!C73,[3]DCBase!D73&amp;"x"&amp;[3]DCBase!E73&amp;" "&amp;[3]DCBase!C73&amp;" "&amp;[3]DCBase!S73&amp;"mm"))</f>
        <v>10x6 APC Sport</v>
      </c>
      <c r="D79" s="65">
        <f>IF(propInventory[[#This Row],[myid]]="","",[3]DCBase!D73)</f>
        <v>10</v>
      </c>
      <c r="E79" s="65">
        <f>IF(propInventory[[#This Row],[myid]]="","",[3]DCBase!E73)</f>
        <v>6</v>
      </c>
      <c r="F79" s="66">
        <f>IF(propInventory[[#This Row],[myid]]="","",[3]DCBase!F73)</f>
        <v>0</v>
      </c>
      <c r="G79" s="66">
        <f>IF(propInventory[[#This Row],[myid]]="","",[3]DCBase!G73)</f>
        <v>0</v>
      </c>
      <c r="H79" s="66">
        <f>IF(propInventory[[#This Row],[myid]]="","",352.98/([3]DCBase!I73+273.15)*(1-0.0000225577*[3]DCBase!H73)^5.25578)</f>
        <v>1.2249869859448206</v>
      </c>
      <c r="I79" s="56">
        <f>IF(propInventory[[#This Row],[myid]]="","",[3]DCBase!K73)</f>
        <v>0.26964310000000002</v>
      </c>
      <c r="J79" s="67">
        <f>IF(propInventory[[#This Row],[myid]]="","",[3]DCBase!L73)</f>
        <v>2.9934259999999999</v>
      </c>
      <c r="K79" s="66">
        <f>IF(propInventory[[#This Row],[myid]]="","",352.98/([3]DCBase!N73+273.15)*(1-0.0000225577*[3]DCBase!M73)^5.25578)</f>
        <v>1.182130401350806</v>
      </c>
      <c r="L79" s="70"/>
      <c r="M79" s="71"/>
      <c r="O79" s="68"/>
      <c r="P79" s="69"/>
      <c r="Q79" s="69"/>
      <c r="R79" s="69"/>
    </row>
    <row r="80" spans="1:18" ht="15" customHeight="1">
      <c r="A80" s="84">
        <f>VLOOKUP(propInventory[[#This Row],[Prop Name]],[2]!propInventory3[[Prop Name]:[Instock?]],10,FALSE)</f>
        <v>0</v>
      </c>
      <c r="B80" s="84">
        <f>IF([3]DCBase!$A74="","",[3]DCBase!$A74)</f>
        <v>74</v>
      </c>
      <c r="C80" s="80" t="str">
        <f>IF(propInventory[[#This Row],[myid]]="","",IF([3]DCBase!R74=0,[3]DCBase!D74&amp;"x"&amp;[3]DCBase!E74&amp;" "&amp;[3]DCBase!C74,[3]DCBase!D74&amp;"x"&amp;[3]DCBase!E74&amp;" "&amp;[3]DCBase!C74&amp;" "&amp;[3]DCBase!S74&amp;"mm"))</f>
        <v>10x7 AeroCarbon 42mm</v>
      </c>
      <c r="D80" s="65">
        <f>IF(propInventory[[#This Row],[myid]]="","",[3]DCBase!D74)</f>
        <v>10</v>
      </c>
      <c r="E80" s="65">
        <f>IF(propInventory[[#This Row],[myid]]="","",[3]DCBase!E74)</f>
        <v>7</v>
      </c>
      <c r="F80" s="66">
        <f>IF(propInventory[[#This Row],[myid]]="","",[3]DCBase!F74)</f>
        <v>7.6032260000000003</v>
      </c>
      <c r="G80" s="66">
        <f>IF(propInventory[[#This Row],[myid]]="","",[3]DCBase!G74)</f>
        <v>2.2890190000000001</v>
      </c>
      <c r="H80" s="66">
        <f>IF(propInventory[[#This Row],[myid]]="","",352.98/([3]DCBase!I74+273.15)*(1-0.0000225577*[3]DCBase!H74)^5.25578)</f>
        <v>1.1801594788826961</v>
      </c>
      <c r="I80" s="56">
        <f>IF(propInventory[[#This Row],[myid]]="","",[3]DCBase!K74)</f>
        <v>0.34004400000000001</v>
      </c>
      <c r="J80" s="67">
        <f>IF(propInventory[[#This Row],[myid]]="","",[3]DCBase!L74)</f>
        <v>3</v>
      </c>
      <c r="K80" s="66">
        <f>IF(propInventory[[#This Row],[myid]]="","",352.98/([3]DCBase!N74+273.15)*(1-0.0000225577*[3]DCBase!M74)^5.25578)</f>
        <v>1.2249869859448206</v>
      </c>
      <c r="O80" s="68"/>
      <c r="P80" s="69"/>
      <c r="Q80" s="69"/>
      <c r="R80" s="69"/>
    </row>
    <row r="81" spans="1:18" ht="15">
      <c r="A81" s="84">
        <f>VLOOKUP(propInventory[[#This Row],[Prop Name]],[2]!propInventory3[[Prop Name]:[Instock?]],10,FALSE)</f>
        <v>0</v>
      </c>
      <c r="B81" s="84">
        <f>IF([3]DCBase!$A75="","",[3]DCBase!$A75)</f>
        <v>75</v>
      </c>
      <c r="C81" s="80" t="str">
        <f>IF(propInventory[[#This Row],[myid]]="","",IF([3]DCBase!R75=0,[3]DCBase!D75&amp;"x"&amp;[3]DCBase!E75&amp;" "&amp;[3]DCBase!C75,[3]DCBase!D75&amp;"x"&amp;[3]DCBase!E75&amp;" "&amp;[3]DCBase!C75&amp;" "&amp;[3]DCBase!S75&amp;"mm"))</f>
        <v>10x7 Aeronaut E-Prop</v>
      </c>
      <c r="D81" s="65">
        <f>IF(propInventory[[#This Row],[myid]]="","",[3]DCBase!D75)</f>
        <v>10</v>
      </c>
      <c r="E81" s="65">
        <f>IF(propInventory[[#This Row],[myid]]="","",[3]DCBase!E75)</f>
        <v>7</v>
      </c>
      <c r="F81" s="66">
        <f>IF(propInventory[[#This Row],[myid]]="","",[3]DCBase!F75)</f>
        <v>17.585989999999999</v>
      </c>
      <c r="G81" s="66">
        <f>IF(propInventory[[#This Row],[myid]]="","",[3]DCBase!G75)</f>
        <v>1.9661249999999999</v>
      </c>
      <c r="H81" s="66">
        <f>IF(propInventory[[#This Row],[myid]]="","",352.98/([3]DCBase!I75+273.15)*(1-0.0000225577*[3]DCBase!H75)^5.25578)</f>
        <v>1.1758151638376082</v>
      </c>
      <c r="I81" s="56">
        <f>IF(propInventory[[#This Row],[myid]]="","",[3]DCBase!K75)</f>
        <v>0.30308600000000002</v>
      </c>
      <c r="J81" s="67">
        <f>IF(propInventory[[#This Row],[myid]]="","",[3]DCBase!L75)</f>
        <v>3</v>
      </c>
      <c r="K81" s="66">
        <f>IF(propInventory[[#This Row],[myid]]="","",352.98/([3]DCBase!N75+273.15)*(1-0.0000225577*[3]DCBase!M75)^5.25578)</f>
        <v>1.2249869859448206</v>
      </c>
      <c r="O81" s="68"/>
      <c r="P81" s="69"/>
      <c r="Q81" s="69"/>
      <c r="R81" s="69"/>
    </row>
    <row r="82" spans="1:18" ht="15">
      <c r="A82" s="84">
        <f>VLOOKUP(propInventory[[#This Row],[Prop Name]],[2]!propInventory3[[Prop Name]:[Instock?]],10,FALSE)</f>
        <v>0</v>
      </c>
      <c r="B82" s="84">
        <f>IF([3]DCBase!$A76="","",[3]DCBase!$A76)</f>
        <v>76</v>
      </c>
      <c r="C82" s="80" t="str">
        <f>IF(propInventory[[#This Row],[myid]]="","",IF([3]DCBase!R76=0,[3]DCBase!D76&amp;"x"&amp;[3]DCBase!E76&amp;" "&amp;[3]DCBase!C76,[3]DCBase!D76&amp;"x"&amp;[3]DCBase!E76&amp;" "&amp;[3]DCBase!C76&amp;" "&amp;[3]DCBase!S76&amp;"mm"))</f>
        <v>10x7 APC E</v>
      </c>
      <c r="D82" s="65">
        <f>IF(propInventory[[#This Row],[myid]]="","",[3]DCBase!D76)</f>
        <v>10</v>
      </c>
      <c r="E82" s="65">
        <f>IF(propInventory[[#This Row],[myid]]="","",[3]DCBase!E76)</f>
        <v>7</v>
      </c>
      <c r="F82" s="66">
        <f>IF(propInventory[[#This Row],[myid]]="","",[3]DCBase!F76)</f>
        <v>11.929539999999999</v>
      </c>
      <c r="G82" s="66">
        <f>IF(propInventory[[#This Row],[myid]]="","",[3]DCBase!G76)</f>
        <v>2.1432579999999999</v>
      </c>
      <c r="H82" s="66">
        <f>IF(propInventory[[#This Row],[myid]]="","",352.98/([3]DCBase!I76+273.15)*(1-0.0000225577*[3]DCBase!H76)^5.25578)</f>
        <v>1.1758151638376082</v>
      </c>
      <c r="I82" s="56">
        <f>IF(propInventory[[#This Row],[myid]]="","",[3]DCBase!K76)</f>
        <v>0.24341160000000001</v>
      </c>
      <c r="J82" s="67">
        <f>IF(propInventory[[#This Row],[myid]]="","",[3]DCBase!L76)</f>
        <v>3.1066319999999998</v>
      </c>
      <c r="K82" s="66">
        <f>IF(propInventory[[#This Row],[myid]]="","",352.98/([3]DCBase!N76+273.15)*(1-0.0000225577*[3]DCBase!M76)^5.25578)</f>
        <v>1.1952155100729527</v>
      </c>
      <c r="O82" s="68"/>
      <c r="P82" s="69"/>
      <c r="Q82" s="69"/>
      <c r="R82" s="69"/>
    </row>
    <row r="83" spans="1:18" ht="15">
      <c r="A83" s="84">
        <f>VLOOKUP(propInventory[[#This Row],[Prop Name]],[2]!propInventory3[[Prop Name]:[Instock?]],10,FALSE)</f>
        <v>0</v>
      </c>
      <c r="B83" s="84">
        <f>IF([3]DCBase!$A77="","",[3]DCBase!$A77)</f>
        <v>77</v>
      </c>
      <c r="C83" s="80" t="str">
        <f>IF(propInventory[[#This Row],[myid]]="","",IF([3]DCBase!R77=0,[3]DCBase!D77&amp;"x"&amp;[3]DCBase!E77&amp;" "&amp;[3]DCBase!C77,[3]DCBase!D77&amp;"x"&amp;[3]DCBase!E77&amp;" "&amp;[3]DCBase!C77&amp;" "&amp;[3]DCBase!S77&amp;"mm"))</f>
        <v>10x7 APC SF</v>
      </c>
      <c r="D83" s="65">
        <f>IF(propInventory[[#This Row],[myid]]="","",[3]DCBase!D77)</f>
        <v>10</v>
      </c>
      <c r="E83" s="65">
        <f>IF(propInventory[[#This Row],[myid]]="","",[3]DCBase!E77)</f>
        <v>7</v>
      </c>
      <c r="F83" s="66">
        <f>IF(propInventory[[#This Row],[myid]]="","",[3]DCBase!F77)</f>
        <v>21.318149999999999</v>
      </c>
      <c r="G83" s="66">
        <f>IF(propInventory[[#This Row],[myid]]="","",[3]DCBase!G77)</f>
        <v>2.0824973899999999</v>
      </c>
      <c r="H83" s="66">
        <f>IF(propInventory[[#This Row],[myid]]="","",352.98/([3]DCBase!I77+273.15)*(1-0.0000225577*[3]DCBase!H77)^5.25578)</f>
        <v>1.220968625325449</v>
      </c>
      <c r="I83" s="56">
        <f>IF(propInventory[[#This Row],[myid]]="","",[3]DCBase!K77)</f>
        <v>0.55402589999999996</v>
      </c>
      <c r="J83" s="67">
        <f>IF(propInventory[[#This Row],[myid]]="","",[3]DCBase!L77)</f>
        <v>3</v>
      </c>
      <c r="K83" s="66">
        <f>IF(propInventory[[#This Row],[myid]]="","",352.98/([3]DCBase!N77+273.15)*(1-0.0000225577*[3]DCBase!M77)^5.25578)</f>
        <v>1.2514764974556585</v>
      </c>
      <c r="O83" s="68"/>
      <c r="P83" s="69"/>
      <c r="Q83" s="69"/>
      <c r="R83" s="69"/>
    </row>
    <row r="84" spans="1:18" ht="15">
      <c r="A84" s="84">
        <f>VLOOKUP(propInventory[[#This Row],[Prop Name]],[2]!propInventory3[[Prop Name]:[Instock?]],10,FALSE)</f>
        <v>0</v>
      </c>
      <c r="B84" s="84">
        <f>IF([3]DCBase!$A78="","",[3]DCBase!$A78)</f>
        <v>78</v>
      </c>
      <c r="C84" s="80" t="str">
        <f>IF(propInventory[[#This Row],[myid]]="","",IF([3]DCBase!R78=0,[3]DCBase!D78&amp;"x"&amp;[3]DCBase!E78&amp;" "&amp;[3]DCBase!C78,[3]DCBase!D78&amp;"x"&amp;[3]DCBase!E78&amp;" "&amp;[3]DCBase!C78&amp;" "&amp;[3]DCBase!S78&amp;"mm"))</f>
        <v>10x7 APC Sport</v>
      </c>
      <c r="D84" s="65">
        <f>IF(propInventory[[#This Row],[myid]]="","",[3]DCBase!D78)</f>
        <v>10</v>
      </c>
      <c r="E84" s="65">
        <f>IF(propInventory[[#This Row],[myid]]="","",[3]DCBase!E78)</f>
        <v>7</v>
      </c>
      <c r="F84" s="66">
        <f>IF(propInventory[[#This Row],[myid]]="","",[3]DCBase!F78)</f>
        <v>0</v>
      </c>
      <c r="G84" s="66">
        <f>IF(propInventory[[#This Row],[myid]]="","",[3]DCBase!G78)</f>
        <v>0</v>
      </c>
      <c r="H84" s="66">
        <f>IF(propInventory[[#This Row],[myid]]="","",352.98/([3]DCBase!I78+273.15)*(1-0.0000225577*[3]DCBase!H78)^5.25578)</f>
        <v>1.2249869859448206</v>
      </c>
      <c r="I84" s="56">
        <f>IF(propInventory[[#This Row],[myid]]="","",[3]DCBase!K78)</f>
        <v>0.3096949</v>
      </c>
      <c r="J84" s="67">
        <f>IF(propInventory[[#This Row],[myid]]="","",[3]DCBase!L78)</f>
        <v>3.0015956959999999</v>
      </c>
      <c r="K84" s="66">
        <f>IF(propInventory[[#This Row],[myid]]="","",352.98/([3]DCBase!N78+273.15)*(1-0.0000225577*[3]DCBase!M78)^5.25578)</f>
        <v>1.182130401350806</v>
      </c>
      <c r="O84" s="69"/>
      <c r="P84" s="69"/>
      <c r="Q84" s="69"/>
      <c r="R84" s="69"/>
    </row>
    <row r="85" spans="1:18" ht="15">
      <c r="A85" s="84">
        <f>VLOOKUP(propInventory[[#This Row],[Prop Name]],[2]!propInventory3[[Prop Name]:[Instock?]],10,FALSE)</f>
        <v>0</v>
      </c>
      <c r="B85" s="84">
        <f>IF([3]DCBase!$A79="","",[3]DCBase!$A79)</f>
        <v>79</v>
      </c>
      <c r="C85" s="80" t="str">
        <f>IF(propInventory[[#This Row],[myid]]="","",IF([3]DCBase!R79=0,[3]DCBase!D79&amp;"x"&amp;[3]DCBase!E79&amp;" "&amp;[3]DCBase!C79,[3]DCBase!D79&amp;"x"&amp;[3]DCBase!E79&amp;" "&amp;[3]DCBase!C79&amp;" "&amp;[3]DCBase!S79&amp;"mm"))</f>
        <v>10x8 AeroCAM 42mm</v>
      </c>
      <c r="D85" s="65">
        <f>IF(propInventory[[#This Row],[myid]]="","",[3]DCBase!D79)</f>
        <v>10</v>
      </c>
      <c r="E85" s="65">
        <f>IF(propInventory[[#This Row],[myid]]="","",[3]DCBase!E79)</f>
        <v>8</v>
      </c>
      <c r="F85" s="66">
        <f>IF(propInventory[[#This Row],[myid]]="","",[3]DCBase!F79)</f>
        <v>9.5795659999999998</v>
      </c>
      <c r="G85" s="66">
        <f>IF(propInventory[[#This Row],[myid]]="","",[3]DCBase!G79)</f>
        <v>2.2064080000000001</v>
      </c>
      <c r="H85" s="66">
        <f>IF(propInventory[[#This Row],[myid]]="","",352.98/([3]DCBase!I79+273.15)*(1-0.0000225577*[3]DCBase!H79)^5.25578)</f>
        <v>1.2249869859448206</v>
      </c>
      <c r="I85" s="56">
        <f>IF(propInventory[[#This Row],[myid]]="","",[3]DCBase!K79)</f>
        <v>0.29890169999999999</v>
      </c>
      <c r="J85" s="67">
        <f>IF(propInventory[[#This Row],[myid]]="","",[3]DCBase!L79)</f>
        <v>3.08</v>
      </c>
      <c r="K85" s="66">
        <f>IF(propInventory[[#This Row],[myid]]="","",352.98/([3]DCBase!N79+273.15)*(1-0.0000225577*[3]DCBase!M79)^5.25578)</f>
        <v>1.2249869859448206</v>
      </c>
      <c r="O85" s="69"/>
      <c r="P85" s="69"/>
      <c r="Q85" s="69"/>
      <c r="R85" s="69"/>
    </row>
    <row r="86" spans="1:18" ht="15">
      <c r="A86" s="84">
        <f>VLOOKUP(propInventory[[#This Row],[Prop Name]],[2]!propInventory3[[Prop Name]:[Instock?]],10,FALSE)</f>
        <v>0</v>
      </c>
      <c r="B86" s="84">
        <f>IF([3]DCBase!$A80="","",[3]DCBase!$A80)</f>
        <v>80</v>
      </c>
      <c r="C86" s="80" t="str">
        <f>IF(propInventory[[#This Row],[myid]]="","",IF([3]DCBase!R80=0,[3]DCBase!D80&amp;"x"&amp;[3]DCBase!E80&amp;" "&amp;[3]DCBase!C80,[3]DCBase!D80&amp;"x"&amp;[3]DCBase!E80&amp;" "&amp;[3]DCBase!C80&amp;" "&amp;[3]DCBase!S80&amp;"mm"))</f>
        <v>10x8 Aeronaut E-Prop</v>
      </c>
      <c r="D86" s="65">
        <f>IF(propInventory[[#This Row],[myid]]="","",[3]DCBase!D80)</f>
        <v>10</v>
      </c>
      <c r="E86" s="65">
        <f>IF(propInventory[[#This Row],[myid]]="","",[3]DCBase!E80)</f>
        <v>8</v>
      </c>
      <c r="F86" s="66">
        <f>IF(propInventory[[#This Row],[myid]]="","",[3]DCBase!F80)</f>
        <v>0</v>
      </c>
      <c r="G86" s="66">
        <f>IF(propInventory[[#This Row],[myid]]="","",[3]DCBase!G80)</f>
        <v>0</v>
      </c>
      <c r="H86" s="66">
        <f>IF(propInventory[[#This Row],[myid]]="","",352.98/([3]DCBase!I80+273.15)*(1-0.0000225577*[3]DCBase!H80)^5.25578)</f>
        <v>1.2249869859448206</v>
      </c>
      <c r="I86" s="56">
        <f>IF(propInventory[[#This Row],[myid]]="","",[3]DCBase!K80)</f>
        <v>0.42574000000000001</v>
      </c>
      <c r="J86" s="67">
        <f>IF(propInventory[[#This Row],[myid]]="","",[3]DCBase!L80)</f>
        <v>3</v>
      </c>
      <c r="K86" s="66">
        <f>IF(propInventory[[#This Row],[myid]]="","",352.98/([3]DCBase!N80+273.15)*(1-0.0000225577*[3]DCBase!M80)^5.25578)</f>
        <v>1.2249869859448206</v>
      </c>
      <c r="O86" s="69"/>
      <c r="P86" s="69"/>
      <c r="Q86" s="69"/>
      <c r="R86" s="69"/>
    </row>
    <row r="87" spans="1:18" ht="15">
      <c r="A87" s="84">
        <f>VLOOKUP(propInventory[[#This Row],[Prop Name]],[2]!propInventory3[[Prop Name]:[Instock?]],10,FALSE)</f>
        <v>0</v>
      </c>
      <c r="B87" s="84">
        <f>IF([3]DCBase!$A81="","",[3]DCBase!$A81)</f>
        <v>81</v>
      </c>
      <c r="C87" s="80" t="str">
        <f>IF(propInventory[[#This Row],[myid]]="","",IF([3]DCBase!R81=0,[3]DCBase!D81&amp;"x"&amp;[3]DCBase!E81&amp;" "&amp;[3]DCBase!C81,[3]DCBase!D81&amp;"x"&amp;[3]DCBase!E81&amp;" "&amp;[3]DCBase!C81&amp;" "&amp;[3]DCBase!S81&amp;"mm"))</f>
        <v>10x8 APC Sport</v>
      </c>
      <c r="D87" s="65">
        <f>IF(propInventory[[#This Row],[myid]]="","",[3]DCBase!D81)</f>
        <v>10</v>
      </c>
      <c r="E87" s="65">
        <f>IF(propInventory[[#This Row],[myid]]="","",[3]DCBase!E81)</f>
        <v>8</v>
      </c>
      <c r="F87" s="66">
        <f>IF(propInventory[[#This Row],[myid]]="","",[3]DCBase!F81)</f>
        <v>0</v>
      </c>
      <c r="G87" s="66">
        <f>IF(propInventory[[#This Row],[myid]]="","",[3]DCBase!G81)</f>
        <v>0</v>
      </c>
      <c r="H87" s="66">
        <f>IF(propInventory[[#This Row],[myid]]="","",352.98/([3]DCBase!I81+273.15)*(1-0.0000225577*[3]DCBase!H81)^5.25578)</f>
        <v>1.2249869859448206</v>
      </c>
      <c r="I87" s="56">
        <f>IF(propInventory[[#This Row],[myid]]="","",[3]DCBase!K81)</f>
        <v>0.37338900000000003</v>
      </c>
      <c r="J87" s="67">
        <f>IF(propInventory[[#This Row],[myid]]="","",[3]DCBase!L81)</f>
        <v>3</v>
      </c>
      <c r="K87" s="66">
        <f>IF(propInventory[[#This Row],[myid]]="","",352.98/([3]DCBase!N81+273.15)*(1-0.0000225577*[3]DCBase!M81)^5.25578)</f>
        <v>1.182130401350806</v>
      </c>
      <c r="O87" s="69"/>
      <c r="P87" s="69"/>
      <c r="Q87" s="69"/>
      <c r="R87" s="69"/>
    </row>
    <row r="88" spans="1:18" ht="15">
      <c r="A88" s="84">
        <f>VLOOKUP(propInventory[[#This Row],[Prop Name]],[2]!propInventory3[[Prop Name]:[Instock?]],10,FALSE)</f>
        <v>0</v>
      </c>
      <c r="B88" s="84">
        <f>IF([3]DCBase!$A82="","",[3]DCBase!$A82)</f>
        <v>82</v>
      </c>
      <c r="C88" s="80" t="str">
        <f>IF(propInventory[[#This Row],[myid]]="","",IF([3]DCBase!R82=0,[3]DCBase!D82&amp;"x"&amp;[3]DCBase!E82&amp;" "&amp;[3]DCBase!C82,[3]DCBase!D82&amp;"x"&amp;[3]DCBase!E82&amp;" "&amp;[3]DCBase!C82&amp;" "&amp;[3]DCBase!S82&amp;"mm"))</f>
        <v>10x8 GWS RS</v>
      </c>
      <c r="D88" s="65">
        <f>IF(propInventory[[#This Row],[myid]]="","",[3]DCBase!D82)</f>
        <v>10</v>
      </c>
      <c r="E88" s="65">
        <f>IF(propInventory[[#This Row],[myid]]="","",[3]DCBase!E82)</f>
        <v>8</v>
      </c>
      <c r="F88" s="66">
        <f>IF(propInventory[[#This Row],[myid]]="","",[3]DCBase!F82)</f>
        <v>19.89725</v>
      </c>
      <c r="G88" s="66">
        <f>IF(propInventory[[#This Row],[myid]]="","",[3]DCBase!G82)</f>
        <v>2.1021159410000001</v>
      </c>
      <c r="H88" s="66">
        <f>IF(propInventory[[#This Row],[myid]]="","",352.98/([3]DCBase!I82+273.15)*(1-0.0000225577*[3]DCBase!H82)^5.25578)</f>
        <v>1.1758151638376082</v>
      </c>
      <c r="I88" s="56">
        <f>IF(propInventory[[#This Row],[myid]]="","",[3]DCBase!K82)</f>
        <v>0.41199999999999998</v>
      </c>
      <c r="J88" s="67">
        <f>IF(propInventory[[#This Row],[myid]]="","",[3]DCBase!L82)</f>
        <v>3</v>
      </c>
      <c r="K88" s="66">
        <f>IF(propInventory[[#This Row],[myid]]="","",352.98/([3]DCBase!N82+273.15)*(1-0.0000225577*[3]DCBase!M82)^5.25578)</f>
        <v>1.2249869859448206</v>
      </c>
      <c r="O88" s="69"/>
      <c r="P88" s="69"/>
      <c r="Q88" s="69"/>
      <c r="R88" s="69"/>
    </row>
    <row r="89" spans="1:18" ht="15">
      <c r="A89" s="84">
        <f>VLOOKUP(propInventory[[#This Row],[Prop Name]],[2]!propInventory3[[Prop Name]:[Instock?]],10,FALSE)</f>
        <v>0</v>
      </c>
      <c r="B89" s="84">
        <f>IF([3]DCBase!$A83="","",[3]DCBase!$A83)</f>
        <v>83</v>
      </c>
      <c r="C89" s="80" t="str">
        <f>IF(propInventory[[#This Row],[myid]]="","",IF([3]DCBase!R83=0,[3]DCBase!D83&amp;"x"&amp;[3]DCBase!E83&amp;" "&amp;[3]DCBase!C83,[3]DCBase!D83&amp;"x"&amp;[3]DCBase!E83&amp;" "&amp;[3]DCBase!C83&amp;" "&amp;[3]DCBase!S83&amp;"mm"))</f>
        <v>10x9 APC Sport</v>
      </c>
      <c r="D89" s="65">
        <f>IF(propInventory[[#This Row],[myid]]="","",[3]DCBase!D83)</f>
        <v>10</v>
      </c>
      <c r="E89" s="65">
        <f>IF(propInventory[[#This Row],[myid]]="","",[3]DCBase!E83)</f>
        <v>9</v>
      </c>
      <c r="F89" s="66">
        <f>IF(propInventory[[#This Row],[myid]]="","",[3]DCBase!F83)</f>
        <v>0</v>
      </c>
      <c r="G89" s="66">
        <f>IF(propInventory[[#This Row],[myid]]="","",[3]DCBase!G83)</f>
        <v>0</v>
      </c>
      <c r="H89" s="66">
        <f>IF(propInventory[[#This Row],[myid]]="","",352.98/([3]DCBase!I83+273.15)*(1-0.0000225577*[3]DCBase!H83)^5.25578)</f>
        <v>1.2249869859448206</v>
      </c>
      <c r="I89" s="56">
        <f>IF(propInventory[[#This Row],[myid]]="","",[3]DCBase!K83)</f>
        <v>0.461117</v>
      </c>
      <c r="J89" s="67">
        <f>IF(propInventory[[#This Row],[myid]]="","",[3]DCBase!L83)</f>
        <v>3</v>
      </c>
      <c r="K89" s="66">
        <f>IF(propInventory[[#This Row],[myid]]="","",352.98/([3]DCBase!N83+273.15)*(1-0.0000225577*[3]DCBase!M83)^5.25578)</f>
        <v>1.182130401350806</v>
      </c>
      <c r="O89" s="69"/>
      <c r="P89" s="69"/>
      <c r="Q89" s="69"/>
      <c r="R89" s="69"/>
    </row>
    <row r="90" spans="1:18" ht="15">
      <c r="A90" s="84">
        <f>VLOOKUP(propInventory[[#This Row],[Prop Name]],[2]!propInventory3[[Prop Name]:[Instock?]],10,FALSE)</f>
        <v>0</v>
      </c>
      <c r="B90" s="84">
        <f>IF([3]DCBase!$A84="","",[3]DCBase!$A84)</f>
        <v>84</v>
      </c>
      <c r="C90" s="80" t="str">
        <f>IF(propInventory[[#This Row],[myid]]="","",IF([3]DCBase!R84=0,[3]DCBase!D84&amp;"x"&amp;[3]DCBase!E84&amp;" "&amp;[3]DCBase!C84,[3]DCBase!D84&amp;"x"&amp;[3]DCBase!E84&amp;" "&amp;[3]DCBase!C84&amp;" "&amp;[3]DCBase!S84&amp;"mm"))</f>
        <v>10x10 APC E</v>
      </c>
      <c r="D90" s="65">
        <f>IF(propInventory[[#This Row],[myid]]="","",[3]DCBase!D84)</f>
        <v>10</v>
      </c>
      <c r="E90" s="65">
        <f>IF(propInventory[[#This Row],[myid]]="","",[3]DCBase!E84)</f>
        <v>10</v>
      </c>
      <c r="F90" s="66">
        <f>IF(propInventory[[#This Row],[myid]]="","",[3]DCBase!F84)</f>
        <v>0</v>
      </c>
      <c r="G90" s="66">
        <f>IF(propInventory[[#This Row],[myid]]="","",[3]DCBase!G84)</f>
        <v>0</v>
      </c>
      <c r="H90" s="66">
        <f>IF(propInventory[[#This Row],[myid]]="","",352.98/([3]DCBase!I84+273.15)*(1-0.0000225577*[3]DCBase!H84)^5.25578)</f>
        <v>1.2249869859448206</v>
      </c>
      <c r="I90" s="56">
        <f>IF(propInventory[[#This Row],[myid]]="","",[3]DCBase!K84)</f>
        <v>0.68000079999999996</v>
      </c>
      <c r="J90" s="67">
        <f>IF(propInventory[[#This Row],[myid]]="","",[3]DCBase!L84)</f>
        <v>2.9</v>
      </c>
      <c r="K90" s="66">
        <f>IF(propInventory[[#This Row],[myid]]="","",352.98/([3]DCBase!N84+273.15)*(1-0.0000225577*[3]DCBase!M84)^5.25578)</f>
        <v>1.1952155100729527</v>
      </c>
      <c r="O90" s="69"/>
      <c r="P90" s="69"/>
      <c r="Q90" s="69"/>
      <c r="R90" s="69"/>
    </row>
    <row r="91" spans="1:18" ht="15">
      <c r="A91" s="84">
        <f>VLOOKUP(propInventory[[#This Row],[Prop Name]],[2]!propInventory3[[Prop Name]:[Instock?]],10,FALSE)</f>
        <v>0</v>
      </c>
      <c r="B91" s="84">
        <f>IF([3]DCBase!$A85="","",[3]DCBase!$A85)</f>
        <v>85</v>
      </c>
      <c r="C91" s="80" t="str">
        <f>IF(propInventory[[#This Row],[myid]]="","",IF([3]DCBase!R85=0,[3]DCBase!D85&amp;"x"&amp;[3]DCBase!E85&amp;" "&amp;[3]DCBase!C85,[3]DCBase!D85&amp;"x"&amp;[3]DCBase!E85&amp;" "&amp;[3]DCBase!C85&amp;" "&amp;[3]DCBase!S85&amp;"mm"))</f>
        <v>10.5x6 AeroCarbon 42mm</v>
      </c>
      <c r="D91" s="65">
        <f>IF(propInventory[[#This Row],[myid]]="","",[3]DCBase!D85)</f>
        <v>10.5</v>
      </c>
      <c r="E91" s="65">
        <f>IF(propInventory[[#This Row],[myid]]="","",[3]DCBase!E85)</f>
        <v>6</v>
      </c>
      <c r="F91" s="66">
        <f>IF(propInventory[[#This Row],[myid]]="","",[3]DCBase!F85)</f>
        <v>13.9079</v>
      </c>
      <c r="G91" s="66">
        <f>IF(propInventory[[#This Row],[myid]]="","",[3]DCBase!G85)</f>
        <v>2</v>
      </c>
      <c r="H91" s="66">
        <f>IF(propInventory[[#This Row],[myid]]="","",352.98/([3]DCBase!I85+273.15)*(1-0.0000225577*[3]DCBase!H85)^5.25578)</f>
        <v>1.1874514592074905</v>
      </c>
      <c r="I91" s="56">
        <f>IF(propInventory[[#This Row],[myid]]="","",[3]DCBase!K85)</f>
        <v>0.2919505</v>
      </c>
      <c r="J91" s="67">
        <f>IF(propInventory[[#This Row],[myid]]="","",[3]DCBase!L85)</f>
        <v>3.08</v>
      </c>
      <c r="K91" s="66">
        <f>IF(propInventory[[#This Row],[myid]]="","",352.98/([3]DCBase!N85+273.15)*(1-0.0000225577*[3]DCBase!M85)^5.25578)</f>
        <v>1.2249869859448206</v>
      </c>
      <c r="O91" s="69"/>
      <c r="P91" s="69"/>
      <c r="Q91" s="69"/>
      <c r="R91" s="69"/>
    </row>
    <row r="92" spans="1:18" ht="15">
      <c r="A92" s="84">
        <f>VLOOKUP(propInventory[[#This Row],[Prop Name]],[2]!propInventory3[[Prop Name]:[Instock?]],10,FALSE)</f>
        <v>0</v>
      </c>
      <c r="B92" s="84">
        <f>IF([3]DCBase!$A86="","",[3]DCBase!$A86)</f>
        <v>86</v>
      </c>
      <c r="C92" s="80" t="str">
        <f>IF(propInventory[[#This Row],[myid]]="","",IF([3]DCBase!R86=0,[3]DCBase!D86&amp;"x"&amp;[3]DCBase!E86&amp;" "&amp;[3]DCBase!C86,[3]DCBase!D86&amp;"x"&amp;[3]DCBase!E86&amp;" "&amp;[3]DCBase!C86&amp;" "&amp;[3]DCBase!S86&amp;"mm"))</f>
        <v>10.5x6 Aeronaut E-Prop</v>
      </c>
      <c r="D92" s="65">
        <f>IF(propInventory[[#This Row],[myid]]="","",[3]DCBase!D86)</f>
        <v>10.5</v>
      </c>
      <c r="E92" s="65">
        <f>IF(propInventory[[#This Row],[myid]]="","",[3]DCBase!E86)</f>
        <v>6</v>
      </c>
      <c r="F92" s="66">
        <f>IF(propInventory[[#This Row],[myid]]="","",[3]DCBase!F86)</f>
        <v>0</v>
      </c>
      <c r="G92" s="66">
        <f>IF(propInventory[[#This Row],[myid]]="","",[3]DCBase!G86)</f>
        <v>0</v>
      </c>
      <c r="H92" s="66">
        <f>IF(propInventory[[#This Row],[myid]]="","",352.98/([3]DCBase!I86+273.15)*(1-0.0000225577*[3]DCBase!H86)^5.25578)</f>
        <v>1.2249869859448206</v>
      </c>
      <c r="I92" s="56">
        <f>IF(propInventory[[#This Row],[myid]]="","",[3]DCBase!K86)</f>
        <v>0.320857</v>
      </c>
      <c r="J92" s="67">
        <f>IF(propInventory[[#This Row],[myid]]="","",[3]DCBase!L86)</f>
        <v>3</v>
      </c>
      <c r="K92" s="66">
        <f>IF(propInventory[[#This Row],[myid]]="","",352.98/([3]DCBase!N86+273.15)*(1-0.0000225577*[3]DCBase!M86)^5.25578)</f>
        <v>1.2249869859448206</v>
      </c>
      <c r="O92" s="69"/>
      <c r="P92" s="69"/>
      <c r="Q92" s="69"/>
      <c r="R92" s="69"/>
    </row>
    <row r="93" spans="1:18" ht="15">
      <c r="A93" s="84">
        <f>VLOOKUP(propInventory[[#This Row],[Prop Name]],[2]!propInventory3[[Prop Name]:[Instock?]],10,FALSE)</f>
        <v>0</v>
      </c>
      <c r="B93" s="84">
        <f>IF([3]DCBase!$A87="","",[3]DCBase!$A87)</f>
        <v>87</v>
      </c>
      <c r="C93" s="80" t="str">
        <f>IF(propInventory[[#This Row],[myid]]="","",IF([3]DCBase!R87=0,[3]DCBase!D87&amp;"x"&amp;[3]DCBase!E87&amp;" "&amp;[3]DCBase!C87,[3]DCBase!D87&amp;"x"&amp;[3]DCBase!E87&amp;" "&amp;[3]DCBase!C87&amp;" "&amp;[3]DCBase!S87&amp;"mm"))</f>
        <v>10.5x7 Aeronaut E-Prop</v>
      </c>
      <c r="D93" s="65">
        <f>IF(propInventory[[#This Row],[myid]]="","",[3]DCBase!D87)</f>
        <v>10.5</v>
      </c>
      <c r="E93" s="65">
        <f>IF(propInventory[[#This Row],[myid]]="","",[3]DCBase!E87)</f>
        <v>7</v>
      </c>
      <c r="F93" s="66">
        <f>IF(propInventory[[#This Row],[myid]]="","",[3]DCBase!F87)</f>
        <v>0</v>
      </c>
      <c r="G93" s="66">
        <f>IF(propInventory[[#This Row],[myid]]="","",[3]DCBase!G87)</f>
        <v>0</v>
      </c>
      <c r="H93" s="66">
        <f>IF(propInventory[[#This Row],[myid]]="","",352.98/([3]DCBase!I87+273.15)*(1-0.0000225577*[3]DCBase!H87)^5.25578)</f>
        <v>1.2249869859448206</v>
      </c>
      <c r="I93" s="56">
        <f>IF(propInventory[[#This Row],[myid]]="","",[3]DCBase!K87)</f>
        <v>0.34004400000000001</v>
      </c>
      <c r="J93" s="67">
        <f>IF(propInventory[[#This Row],[myid]]="","",[3]DCBase!L87)</f>
        <v>3</v>
      </c>
      <c r="K93" s="66">
        <f>IF(propInventory[[#This Row],[myid]]="","",352.98/([3]DCBase!N87+273.15)*(1-0.0000225577*[3]DCBase!M87)^5.25578)</f>
        <v>1.2249869859448206</v>
      </c>
      <c r="O93" s="69"/>
      <c r="P93" s="69"/>
      <c r="Q93" s="69"/>
      <c r="R93" s="69"/>
    </row>
    <row r="94" spans="1:18" ht="15">
      <c r="A94" s="84">
        <f>VLOOKUP(propInventory[[#This Row],[Prop Name]],[2]!propInventory3[[Prop Name]:[Instock?]],10,FALSE)</f>
        <v>0</v>
      </c>
      <c r="B94" s="84">
        <f>IF([3]DCBase!$A88="","",[3]DCBase!$A88)</f>
        <v>88</v>
      </c>
      <c r="C94" s="80" t="str">
        <f>IF(propInventory[[#This Row],[myid]]="","",IF([3]DCBase!R88=0,[3]DCBase!D88&amp;"x"&amp;[3]DCBase!E88&amp;" "&amp;[3]DCBase!C88,[3]DCBase!D88&amp;"x"&amp;[3]DCBase!E88&amp;" "&amp;[3]DCBase!C88&amp;" "&amp;[3]DCBase!S88&amp;"mm"))</f>
        <v>10.5x8 Aeronaut E-Prop</v>
      </c>
      <c r="D94" s="65">
        <f>IF(propInventory[[#This Row],[myid]]="","",[3]DCBase!D88)</f>
        <v>10.5</v>
      </c>
      <c r="E94" s="65">
        <f>IF(propInventory[[#This Row],[myid]]="","",[3]DCBase!E88)</f>
        <v>8</v>
      </c>
      <c r="F94" s="66">
        <f>IF(propInventory[[#This Row],[myid]]="","",[3]DCBase!F88)</f>
        <v>0</v>
      </c>
      <c r="G94" s="66">
        <f>IF(propInventory[[#This Row],[myid]]="","",[3]DCBase!G88)</f>
        <v>0</v>
      </c>
      <c r="H94" s="66">
        <f>IF(propInventory[[#This Row],[myid]]="","",352.98/([3]DCBase!I88+273.15)*(1-0.0000225577*[3]DCBase!H88)^5.25578)</f>
        <v>1.2249869859448206</v>
      </c>
      <c r="I94" s="56">
        <f>IF(propInventory[[#This Row],[myid]]="","",[3]DCBase!K88)</f>
        <v>0.38146999999999998</v>
      </c>
      <c r="J94" s="67">
        <f>IF(propInventory[[#This Row],[myid]]="","",[3]DCBase!L88)</f>
        <v>3</v>
      </c>
      <c r="K94" s="66">
        <f>IF(propInventory[[#This Row],[myid]]="","",352.98/([3]DCBase!N88+273.15)*(1-0.0000225577*[3]DCBase!M88)^5.25578)</f>
        <v>1.2249869859448206</v>
      </c>
      <c r="O94" s="69"/>
      <c r="P94" s="69"/>
      <c r="Q94" s="69"/>
      <c r="R94" s="69"/>
    </row>
    <row r="95" spans="1:18" ht="15">
      <c r="A95" s="84">
        <f>VLOOKUP(propInventory[[#This Row],[Prop Name]],[2]!propInventory3[[Prop Name]:[Instock?]],10,FALSE)</f>
        <v>0</v>
      </c>
      <c r="B95" s="84">
        <f>IF([3]DCBase!$A89="","",[3]DCBase!$A89)</f>
        <v>89</v>
      </c>
      <c r="C95" s="80" t="str">
        <f>IF(propInventory[[#This Row],[myid]]="","",IF([3]DCBase!R89=0,[3]DCBase!D89&amp;"x"&amp;[3]DCBase!E89&amp;" "&amp;[3]DCBase!C89,[3]DCBase!D89&amp;"x"&amp;[3]DCBase!E89&amp;" "&amp;[3]DCBase!C89&amp;" "&amp;[3]DCBase!S89&amp;"mm"))</f>
        <v>11x3.8 APC SF</v>
      </c>
      <c r="D95" s="65">
        <f>IF(propInventory[[#This Row],[myid]]="","",[3]DCBase!D89)</f>
        <v>11</v>
      </c>
      <c r="E95" s="65">
        <f>IF(propInventory[[#This Row],[myid]]="","",[3]DCBase!E89)</f>
        <v>3.8</v>
      </c>
      <c r="F95" s="66">
        <f>IF(propInventory[[#This Row],[myid]]="","",[3]DCBase!F89)</f>
        <v>13.20801</v>
      </c>
      <c r="G95" s="66">
        <f>IF(propInventory[[#This Row],[myid]]="","",[3]DCBase!G89)</f>
        <v>2.2458459999999998</v>
      </c>
      <c r="H95" s="66">
        <f>IF(propInventory[[#This Row],[myid]]="","",352.98/([3]DCBase!I89+273.15)*(1-0.0000225577*[3]DCBase!H89)^5.25578)</f>
        <v>1.1758151638376082</v>
      </c>
      <c r="I95" s="56">
        <f>IF(propInventory[[#This Row],[myid]]="","",[3]DCBase!K89)</f>
        <v>0.1822627</v>
      </c>
      <c r="J95" s="67">
        <f>IF(propInventory[[#This Row],[myid]]="","",[3]DCBase!L89)</f>
        <v>3.4</v>
      </c>
      <c r="K95" s="66">
        <f>IF(propInventory[[#This Row],[myid]]="","",352.98/([3]DCBase!N89+273.15)*(1-0.0000225577*[3]DCBase!M89)^5.25578)</f>
        <v>1.1952155100729527</v>
      </c>
      <c r="O95" s="69"/>
      <c r="P95" s="69"/>
      <c r="Q95" s="69"/>
      <c r="R95" s="69"/>
    </row>
    <row r="96" spans="1:18" ht="15">
      <c r="A96" s="84">
        <f>VLOOKUP(propInventory[[#This Row],[Prop Name]],[2]!propInventory3[[Prop Name]:[Instock?]],10,FALSE)</f>
        <v>0</v>
      </c>
      <c r="B96" s="84">
        <f>IF([3]DCBase!$A90="","",[3]DCBase!$A90)</f>
        <v>90</v>
      </c>
      <c r="C96" s="80" t="str">
        <f>IF(propInventory[[#This Row],[myid]]="","",IF([3]DCBase!R90=0,[3]DCBase!D90&amp;"x"&amp;[3]DCBase!E90&amp;" "&amp;[3]DCBase!C90,[3]DCBase!D90&amp;"x"&amp;[3]DCBase!E90&amp;" "&amp;[3]DCBase!C90&amp;" "&amp;[3]DCBase!S90&amp;"mm"))</f>
        <v>11x4 Graupner CAM 42mm</v>
      </c>
      <c r="D96" s="65">
        <f>IF(propInventory[[#This Row],[myid]]="","",[3]DCBase!D90)</f>
        <v>11</v>
      </c>
      <c r="E96" s="65">
        <f>IF(propInventory[[#This Row],[myid]]="","",[3]DCBase!E90)</f>
        <v>4</v>
      </c>
      <c r="F96" s="66">
        <f>IF(propInventory[[#This Row],[myid]]="","",[3]DCBase!F90)</f>
        <v>13.767390000000001</v>
      </c>
      <c r="G96" s="66">
        <f>IF(propInventory[[#This Row],[myid]]="","",[3]DCBase!G90)</f>
        <v>2.0125000000000002</v>
      </c>
      <c r="H96" s="66">
        <f>IF(propInventory[[#This Row],[myid]]="","",352.98/([3]DCBase!I90+273.15)*(1-0.0000225577*[3]DCBase!H90)^5.25578)</f>
        <v>1.1952155100729527</v>
      </c>
      <c r="I96" s="56">
        <f>IF(propInventory[[#This Row],[myid]]="","",[3]DCBase!K90)</f>
        <v>0.20442830000000001</v>
      </c>
      <c r="J96" s="67">
        <f>IF(propInventory[[#This Row],[myid]]="","",[3]DCBase!L90)</f>
        <v>3.0366</v>
      </c>
      <c r="K96" s="66">
        <f>IF(propInventory[[#This Row],[myid]]="","",352.98/([3]DCBase!N90+273.15)*(1-0.0000225577*[3]DCBase!M90)^5.25578)</f>
        <v>1.1952155100729527</v>
      </c>
      <c r="O96" s="69"/>
      <c r="P96" s="69"/>
      <c r="Q96" s="69"/>
      <c r="R96" s="69"/>
    </row>
    <row r="97" spans="1:18" ht="15">
      <c r="A97" s="84">
        <f>VLOOKUP(propInventory[[#This Row],[Prop Name]],[2]!propInventory3[[Prop Name]:[Instock?]],10,FALSE)</f>
        <v>0</v>
      </c>
      <c r="B97" s="84">
        <f>IF([3]DCBase!$A91="","",[3]DCBase!$A91)</f>
        <v>91</v>
      </c>
      <c r="C97" s="80" t="str">
        <f>IF(propInventory[[#This Row],[myid]]="","",IF([3]DCBase!R91=0,[3]DCBase!D91&amp;"x"&amp;[3]DCBase!E91&amp;" "&amp;[3]DCBase!C91,[3]DCBase!D91&amp;"x"&amp;[3]DCBase!E91&amp;" "&amp;[3]DCBase!C91&amp;" "&amp;[3]DCBase!S91&amp;"mm"))</f>
        <v>11x4.7 APC SF</v>
      </c>
      <c r="D97" s="65">
        <f>IF(propInventory[[#This Row],[myid]]="","",[3]DCBase!D91)</f>
        <v>11</v>
      </c>
      <c r="E97" s="65">
        <f>IF(propInventory[[#This Row],[myid]]="","",[3]DCBase!E91)</f>
        <v>4.7</v>
      </c>
      <c r="F97" s="66">
        <f>IF(propInventory[[#This Row],[myid]]="","",[3]DCBase!F91)</f>
        <v>16.112549999999999</v>
      </c>
      <c r="G97" s="66">
        <f>IF(propInventory[[#This Row],[myid]]="","",[3]DCBase!G91)</f>
        <v>2.2558379999999998</v>
      </c>
      <c r="H97" s="66">
        <f>IF(propInventory[[#This Row],[myid]]="","",352.98/([3]DCBase!I91+273.15)*(1-0.0000225577*[3]DCBase!H91)^5.25578)</f>
        <v>1.1758151638376082</v>
      </c>
      <c r="I97" s="56">
        <f>IF(propInventory[[#This Row],[myid]]="","",[3]DCBase!K91)</f>
        <v>0.3275941</v>
      </c>
      <c r="J97" s="67">
        <f>IF(propInventory[[#This Row],[myid]]="","",[3]DCBase!L91)</f>
        <v>3.12</v>
      </c>
      <c r="K97" s="66">
        <f>IF(propInventory[[#This Row],[myid]]="","",352.98/([3]DCBase!N91+273.15)*(1-0.0000225577*[3]DCBase!M91)^5.25578)</f>
        <v>1.2249869859448206</v>
      </c>
      <c r="O97" s="69"/>
      <c r="P97" s="69"/>
      <c r="Q97" s="69"/>
      <c r="R97" s="69"/>
    </row>
    <row r="98" spans="1:18" ht="15">
      <c r="A98" s="84">
        <f>VLOOKUP(propInventory[[#This Row],[Prop Name]],[2]!propInventory3[[Prop Name]:[Instock?]],10,FALSE)</f>
        <v>0</v>
      </c>
      <c r="B98" s="84">
        <f>IF([3]DCBase!$A92="","",[3]DCBase!$A92)</f>
        <v>92</v>
      </c>
      <c r="C98" s="80" t="str">
        <f>IF(propInventory[[#This Row],[myid]]="","",IF([3]DCBase!R92=0,[3]DCBase!D92&amp;"x"&amp;[3]DCBase!E92&amp;" "&amp;[3]DCBase!C92,[3]DCBase!D92&amp;"x"&amp;[3]DCBase!E92&amp;" "&amp;[3]DCBase!C92&amp;" "&amp;[3]DCBase!S92&amp;"mm"))</f>
        <v>11x4.7 GWS RS</v>
      </c>
      <c r="D98" s="65">
        <f>IF(propInventory[[#This Row],[myid]]="","",[3]DCBase!D92)</f>
        <v>11</v>
      </c>
      <c r="E98" s="65">
        <f>IF(propInventory[[#This Row],[myid]]="","",[3]DCBase!E92)</f>
        <v>4.7</v>
      </c>
      <c r="F98" s="66">
        <f>IF(propInventory[[#This Row],[myid]]="","",[3]DCBase!F92)</f>
        <v>19.14273</v>
      </c>
      <c r="G98" s="66">
        <f>IF(propInventory[[#This Row],[myid]]="","",[3]DCBase!G92)</f>
        <v>2.1635819999999999</v>
      </c>
      <c r="H98" s="66">
        <f>IF(propInventory[[#This Row],[myid]]="","",352.98/([3]DCBase!I92+273.15)*(1-0.0000225577*[3]DCBase!H92)^5.25578)</f>
        <v>1.220968625325449</v>
      </c>
      <c r="I98" s="56">
        <f>IF(propInventory[[#This Row],[myid]]="","",[3]DCBase!K92)</f>
        <v>0.3721158</v>
      </c>
      <c r="J98" s="67">
        <f>IF(propInventory[[#This Row],[myid]]="","",[3]DCBase!L92)</f>
        <v>3.1489421470000001</v>
      </c>
      <c r="K98" s="66">
        <f>IF(propInventory[[#This Row],[myid]]="","",352.98/([3]DCBase!N92+273.15)*(1-0.0000225577*[3]DCBase!M92)^5.25578)</f>
        <v>1.220968625325449</v>
      </c>
      <c r="O98" s="69"/>
      <c r="P98" s="69"/>
      <c r="Q98" s="69"/>
      <c r="R98" s="69"/>
    </row>
    <row r="99" spans="1:18" ht="15">
      <c r="A99" s="84">
        <f>VLOOKUP(propInventory[[#This Row],[Prop Name]],[2]!propInventory3[[Prop Name]:[Instock?]],10,FALSE)</f>
        <v>0</v>
      </c>
      <c r="B99" s="84">
        <f>IF([3]DCBase!$A93="","",[3]DCBase!$A93)</f>
        <v>93</v>
      </c>
      <c r="C99" s="80" t="str">
        <f>IF(propInventory[[#This Row],[myid]]="","",IF([3]DCBase!R93=0,[3]DCBase!D93&amp;"x"&amp;[3]DCBase!E93&amp;" "&amp;[3]DCBase!C93,[3]DCBase!D93&amp;"x"&amp;[3]DCBase!E93&amp;" "&amp;[3]DCBase!C93&amp;" "&amp;[3]DCBase!S93&amp;"mm"))</f>
        <v>11x5.5 APC E</v>
      </c>
      <c r="D99" s="65">
        <f>IF(propInventory[[#This Row],[myid]]="","",[3]DCBase!D93)</f>
        <v>11</v>
      </c>
      <c r="E99" s="65">
        <f>IF(propInventory[[#This Row],[myid]]="","",[3]DCBase!E93)</f>
        <v>5.5</v>
      </c>
      <c r="F99" s="66">
        <f>IF(propInventory[[#This Row],[myid]]="","",[3]DCBase!F93)</f>
        <v>14.44764</v>
      </c>
      <c r="G99" s="66">
        <f>IF(propInventory[[#This Row],[myid]]="","",[3]DCBase!G93)</f>
        <v>2.1429179999999999</v>
      </c>
      <c r="H99" s="66">
        <f>IF(propInventory[[#This Row],[myid]]="","",352.98/([3]DCBase!I93+273.15)*(1-0.0000225577*[3]DCBase!H93)^5.25578)</f>
        <v>1.1758151638376082</v>
      </c>
      <c r="I99" s="56">
        <f>IF(propInventory[[#This Row],[myid]]="","",[3]DCBase!K93)</f>
        <v>0.21437639999999999</v>
      </c>
      <c r="J99" s="67">
        <f>IF(propInventory[[#This Row],[myid]]="","",[3]DCBase!L93)</f>
        <v>3.2272560000000001</v>
      </c>
      <c r="K99" s="66">
        <f>IF(propInventory[[#This Row],[myid]]="","",352.98/([3]DCBase!N93+273.15)*(1-0.0000225577*[3]DCBase!M93)^5.25578)</f>
        <v>1.1952155100729527</v>
      </c>
      <c r="O99" s="69"/>
      <c r="P99" s="69"/>
      <c r="Q99" s="69"/>
      <c r="R99" s="69"/>
    </row>
    <row r="100" spans="1:18" ht="15">
      <c r="A100" s="84">
        <f>VLOOKUP(propInventory[[#This Row],[Prop Name]],[2]!propInventory3[[Prop Name]:[Instock?]],10,FALSE)</f>
        <v>0</v>
      </c>
      <c r="B100" s="84">
        <f>IF([3]DCBase!$A94="","",[3]DCBase!$A94)</f>
        <v>94</v>
      </c>
      <c r="C100" s="80" t="str">
        <f>IF(propInventory[[#This Row],[myid]]="","",IF([3]DCBase!R94=0,[3]DCBase!D94&amp;"x"&amp;[3]DCBase!E94&amp;" "&amp;[3]DCBase!C94,[3]DCBase!D94&amp;"x"&amp;[3]DCBase!E94&amp;" "&amp;[3]DCBase!C94&amp;" "&amp;[3]DCBase!S94&amp;"mm"))</f>
        <v>11x6 APC Sport</v>
      </c>
      <c r="D100" s="65">
        <f>IF(propInventory[[#This Row],[myid]]="","",[3]DCBase!D94)</f>
        <v>11</v>
      </c>
      <c r="E100" s="65">
        <f>IF(propInventory[[#This Row],[myid]]="","",[3]DCBase!E94)</f>
        <v>6</v>
      </c>
      <c r="F100" s="66">
        <f>IF(propInventory[[#This Row],[myid]]="","",[3]DCBase!F94)</f>
        <v>23.45703</v>
      </c>
      <c r="G100" s="66">
        <f>IF(propInventory[[#This Row],[myid]]="","",[3]DCBase!G94)</f>
        <v>1.9661999999999999</v>
      </c>
      <c r="H100" s="66">
        <f>IF(propInventory[[#This Row],[myid]]="","",352.98/([3]DCBase!I94+273.15)*(1-0.0000225577*[3]DCBase!H94)^5.25578)</f>
        <v>1.2249869859448206</v>
      </c>
      <c r="I100" s="56">
        <f>IF(propInventory[[#This Row],[myid]]="","",[3]DCBase!K94)</f>
        <v>0.38707209999999997</v>
      </c>
      <c r="J100" s="67">
        <f>IF(propInventory[[#This Row],[myid]]="","",[3]DCBase!L94)</f>
        <v>3.00993456</v>
      </c>
      <c r="K100" s="66">
        <f>IF(propInventory[[#This Row],[myid]]="","",352.98/([3]DCBase!N94+273.15)*(1-0.0000225577*[3]DCBase!M94)^5.25578)</f>
        <v>1.182130401350806</v>
      </c>
      <c r="O100" s="69"/>
      <c r="P100" s="69"/>
      <c r="Q100" s="69"/>
      <c r="R100" s="69"/>
    </row>
    <row r="101" spans="1:18" ht="15">
      <c r="A101" s="84">
        <f>VLOOKUP(propInventory[[#This Row],[Prop Name]],[2]!propInventory3[[Prop Name]:[Instock?]],10,FALSE)</f>
        <v>0</v>
      </c>
      <c r="B101" s="84">
        <f>IF([3]DCBase!$A95="","",[3]DCBase!$A95)</f>
        <v>95</v>
      </c>
      <c r="C101" s="80" t="str">
        <f>IF(propInventory[[#This Row],[myid]]="","",IF([3]DCBase!R95=0,[3]DCBase!D95&amp;"x"&amp;[3]DCBase!E95&amp;" "&amp;[3]DCBase!C95,[3]DCBase!D95&amp;"x"&amp;[3]DCBase!E95&amp;" "&amp;[3]DCBase!C95&amp;" "&amp;[3]DCBase!S95&amp;"mm"))</f>
        <v>11x6.5 AeroCarbon 42mm</v>
      </c>
      <c r="D101" s="65">
        <f>IF(propInventory[[#This Row],[myid]]="","",[3]DCBase!D95)</f>
        <v>11</v>
      </c>
      <c r="E101" s="65">
        <f>IF(propInventory[[#This Row],[myid]]="","",[3]DCBase!E95)</f>
        <v>6.5</v>
      </c>
      <c r="F101" s="66">
        <f>IF(propInventory[[#This Row],[myid]]="","",[3]DCBase!F95)</f>
        <v>17.1309</v>
      </c>
      <c r="G101" s="66">
        <f>IF(propInventory[[#This Row],[myid]]="","",[3]DCBase!G95)</f>
        <v>2</v>
      </c>
      <c r="H101" s="66">
        <f>IF(propInventory[[#This Row],[myid]]="","",352.98/([3]DCBase!I95+273.15)*(1-0.0000225577*[3]DCBase!H95)^5.25578)</f>
        <v>1.1874514592074905</v>
      </c>
      <c r="I101" s="56">
        <f>IF(propInventory[[#This Row],[myid]]="","",[3]DCBase!K95)</f>
        <v>0.40940349999999998</v>
      </c>
      <c r="J101" s="67">
        <f>IF(propInventory[[#This Row],[myid]]="","",[3]DCBase!L95)</f>
        <v>3</v>
      </c>
      <c r="K101" s="66">
        <f>IF(propInventory[[#This Row],[myid]]="","",352.98/([3]DCBase!N95+273.15)*(1-0.0000225577*[3]DCBase!M95)^5.25578)</f>
        <v>1.2249869859448206</v>
      </c>
      <c r="O101" s="69"/>
      <c r="P101" s="69"/>
      <c r="Q101" s="69"/>
      <c r="R101" s="69"/>
    </row>
    <row r="102" spans="1:18" ht="15">
      <c r="A102" s="84">
        <f>VLOOKUP(propInventory[[#This Row],[Prop Name]],[2]!propInventory3[[Prop Name]:[Instock?]],10,FALSE)</f>
        <v>0</v>
      </c>
      <c r="B102" s="84">
        <f>IF([3]DCBase!$A96="","",[3]DCBase!$A96)</f>
        <v>96</v>
      </c>
      <c r="C102" s="80" t="str">
        <f>IF(propInventory[[#This Row],[myid]]="","",IF([3]DCBase!R96=0,[3]DCBase!D96&amp;"x"&amp;[3]DCBase!E96&amp;" "&amp;[3]DCBase!C96,[3]DCBase!D96&amp;"x"&amp;[3]DCBase!E96&amp;" "&amp;[3]DCBase!C96&amp;" "&amp;[3]DCBase!S96&amp;"mm"))</f>
        <v>11x7 AeroCAM 42mm</v>
      </c>
      <c r="D102" s="65">
        <f>IF(propInventory[[#This Row],[myid]]="","",[3]DCBase!D96)</f>
        <v>11</v>
      </c>
      <c r="E102" s="65">
        <f>IF(propInventory[[#This Row],[myid]]="","",[3]DCBase!E96)</f>
        <v>7</v>
      </c>
      <c r="F102" s="66">
        <f>IF(propInventory[[#This Row],[myid]]="","",[3]DCBase!F96)</f>
        <v>14.84416</v>
      </c>
      <c r="G102" s="66">
        <f>IF(propInventory[[#This Row],[myid]]="","",[3]DCBase!G96)</f>
        <v>2.1604860000000001</v>
      </c>
      <c r="H102" s="66">
        <f>IF(propInventory[[#This Row],[myid]]="","",352.98/([3]DCBase!I96+273.15)*(1-0.0000225577*[3]DCBase!H96)^5.25578)</f>
        <v>1.2249869859448206</v>
      </c>
      <c r="I102" s="56">
        <f>IF(propInventory[[#This Row],[myid]]="","",[3]DCBase!K96)</f>
        <v>0.38146970000000002</v>
      </c>
      <c r="J102" s="67">
        <f>IF(propInventory[[#This Row],[myid]]="","",[3]DCBase!L96)</f>
        <v>3</v>
      </c>
      <c r="K102" s="66">
        <f>IF(propInventory[[#This Row],[myid]]="","",352.98/([3]DCBase!N96+273.15)*(1-0.0000225577*[3]DCBase!M96)^5.25578)</f>
        <v>1.2249869859448206</v>
      </c>
      <c r="O102" s="69"/>
      <c r="P102" s="69"/>
      <c r="Q102" s="69"/>
      <c r="R102" s="69"/>
    </row>
    <row r="103" spans="1:18" ht="15">
      <c r="A103" s="84">
        <f>VLOOKUP(propInventory[[#This Row],[Prop Name]],[2]!propInventory3[[Prop Name]:[Instock?]],10,FALSE)</f>
        <v>0</v>
      </c>
      <c r="B103" s="84">
        <f>IF([3]DCBase!$A97="","",[3]DCBase!$A97)</f>
        <v>97</v>
      </c>
      <c r="C103" s="80" t="str">
        <f>IF(propInventory[[#This Row],[myid]]="","",IF([3]DCBase!R97=0,[3]DCBase!D97&amp;"x"&amp;[3]DCBase!E97&amp;" "&amp;[3]DCBase!C97,[3]DCBase!D97&amp;"x"&amp;[3]DCBase!E97&amp;" "&amp;[3]DCBase!C97&amp;" "&amp;[3]DCBase!S97&amp;"mm"))</f>
        <v>11x7 APC E</v>
      </c>
      <c r="D103" s="65">
        <f>IF(propInventory[[#This Row],[myid]]="","",[3]DCBase!D97)</f>
        <v>11</v>
      </c>
      <c r="E103" s="65">
        <f>IF(propInventory[[#This Row],[myid]]="","",[3]DCBase!E97)</f>
        <v>7</v>
      </c>
      <c r="F103" s="66">
        <f>IF(propInventory[[#This Row],[myid]]="","",[3]DCBase!F97)</f>
        <v>15.434340000000001</v>
      </c>
      <c r="G103" s="66">
        <f>IF(propInventory[[#This Row],[myid]]="","",[3]DCBase!G97)</f>
        <v>2.1820279999999999</v>
      </c>
      <c r="H103" s="66">
        <f>IF(propInventory[[#This Row],[myid]]="","",352.98/([3]DCBase!I97+273.15)*(1-0.0000225577*[3]DCBase!H97)^5.25578)</f>
        <v>1.1758151638376082</v>
      </c>
      <c r="I103" s="56">
        <f>IF(propInventory[[#This Row],[myid]]="","",[3]DCBase!K97)</f>
        <v>0.42778650000000001</v>
      </c>
      <c r="J103" s="67">
        <f>IF(propInventory[[#This Row],[myid]]="","",[3]DCBase!L97)</f>
        <v>3.0197949999999998</v>
      </c>
      <c r="K103" s="66">
        <f>IF(propInventory[[#This Row],[myid]]="","",352.98/([3]DCBase!N97+273.15)*(1-0.0000225577*[3]DCBase!M97)^5.25578)</f>
        <v>1.1952155100729527</v>
      </c>
      <c r="O103" s="69"/>
      <c r="P103" s="69"/>
      <c r="Q103" s="69"/>
      <c r="R103" s="69"/>
    </row>
    <row r="104" spans="1:18" ht="15">
      <c r="A104" s="84">
        <f>VLOOKUP(propInventory[[#This Row],[Prop Name]],[2]!propInventory3[[Prop Name]:[Instock?]],10,FALSE)</f>
        <v>1</v>
      </c>
      <c r="B104" s="84">
        <f>IF([3]DCBase!$A98="","",[3]DCBase!$A98)</f>
        <v>98</v>
      </c>
      <c r="C104" s="80" t="str">
        <f>IF(propInventory[[#This Row],[myid]]="","",IF([3]DCBase!R98=0,[3]DCBase!D98&amp;"x"&amp;[3]DCBase!E98&amp;" "&amp;[3]DCBase!C98,[3]DCBase!D98&amp;"x"&amp;[3]DCBase!E98&amp;" "&amp;[3]DCBase!C98&amp;" "&amp;[3]DCBase!S98&amp;"mm"))</f>
        <v>11x7 APC SF</v>
      </c>
      <c r="D104" s="65">
        <f>IF(propInventory[[#This Row],[myid]]="","",[3]DCBase!D98)</f>
        <v>11</v>
      </c>
      <c r="E104" s="65">
        <f>IF(propInventory[[#This Row],[myid]]="","",[3]DCBase!E98)</f>
        <v>7</v>
      </c>
      <c r="F104" s="66">
        <f>IF(propInventory[[#This Row],[myid]]="","",[3]DCBase!F98)</f>
        <v>0</v>
      </c>
      <c r="G104" s="66">
        <f>IF(propInventory[[#This Row],[myid]]="","",[3]DCBase!G98)</f>
        <v>0</v>
      </c>
      <c r="H104" s="66">
        <f>IF(propInventory[[#This Row],[myid]]="","",352.98/([3]DCBase!I98+273.15)*(1-0.0000225577*[3]DCBase!H98)^5.25578)</f>
        <v>1.2249869859448206</v>
      </c>
      <c r="I104" s="56">
        <f>IF(propInventory[[#This Row],[myid]]="","",[3]DCBase!K98)</f>
        <v>0.3978082</v>
      </c>
      <c r="J104" s="67">
        <f>IF(propInventory[[#This Row],[myid]]="","",[3]DCBase!L98)</f>
        <v>3.4</v>
      </c>
      <c r="K104" s="66">
        <f>IF(propInventory[[#This Row],[myid]]="","",352.98/([3]DCBase!N98+273.15)*(1-0.0000225577*[3]DCBase!M98)^5.25578)</f>
        <v>1.1952155100729527</v>
      </c>
      <c r="O104" s="69"/>
      <c r="P104" s="69"/>
      <c r="Q104" s="69"/>
      <c r="R104" s="69"/>
    </row>
    <row r="105" spans="1:18" ht="15">
      <c r="A105" s="84">
        <f>VLOOKUP(propInventory[[#This Row],[Prop Name]],[2]!propInventory3[[Prop Name]:[Instock?]],10,FALSE)</f>
        <v>0</v>
      </c>
      <c r="B105" s="84">
        <f>IF([3]DCBase!$A99="","",[3]DCBase!$A99)</f>
        <v>99</v>
      </c>
      <c r="C105" s="80" t="str">
        <f>IF(propInventory[[#This Row],[myid]]="","",IF([3]DCBase!R99=0,[3]DCBase!D99&amp;"x"&amp;[3]DCBase!E99&amp;" "&amp;[3]DCBase!C99,[3]DCBase!D99&amp;"x"&amp;[3]DCBase!E99&amp;" "&amp;[3]DCBase!C99&amp;" "&amp;[3]DCBase!S99&amp;"mm"))</f>
        <v>11x7 APC Sport</v>
      </c>
      <c r="D105" s="65">
        <f>IF(propInventory[[#This Row],[myid]]="","",[3]DCBase!D99)</f>
        <v>11</v>
      </c>
      <c r="E105" s="65">
        <f>IF(propInventory[[#This Row],[myid]]="","",[3]DCBase!E99)</f>
        <v>7</v>
      </c>
      <c r="F105" s="66">
        <f>IF(propInventory[[#This Row],[myid]]="","",[3]DCBase!F99)</f>
        <v>0</v>
      </c>
      <c r="G105" s="66">
        <f>IF(propInventory[[#This Row],[myid]]="","",[3]DCBase!G99)</f>
        <v>0</v>
      </c>
      <c r="H105" s="66">
        <f>IF(propInventory[[#This Row],[myid]]="","",352.98/([3]DCBase!I99+273.15)*(1-0.0000225577*[3]DCBase!H99)^5.25578)</f>
        <v>1.2249869859448206</v>
      </c>
      <c r="I105" s="56">
        <f>IF(propInventory[[#This Row],[myid]]="","",[3]DCBase!K99)</f>
        <v>0.53219329999999998</v>
      </c>
      <c r="J105" s="67">
        <f>IF(propInventory[[#This Row],[myid]]="","",[3]DCBase!L99)</f>
        <v>3.0008986110000002</v>
      </c>
      <c r="K105" s="66">
        <f>IF(propInventory[[#This Row],[myid]]="","",352.98/([3]DCBase!N99+273.15)*(1-0.0000225577*[3]DCBase!M99)^5.25578)</f>
        <v>1.182130401350806</v>
      </c>
      <c r="O105" s="69"/>
      <c r="P105" s="69"/>
      <c r="Q105" s="69"/>
      <c r="R105" s="69"/>
    </row>
    <row r="106" spans="1:18" ht="15">
      <c r="A106" s="84">
        <f>VLOOKUP(propInventory[[#This Row],[Prop Name]],[2]!propInventory3[[Prop Name]:[Instock?]],10,FALSE)</f>
        <v>0</v>
      </c>
      <c r="B106" s="84">
        <f>IF([3]DCBase!$A100="","",[3]DCBase!$A100)</f>
        <v>100</v>
      </c>
      <c r="C106" s="80" t="str">
        <f>IF(propInventory[[#This Row],[myid]]="","",IF([3]DCBase!R100=0,[3]DCBase!D100&amp;"x"&amp;[3]DCBase!E100&amp;" "&amp;[3]DCBase!C100,[3]DCBase!D100&amp;"x"&amp;[3]DCBase!E100&amp;" "&amp;[3]DCBase!C100&amp;" "&amp;[3]DCBase!S100&amp;"mm"))</f>
        <v>11x8 AeroCAM 42mm</v>
      </c>
      <c r="D106" s="65">
        <f>IF(propInventory[[#This Row],[myid]]="","",[3]DCBase!D100)</f>
        <v>11</v>
      </c>
      <c r="E106" s="65">
        <f>IF(propInventory[[#This Row],[myid]]="","",[3]DCBase!E100)</f>
        <v>8</v>
      </c>
      <c r="F106" s="66">
        <f>IF(propInventory[[#This Row],[myid]]="","",[3]DCBase!F100)</f>
        <v>14.991110000000001</v>
      </c>
      <c r="G106" s="66">
        <f>IF(propInventory[[#This Row],[myid]]="","",[3]DCBase!G100)</f>
        <v>2.156094</v>
      </c>
      <c r="H106" s="66">
        <f>IF(propInventory[[#This Row],[myid]]="","",352.98/([3]DCBase!I100+273.15)*(1-0.0000225577*[3]DCBase!H100)^5.25578)</f>
        <v>1.2249869859448206</v>
      </c>
      <c r="I106" s="56">
        <f>IF(propInventory[[#This Row],[myid]]="","",[3]DCBase!K100)</f>
        <v>0.42990709999999999</v>
      </c>
      <c r="J106" s="67">
        <f>IF(propInventory[[#This Row],[myid]]="","",[3]DCBase!L100)</f>
        <v>3</v>
      </c>
      <c r="K106" s="66">
        <f>IF(propInventory[[#This Row],[myid]]="","",352.98/([3]DCBase!N100+273.15)*(1-0.0000225577*[3]DCBase!M100)^5.25578)</f>
        <v>1.1801594788826961</v>
      </c>
      <c r="O106" s="69"/>
      <c r="P106" s="69"/>
      <c r="Q106" s="69"/>
      <c r="R106" s="69"/>
    </row>
    <row r="107" spans="1:18" ht="15">
      <c r="A107" s="84">
        <f>VLOOKUP(propInventory[[#This Row],[Prop Name]],[2]!propInventory3[[Prop Name]:[Instock?]],10,FALSE)</f>
        <v>0</v>
      </c>
      <c r="B107" s="84">
        <f>IF([3]DCBase!$A101="","",[3]DCBase!$A101)</f>
        <v>101</v>
      </c>
      <c r="C107" s="80" t="str">
        <f>IF(propInventory[[#This Row],[myid]]="","",IF([3]DCBase!R101=0,[3]DCBase!D101&amp;"x"&amp;[3]DCBase!E101&amp;" "&amp;[3]DCBase!C101,[3]DCBase!D101&amp;"x"&amp;[3]DCBase!E101&amp;" "&amp;[3]DCBase!C101&amp;" "&amp;[3]DCBase!S101&amp;"mm"))</f>
        <v>11x8 APC E</v>
      </c>
      <c r="D107" s="65">
        <f>IF(propInventory[[#This Row],[myid]]="","",[3]DCBase!D101)</f>
        <v>11</v>
      </c>
      <c r="E107" s="65">
        <f>IF(propInventory[[#This Row],[myid]]="","",[3]DCBase!E101)</f>
        <v>8</v>
      </c>
      <c r="F107" s="66">
        <f>IF(propInventory[[#This Row],[myid]]="","",[3]DCBase!F101)</f>
        <v>27.612359999999999</v>
      </c>
      <c r="G107" s="66">
        <f>IF(propInventory[[#This Row],[myid]]="","",[3]DCBase!G101)</f>
        <v>1.9238789999999999</v>
      </c>
      <c r="H107" s="66">
        <f>IF(propInventory[[#This Row],[myid]]="","",352.98/([3]DCBase!I101+273.15)*(1-0.0000225577*[3]DCBase!H101)^5.25578)</f>
        <v>1.2249869859448206</v>
      </c>
      <c r="I107" s="56">
        <f>IF(propInventory[[#This Row],[myid]]="","",[3]DCBase!K101)</f>
        <v>0.34908299999999998</v>
      </c>
      <c r="J107" s="67">
        <f>IF(propInventory[[#This Row],[myid]]="","",[3]DCBase!L101)</f>
        <v>3.237492</v>
      </c>
      <c r="K107" s="66">
        <f>IF(propInventory[[#This Row],[myid]]="","",352.98/([3]DCBase!N101+273.15)*(1-0.0000225577*[3]DCBase!M101)^5.25578)</f>
        <v>1.1952155100729527</v>
      </c>
      <c r="O107" s="69"/>
      <c r="P107" s="69"/>
      <c r="Q107" s="69"/>
      <c r="R107" s="69"/>
    </row>
    <row r="108" spans="1:18" ht="15">
      <c r="A108" s="84">
        <f>VLOOKUP(propInventory[[#This Row],[Prop Name]],[2]!propInventory3[[Prop Name]:[Instock?]],10,FALSE)</f>
        <v>0</v>
      </c>
      <c r="B108" s="84">
        <f>IF([3]DCBase!$A102="","",[3]DCBase!$A102)</f>
        <v>102</v>
      </c>
      <c r="C108" s="80" t="str">
        <f>IF(propInventory[[#This Row],[myid]]="","",IF([3]DCBase!R102=0,[3]DCBase!D102&amp;"x"&amp;[3]DCBase!E102&amp;" "&amp;[3]DCBase!C102,[3]DCBase!D102&amp;"x"&amp;[3]DCBase!E102&amp;" "&amp;[3]DCBase!C102&amp;" "&amp;[3]DCBase!S102&amp;"mm"))</f>
        <v>11x8 APC Sport</v>
      </c>
      <c r="D108" s="65">
        <f>IF(propInventory[[#This Row],[myid]]="","",[3]DCBase!D102)</f>
        <v>11</v>
      </c>
      <c r="E108" s="65">
        <f>IF(propInventory[[#This Row],[myid]]="","",[3]DCBase!E102)</f>
        <v>8</v>
      </c>
      <c r="F108" s="66">
        <f>IF(propInventory[[#This Row],[myid]]="","",[3]DCBase!F102)</f>
        <v>0</v>
      </c>
      <c r="G108" s="66">
        <f>IF(propInventory[[#This Row],[myid]]="","",[3]DCBase!G102)</f>
        <v>0</v>
      </c>
      <c r="H108" s="66">
        <f>IF(propInventory[[#This Row],[myid]]="","",352.98/([3]DCBase!I102+273.15)*(1-0.0000225577*[3]DCBase!H102)^5.25578)</f>
        <v>1.2249869859448206</v>
      </c>
      <c r="I108" s="56">
        <f>IF(propInventory[[#This Row],[myid]]="","",[3]DCBase!K102)</f>
        <v>0.50108569999999997</v>
      </c>
      <c r="J108" s="67">
        <f>IF(propInventory[[#This Row],[myid]]="","",[3]DCBase!L102)</f>
        <v>3.0601669999999999</v>
      </c>
      <c r="K108" s="66">
        <f>IF(propInventory[[#This Row],[myid]]="","",352.98/([3]DCBase!N102+273.15)*(1-0.0000225577*[3]DCBase!M102)^5.25578)</f>
        <v>1.182130401350806</v>
      </c>
      <c r="O108" s="69"/>
      <c r="P108" s="69"/>
      <c r="Q108" s="69"/>
      <c r="R108" s="69"/>
    </row>
    <row r="109" spans="1:18" ht="15">
      <c r="A109" s="84">
        <f>VLOOKUP(propInventory[[#This Row],[Prop Name]],[2]!propInventory3[[Prop Name]:[Instock?]],10,FALSE)</f>
        <v>0</v>
      </c>
      <c r="B109" s="84">
        <f>IF([3]DCBase!$A103="","",[3]DCBase!$A103)</f>
        <v>103</v>
      </c>
      <c r="C109" s="80" t="str">
        <f>IF(propInventory[[#This Row],[myid]]="","",IF([3]DCBase!R103=0,[3]DCBase!D103&amp;"x"&amp;[3]DCBase!E103&amp;" "&amp;[3]DCBase!C103,[3]DCBase!D103&amp;"x"&amp;[3]DCBase!E103&amp;" "&amp;[3]DCBase!C103&amp;" "&amp;[3]DCBase!S103&amp;"mm"))</f>
        <v>11x8.5 APC E</v>
      </c>
      <c r="D109" s="65">
        <f>IF(propInventory[[#This Row],[myid]]="","",[3]DCBase!D103)</f>
        <v>11</v>
      </c>
      <c r="E109" s="65">
        <f>IF(propInventory[[#This Row],[myid]]="","",[3]DCBase!E103)</f>
        <v>8.5</v>
      </c>
      <c r="F109" s="66">
        <f>IF(propInventory[[#This Row],[myid]]="","",[3]DCBase!F103)</f>
        <v>15.70833</v>
      </c>
      <c r="G109" s="66">
        <f>IF(propInventory[[#This Row],[myid]]="","",[3]DCBase!G103)</f>
        <v>2.181162</v>
      </c>
      <c r="H109" s="66">
        <f>IF(propInventory[[#This Row],[myid]]="","",352.98/([3]DCBase!I103+273.15)*(1-0.0000225577*[3]DCBase!H103)^5.25578)</f>
        <v>1.1758151638376082</v>
      </c>
      <c r="I109" s="56">
        <f>IF(propInventory[[#This Row],[myid]]="","",[3]DCBase!K103)</f>
        <v>0.23992949999999999</v>
      </c>
      <c r="J109" s="67">
        <f>IF(propInventory[[#This Row],[myid]]="","",[3]DCBase!L103)</f>
        <v>3.3911730000000002</v>
      </c>
      <c r="K109" s="66">
        <f>IF(propInventory[[#This Row],[myid]]="","",352.98/([3]DCBase!N103+273.15)*(1-0.0000225577*[3]DCBase!M103)^5.25578)</f>
        <v>1.1952155100729527</v>
      </c>
      <c r="O109" s="69"/>
      <c r="P109" s="69"/>
      <c r="Q109" s="69"/>
      <c r="R109" s="69"/>
    </row>
    <row r="110" spans="1:18" ht="15">
      <c r="A110" s="84">
        <f>VLOOKUP(propInventory[[#This Row],[Prop Name]],[2]!propInventory3[[Prop Name]:[Instock?]],10,FALSE)</f>
        <v>0</v>
      </c>
      <c r="B110" s="84">
        <f>IF([3]DCBase!$A104="","",[3]DCBase!$A104)</f>
        <v>104</v>
      </c>
      <c r="C110" s="80" t="str">
        <f>IF(propInventory[[#This Row],[myid]]="","",IF([3]DCBase!R104=0,[3]DCBase!D104&amp;"x"&amp;[3]DCBase!E104&amp;" "&amp;[3]DCBase!C104,[3]DCBase!D104&amp;"x"&amp;[3]DCBase!E104&amp;" "&amp;[3]DCBase!C104&amp;" "&amp;[3]DCBase!S104&amp;"mm"))</f>
        <v>11x10 APC E</v>
      </c>
      <c r="D110" s="65">
        <f>IF(propInventory[[#This Row],[myid]]="","",[3]DCBase!D104)</f>
        <v>11</v>
      </c>
      <c r="E110" s="65">
        <f>IF(propInventory[[#This Row],[myid]]="","",[3]DCBase!E104)</f>
        <v>10</v>
      </c>
      <c r="F110" s="66">
        <f>IF(propInventory[[#This Row],[myid]]="","",[3]DCBase!F104)</f>
        <v>0</v>
      </c>
      <c r="G110" s="66">
        <f>IF(propInventory[[#This Row],[myid]]="","",[3]DCBase!G104)</f>
        <v>0</v>
      </c>
      <c r="H110" s="66">
        <f>IF(propInventory[[#This Row],[myid]]="","",352.98/([3]DCBase!I104+273.15)*(1-0.0000225577*[3]DCBase!H104)^5.25578)</f>
        <v>1.2249869859448206</v>
      </c>
      <c r="I110" s="56">
        <f>IF(propInventory[[#This Row],[myid]]="","",[3]DCBase!K104)</f>
        <v>0.712144</v>
      </c>
      <c r="J110" s="67">
        <f>IF(propInventory[[#This Row],[myid]]="","",[3]DCBase!L104)</f>
        <v>3</v>
      </c>
      <c r="K110" s="66">
        <f>IF(propInventory[[#This Row],[myid]]="","",352.98/([3]DCBase!N104+273.15)*(1-0.0000225577*[3]DCBase!M104)^5.25578)</f>
        <v>1.1952155100729527</v>
      </c>
      <c r="O110" s="69"/>
      <c r="P110" s="69"/>
      <c r="Q110" s="69"/>
      <c r="R110" s="69"/>
    </row>
    <row r="111" spans="1:18" ht="15">
      <c r="A111" s="84">
        <f>VLOOKUP(propInventory[[#This Row],[Prop Name]],[2]!propInventory3[[Prop Name]:[Instock?]],10,FALSE)</f>
        <v>0</v>
      </c>
      <c r="B111" s="84">
        <f>IF([3]DCBase!$A105="","",[3]DCBase!$A105)</f>
        <v>105</v>
      </c>
      <c r="C111" s="80" t="str">
        <f>IF(propInventory[[#This Row],[myid]]="","",IF([3]DCBase!R105=0,[3]DCBase!D105&amp;"x"&amp;[3]DCBase!E105&amp;" "&amp;[3]DCBase!C105,[3]DCBase!D105&amp;"x"&amp;[3]DCBase!E105&amp;" "&amp;[3]DCBase!C105&amp;" "&amp;[3]DCBase!S105&amp;"mm"))</f>
        <v>11x11 APC Sport</v>
      </c>
      <c r="D111" s="65">
        <f>IF(propInventory[[#This Row],[myid]]="","",[3]DCBase!D105)</f>
        <v>11</v>
      </c>
      <c r="E111" s="65">
        <f>IF(propInventory[[#This Row],[myid]]="","",[3]DCBase!E105)</f>
        <v>11</v>
      </c>
      <c r="F111" s="66">
        <f>IF(propInventory[[#This Row],[myid]]="","",[3]DCBase!F105)</f>
        <v>0</v>
      </c>
      <c r="G111" s="66">
        <f>IF(propInventory[[#This Row],[myid]]="","",[3]DCBase!G105)</f>
        <v>0</v>
      </c>
      <c r="H111" s="66">
        <f>IF(propInventory[[#This Row],[myid]]="","",352.98/([3]DCBase!I105+273.15)*(1-0.0000225577*[3]DCBase!H105)^5.25578)</f>
        <v>1.2249869859448206</v>
      </c>
      <c r="I111" s="56">
        <f>IF(propInventory[[#This Row],[myid]]="","",[3]DCBase!K105)</f>
        <v>0.84615099999999999</v>
      </c>
      <c r="J111" s="67">
        <f>IF(propInventory[[#This Row],[myid]]="","",[3]DCBase!L105)</f>
        <v>3</v>
      </c>
      <c r="K111" s="66">
        <f>IF(propInventory[[#This Row],[myid]]="","",352.98/([3]DCBase!N105+273.15)*(1-0.0000225577*[3]DCBase!M105)^5.25578)</f>
        <v>1.182130401350806</v>
      </c>
      <c r="O111" s="69"/>
      <c r="P111" s="69"/>
      <c r="Q111" s="69"/>
      <c r="R111" s="69"/>
    </row>
    <row r="112" spans="1:18" ht="15">
      <c r="A112" s="84">
        <f>VLOOKUP(propInventory[[#This Row],[Prop Name]],[2]!propInventory3[[Prop Name]:[Instock?]],10,FALSE)</f>
        <v>0</v>
      </c>
      <c r="B112" s="84">
        <f>IF([3]DCBase!$A106="","",[3]DCBase!$A106)</f>
        <v>106</v>
      </c>
      <c r="C112" s="80" t="str">
        <f>IF(propInventory[[#This Row],[myid]]="","",IF([3]DCBase!R106=0,[3]DCBase!D106&amp;"x"&amp;[3]DCBase!E106&amp;" "&amp;[3]DCBase!C106,[3]DCBase!D106&amp;"x"&amp;[3]DCBase!E106&amp;" "&amp;[3]DCBase!C106&amp;" "&amp;[3]DCBase!S106&amp;"mm"))</f>
        <v>11.5x7 AeroCarbon 42mm</v>
      </c>
      <c r="D112" s="65">
        <f>IF(propInventory[[#This Row],[myid]]="","",[3]DCBase!D106)</f>
        <v>11.5</v>
      </c>
      <c r="E112" s="65">
        <f>IF(propInventory[[#This Row],[myid]]="","",[3]DCBase!E106)</f>
        <v>7</v>
      </c>
      <c r="F112" s="66">
        <f>IF(propInventory[[#This Row],[myid]]="","",[3]DCBase!F106)</f>
        <v>20.873100000000001</v>
      </c>
      <c r="G112" s="66">
        <f>IF(propInventory[[#This Row],[myid]]="","",[3]DCBase!G106)</f>
        <v>2</v>
      </c>
      <c r="H112" s="66">
        <f>IF(propInventory[[#This Row],[myid]]="","",352.98/([3]DCBase!I106+273.15)*(1-0.0000225577*[3]DCBase!H106)^5.25578)</f>
        <v>1.1874514592074905</v>
      </c>
      <c r="I112" s="56">
        <f>IF(propInventory[[#This Row],[myid]]="","",[3]DCBase!K106)</f>
        <v>0.42228559999999998</v>
      </c>
      <c r="J112" s="67">
        <f>IF(propInventory[[#This Row],[myid]]="","",[3]DCBase!L106)</f>
        <v>3.08</v>
      </c>
      <c r="K112" s="66">
        <f>IF(propInventory[[#This Row],[myid]]="","",352.98/([3]DCBase!N106+273.15)*(1-0.0000225577*[3]DCBase!M106)^5.25578)</f>
        <v>1.2249869859448206</v>
      </c>
      <c r="O112" s="69"/>
      <c r="P112" s="69"/>
      <c r="Q112" s="69"/>
      <c r="R112" s="69"/>
    </row>
    <row r="113" spans="1:18" ht="15">
      <c r="A113" s="84">
        <f>VLOOKUP(propInventory[[#This Row],[Prop Name]],[2]!propInventory3[[Prop Name]:[Instock?]],10,FALSE)</f>
        <v>0</v>
      </c>
      <c r="B113" s="84">
        <f>IF([3]DCBase!$A107="","",[3]DCBase!$A107)</f>
        <v>107</v>
      </c>
      <c r="C113" s="80" t="str">
        <f>IF(propInventory[[#This Row],[myid]]="","",IF([3]DCBase!R107=0,[3]DCBase!D107&amp;"x"&amp;[3]DCBase!E107&amp;" "&amp;[3]DCBase!C107,[3]DCBase!D107&amp;"x"&amp;[3]DCBase!E107&amp;" "&amp;[3]DCBase!C107&amp;" "&amp;[3]DCBase!S107&amp;"mm"))</f>
        <v>12x3.8 APC SF</v>
      </c>
      <c r="D113" s="65">
        <f>IF(propInventory[[#This Row],[myid]]="","",[3]DCBase!D107)</f>
        <v>12</v>
      </c>
      <c r="E113" s="65">
        <f>IF(propInventory[[#This Row],[myid]]="","",[3]DCBase!E107)</f>
        <v>3.8</v>
      </c>
      <c r="F113" s="66">
        <f>IF(propInventory[[#This Row],[myid]]="","",[3]DCBase!F107)</f>
        <v>14.441850000000001</v>
      </c>
      <c r="G113" s="66">
        <f>IF(propInventory[[#This Row],[myid]]="","",[3]DCBase!G107)</f>
        <v>2.4699622109999999</v>
      </c>
      <c r="H113" s="66">
        <f>IF(propInventory[[#This Row],[myid]]="","",352.98/([3]DCBase!I107+273.15)*(1-0.0000225577*[3]DCBase!H107)^5.25578)</f>
        <v>1.1758151638376082</v>
      </c>
      <c r="I113" s="56">
        <f>IF(propInventory[[#This Row],[myid]]="","",[3]DCBase!K107)</f>
        <v>0.23029939999999999</v>
      </c>
      <c r="J113" s="67">
        <f>IF(propInventory[[#This Row],[myid]]="","",[3]DCBase!L107)</f>
        <v>3.6</v>
      </c>
      <c r="K113" s="66">
        <f>IF(propInventory[[#This Row],[myid]]="","",352.98/([3]DCBase!N107+273.15)*(1-0.0000225577*[3]DCBase!M107)^5.25578)</f>
        <v>1.1952155100729527</v>
      </c>
      <c r="O113" s="69"/>
      <c r="P113" s="69"/>
      <c r="Q113" s="69"/>
      <c r="R113" s="69"/>
    </row>
    <row r="114" spans="1:18" ht="15">
      <c r="A114" s="84">
        <f>VLOOKUP(propInventory[[#This Row],[Prop Name]],[2]!propInventory3[[Prop Name]:[Instock?]],10,FALSE)</f>
        <v>0</v>
      </c>
      <c r="B114" s="84">
        <f>IF([3]DCBase!$A108="","",[3]DCBase!$A108)</f>
        <v>108</v>
      </c>
      <c r="C114" s="80" t="str">
        <f>IF(propInventory[[#This Row],[myid]]="","",IF([3]DCBase!R108=0,[3]DCBase!D108&amp;"x"&amp;[3]DCBase!E108&amp;" "&amp;[3]DCBase!C108,[3]DCBase!D108&amp;"x"&amp;[3]DCBase!E108&amp;" "&amp;[3]DCBase!C108&amp;" "&amp;[3]DCBase!S108&amp;"mm"))</f>
        <v>12x4 Graupner CAM 42mm</v>
      </c>
      <c r="D114" s="65">
        <f>IF(propInventory[[#This Row],[myid]]="","",[3]DCBase!D108)</f>
        <v>12</v>
      </c>
      <c r="E114" s="65">
        <f>IF(propInventory[[#This Row],[myid]]="","",[3]DCBase!E108)</f>
        <v>4</v>
      </c>
      <c r="F114" s="66">
        <f>IF(propInventory[[#This Row],[myid]]="","",[3]DCBase!F108)</f>
        <v>10.700950000000001</v>
      </c>
      <c r="G114" s="66">
        <f>IF(propInventory[[#This Row],[myid]]="","",[3]DCBase!G108)</f>
        <v>2.1695000000000002</v>
      </c>
      <c r="H114" s="66">
        <f>IF(propInventory[[#This Row],[myid]]="","",352.98/([3]DCBase!I108+273.15)*(1-0.0000225577*[3]DCBase!H108)^5.25578)</f>
        <v>1.1952155100729527</v>
      </c>
      <c r="I114" s="56">
        <f>IF(propInventory[[#This Row],[myid]]="","",[3]DCBase!K108)</f>
        <v>0.53896920000000004</v>
      </c>
      <c r="J114" s="67">
        <f>IF(propInventory[[#This Row],[myid]]="","",[3]DCBase!L108)</f>
        <v>3</v>
      </c>
      <c r="K114" s="66">
        <f>IF(propInventory[[#This Row],[myid]]="","",352.98/([3]DCBase!N108+273.15)*(1-0.0000225577*[3]DCBase!M108)^5.25578)</f>
        <v>1.1952155100729527</v>
      </c>
      <c r="O114" s="69"/>
      <c r="P114" s="69"/>
      <c r="Q114" s="69"/>
      <c r="R114" s="69"/>
    </row>
    <row r="115" spans="1:18" ht="15">
      <c r="A115" s="84">
        <f>VLOOKUP(propInventory[[#This Row],[Prop Name]],[2]!propInventory3[[Prop Name]:[Instock?]],10,FALSE)</f>
        <v>0</v>
      </c>
      <c r="B115" s="84">
        <f>IF([3]DCBase!$A109="","",[3]DCBase!$A109)</f>
        <v>109</v>
      </c>
      <c r="C115" s="80" t="str">
        <f>IF(propInventory[[#This Row],[myid]]="","",IF([3]DCBase!R109=0,[3]DCBase!D109&amp;"x"&amp;[3]DCBase!E109&amp;" "&amp;[3]DCBase!C109,[3]DCBase!D109&amp;"x"&amp;[3]DCBase!E109&amp;" "&amp;[3]DCBase!C109&amp;" "&amp;[3]DCBase!S109&amp;"mm"))</f>
        <v>12x6 APC SF</v>
      </c>
      <c r="D115" s="65">
        <f>IF(propInventory[[#This Row],[myid]]="","",[3]DCBase!D109)</f>
        <v>12</v>
      </c>
      <c r="E115" s="65">
        <f>IF(propInventory[[#This Row],[myid]]="","",[3]DCBase!E109)</f>
        <v>6</v>
      </c>
      <c r="F115" s="66">
        <f>IF(propInventory[[#This Row],[myid]]="","",[3]DCBase!F109)</f>
        <v>25.69997</v>
      </c>
      <c r="G115" s="66">
        <f>IF(propInventory[[#This Row],[myid]]="","",[3]DCBase!G109)</f>
        <v>2.36</v>
      </c>
      <c r="H115" s="66">
        <f>IF(propInventory[[#This Row],[myid]]="","",352.98/([3]DCBase!I109+273.15)*(1-0.0000225577*[3]DCBase!H109)^5.25578)</f>
        <v>1.1758151638376082</v>
      </c>
      <c r="I115" s="56">
        <f>IF(propInventory[[#This Row],[myid]]="","",[3]DCBase!K109)</f>
        <v>0.62899989999999995</v>
      </c>
      <c r="J115" s="67">
        <f>IF(propInventory[[#This Row],[myid]]="","",[3]DCBase!L109)</f>
        <v>3.3</v>
      </c>
      <c r="K115" s="66">
        <f>IF(propInventory[[#This Row],[myid]]="","",352.98/([3]DCBase!N109+273.15)*(1-0.0000225577*[3]DCBase!M109)^5.25578)</f>
        <v>1.1952155100729527</v>
      </c>
      <c r="O115" s="69"/>
      <c r="P115" s="69"/>
      <c r="Q115" s="69"/>
      <c r="R115" s="69"/>
    </row>
    <row r="116" spans="1:18" ht="15">
      <c r="A116" s="84">
        <f>VLOOKUP(propInventory[[#This Row],[Prop Name]],[2]!propInventory3[[Prop Name]:[Instock?]],10,FALSE)</f>
        <v>0</v>
      </c>
      <c r="B116" s="84">
        <f>IF([3]DCBase!$A110="","",[3]DCBase!$A110)</f>
        <v>110</v>
      </c>
      <c r="C116" s="80" t="str">
        <f>IF(propInventory[[#This Row],[myid]]="","",IF([3]DCBase!R110=0,[3]DCBase!D110&amp;"x"&amp;[3]DCBase!E110&amp;" "&amp;[3]DCBase!C110,[3]DCBase!D110&amp;"x"&amp;[3]DCBase!E110&amp;" "&amp;[3]DCBase!C110&amp;" "&amp;[3]DCBase!S110&amp;"mm"))</f>
        <v>12x6 APC Sport</v>
      </c>
      <c r="D116" s="65">
        <f>IF(propInventory[[#This Row],[myid]]="","",[3]DCBase!D110)</f>
        <v>12</v>
      </c>
      <c r="E116" s="65">
        <f>IF(propInventory[[#This Row],[myid]]="","",[3]DCBase!E110)</f>
        <v>6</v>
      </c>
      <c r="F116" s="66">
        <f>IF(propInventory[[#This Row],[myid]]="","",[3]DCBase!F110)</f>
        <v>47.19023</v>
      </c>
      <c r="G116" s="66">
        <f>IF(propInventory[[#This Row],[myid]]="","",[3]DCBase!G110)</f>
        <v>1.7661</v>
      </c>
      <c r="H116" s="66">
        <f>IF(propInventory[[#This Row],[myid]]="","",352.98/([3]DCBase!I110+273.15)*(1-0.0000225577*[3]DCBase!H110)^5.25578)</f>
        <v>1.2249869859448206</v>
      </c>
      <c r="I116" s="56">
        <f>IF(propInventory[[#This Row],[myid]]="","",[3]DCBase!K110)</f>
        <v>0.98874419999999996</v>
      </c>
      <c r="J116" s="67">
        <f>IF(propInventory[[#This Row],[myid]]="","",[3]DCBase!L110)</f>
        <v>2.7161458789999999</v>
      </c>
      <c r="K116" s="66">
        <f>IF(propInventory[[#This Row],[myid]]="","",352.98/([3]DCBase!N110+273.15)*(1-0.0000225577*[3]DCBase!M110)^5.25578)</f>
        <v>1.182130401350806</v>
      </c>
      <c r="O116" s="69"/>
      <c r="P116" s="69"/>
      <c r="Q116" s="69"/>
      <c r="R116" s="69"/>
    </row>
    <row r="117" spans="1:18" ht="15">
      <c r="A117" s="84">
        <f>VLOOKUP(propInventory[[#This Row],[Prop Name]],[2]!propInventory3[[Prop Name]:[Instock?]],10,FALSE)</f>
        <v>0</v>
      </c>
      <c r="B117" s="84">
        <f>IF([3]DCBase!$A111="","",[3]DCBase!$A111)</f>
        <v>111</v>
      </c>
      <c r="C117" s="80" t="str">
        <f>IF(propInventory[[#This Row],[myid]]="","",IF([3]DCBase!R111=0,[3]DCBase!D111&amp;"x"&amp;[3]DCBase!E111&amp;" "&amp;[3]DCBase!C111,[3]DCBase!D111&amp;"x"&amp;[3]DCBase!E111&amp;" "&amp;[3]DCBase!C111&amp;" "&amp;[3]DCBase!S111&amp;"mm"))</f>
        <v>12x6 GWS RS</v>
      </c>
      <c r="D117" s="65">
        <f>IF(propInventory[[#This Row],[myid]]="","",[3]DCBase!D111)</f>
        <v>12</v>
      </c>
      <c r="E117" s="65">
        <f>IF(propInventory[[#This Row],[myid]]="","",[3]DCBase!E111)</f>
        <v>6</v>
      </c>
      <c r="F117" s="66">
        <f>IF(propInventory[[#This Row],[myid]]="","",[3]DCBase!F111)</f>
        <v>38.346040000000002</v>
      </c>
      <c r="G117" s="66">
        <f>IF(propInventory[[#This Row],[myid]]="","",[3]DCBase!G111)</f>
        <v>2.0139939999999998</v>
      </c>
      <c r="H117" s="66">
        <f>IF(propInventory[[#This Row],[myid]]="","",352.98/([3]DCBase!I111+273.15)*(1-0.0000225577*[3]DCBase!H111)^5.25578)</f>
        <v>1.1758151638376082</v>
      </c>
      <c r="I117" s="56">
        <f>IF(propInventory[[#This Row],[myid]]="","",[3]DCBase!K111)</f>
        <v>0.77706600000000003</v>
      </c>
      <c r="J117" s="67">
        <f>IF(propInventory[[#This Row],[myid]]="","",[3]DCBase!L111)</f>
        <v>2.97</v>
      </c>
      <c r="K117" s="66">
        <f>IF(propInventory[[#This Row],[myid]]="","",352.98/([3]DCBase!N111+273.15)*(1-0.0000225577*[3]DCBase!M111)^5.25578)</f>
        <v>1.2249869859448206</v>
      </c>
      <c r="O117" s="69"/>
      <c r="P117" s="69"/>
      <c r="Q117" s="69"/>
      <c r="R117" s="69"/>
    </row>
    <row r="118" spans="1:18" ht="15">
      <c r="A118" s="84">
        <f>VLOOKUP(propInventory[[#This Row],[Prop Name]],[2]!propInventory3[[Prop Name]:[Instock?]],10,FALSE)</f>
        <v>0</v>
      </c>
      <c r="B118" s="84">
        <f>IF([3]DCBase!$A112="","",[3]DCBase!$A112)</f>
        <v>112</v>
      </c>
      <c r="C118" s="80" t="str">
        <f>IF(propInventory[[#This Row],[myid]]="","",IF([3]DCBase!R112=0,[3]DCBase!D112&amp;"x"&amp;[3]DCBase!E112&amp;" "&amp;[3]DCBase!C112,[3]DCBase!D112&amp;"x"&amp;[3]DCBase!E112&amp;" "&amp;[3]DCBase!C112&amp;" "&amp;[3]DCBase!S112&amp;"mm"))</f>
        <v>12x6.5 AeroCAM 42mm</v>
      </c>
      <c r="D118" s="65">
        <f>IF(propInventory[[#This Row],[myid]]="","",[3]DCBase!D112)</f>
        <v>12</v>
      </c>
      <c r="E118" s="65">
        <f>IF(propInventory[[#This Row],[myid]]="","",[3]DCBase!E112)</f>
        <v>6.5</v>
      </c>
      <c r="F118" s="66">
        <f>IF(propInventory[[#This Row],[myid]]="","",[3]DCBase!F112)</f>
        <v>24.45027</v>
      </c>
      <c r="G118" s="66">
        <f>IF(propInventory[[#This Row],[myid]]="","",[3]DCBase!G112)</f>
        <v>2.0356860000000001</v>
      </c>
      <c r="H118" s="66">
        <f>IF(propInventory[[#This Row],[myid]]="","",352.98/([3]DCBase!I112+273.15)*(1-0.0000225577*[3]DCBase!H112)^5.25578)</f>
        <v>1.2249869859448206</v>
      </c>
      <c r="I118" s="56">
        <f>IF(propInventory[[#This Row],[myid]]="","",[3]DCBase!K112)</f>
        <v>0.40143200000000001</v>
      </c>
      <c r="J118" s="67">
        <f>IF(propInventory[[#This Row],[myid]]="","",[3]DCBase!L112)</f>
        <v>3.08</v>
      </c>
      <c r="K118" s="66">
        <f>IF(propInventory[[#This Row],[myid]]="","",352.98/([3]DCBase!N112+273.15)*(1-0.0000225577*[3]DCBase!M112)^5.25578)</f>
        <v>1.2249869859448206</v>
      </c>
      <c r="O118" s="69"/>
      <c r="P118" s="69"/>
      <c r="Q118" s="69"/>
      <c r="R118" s="69"/>
    </row>
    <row r="119" spans="1:18" ht="15">
      <c r="A119" s="84">
        <f>VLOOKUP(propInventory[[#This Row],[Prop Name]],[2]!propInventory3[[Prop Name]:[Instock?]],10,FALSE)</f>
        <v>0</v>
      </c>
      <c r="B119" s="84">
        <f>IF([3]DCBase!$A113="","",[3]DCBase!$A113)</f>
        <v>113</v>
      </c>
      <c r="C119" s="80" t="str">
        <f>IF(propInventory[[#This Row],[myid]]="","",IF([3]DCBase!R113=0,[3]DCBase!D113&amp;"x"&amp;[3]DCBase!E113&amp;" "&amp;[3]DCBase!C113,[3]DCBase!D113&amp;"x"&amp;[3]DCBase!E113&amp;" "&amp;[3]DCBase!C113&amp;" "&amp;[3]DCBase!S113&amp;"mm"))</f>
        <v>12x7 AeroCarbon 42mm</v>
      </c>
      <c r="D119" s="65">
        <f>IF(propInventory[[#This Row],[myid]]="","",[3]DCBase!D113)</f>
        <v>12</v>
      </c>
      <c r="E119" s="65">
        <f>IF(propInventory[[#This Row],[myid]]="","",[3]DCBase!E113)</f>
        <v>7</v>
      </c>
      <c r="F119" s="66">
        <f>IF(propInventory[[#This Row],[myid]]="","",[3]DCBase!F113)</f>
        <v>24.054600000000001</v>
      </c>
      <c r="G119" s="66">
        <f>IF(propInventory[[#This Row],[myid]]="","",[3]DCBase!G113)</f>
        <v>2</v>
      </c>
      <c r="H119" s="66">
        <f>IF(propInventory[[#This Row],[myid]]="","",352.98/([3]DCBase!I113+273.15)*(1-0.0000225577*[3]DCBase!H113)^5.25578)</f>
        <v>1.1874514592074905</v>
      </c>
      <c r="I119" s="56">
        <f>IF(propInventory[[#This Row],[myid]]="","",[3]DCBase!K113)</f>
        <v>0.3910052</v>
      </c>
      <c r="J119" s="67">
        <f>IF(propInventory[[#This Row],[myid]]="","",[3]DCBase!L113)</f>
        <v>3.08</v>
      </c>
      <c r="K119" s="66">
        <f>IF(propInventory[[#This Row],[myid]]="","",352.98/([3]DCBase!N113+273.15)*(1-0.0000225577*[3]DCBase!M113)^5.25578)</f>
        <v>1.2249869859448206</v>
      </c>
      <c r="O119" s="69"/>
      <c r="P119" s="69"/>
      <c r="Q119" s="69"/>
      <c r="R119" s="69"/>
    </row>
    <row r="120" spans="1:18" ht="15">
      <c r="A120" s="84">
        <f>VLOOKUP(propInventory[[#This Row],[Prop Name]],[2]!propInventory3[[Prop Name]:[Instock?]],10,FALSE)</f>
        <v>0</v>
      </c>
      <c r="B120" s="84">
        <f>IF([3]DCBase!$A114="","",[3]DCBase!$A114)</f>
        <v>114</v>
      </c>
      <c r="C120" s="80" t="str">
        <f>IF(propInventory[[#This Row],[myid]]="","",IF([3]DCBase!R114=0,[3]DCBase!D114&amp;"x"&amp;[3]DCBase!E114&amp;" "&amp;[3]DCBase!C114,[3]DCBase!D114&amp;"x"&amp;[3]DCBase!E114&amp;" "&amp;[3]DCBase!C114&amp;" "&amp;[3]DCBase!S114&amp;"mm"))</f>
        <v>12x7 APC Sport</v>
      </c>
      <c r="D120" s="65">
        <f>IF(propInventory[[#This Row],[myid]]="","",[3]DCBase!D114)</f>
        <v>12</v>
      </c>
      <c r="E120" s="65">
        <f>IF(propInventory[[#This Row],[myid]]="","",[3]DCBase!E114)</f>
        <v>7</v>
      </c>
      <c r="F120" s="66">
        <f>IF(propInventory[[#This Row],[myid]]="","",[3]DCBase!F114)</f>
        <v>0</v>
      </c>
      <c r="G120" s="66">
        <f>IF(propInventory[[#This Row],[myid]]="","",[3]DCBase!G114)</f>
        <v>0</v>
      </c>
      <c r="H120" s="66">
        <f>IF(propInventory[[#This Row],[myid]]="","",352.98/([3]DCBase!I114+273.15)*(1-0.0000225577*[3]DCBase!H114)^5.25578)</f>
        <v>1.2249869859448206</v>
      </c>
      <c r="I120" s="56">
        <f>IF(propInventory[[#This Row],[myid]]="","",[3]DCBase!K114)</f>
        <v>0.61677760000000004</v>
      </c>
      <c r="J120" s="67">
        <f>IF(propInventory[[#This Row],[myid]]="","",[3]DCBase!L114)</f>
        <v>3.001982892</v>
      </c>
      <c r="K120" s="66">
        <f>IF(propInventory[[#This Row],[myid]]="","",352.98/([3]DCBase!N114+273.15)*(1-0.0000225577*[3]DCBase!M114)^5.25578)</f>
        <v>1.182130401350806</v>
      </c>
      <c r="O120" s="69"/>
      <c r="P120" s="69"/>
      <c r="Q120" s="69"/>
      <c r="R120" s="69"/>
    </row>
    <row r="121" spans="1:18" ht="15">
      <c r="A121" s="84">
        <f>VLOOKUP(propInventory[[#This Row],[Prop Name]],[2]!propInventory3[[Prop Name]:[Instock?]],10,FALSE)</f>
        <v>0</v>
      </c>
      <c r="B121" s="84">
        <f>IF([3]DCBase!$A115="","",[3]DCBase!$A115)</f>
        <v>115</v>
      </c>
      <c r="C121" s="80" t="str">
        <f>IF(propInventory[[#This Row],[myid]]="","",IF([3]DCBase!R115=0,[3]DCBase!D115&amp;"x"&amp;[3]DCBase!E115&amp;" "&amp;[3]DCBase!C115,[3]DCBase!D115&amp;"x"&amp;[3]DCBase!E115&amp;" "&amp;[3]DCBase!C115&amp;" "&amp;[3]DCBase!S115&amp;"mm"))</f>
        <v>12x7 Graupner CAM 42mm</v>
      </c>
      <c r="D121" s="65">
        <f>IF(propInventory[[#This Row],[myid]]="","",[3]DCBase!D115)</f>
        <v>12</v>
      </c>
      <c r="E121" s="65">
        <f>IF(propInventory[[#This Row],[myid]]="","",[3]DCBase!E115)</f>
        <v>7</v>
      </c>
      <c r="F121" s="66">
        <f>IF(propInventory[[#This Row],[myid]]="","",[3]DCBase!F115)</f>
        <v>14.222849999999999</v>
      </c>
      <c r="G121" s="66">
        <f>IF(propInventory[[#This Row],[myid]]="","",[3]DCBase!G115)</f>
        <v>2.1659999999999999</v>
      </c>
      <c r="H121" s="66">
        <f>IF(propInventory[[#This Row],[myid]]="","",352.98/([3]DCBase!I115+273.15)*(1-0.0000225577*[3]DCBase!H115)^5.25578)</f>
        <v>1.1952155100729527</v>
      </c>
      <c r="I121" s="56">
        <f>IF(propInventory[[#This Row],[myid]]="","",[3]DCBase!K115)</f>
        <v>0.32616119999999998</v>
      </c>
      <c r="J121" s="67">
        <f>IF(propInventory[[#This Row],[myid]]="","",[3]DCBase!L115)</f>
        <v>3.0615999999999999</v>
      </c>
      <c r="K121" s="66">
        <f>IF(propInventory[[#This Row],[myid]]="","",352.98/([3]DCBase!N115+273.15)*(1-0.0000225577*[3]DCBase!M115)^5.25578)</f>
        <v>1.1952155100729527</v>
      </c>
      <c r="O121" s="69"/>
      <c r="P121" s="69"/>
      <c r="Q121" s="69"/>
      <c r="R121" s="69"/>
    </row>
    <row r="122" spans="1:18" ht="15">
      <c r="A122" s="84">
        <f>VLOOKUP(propInventory[[#This Row],[Prop Name]],[2]!propInventory3[[Prop Name]:[Instock?]],10,FALSE)</f>
        <v>0</v>
      </c>
      <c r="B122" s="84">
        <f>IF([3]DCBase!$A116="","",[3]DCBase!$A116)</f>
        <v>116</v>
      </c>
      <c r="C122" s="80" t="str">
        <f>IF(propInventory[[#This Row],[myid]]="","",IF([3]DCBase!R116=0,[3]DCBase!D116&amp;"x"&amp;[3]DCBase!E116&amp;" "&amp;[3]DCBase!C116,[3]DCBase!D116&amp;"x"&amp;[3]DCBase!E116&amp;" "&amp;[3]DCBase!C116&amp;" "&amp;[3]DCBase!S116&amp;"mm"))</f>
        <v>12x8 AeroCAM 42mm</v>
      </c>
      <c r="D122" s="65">
        <f>IF(propInventory[[#This Row],[myid]]="","",[3]DCBase!D116)</f>
        <v>12</v>
      </c>
      <c r="E122" s="65">
        <f>IF(propInventory[[#This Row],[myid]]="","",[3]DCBase!E116)</f>
        <v>8</v>
      </c>
      <c r="F122" s="66">
        <f>IF(propInventory[[#This Row],[myid]]="","",[3]DCBase!F116)</f>
        <v>24.097470000000001</v>
      </c>
      <c r="G122" s="66">
        <f>IF(propInventory[[#This Row],[myid]]="","",[3]DCBase!G116)</f>
        <v>2.126563</v>
      </c>
      <c r="H122" s="66">
        <f>IF(propInventory[[#This Row],[myid]]="","",352.98/([3]DCBase!I116+273.15)*(1-0.0000225577*[3]DCBase!H116)^5.25578)</f>
        <v>1.2249869859448206</v>
      </c>
      <c r="I122" s="56">
        <f>IF(propInventory[[#This Row],[myid]]="","",[3]DCBase!K116)</f>
        <v>0.67169540000000005</v>
      </c>
      <c r="J122" s="67">
        <f>IF(propInventory[[#This Row],[myid]]="","",[3]DCBase!L116)</f>
        <v>3</v>
      </c>
      <c r="K122" s="66">
        <f>IF(propInventory[[#This Row],[myid]]="","",352.98/([3]DCBase!N116+273.15)*(1-0.0000225577*[3]DCBase!M116)^5.25578)</f>
        <v>1.2249869859448206</v>
      </c>
      <c r="O122" s="69"/>
      <c r="P122" s="69"/>
      <c r="Q122" s="69"/>
      <c r="R122" s="69"/>
    </row>
    <row r="123" spans="1:18" ht="15">
      <c r="A123" s="84">
        <f>VLOOKUP(propInventory[[#This Row],[Prop Name]],[2]!propInventory3[[Prop Name]:[Instock?]],10,FALSE)</f>
        <v>0</v>
      </c>
      <c r="B123" s="84">
        <f>IF([3]DCBase!$A117="","",[3]DCBase!$A117)</f>
        <v>117</v>
      </c>
      <c r="C123" s="80" t="str">
        <f>IF(propInventory[[#This Row],[myid]]="","",IF([3]DCBase!R117=0,[3]DCBase!D117&amp;"x"&amp;[3]DCBase!E117&amp;" "&amp;[3]DCBase!C117,[3]DCBase!D117&amp;"x"&amp;[3]DCBase!E117&amp;" "&amp;[3]DCBase!C117&amp;" "&amp;[3]DCBase!S117&amp;"mm"))</f>
        <v>12x8 APC E</v>
      </c>
      <c r="D123" s="65">
        <f>IF(propInventory[[#This Row],[myid]]="","",[3]DCBase!D117)</f>
        <v>12</v>
      </c>
      <c r="E123" s="65">
        <f>IF(propInventory[[#This Row],[myid]]="","",[3]DCBase!E117)</f>
        <v>8</v>
      </c>
      <c r="F123" s="66">
        <f>IF(propInventory[[#This Row],[myid]]="","",[3]DCBase!F117)</f>
        <v>27.848870000000002</v>
      </c>
      <c r="G123" s="66">
        <f>IF(propInventory[[#This Row],[myid]]="","",[3]DCBase!G117)</f>
        <v>2.0617220000000001</v>
      </c>
      <c r="H123" s="66">
        <f>IF(propInventory[[#This Row],[myid]]="","",352.98/([3]DCBase!I117+273.15)*(1-0.0000225577*[3]DCBase!H117)^5.25578)</f>
        <v>1.1758151638376082</v>
      </c>
      <c r="I123" s="56">
        <f>IF(propInventory[[#This Row],[myid]]="","",[3]DCBase!K117)</f>
        <v>0.38632529999999998</v>
      </c>
      <c r="J123" s="67">
        <f>IF(propInventory[[#This Row],[myid]]="","",[3]DCBase!L117)</f>
        <v>3.2685819999999999</v>
      </c>
      <c r="K123" s="66">
        <f>IF(propInventory[[#This Row],[myid]]="","",352.98/([3]DCBase!N117+273.15)*(1-0.0000225577*[3]DCBase!M117)^5.25578)</f>
        <v>1.1952155100729527</v>
      </c>
      <c r="O123" s="69"/>
      <c r="P123" s="69"/>
      <c r="Q123" s="69"/>
      <c r="R123" s="69"/>
    </row>
    <row r="124" spans="1:18" ht="15">
      <c r="A124" s="84">
        <f>VLOOKUP(propInventory[[#This Row],[Prop Name]],[2]!propInventory3[[Prop Name]:[Instock?]],10,FALSE)</f>
        <v>0</v>
      </c>
      <c r="B124" s="84">
        <f>IF([3]DCBase!$A118="","",[3]DCBase!$A118)</f>
        <v>118</v>
      </c>
      <c r="C124" s="80" t="str">
        <f>IF(propInventory[[#This Row],[myid]]="","",IF([3]DCBase!R118=0,[3]DCBase!D118&amp;"x"&amp;[3]DCBase!E118&amp;" "&amp;[3]DCBase!C118,[3]DCBase!D118&amp;"x"&amp;[3]DCBase!E118&amp;" "&amp;[3]DCBase!C118&amp;" "&amp;[3]DCBase!S118&amp;"mm"))</f>
        <v>12x8 APC Sport</v>
      </c>
      <c r="D124" s="65">
        <f>IF(propInventory[[#This Row],[myid]]="","",[3]DCBase!D118)</f>
        <v>12</v>
      </c>
      <c r="E124" s="65">
        <f>IF(propInventory[[#This Row],[myid]]="","",[3]DCBase!E118)</f>
        <v>8</v>
      </c>
      <c r="F124" s="66">
        <f>IF(propInventory[[#This Row],[myid]]="","",[3]DCBase!F118)</f>
        <v>0</v>
      </c>
      <c r="G124" s="66">
        <f>IF(propInventory[[#This Row],[myid]]="","",[3]DCBase!G118)</f>
        <v>0</v>
      </c>
      <c r="H124" s="66">
        <f>IF(propInventory[[#This Row],[myid]]="","",352.98/([3]DCBase!I118+273.15)*(1-0.0000225577*[3]DCBase!H118)^5.25578)</f>
        <v>1.2249869859448206</v>
      </c>
      <c r="I124" s="56">
        <f>IF(propInventory[[#This Row],[myid]]="","",[3]DCBase!K118)</f>
        <v>0.81208360000000002</v>
      </c>
      <c r="J124" s="67">
        <f>IF(propInventory[[#This Row],[myid]]="","",[3]DCBase!L118)</f>
        <v>3</v>
      </c>
      <c r="K124" s="66">
        <f>IF(propInventory[[#This Row],[myid]]="","",352.98/([3]DCBase!N118+273.15)*(1-0.0000225577*[3]DCBase!M118)^5.25578)</f>
        <v>1.182130401350806</v>
      </c>
      <c r="O124" s="69"/>
      <c r="P124" s="69"/>
      <c r="Q124" s="69"/>
      <c r="R124" s="69"/>
    </row>
    <row r="125" spans="1:18" ht="15">
      <c r="A125" s="84">
        <f>VLOOKUP(propInventory[[#This Row],[Prop Name]],[2]!propInventory3[[Prop Name]:[Instock?]],10,FALSE)</f>
        <v>0</v>
      </c>
      <c r="B125" s="84">
        <f>IF([3]DCBase!$A119="","",[3]DCBase!$A119)</f>
        <v>119</v>
      </c>
      <c r="C125" s="80" t="str">
        <f>IF(propInventory[[#This Row],[myid]]="","",IF([3]DCBase!R119=0,[3]DCBase!D119&amp;"x"&amp;[3]DCBase!E119&amp;" "&amp;[3]DCBase!C119,[3]DCBase!D119&amp;"x"&amp;[3]DCBase!E119&amp;" "&amp;[3]DCBase!C119&amp;" "&amp;[3]DCBase!S119&amp;"mm"))</f>
        <v>12x9 AeroCAM 42mm</v>
      </c>
      <c r="D125" s="65">
        <f>IF(propInventory[[#This Row],[myid]]="","",[3]DCBase!D119)</f>
        <v>12</v>
      </c>
      <c r="E125" s="65">
        <f>IF(propInventory[[#This Row],[myid]]="","",[3]DCBase!E119)</f>
        <v>9</v>
      </c>
      <c r="F125" s="66">
        <f>IF(propInventory[[#This Row],[myid]]="","",[3]DCBase!F119)</f>
        <v>21.243870000000001</v>
      </c>
      <c r="G125" s="66">
        <f>IF(propInventory[[#This Row],[myid]]="","",[3]DCBase!G119)</f>
        <v>2.2227679999999999</v>
      </c>
      <c r="H125" s="66">
        <f>IF(propInventory[[#This Row],[myid]]="","",352.98/([3]DCBase!I119+273.15)*(1-0.0000225577*[3]DCBase!H119)^5.25578)</f>
        <v>1.2249869859448206</v>
      </c>
      <c r="I125" s="56">
        <f>IF(propInventory[[#This Row],[myid]]="","",[3]DCBase!K119)</f>
        <v>0.68295570000000005</v>
      </c>
      <c r="J125" s="67">
        <f>IF(propInventory[[#This Row],[myid]]="","",[3]DCBase!L119)</f>
        <v>3.08</v>
      </c>
      <c r="K125" s="66">
        <f>IF(propInventory[[#This Row],[myid]]="","",352.98/([3]DCBase!N119+273.15)*(1-0.0000225577*[3]DCBase!M119)^5.25578)</f>
        <v>1.2249869859448206</v>
      </c>
      <c r="O125" s="69"/>
      <c r="P125" s="69"/>
      <c r="Q125" s="69"/>
      <c r="R125" s="69"/>
    </row>
    <row r="126" spans="1:18" ht="15">
      <c r="A126" s="84">
        <f>VLOOKUP(propInventory[[#This Row],[Prop Name]],[2]!propInventory3[[Prop Name]:[Instock?]],10,FALSE)</f>
        <v>0</v>
      </c>
      <c r="B126" s="84">
        <f>IF([3]DCBase!$A120="","",[3]DCBase!$A120)</f>
        <v>120</v>
      </c>
      <c r="C126" s="80" t="str">
        <f>IF(propInventory[[#This Row],[myid]]="","",IF([3]DCBase!R120=0,[3]DCBase!D120&amp;"x"&amp;[3]DCBase!E120&amp;" "&amp;[3]DCBase!C120,[3]DCBase!D120&amp;"x"&amp;[3]DCBase!E120&amp;" "&amp;[3]DCBase!C120&amp;" "&amp;[3]DCBase!S120&amp;"mm"))</f>
        <v>12x9 APC Sport</v>
      </c>
      <c r="D126" s="65">
        <f>IF(propInventory[[#This Row],[myid]]="","",[3]DCBase!D120)</f>
        <v>12</v>
      </c>
      <c r="E126" s="65">
        <f>IF(propInventory[[#This Row],[myid]]="","",[3]DCBase!E120)</f>
        <v>9</v>
      </c>
      <c r="F126" s="66">
        <f>IF(propInventory[[#This Row],[myid]]="","",[3]DCBase!F120)</f>
        <v>0</v>
      </c>
      <c r="G126" s="66">
        <f>IF(propInventory[[#This Row],[myid]]="","",[3]DCBase!G120)</f>
        <v>0</v>
      </c>
      <c r="H126" s="66">
        <f>IF(propInventory[[#This Row],[myid]]="","",352.98/([3]DCBase!I120+273.15)*(1-0.0000225577*[3]DCBase!H120)^5.25578)</f>
        <v>1.2249869859448206</v>
      </c>
      <c r="I126" s="56">
        <f>IF(propInventory[[#This Row],[myid]]="","",[3]DCBase!K120)</f>
        <v>0.72424259999999996</v>
      </c>
      <c r="J126" s="67">
        <f>IF(propInventory[[#This Row],[myid]]="","",[3]DCBase!L120)</f>
        <v>3.0050538520000001</v>
      </c>
      <c r="K126" s="66">
        <f>IF(propInventory[[#This Row],[myid]]="","",352.98/([3]DCBase!N120+273.15)*(1-0.0000225577*[3]DCBase!M120)^5.25578)</f>
        <v>1.182130401350806</v>
      </c>
      <c r="O126" s="69"/>
      <c r="P126" s="69"/>
      <c r="Q126" s="69"/>
      <c r="R126" s="69"/>
    </row>
    <row r="127" spans="1:18" ht="15">
      <c r="A127" s="84">
        <f>VLOOKUP(propInventory[[#This Row],[Prop Name]],[2]!propInventory3[[Prop Name]:[Instock?]],10,FALSE)</f>
        <v>0</v>
      </c>
      <c r="B127" s="84">
        <f>IF([3]DCBase!$A121="","",[3]DCBase!$A121)</f>
        <v>121</v>
      </c>
      <c r="C127" s="80" t="str">
        <f>IF(propInventory[[#This Row],[myid]]="","",IF([3]DCBase!R121=0,[3]DCBase!D121&amp;"x"&amp;[3]DCBase!E121&amp;" "&amp;[3]DCBase!C121,[3]DCBase!D121&amp;"x"&amp;[3]DCBase!E121&amp;" "&amp;[3]DCBase!C121&amp;" "&amp;[3]DCBase!S121&amp;"mm"))</f>
        <v>12x10 APC E</v>
      </c>
      <c r="D127" s="65">
        <f>IF(propInventory[[#This Row],[myid]]="","",[3]DCBase!D121)</f>
        <v>12</v>
      </c>
      <c r="E127" s="65">
        <f>IF(propInventory[[#This Row],[myid]]="","",[3]DCBase!E121)</f>
        <v>10</v>
      </c>
      <c r="F127" s="66">
        <f>IF(propInventory[[#This Row],[myid]]="","",[3]DCBase!F121)</f>
        <v>22.889140000000001</v>
      </c>
      <c r="G127" s="66">
        <f>IF(propInventory[[#This Row],[myid]]="","",[3]DCBase!G121)</f>
        <v>2.1061000000000001</v>
      </c>
      <c r="H127" s="66">
        <f>IF(propInventory[[#This Row],[myid]]="","",352.98/([3]DCBase!I121+273.15)*(1-0.0000225577*[3]DCBase!H121)^5.25578)</f>
        <v>1.2249869859448206</v>
      </c>
      <c r="I127" s="56">
        <f>IF(propInventory[[#This Row],[myid]]="","",[3]DCBase!K121)</f>
        <v>0.8036411</v>
      </c>
      <c r="J127" s="67">
        <f>IF(propInventory[[#This Row],[myid]]="","",[3]DCBase!L121)</f>
        <v>3</v>
      </c>
      <c r="K127" s="66">
        <f>IF(propInventory[[#This Row],[myid]]="","",352.98/([3]DCBase!N121+273.15)*(1-0.0000225577*[3]DCBase!M121)^5.25578)</f>
        <v>1.1952155100729527</v>
      </c>
      <c r="O127" s="69"/>
      <c r="P127" s="69"/>
      <c r="Q127" s="69"/>
      <c r="R127" s="69"/>
    </row>
    <row r="128" spans="1:18" ht="15">
      <c r="A128" s="84">
        <f>VLOOKUP(propInventory[[#This Row],[Prop Name]],[2]!propInventory3[[Prop Name]:[Instock?]],10,FALSE)</f>
        <v>0</v>
      </c>
      <c r="B128" s="84">
        <f>IF([3]DCBase!$A122="","",[3]DCBase!$A122)</f>
        <v>122</v>
      </c>
      <c r="C128" s="80" t="str">
        <f>IF(propInventory[[#This Row],[myid]]="","",IF([3]DCBase!R122=0,[3]DCBase!D122&amp;"x"&amp;[3]DCBase!E122&amp;" "&amp;[3]DCBase!C122,[3]DCBase!D122&amp;"x"&amp;[3]DCBase!E122&amp;" "&amp;[3]DCBase!C122&amp;" "&amp;[3]DCBase!S122&amp;"mm"))</f>
        <v>12x10 APC Sport</v>
      </c>
      <c r="D128" s="65">
        <f>IF(propInventory[[#This Row],[myid]]="","",[3]DCBase!D122)</f>
        <v>12</v>
      </c>
      <c r="E128" s="65">
        <f>IF(propInventory[[#This Row],[myid]]="","",[3]DCBase!E122)</f>
        <v>10</v>
      </c>
      <c r="F128" s="66">
        <f>IF(propInventory[[#This Row],[myid]]="","",[3]DCBase!F122)</f>
        <v>0</v>
      </c>
      <c r="G128" s="66">
        <f>IF(propInventory[[#This Row],[myid]]="","",[3]DCBase!G122)</f>
        <v>0</v>
      </c>
      <c r="H128" s="66">
        <f>IF(propInventory[[#This Row],[myid]]="","",352.98/([3]DCBase!I122+273.15)*(1-0.0000225577*[3]DCBase!H122)^5.25578)</f>
        <v>1.2249869859448206</v>
      </c>
      <c r="I128" s="56">
        <f>IF(propInventory[[#This Row],[myid]]="","",[3]DCBase!K122)</f>
        <v>0.95800719999999995</v>
      </c>
      <c r="J128" s="67">
        <f>IF(propInventory[[#This Row],[myid]]="","",[3]DCBase!L122)</f>
        <v>3.006269697</v>
      </c>
      <c r="K128" s="66">
        <f>IF(propInventory[[#This Row],[myid]]="","",352.98/([3]DCBase!N122+273.15)*(1-0.0000225577*[3]DCBase!M122)^5.25578)</f>
        <v>1.182130401350806</v>
      </c>
      <c r="O128" s="69"/>
      <c r="P128" s="69"/>
      <c r="Q128" s="69"/>
      <c r="R128" s="69"/>
    </row>
    <row r="129" spans="1:18" ht="15">
      <c r="A129" s="84">
        <f>VLOOKUP(propInventory[[#This Row],[Prop Name]],[2]!propInventory3[[Prop Name]:[Instock?]],10,FALSE)</f>
        <v>0</v>
      </c>
      <c r="B129" s="84">
        <f>IF([3]DCBase!$A123="","",[3]DCBase!$A123)</f>
        <v>123</v>
      </c>
      <c r="C129" s="80" t="str">
        <f>IF(propInventory[[#This Row],[myid]]="","",IF([3]DCBase!R123=0,[3]DCBase!D123&amp;"x"&amp;[3]DCBase!E123&amp;" "&amp;[3]DCBase!C123,[3]DCBase!D123&amp;"x"&amp;[3]DCBase!E123&amp;" "&amp;[3]DCBase!C123&amp;" "&amp;[3]DCBase!S123&amp;"mm"))</f>
        <v>12x12 APC E</v>
      </c>
      <c r="D129" s="65">
        <f>IF(propInventory[[#This Row],[myid]]="","",[3]DCBase!D123)</f>
        <v>12</v>
      </c>
      <c r="E129" s="65">
        <f>IF(propInventory[[#This Row],[myid]]="","",[3]DCBase!E123)</f>
        <v>12</v>
      </c>
      <c r="F129" s="66">
        <f>IF(propInventory[[#This Row],[myid]]="","",[3]DCBase!F123)</f>
        <v>0</v>
      </c>
      <c r="G129" s="66">
        <f>IF(propInventory[[#This Row],[myid]]="","",[3]DCBase!G123)</f>
        <v>0</v>
      </c>
      <c r="H129" s="66">
        <f>IF(propInventory[[#This Row],[myid]]="","",352.98/([3]DCBase!I123+273.15)*(1-0.0000225577*[3]DCBase!H123)^5.25578)</f>
        <v>1.2249869859448206</v>
      </c>
      <c r="I129" s="56">
        <f>IF(propInventory[[#This Row],[myid]]="","",[3]DCBase!K123)</f>
        <v>1.528</v>
      </c>
      <c r="J129" s="67">
        <f>IF(propInventory[[#This Row],[myid]]="","",[3]DCBase!L123)</f>
        <v>2.9</v>
      </c>
      <c r="K129" s="66">
        <f>IF(propInventory[[#This Row],[myid]]="","",352.98/([3]DCBase!N123+273.15)*(1-0.0000225577*[3]DCBase!M123)^5.25578)</f>
        <v>1.1952155100729527</v>
      </c>
      <c r="O129" s="69"/>
      <c r="P129" s="69"/>
      <c r="Q129" s="69"/>
      <c r="R129" s="69"/>
    </row>
    <row r="130" spans="1:18" ht="15">
      <c r="A130" s="84">
        <f>VLOOKUP(propInventory[[#This Row],[Prop Name]],[2]!propInventory3[[Prop Name]:[Instock?]],10,FALSE)</f>
        <v>0</v>
      </c>
      <c r="B130" s="84">
        <f>IF([3]DCBase!$A124="","",[3]DCBase!$A124)</f>
        <v>124</v>
      </c>
      <c r="C130" s="80" t="str">
        <f>IF(propInventory[[#This Row],[myid]]="","",IF([3]DCBase!R124=0,[3]DCBase!D124&amp;"x"&amp;[3]DCBase!E124&amp;" "&amp;[3]DCBase!C124,[3]DCBase!D124&amp;"x"&amp;[3]DCBase!E124&amp;" "&amp;[3]DCBase!C124&amp;" "&amp;[3]DCBase!S124&amp;"mm"))</f>
        <v>12.5x4 Graupner CAM 42mm</v>
      </c>
      <c r="D130" s="65">
        <f>IF(propInventory[[#This Row],[myid]]="","",[3]DCBase!D124)</f>
        <v>12.5</v>
      </c>
      <c r="E130" s="65">
        <f>IF(propInventory[[#This Row],[myid]]="","",[3]DCBase!E124)</f>
        <v>4</v>
      </c>
      <c r="F130" s="66">
        <f>IF(propInventory[[#This Row],[myid]]="","",[3]DCBase!F124)</f>
        <v>13.67676</v>
      </c>
      <c r="G130" s="66">
        <f>IF(propInventory[[#This Row],[myid]]="","",[3]DCBase!G124)</f>
        <v>2.1623999999999999</v>
      </c>
      <c r="H130" s="66">
        <f>IF(propInventory[[#This Row],[myid]]="","",352.98/([3]DCBase!I124+273.15)*(1-0.0000225577*[3]DCBase!H124)^5.25578)</f>
        <v>1.1952155100729527</v>
      </c>
      <c r="I130" s="56">
        <f>IF(propInventory[[#This Row],[myid]]="","",[3]DCBase!K124)</f>
        <v>0.22357949999999999</v>
      </c>
      <c r="J130" s="67">
        <f>IF(propInventory[[#This Row],[myid]]="","",[3]DCBase!L124)</f>
        <v>3.091437</v>
      </c>
      <c r="K130" s="66">
        <f>IF(propInventory[[#This Row],[myid]]="","",352.98/([3]DCBase!N124+273.15)*(1-0.0000225577*[3]DCBase!M124)^5.25578)</f>
        <v>1.1952155100729527</v>
      </c>
      <c r="O130" s="69"/>
      <c r="P130" s="69"/>
      <c r="Q130" s="69"/>
      <c r="R130" s="69"/>
    </row>
    <row r="131" spans="1:18" ht="15">
      <c r="A131" s="84">
        <f>VLOOKUP(propInventory[[#This Row],[Prop Name]],[2]!propInventory3[[Prop Name]:[Instock?]],10,FALSE)</f>
        <v>0</v>
      </c>
      <c r="B131" s="84">
        <f>IF([3]DCBase!$A125="","",[3]DCBase!$A125)</f>
        <v>125</v>
      </c>
      <c r="C131" s="80" t="str">
        <f>IF(propInventory[[#This Row],[myid]]="","",IF([3]DCBase!R125=0,[3]DCBase!D125&amp;"x"&amp;[3]DCBase!E125&amp;" "&amp;[3]DCBase!C125,[3]DCBase!D125&amp;"x"&amp;[3]DCBase!E125&amp;" "&amp;[3]DCBase!C125&amp;" "&amp;[3]DCBase!S125&amp;"mm"))</f>
        <v>12.5x6.5 AeroCarbon 42mm</v>
      </c>
      <c r="D131" s="65">
        <f>IF(propInventory[[#This Row],[myid]]="","",[3]DCBase!D125)</f>
        <v>12.5</v>
      </c>
      <c r="E131" s="65">
        <f>IF(propInventory[[#This Row],[myid]]="","",[3]DCBase!E125)</f>
        <v>6.5</v>
      </c>
      <c r="F131" s="66">
        <f>IF(propInventory[[#This Row],[myid]]="","",[3]DCBase!F125)</f>
        <v>26.232399999999998</v>
      </c>
      <c r="G131" s="66">
        <f>IF(propInventory[[#This Row],[myid]]="","",[3]DCBase!G125)</f>
        <v>2</v>
      </c>
      <c r="H131" s="66">
        <f>IF(propInventory[[#This Row],[myid]]="","",352.98/([3]DCBase!I125+273.15)*(1-0.0000225577*[3]DCBase!H125)^5.25578)</f>
        <v>1.1874514592074905</v>
      </c>
      <c r="I131" s="56">
        <f>IF(propInventory[[#This Row],[myid]]="","",[3]DCBase!K125)</f>
        <v>0.4831086</v>
      </c>
      <c r="J131" s="67">
        <f>IF(propInventory[[#This Row],[myid]]="","",[3]DCBase!L125)</f>
        <v>3.08</v>
      </c>
      <c r="K131" s="66">
        <f>IF(propInventory[[#This Row],[myid]]="","",352.98/([3]DCBase!N125+273.15)*(1-0.0000225577*[3]DCBase!M125)^5.25578)</f>
        <v>1.2249869859448206</v>
      </c>
      <c r="O131" s="69"/>
      <c r="P131" s="69"/>
      <c r="Q131" s="69"/>
      <c r="R131" s="69"/>
    </row>
    <row r="132" spans="1:18" ht="15">
      <c r="A132" s="84">
        <f>VLOOKUP(propInventory[[#This Row],[Prop Name]],[2]!propInventory3[[Prop Name]:[Instock?]],10,FALSE)</f>
        <v>0</v>
      </c>
      <c r="B132" s="84">
        <f>IF([3]DCBase!$A126="","",[3]DCBase!$A126)</f>
        <v>126</v>
      </c>
      <c r="C132" s="80" t="str">
        <f>IF(propInventory[[#This Row],[myid]]="","",IF([3]DCBase!R126=0,[3]DCBase!D126&amp;"x"&amp;[3]DCBase!E126&amp;" "&amp;[3]DCBase!C126,[3]DCBase!D126&amp;"x"&amp;[3]DCBase!E126&amp;" "&amp;[3]DCBase!C126&amp;" "&amp;[3]DCBase!S126&amp;"mm"))</f>
        <v>12.5x7.5 AeroCAM 42mm</v>
      </c>
      <c r="D132" s="65">
        <f>IF(propInventory[[#This Row],[myid]]="","",[3]DCBase!D126)</f>
        <v>12.5</v>
      </c>
      <c r="E132" s="65">
        <f>IF(propInventory[[#This Row],[myid]]="","",[3]DCBase!E126)</f>
        <v>7.5</v>
      </c>
      <c r="F132" s="66">
        <f>IF(propInventory[[#This Row],[myid]]="","",[3]DCBase!F126)</f>
        <v>27.718810000000001</v>
      </c>
      <c r="G132" s="66">
        <f>IF(propInventory[[#This Row],[myid]]="","",[3]DCBase!G126)</f>
        <v>2.133343</v>
      </c>
      <c r="H132" s="66">
        <f>IF(propInventory[[#This Row],[myid]]="","",352.98/([3]DCBase!I126+273.15)*(1-0.0000225577*[3]DCBase!H126)^5.25578)</f>
        <v>1.220968625325449</v>
      </c>
      <c r="I132" s="56">
        <f>IF(propInventory[[#This Row],[myid]]="","",[3]DCBase!K126)</f>
        <v>0.71119710000000003</v>
      </c>
      <c r="J132" s="67">
        <f>IF(propInventory[[#This Row],[myid]]="","",[3]DCBase!L126)</f>
        <v>3</v>
      </c>
      <c r="K132" s="66">
        <f>IF(propInventory[[#This Row],[myid]]="","",352.98/([3]DCBase!N126+273.15)*(1-0.0000225577*[3]DCBase!M126)^5.25578)</f>
        <v>1.220968625325449</v>
      </c>
      <c r="O132" s="69"/>
      <c r="P132" s="69"/>
      <c r="Q132" s="69"/>
      <c r="R132" s="69"/>
    </row>
    <row r="133" spans="1:18" ht="15">
      <c r="A133" s="84">
        <f>VLOOKUP(propInventory[[#This Row],[Prop Name]],[2]!propInventory3[[Prop Name]:[Instock?]],10,FALSE)</f>
        <v>0</v>
      </c>
      <c r="B133" s="84">
        <f>IF([3]DCBase!$A127="","",[3]DCBase!$A127)</f>
        <v>127</v>
      </c>
      <c r="C133" s="80" t="str">
        <f>IF(propInventory[[#This Row],[myid]]="","",IF([3]DCBase!R127=0,[3]DCBase!D127&amp;"x"&amp;[3]DCBase!E127&amp;" "&amp;[3]DCBase!C127,[3]DCBase!D127&amp;"x"&amp;[3]DCBase!E127&amp;" "&amp;[3]DCBase!C127&amp;" "&amp;[3]DCBase!S127&amp;"mm"))</f>
        <v>12.5x10 AeroCarbon 42mm</v>
      </c>
      <c r="D133" s="65">
        <f>IF(propInventory[[#This Row],[myid]]="","",[3]DCBase!D127)</f>
        <v>12.5</v>
      </c>
      <c r="E133" s="65">
        <f>IF(propInventory[[#This Row],[myid]]="","",[3]DCBase!E127)</f>
        <v>10</v>
      </c>
      <c r="F133" s="66">
        <f>IF(propInventory[[#This Row],[myid]]="","",[3]DCBase!F127)</f>
        <v>34.959200000000003</v>
      </c>
      <c r="G133" s="66">
        <f>IF(propInventory[[#This Row],[myid]]="","",[3]DCBase!G127)</f>
        <v>2</v>
      </c>
      <c r="H133" s="66">
        <f>IF(propInventory[[#This Row],[myid]]="","",352.98/([3]DCBase!I127+273.15)*(1-0.0000225577*[3]DCBase!H127)^5.25578)</f>
        <v>1.2249869859448206</v>
      </c>
      <c r="I133" s="56">
        <f>IF(propInventory[[#This Row],[myid]]="","",[3]DCBase!K127)</f>
        <v>0.5248159</v>
      </c>
      <c r="J133" s="67">
        <f>IF(propInventory[[#This Row],[myid]]="","",[3]DCBase!L127)</f>
        <v>3.08</v>
      </c>
      <c r="K133" s="66">
        <f>IF(propInventory[[#This Row],[myid]]="","",352.98/([3]DCBase!N127+273.15)*(1-0.0000225577*[3]DCBase!M127)^5.25578)</f>
        <v>1.2249869859448206</v>
      </c>
      <c r="O133" s="69"/>
      <c r="P133" s="69"/>
      <c r="Q133" s="69"/>
      <c r="R133" s="69"/>
    </row>
    <row r="134" spans="1:18" ht="15">
      <c r="A134" s="84">
        <f>VLOOKUP(propInventory[[#This Row],[Prop Name]],[2]!propInventory3[[Prop Name]:[Instock?]],10,FALSE)</f>
        <v>0</v>
      </c>
      <c r="B134" s="84">
        <f>IF([3]DCBase!$A128="","",[3]DCBase!$A128)</f>
        <v>128</v>
      </c>
      <c r="C134" s="80" t="str">
        <f>IF(propInventory[[#This Row],[myid]]="","",IF([3]DCBase!R128=0,[3]DCBase!D128&amp;"x"&amp;[3]DCBase!E128&amp;" "&amp;[3]DCBase!C128,[3]DCBase!D128&amp;"x"&amp;[3]DCBase!E128&amp;" "&amp;[3]DCBase!C128&amp;" "&amp;[3]DCBase!S128&amp;"mm"))</f>
        <v>13x4 APC E</v>
      </c>
      <c r="D134" s="65">
        <f>IF(propInventory[[#This Row],[myid]]="","",[3]DCBase!D128)</f>
        <v>13</v>
      </c>
      <c r="E134" s="65">
        <f>IF(propInventory[[#This Row],[myid]]="","",[3]DCBase!E128)</f>
        <v>4</v>
      </c>
      <c r="F134" s="66">
        <f>IF(propInventory[[#This Row],[myid]]="","",[3]DCBase!F128)</f>
        <v>17.26154</v>
      </c>
      <c r="G134" s="66">
        <f>IF(propInventory[[#This Row],[myid]]="","",[3]DCBase!G128)</f>
        <v>2.2646480000000002</v>
      </c>
      <c r="H134" s="66">
        <f>IF(propInventory[[#This Row],[myid]]="","",352.98/([3]DCBase!I128+273.15)*(1-0.0000225577*[3]DCBase!H128)^5.25578)</f>
        <v>1.2249869859448206</v>
      </c>
      <c r="I134" s="56">
        <f>IF(propInventory[[#This Row],[myid]]="","",[3]DCBase!K128)</f>
        <v>0.25555600000000001</v>
      </c>
      <c r="J134" s="67">
        <f>IF(propInventory[[#This Row],[myid]]="","",[3]DCBase!L128)</f>
        <v>3.2712500000000002</v>
      </c>
      <c r="K134" s="66">
        <f>IF(propInventory[[#This Row],[myid]]="","",352.98/([3]DCBase!N128+273.15)*(1-0.0000225577*[3]DCBase!M128)^5.25578)</f>
        <v>1.1952155100729527</v>
      </c>
      <c r="O134" s="69"/>
      <c r="P134" s="69"/>
      <c r="Q134" s="69"/>
      <c r="R134" s="69"/>
    </row>
    <row r="135" spans="1:18" ht="15">
      <c r="A135" s="84">
        <f>VLOOKUP(propInventory[[#This Row],[Prop Name]],[2]!propInventory3[[Prop Name]:[Instock?]],10,FALSE)</f>
        <v>0</v>
      </c>
      <c r="B135" s="84">
        <f>IF([3]DCBase!$A129="","",[3]DCBase!$A129)</f>
        <v>129</v>
      </c>
      <c r="C135" s="80" t="str">
        <f>IF(propInventory[[#This Row],[myid]]="","",IF([3]DCBase!R129=0,[3]DCBase!D129&amp;"x"&amp;[3]DCBase!E129&amp;" "&amp;[3]DCBase!C129,[3]DCBase!D129&amp;"x"&amp;[3]DCBase!E129&amp;" "&amp;[3]DCBase!C129&amp;" "&amp;[3]DCBase!S129&amp;"mm"))</f>
        <v>13x6 APC Sport</v>
      </c>
      <c r="D135" s="65">
        <f>IF(propInventory[[#This Row],[myid]]="","",[3]DCBase!D129)</f>
        <v>13</v>
      </c>
      <c r="E135" s="65">
        <f>IF(propInventory[[#This Row],[myid]]="","",[3]DCBase!E129)</f>
        <v>6</v>
      </c>
      <c r="F135" s="66">
        <f>IF(propInventory[[#This Row],[myid]]="","",[3]DCBase!F129)</f>
        <v>0</v>
      </c>
      <c r="G135" s="66">
        <f>IF(propInventory[[#This Row],[myid]]="","",[3]DCBase!G129)</f>
        <v>0</v>
      </c>
      <c r="H135" s="66">
        <f>IF(propInventory[[#This Row],[myid]]="","",352.98/([3]DCBase!I129+273.15)*(1-0.0000225577*[3]DCBase!H129)^5.25578)</f>
        <v>1.2249869859448206</v>
      </c>
      <c r="I135" s="56">
        <f>IF(propInventory[[#This Row],[myid]]="","",[3]DCBase!K129)</f>
        <v>0.66108840000000002</v>
      </c>
      <c r="J135" s="67">
        <f>IF(propInventory[[#This Row],[myid]]="","",[3]DCBase!L129)</f>
        <v>2.9994935960000002</v>
      </c>
      <c r="K135" s="66">
        <f>IF(propInventory[[#This Row],[myid]]="","",352.98/([3]DCBase!N129+273.15)*(1-0.0000225577*[3]DCBase!M129)^5.25578)</f>
        <v>1.182130401350806</v>
      </c>
      <c r="O135" s="69"/>
      <c r="P135" s="69"/>
      <c r="Q135" s="69"/>
      <c r="R135" s="69"/>
    </row>
    <row r="136" spans="1:18" ht="15">
      <c r="A136" s="84">
        <f>VLOOKUP(propInventory[[#This Row],[Prop Name]],[2]!propInventory3[[Prop Name]:[Instock?]],10,FALSE)</f>
        <v>0</v>
      </c>
      <c r="B136" s="84">
        <f>IF([3]DCBase!$A130="","",[3]DCBase!$A130)</f>
        <v>130</v>
      </c>
      <c r="C136" s="80" t="str">
        <f>IF(propInventory[[#This Row],[myid]]="","",IF([3]DCBase!R130=0,[3]DCBase!D130&amp;"x"&amp;[3]DCBase!E130&amp;" "&amp;[3]DCBase!C130,[3]DCBase!D130&amp;"x"&amp;[3]DCBase!E130&amp;" "&amp;[3]DCBase!C130&amp;" "&amp;[3]DCBase!S130&amp;"mm"))</f>
        <v>13x6.5 AeroCarbon 42mm</v>
      </c>
      <c r="D136" s="65">
        <f>IF(propInventory[[#This Row],[myid]]="","",[3]DCBase!D130)</f>
        <v>13</v>
      </c>
      <c r="E136" s="65">
        <f>IF(propInventory[[#This Row],[myid]]="","",[3]DCBase!E130)</f>
        <v>6.5</v>
      </c>
      <c r="F136" s="66">
        <f>IF(propInventory[[#This Row],[myid]]="","",[3]DCBase!F130)</f>
        <v>26.081140000000001</v>
      </c>
      <c r="G136" s="66">
        <f>IF(propInventory[[#This Row],[myid]]="","",[3]DCBase!G130)</f>
        <v>2.1855720000000001</v>
      </c>
      <c r="H136" s="66">
        <f>IF(propInventory[[#This Row],[myid]]="","",352.98/([3]DCBase!I130+273.15)*(1-0.0000225577*[3]DCBase!H130)^5.25578)</f>
        <v>1.1874514592074905</v>
      </c>
      <c r="I136" s="56">
        <f>IF(propInventory[[#This Row],[myid]]="","",[3]DCBase!K130)</f>
        <v>0.51173170000000001</v>
      </c>
      <c r="J136" s="67">
        <f>IF(propInventory[[#This Row],[myid]]="","",[3]DCBase!L130)</f>
        <v>3</v>
      </c>
      <c r="K136" s="66">
        <f>IF(propInventory[[#This Row],[myid]]="","",352.98/([3]DCBase!N130+273.15)*(1-0.0000225577*[3]DCBase!M130)^5.25578)</f>
        <v>1.2249869859448206</v>
      </c>
      <c r="O136" s="69"/>
      <c r="P136" s="69"/>
      <c r="Q136" s="69"/>
      <c r="R136" s="69"/>
    </row>
    <row r="137" spans="1:18" ht="15">
      <c r="A137" s="84">
        <f>VLOOKUP(propInventory[[#This Row],[Prop Name]],[2]!propInventory3[[Prop Name]:[Instock?]],10,FALSE)</f>
        <v>0</v>
      </c>
      <c r="B137" s="84">
        <f>IF([3]DCBase!$A131="","",[3]DCBase!$A131)</f>
        <v>131</v>
      </c>
      <c r="C137" s="80" t="str">
        <f>IF(propInventory[[#This Row],[myid]]="","",IF([3]DCBase!R131=0,[3]DCBase!D131&amp;"x"&amp;[3]DCBase!E131&amp;" "&amp;[3]DCBase!C131,[3]DCBase!D131&amp;"x"&amp;[3]DCBase!E131&amp;" "&amp;[3]DCBase!C131&amp;" "&amp;[3]DCBase!S131&amp;"mm"))</f>
        <v>13x6.5 APC E</v>
      </c>
      <c r="D137" s="65">
        <f>IF(propInventory[[#This Row],[myid]]="","",[3]DCBase!D131)</f>
        <v>13</v>
      </c>
      <c r="E137" s="65">
        <f>IF(propInventory[[#This Row],[myid]]="","",[3]DCBase!E131)</f>
        <v>6.5</v>
      </c>
      <c r="F137" s="66">
        <f>IF(propInventory[[#This Row],[myid]]="","",[3]DCBase!F131)</f>
        <v>21.781469999999999</v>
      </c>
      <c r="G137" s="66">
        <f>IF(propInventory[[#This Row],[myid]]="","",[3]DCBase!G131)</f>
        <v>2.2931159999999999</v>
      </c>
      <c r="H137" s="66">
        <f>IF(propInventory[[#This Row],[myid]]="","",352.98/([3]DCBase!I131+273.15)*(1-0.0000225577*[3]DCBase!H131)^5.25578)</f>
        <v>1.1758151638376082</v>
      </c>
      <c r="I137" s="56">
        <f>IF(propInventory[[#This Row],[myid]]="","",[3]DCBase!K131)</f>
        <v>0.46624019999999999</v>
      </c>
      <c r="J137" s="67">
        <f>IF(propInventory[[#This Row],[myid]]="","",[3]DCBase!L131)</f>
        <v>3.2602129999999998</v>
      </c>
      <c r="K137" s="66">
        <f>IF(propInventory[[#This Row],[myid]]="","",352.98/([3]DCBase!N131+273.15)*(1-0.0000225577*[3]DCBase!M131)^5.25578)</f>
        <v>1.1952155100729527</v>
      </c>
      <c r="O137" s="69"/>
      <c r="P137" s="69"/>
      <c r="Q137" s="69"/>
      <c r="R137" s="69"/>
    </row>
    <row r="138" spans="1:18" ht="15">
      <c r="A138" s="84">
        <f>VLOOKUP(propInventory[[#This Row],[Prop Name]],[2]!propInventory3[[Prop Name]:[Instock?]],10,FALSE)</f>
        <v>0</v>
      </c>
      <c r="B138" s="84">
        <f>IF([3]DCBase!$A132="","",[3]DCBase!$A132)</f>
        <v>132</v>
      </c>
      <c r="C138" s="80" t="str">
        <f>IF(propInventory[[#This Row],[myid]]="","",IF([3]DCBase!R132=0,[3]DCBase!D132&amp;"x"&amp;[3]DCBase!E132&amp;" "&amp;[3]DCBase!C132,[3]DCBase!D132&amp;"x"&amp;[3]DCBase!E132&amp;" "&amp;[3]DCBase!C132&amp;" "&amp;[3]DCBase!S132&amp;"mm"))</f>
        <v>13x7 APC Sport</v>
      </c>
      <c r="D138" s="65">
        <f>IF(propInventory[[#This Row],[myid]]="","",[3]DCBase!D132)</f>
        <v>13</v>
      </c>
      <c r="E138" s="65">
        <f>IF(propInventory[[#This Row],[myid]]="","",[3]DCBase!E132)</f>
        <v>7</v>
      </c>
      <c r="F138" s="66">
        <f>IF(propInventory[[#This Row],[myid]]="","",[3]DCBase!F132)</f>
        <v>37.276490000000003</v>
      </c>
      <c r="G138" s="66">
        <f>IF(propInventory[[#This Row],[myid]]="","",[3]DCBase!G132)</f>
        <v>2.0146000000000002</v>
      </c>
      <c r="H138" s="66">
        <f>IF(propInventory[[#This Row],[myid]]="","",352.98/([3]DCBase!I132+273.15)*(1-0.0000225577*[3]DCBase!H132)^5.25578)</f>
        <v>1.2249869859448206</v>
      </c>
      <c r="I138" s="56">
        <f>IF(propInventory[[#This Row],[myid]]="","",[3]DCBase!K132)</f>
        <v>0.77417029999999998</v>
      </c>
      <c r="J138" s="67">
        <f>IF(propInventory[[#This Row],[myid]]="","",[3]DCBase!L132)</f>
        <v>3</v>
      </c>
      <c r="K138" s="66">
        <f>IF(propInventory[[#This Row],[myid]]="","",352.98/([3]DCBase!N132+273.15)*(1-0.0000225577*[3]DCBase!M132)^5.25578)</f>
        <v>1.182130401350806</v>
      </c>
      <c r="O138" s="69"/>
      <c r="P138" s="69"/>
      <c r="Q138" s="69"/>
      <c r="R138" s="69"/>
    </row>
    <row r="139" spans="1:18" ht="15">
      <c r="A139" s="84">
        <f>VLOOKUP(propInventory[[#This Row],[Prop Name]],[2]!propInventory3[[Prop Name]:[Instock?]],10,FALSE)</f>
        <v>0</v>
      </c>
      <c r="B139" s="84">
        <f>IF([3]DCBase!$A133="","",[3]DCBase!$A133)</f>
        <v>133</v>
      </c>
      <c r="C139" s="80" t="str">
        <f>IF(propInventory[[#This Row],[myid]]="","",IF([3]DCBase!R133=0,[3]DCBase!D133&amp;"x"&amp;[3]DCBase!E133&amp;" "&amp;[3]DCBase!C133,[3]DCBase!D133&amp;"x"&amp;[3]DCBase!E133&amp;" "&amp;[3]DCBase!C133&amp;" "&amp;[3]DCBase!S133&amp;"mm"))</f>
        <v>13x7 Graupner CAM 42mm</v>
      </c>
      <c r="D139" s="65">
        <f>IF(propInventory[[#This Row],[myid]]="","",[3]DCBase!D133)</f>
        <v>13</v>
      </c>
      <c r="E139" s="65">
        <f>IF(propInventory[[#This Row],[myid]]="","",[3]DCBase!E133)</f>
        <v>7</v>
      </c>
      <c r="F139" s="66">
        <f>IF(propInventory[[#This Row],[myid]]="","",[3]DCBase!F133)</f>
        <v>25.001609999999999</v>
      </c>
      <c r="G139" s="66">
        <f>IF(propInventory[[#This Row],[myid]]="","",[3]DCBase!G133)</f>
        <v>2.0964</v>
      </c>
      <c r="H139" s="66">
        <f>IF(propInventory[[#This Row],[myid]]="","",352.98/([3]DCBase!I133+273.15)*(1-0.0000225577*[3]DCBase!H133)^5.25578)</f>
        <v>1.1952155100729527</v>
      </c>
      <c r="I139" s="56">
        <f>IF(propInventory[[#This Row],[myid]]="","",[3]DCBase!K133)</f>
        <v>0.59300019999999998</v>
      </c>
      <c r="J139" s="67">
        <f>IF(propInventory[[#This Row],[myid]]="","",[3]DCBase!L133)</f>
        <v>3.08</v>
      </c>
      <c r="K139" s="66">
        <f>IF(propInventory[[#This Row],[myid]]="","",352.98/([3]DCBase!N133+273.15)*(1-0.0000225577*[3]DCBase!M133)^5.25578)</f>
        <v>1.1952155100729527</v>
      </c>
      <c r="O139" s="69"/>
      <c r="P139" s="69"/>
      <c r="Q139" s="69"/>
      <c r="R139" s="69"/>
    </row>
    <row r="140" spans="1:18" ht="15">
      <c r="A140" s="84">
        <f>VLOOKUP(propInventory[[#This Row],[Prop Name]],[2]!propInventory3[[Prop Name]:[Instock?]],10,FALSE)</f>
        <v>0</v>
      </c>
      <c r="B140" s="84">
        <f>IF([3]DCBase!$A134="","",[3]DCBase!$A134)</f>
        <v>134</v>
      </c>
      <c r="C140" s="80" t="str">
        <f>IF(propInventory[[#This Row],[myid]]="","",IF([3]DCBase!R134=0,[3]DCBase!D134&amp;"x"&amp;[3]DCBase!E134&amp;" "&amp;[3]DCBase!C134,[3]DCBase!D134&amp;"x"&amp;[3]DCBase!E134&amp;" "&amp;[3]DCBase!C134&amp;" "&amp;[3]DCBase!S134&amp;"mm"))</f>
        <v>13x8 AeroCAM 42mm</v>
      </c>
      <c r="D140" s="65">
        <f>IF(propInventory[[#This Row],[myid]]="","",[3]DCBase!D134)</f>
        <v>13</v>
      </c>
      <c r="E140" s="65">
        <f>IF(propInventory[[#This Row],[myid]]="","",[3]DCBase!E134)</f>
        <v>8</v>
      </c>
      <c r="F140" s="66">
        <f>IF(propInventory[[#This Row],[myid]]="","",[3]DCBase!F134)</f>
        <v>34.763559999999998</v>
      </c>
      <c r="G140" s="66">
        <f>IF(propInventory[[#This Row],[myid]]="","",[3]DCBase!G134)</f>
        <v>2.0092970000000001</v>
      </c>
      <c r="H140" s="66">
        <f>IF(propInventory[[#This Row],[myid]]="","",352.98/([3]DCBase!I134+273.15)*(1-0.0000225577*[3]DCBase!H134)^5.25578)</f>
        <v>1.2249869859448206</v>
      </c>
      <c r="I140" s="56">
        <f>IF(propInventory[[#This Row],[myid]]="","",[3]DCBase!K134)</f>
        <v>0.6412485</v>
      </c>
      <c r="J140" s="67">
        <f>IF(propInventory[[#This Row],[myid]]="","",[3]DCBase!L134)</f>
        <v>3.08</v>
      </c>
      <c r="K140" s="66">
        <f>IF(propInventory[[#This Row],[myid]]="","",352.98/([3]DCBase!N134+273.15)*(1-0.0000225577*[3]DCBase!M134)^5.25578)</f>
        <v>1.2249869859448206</v>
      </c>
      <c r="O140" s="69"/>
      <c r="P140" s="69"/>
      <c r="Q140" s="69"/>
      <c r="R140" s="69"/>
    </row>
    <row r="141" spans="1:18" ht="15">
      <c r="A141" s="84">
        <f>VLOOKUP(propInventory[[#This Row],[Prop Name]],[2]!propInventory3[[Prop Name]:[Instock?]],10,FALSE)</f>
        <v>0</v>
      </c>
      <c r="B141" s="84">
        <f>IF([3]DCBase!$A135="","",[3]DCBase!$A135)</f>
        <v>135</v>
      </c>
      <c r="C141" s="80" t="str">
        <f>IF(propInventory[[#This Row],[myid]]="","",IF([3]DCBase!R135=0,[3]DCBase!D135&amp;"x"&amp;[3]DCBase!E135&amp;" "&amp;[3]DCBase!C135,[3]DCBase!D135&amp;"x"&amp;[3]DCBase!E135&amp;" "&amp;[3]DCBase!C135&amp;" "&amp;[3]DCBase!S135&amp;"mm"))</f>
        <v>13x8 APC E</v>
      </c>
      <c r="D141" s="65">
        <f>IF(propInventory[[#This Row],[myid]]="","",[3]DCBase!D135)</f>
        <v>13</v>
      </c>
      <c r="E141" s="65">
        <f>IF(propInventory[[#This Row],[myid]]="","",[3]DCBase!E135)</f>
        <v>8</v>
      </c>
      <c r="F141" s="66">
        <f>IF(propInventory[[#This Row],[myid]]="","",[3]DCBase!F135)</f>
        <v>26.436610000000002</v>
      </c>
      <c r="G141" s="66">
        <f>IF(propInventory[[#This Row],[myid]]="","",[3]DCBase!G135)</f>
        <v>2.2490019999999999</v>
      </c>
      <c r="H141" s="66">
        <f>IF(propInventory[[#This Row],[myid]]="","",352.98/([3]DCBase!I135+273.15)*(1-0.0000225577*[3]DCBase!H135)^5.25578)</f>
        <v>1.1758151638376082</v>
      </c>
      <c r="I141" s="56">
        <f>IF(propInventory[[#This Row],[myid]]="","",[3]DCBase!K135)</f>
        <v>0.56513380000000002</v>
      </c>
      <c r="J141" s="67">
        <f>IF(propInventory[[#This Row],[myid]]="","",[3]DCBase!L135)</f>
        <v>3.2013950000000002</v>
      </c>
      <c r="K141" s="66">
        <f>IF(propInventory[[#This Row],[myid]]="","",352.98/([3]DCBase!N135+273.15)*(1-0.0000225577*[3]DCBase!M135)^5.25578)</f>
        <v>1.1952155100729527</v>
      </c>
      <c r="O141" s="69"/>
      <c r="P141" s="69"/>
      <c r="Q141" s="69"/>
      <c r="R141" s="69"/>
    </row>
    <row r="142" spans="1:18" ht="15">
      <c r="A142" s="84">
        <f>VLOOKUP(propInventory[[#This Row],[Prop Name]],[2]!propInventory3[[Prop Name]:[Instock?]],10,FALSE)</f>
        <v>0</v>
      </c>
      <c r="B142" s="84">
        <f>IF([3]DCBase!$A136="","",[3]DCBase!$A136)</f>
        <v>136</v>
      </c>
      <c r="C142" s="80" t="str">
        <f>IF(propInventory[[#This Row],[myid]]="","",IF([3]DCBase!R136=0,[3]DCBase!D136&amp;"x"&amp;[3]DCBase!E136&amp;" "&amp;[3]DCBase!C136,[3]DCBase!D136&amp;"x"&amp;[3]DCBase!E136&amp;" "&amp;[3]DCBase!C136&amp;" "&amp;[3]DCBase!S136&amp;"mm"))</f>
        <v>13x8 APC Sport</v>
      </c>
      <c r="D142" s="65">
        <f>IF(propInventory[[#This Row],[myid]]="","",[3]DCBase!D136)</f>
        <v>13</v>
      </c>
      <c r="E142" s="65">
        <f>IF(propInventory[[#This Row],[myid]]="","",[3]DCBase!E136)</f>
        <v>8</v>
      </c>
      <c r="F142" s="66">
        <f>IF(propInventory[[#This Row],[myid]]="","",[3]DCBase!F136)</f>
        <v>0</v>
      </c>
      <c r="G142" s="66">
        <f>IF(propInventory[[#This Row],[myid]]="","",[3]DCBase!G136)</f>
        <v>0</v>
      </c>
      <c r="H142" s="66">
        <f>IF(propInventory[[#This Row],[myid]]="","",352.98/([3]DCBase!I136+273.15)*(1-0.0000225577*[3]DCBase!H136)^5.25578)</f>
        <v>1.2249869859448206</v>
      </c>
      <c r="I142" s="56">
        <f>IF(propInventory[[#This Row],[myid]]="","",[3]DCBase!K136)</f>
        <v>0.92842639999999999</v>
      </c>
      <c r="J142" s="67">
        <f>IF(propInventory[[#This Row],[myid]]="","",[3]DCBase!L136)</f>
        <v>2.992447045</v>
      </c>
      <c r="K142" s="66">
        <f>IF(propInventory[[#This Row],[myid]]="","",352.98/([3]DCBase!N136+273.15)*(1-0.0000225577*[3]DCBase!M136)^5.25578)</f>
        <v>1.182130401350806</v>
      </c>
      <c r="O142" s="69"/>
      <c r="P142" s="69"/>
      <c r="Q142" s="69"/>
      <c r="R142" s="69"/>
    </row>
    <row r="143" spans="1:18" ht="15">
      <c r="A143" s="84">
        <f>VLOOKUP(propInventory[[#This Row],[Prop Name]],[2]!propInventory3[[Prop Name]:[Instock?]],10,FALSE)</f>
        <v>0</v>
      </c>
      <c r="B143" s="84">
        <f>IF([3]DCBase!$A137="","",[3]DCBase!$A137)</f>
        <v>137</v>
      </c>
      <c r="C143" s="80" t="str">
        <f>IF(propInventory[[#This Row],[myid]]="","",IF([3]DCBase!R137=0,[3]DCBase!D137&amp;"x"&amp;[3]DCBase!E137&amp;" "&amp;[3]DCBase!C137,[3]DCBase!D137&amp;"x"&amp;[3]DCBase!E137&amp;" "&amp;[3]DCBase!C137&amp;" "&amp;[3]DCBase!S137&amp;"mm"))</f>
        <v>13x10 APC E</v>
      </c>
      <c r="D143" s="65">
        <f>IF(propInventory[[#This Row],[myid]]="","",[3]DCBase!D137)</f>
        <v>13</v>
      </c>
      <c r="E143" s="65">
        <f>IF(propInventory[[#This Row],[myid]]="","",[3]DCBase!E137)</f>
        <v>10</v>
      </c>
      <c r="F143" s="66">
        <f>IF(propInventory[[#This Row],[myid]]="","",[3]DCBase!F137)</f>
        <v>33.421489999999999</v>
      </c>
      <c r="G143" s="66">
        <f>IF(propInventory[[#This Row],[myid]]="","",[3]DCBase!G137)</f>
        <v>2.0625</v>
      </c>
      <c r="H143" s="66">
        <f>IF(propInventory[[#This Row],[myid]]="","",352.98/([3]DCBase!I137+273.15)*(1-0.0000225577*[3]DCBase!H137)^5.25578)</f>
        <v>1.1758151638376082</v>
      </c>
      <c r="I143" s="56">
        <f>IF(propInventory[[#This Row],[myid]]="","",[3]DCBase!K137)</f>
        <v>1.2238260000000001</v>
      </c>
      <c r="J143" s="67">
        <f>IF(propInventory[[#This Row],[myid]]="","",[3]DCBase!L137)</f>
        <v>3</v>
      </c>
      <c r="K143" s="66">
        <f>IF(propInventory[[#This Row],[myid]]="","",352.98/([3]DCBase!N137+273.15)*(1-0.0000225577*[3]DCBase!M137)^5.25578)</f>
        <v>1.1952155100729527</v>
      </c>
      <c r="O143" s="69"/>
      <c r="P143" s="69"/>
      <c r="Q143" s="69"/>
      <c r="R143" s="69"/>
    </row>
    <row r="144" spans="1:18" ht="15">
      <c r="A144" s="84">
        <f>VLOOKUP(propInventory[[#This Row],[Prop Name]],[2]!propInventory3[[Prop Name]:[Instock?]],10,FALSE)</f>
        <v>0</v>
      </c>
      <c r="B144" s="84">
        <f>IF([3]DCBase!$A138="","",[3]DCBase!$A138)</f>
        <v>138</v>
      </c>
      <c r="C144" s="80" t="str">
        <f>IF(propInventory[[#This Row],[myid]]="","",IF([3]DCBase!R138=0,[3]DCBase!D138&amp;"x"&amp;[3]DCBase!E138&amp;" "&amp;[3]DCBase!C138,[3]DCBase!D138&amp;"x"&amp;[3]DCBase!E138&amp;" "&amp;[3]DCBase!C138&amp;" "&amp;[3]DCBase!S138&amp;"mm"))</f>
        <v>13x10 APC Sport</v>
      </c>
      <c r="D144" s="65">
        <f>IF(propInventory[[#This Row],[myid]]="","",[3]DCBase!D138)</f>
        <v>13</v>
      </c>
      <c r="E144" s="65">
        <f>IF(propInventory[[#This Row],[myid]]="","",[3]DCBase!E138)</f>
        <v>10</v>
      </c>
      <c r="F144" s="66">
        <f>IF(propInventory[[#This Row],[myid]]="","",[3]DCBase!F138)</f>
        <v>0</v>
      </c>
      <c r="G144" s="66">
        <f>IF(propInventory[[#This Row],[myid]]="","",[3]DCBase!G138)</f>
        <v>0</v>
      </c>
      <c r="H144" s="66">
        <f>IF(propInventory[[#This Row],[myid]]="","",352.98/([3]DCBase!I138+273.15)*(1-0.0000225577*[3]DCBase!H138)^5.25578)</f>
        <v>1.2249869859448206</v>
      </c>
      <c r="I144" s="56">
        <f>IF(propInventory[[#This Row],[myid]]="","",[3]DCBase!K138)</f>
        <v>1.3673690000000001</v>
      </c>
      <c r="J144" s="67">
        <f>IF(propInventory[[#This Row],[myid]]="","",[3]DCBase!L138)</f>
        <v>3.0011927169999999</v>
      </c>
      <c r="K144" s="66">
        <f>IF(propInventory[[#This Row],[myid]]="","",352.98/([3]DCBase!N138+273.15)*(1-0.0000225577*[3]DCBase!M138)^5.25578)</f>
        <v>1.182130401350806</v>
      </c>
      <c r="O144" s="69"/>
      <c r="P144" s="69"/>
      <c r="Q144" s="69"/>
      <c r="R144" s="69"/>
    </row>
    <row r="145" spans="1:18" ht="15">
      <c r="A145" s="84">
        <f>VLOOKUP(propInventory[[#This Row],[Prop Name]],[2]!propInventory3[[Prop Name]:[Instock?]],10,FALSE)</f>
        <v>0</v>
      </c>
      <c r="B145" s="84">
        <f>IF([3]DCBase!$A139="","",[3]DCBase!$A139)</f>
        <v>139</v>
      </c>
      <c r="C145" s="80" t="str">
        <f>IF(propInventory[[#This Row],[myid]]="","",IF([3]DCBase!R139=0,[3]DCBase!D139&amp;"x"&amp;[3]DCBase!E139&amp;" "&amp;[3]DCBase!C139,[3]DCBase!D139&amp;"x"&amp;[3]DCBase!E139&amp;" "&amp;[3]DCBase!C139&amp;" "&amp;[3]DCBase!S139&amp;"mm"))</f>
        <v>13x11 AeroCAM 42mm</v>
      </c>
      <c r="D145" s="65">
        <f>IF(propInventory[[#This Row],[myid]]="","",[3]DCBase!D139)</f>
        <v>13</v>
      </c>
      <c r="E145" s="65">
        <f>IF(propInventory[[#This Row],[myid]]="","",[3]DCBase!E139)</f>
        <v>11</v>
      </c>
      <c r="F145" s="66">
        <f>IF(propInventory[[#This Row],[myid]]="","",[3]DCBase!F139)</f>
        <v>32.727460000000001</v>
      </c>
      <c r="G145" s="66">
        <f>IF(propInventory[[#This Row],[myid]]="","",[3]DCBase!G139)</f>
        <v>2.1074389999999998</v>
      </c>
      <c r="H145" s="66">
        <f>IF(propInventory[[#This Row],[myid]]="","",352.98/([3]DCBase!I139+273.15)*(1-0.0000225577*[3]DCBase!H139)^5.25578)</f>
        <v>1.2249869859448206</v>
      </c>
      <c r="I145" s="56">
        <f>IF(propInventory[[#This Row],[myid]]="","",[3]DCBase!K139)</f>
        <v>1.173929</v>
      </c>
      <c r="J145" s="67">
        <f>IF(propInventory[[#This Row],[myid]]="","",[3]DCBase!L139)</f>
        <v>3</v>
      </c>
      <c r="K145" s="66">
        <f>IF(propInventory[[#This Row],[myid]]="","",352.98/([3]DCBase!N139+273.15)*(1-0.0000225577*[3]DCBase!M139)^5.25578)</f>
        <v>1.2249869859448206</v>
      </c>
      <c r="O145" s="69"/>
      <c r="P145" s="69"/>
      <c r="Q145" s="69"/>
      <c r="R145" s="69"/>
    </row>
    <row r="146" spans="1:18" ht="15">
      <c r="A146" s="84">
        <f>VLOOKUP(propInventory[[#This Row],[Prop Name]],[2]!propInventory3[[Prop Name]:[Instock?]],10,FALSE)</f>
        <v>0</v>
      </c>
      <c r="B146" s="84">
        <f>IF([3]DCBase!$A140="","",[3]DCBase!$A140)</f>
        <v>140</v>
      </c>
      <c r="C146" s="80" t="str">
        <f>IF(propInventory[[#This Row],[myid]]="","",IF([3]DCBase!R140=0,[3]DCBase!D140&amp;"x"&amp;[3]DCBase!E140&amp;" "&amp;[3]DCBase!C140,[3]DCBase!D140&amp;"x"&amp;[3]DCBase!E140&amp;" "&amp;[3]DCBase!C140&amp;" "&amp;[3]DCBase!S140&amp;"mm"))</f>
        <v>13x12 APC Sport</v>
      </c>
      <c r="D146" s="65">
        <f>IF(propInventory[[#This Row],[myid]]="","",[3]DCBase!D140)</f>
        <v>13</v>
      </c>
      <c r="E146" s="65">
        <f>IF(propInventory[[#This Row],[myid]]="","",[3]DCBase!E140)</f>
        <v>12</v>
      </c>
      <c r="F146" s="66">
        <f>IF(propInventory[[#This Row],[myid]]="","",[3]DCBase!F140)</f>
        <v>0</v>
      </c>
      <c r="G146" s="66">
        <f>IF(propInventory[[#This Row],[myid]]="","",[3]DCBase!G140)</f>
        <v>0</v>
      </c>
      <c r="H146" s="66">
        <f>IF(propInventory[[#This Row],[myid]]="","",352.98/([3]DCBase!I140+273.15)*(1-0.0000225577*[3]DCBase!H140)^5.25578)</f>
        <v>1.2249869859448206</v>
      </c>
      <c r="I146" s="56">
        <f>IF(propInventory[[#This Row],[myid]]="","",[3]DCBase!K140)</f>
        <v>1.4124399999999999</v>
      </c>
      <c r="J146" s="67">
        <f>IF(propInventory[[#This Row],[myid]]="","",[3]DCBase!L140)</f>
        <v>3</v>
      </c>
      <c r="K146" s="66">
        <f>IF(propInventory[[#This Row],[myid]]="","",352.98/([3]DCBase!N140+273.15)*(1-0.0000225577*[3]DCBase!M140)^5.25578)</f>
        <v>1.182130401350806</v>
      </c>
      <c r="O146" s="69"/>
      <c r="P146" s="69"/>
      <c r="Q146" s="69"/>
      <c r="R146" s="69"/>
    </row>
    <row r="147" spans="1:18" ht="15">
      <c r="A147" s="84">
        <f>VLOOKUP(propInventory[[#This Row],[Prop Name]],[2]!propInventory3[[Prop Name]:[Instock?]],10,FALSE)</f>
        <v>0</v>
      </c>
      <c r="B147" s="84">
        <f>IF([3]DCBase!$A141="","",[3]DCBase!$A141)</f>
        <v>141</v>
      </c>
      <c r="C147" s="80" t="str">
        <f>IF(propInventory[[#This Row],[myid]]="","",IF([3]DCBase!R141=0,[3]DCBase!D141&amp;"x"&amp;[3]DCBase!E141&amp;" "&amp;[3]DCBase!C141,[3]DCBase!D141&amp;"x"&amp;[3]DCBase!E141&amp;" "&amp;[3]DCBase!C141&amp;" "&amp;[3]DCBase!S141&amp;"mm"))</f>
        <v>13x13 APC Sport</v>
      </c>
      <c r="D147" s="65">
        <f>IF(propInventory[[#This Row],[myid]]="","",[3]DCBase!D141)</f>
        <v>13</v>
      </c>
      <c r="E147" s="65">
        <f>IF(propInventory[[#This Row],[myid]]="","",[3]DCBase!E141)</f>
        <v>13</v>
      </c>
      <c r="F147" s="66">
        <f>IF(propInventory[[#This Row],[myid]]="","",[3]DCBase!F141)</f>
        <v>0</v>
      </c>
      <c r="G147" s="66">
        <f>IF(propInventory[[#This Row],[myid]]="","",[3]DCBase!G141)</f>
        <v>0</v>
      </c>
      <c r="H147" s="66">
        <f>IF(propInventory[[#This Row],[myid]]="","",352.98/([3]DCBase!I141+273.15)*(1-0.0000225577*[3]DCBase!H141)^5.25578)</f>
        <v>1.2249869859448206</v>
      </c>
      <c r="I147" s="56">
        <f>IF(propInventory[[#This Row],[myid]]="","",[3]DCBase!K141)</f>
        <v>2.1797810000000002</v>
      </c>
      <c r="J147" s="67">
        <f>IF(propInventory[[#This Row],[myid]]="","",[3]DCBase!L141)</f>
        <v>2.8461278600000002</v>
      </c>
      <c r="K147" s="66">
        <f>IF(propInventory[[#This Row],[myid]]="","",352.98/([3]DCBase!N141+273.15)*(1-0.0000225577*[3]DCBase!M141)^5.25578)</f>
        <v>1.182130401350806</v>
      </c>
      <c r="O147" s="69"/>
      <c r="P147" s="69"/>
      <c r="Q147" s="69"/>
      <c r="R147" s="69"/>
    </row>
    <row r="148" spans="1:18" ht="15">
      <c r="A148" s="84">
        <f>VLOOKUP(propInventory[[#This Row],[Prop Name]],[2]!propInventory3[[Prop Name]:[Instock?]],10,FALSE)</f>
        <v>0</v>
      </c>
      <c r="B148" s="84">
        <f>IF([3]DCBase!$A142="","",[3]DCBase!$A142)</f>
        <v>142</v>
      </c>
      <c r="C148" s="80" t="str">
        <f>IF(propInventory[[#This Row],[myid]]="","",IF([3]DCBase!R142=0,[3]DCBase!D142&amp;"x"&amp;[3]DCBase!E142&amp;" "&amp;[3]DCBase!C142,[3]DCBase!D142&amp;"x"&amp;[3]DCBase!E142&amp;" "&amp;[3]DCBase!C142&amp;" "&amp;[3]DCBase!S142&amp;"mm"))</f>
        <v>13.5x7 AeroCarbon 42mm</v>
      </c>
      <c r="D148" s="65">
        <f>IF(propInventory[[#This Row],[myid]]="","",[3]DCBase!D142)</f>
        <v>13.5</v>
      </c>
      <c r="E148" s="65">
        <f>IF(propInventory[[#This Row],[myid]]="","",[3]DCBase!E142)</f>
        <v>7</v>
      </c>
      <c r="F148" s="66">
        <f>IF(propInventory[[#This Row],[myid]]="","",[3]DCBase!F142)</f>
        <v>35.621000000000002</v>
      </c>
      <c r="G148" s="66">
        <f>IF(propInventory[[#This Row],[myid]]="","",[3]DCBase!G142)</f>
        <v>2</v>
      </c>
      <c r="H148" s="66">
        <f>IF(propInventory[[#This Row],[myid]]="","",352.98/([3]DCBase!I142+273.15)*(1-0.0000225577*[3]DCBase!H142)^5.25578)</f>
        <v>1.1874514592074905</v>
      </c>
      <c r="I148" s="56">
        <f>IF(propInventory[[#This Row],[myid]]="","",[3]DCBase!K142)</f>
        <v>0.7489922</v>
      </c>
      <c r="J148" s="67">
        <f>IF(propInventory[[#This Row],[myid]]="","",[3]DCBase!L142)</f>
        <v>3.08</v>
      </c>
      <c r="K148" s="66">
        <f>IF(propInventory[[#This Row],[myid]]="","",352.98/([3]DCBase!N142+273.15)*(1-0.0000225577*[3]DCBase!M142)^5.25578)</f>
        <v>1.2249869859448206</v>
      </c>
      <c r="O148" s="69"/>
      <c r="P148" s="69"/>
      <c r="Q148" s="69"/>
      <c r="R148" s="69"/>
    </row>
    <row r="149" spans="1:18" ht="15">
      <c r="A149" s="84">
        <f>VLOOKUP(propInventory[[#This Row],[Prop Name]],[2]!propInventory3[[Prop Name]:[Instock?]],10,FALSE)</f>
        <v>0</v>
      </c>
      <c r="B149" s="84">
        <f>IF([3]DCBase!$A143="","",[3]DCBase!$A143)</f>
        <v>143</v>
      </c>
      <c r="C149" s="80" t="str">
        <f>IF(propInventory[[#This Row],[myid]]="","",IF([3]DCBase!R143=0,[3]DCBase!D143&amp;"x"&amp;[3]DCBase!E143&amp;" "&amp;[3]DCBase!C143,[3]DCBase!D143&amp;"x"&amp;[3]DCBase!E143&amp;" "&amp;[3]DCBase!C143&amp;" "&amp;[3]DCBase!S143&amp;"mm"))</f>
        <v>13.5x14 APC Sport</v>
      </c>
      <c r="D149" s="65">
        <f>IF(propInventory[[#This Row],[myid]]="","",[3]DCBase!D143)</f>
        <v>13.5</v>
      </c>
      <c r="E149" s="65">
        <f>IF(propInventory[[#This Row],[myid]]="","",[3]DCBase!E143)</f>
        <v>14</v>
      </c>
      <c r="F149" s="66">
        <f>IF(propInventory[[#This Row],[myid]]="","",[3]DCBase!F143)</f>
        <v>0</v>
      </c>
      <c r="G149" s="66">
        <f>IF(propInventory[[#This Row],[myid]]="","",[3]DCBase!G143)</f>
        <v>0</v>
      </c>
      <c r="H149" s="66">
        <f>IF(propInventory[[#This Row],[myid]]="","",352.98/([3]DCBase!I143+273.15)*(1-0.0000225577*[3]DCBase!H143)^5.25578)</f>
        <v>1.2249869859448206</v>
      </c>
      <c r="I149" s="56">
        <f>IF(propInventory[[#This Row],[myid]]="","",[3]DCBase!K143)</f>
        <v>1.9796400000000001</v>
      </c>
      <c r="J149" s="67">
        <f>IF(propInventory[[#This Row],[myid]]="","",[3]DCBase!L143)</f>
        <v>3</v>
      </c>
      <c r="K149" s="66">
        <f>IF(propInventory[[#This Row],[myid]]="","",352.98/([3]DCBase!N143+273.15)*(1-0.0000225577*[3]DCBase!M143)^5.25578)</f>
        <v>1.182130401350806</v>
      </c>
      <c r="O149" s="69"/>
      <c r="P149" s="69"/>
      <c r="Q149" s="69"/>
      <c r="R149" s="69"/>
    </row>
    <row r="150" spans="1:18" ht="15">
      <c r="A150" s="84">
        <f>VLOOKUP(propInventory[[#This Row],[Prop Name]],[2]!propInventory3[[Prop Name]:[Instock?]],10,FALSE)</f>
        <v>0</v>
      </c>
      <c r="B150" s="84">
        <f>IF([3]DCBase!$A144="","",[3]DCBase!$A144)</f>
        <v>144</v>
      </c>
      <c r="C150" s="80" t="str">
        <f>IF(propInventory[[#This Row],[myid]]="","",IF([3]DCBase!R144=0,[3]DCBase!D144&amp;"x"&amp;[3]DCBase!E144&amp;" "&amp;[3]DCBase!C144,[3]DCBase!D144&amp;"x"&amp;[3]DCBase!E144&amp;" "&amp;[3]DCBase!C144&amp;" "&amp;[3]DCBase!S144&amp;"mm"))</f>
        <v>14x7 AeroCarbon 42mm</v>
      </c>
      <c r="D150" s="65">
        <f>IF(propInventory[[#This Row],[myid]]="","",[3]DCBase!D144)</f>
        <v>14</v>
      </c>
      <c r="E150" s="65">
        <f>IF(propInventory[[#This Row],[myid]]="","",[3]DCBase!E144)</f>
        <v>7</v>
      </c>
      <c r="F150" s="66">
        <f>IF(propInventory[[#This Row],[myid]]="","",[3]DCBase!F144)</f>
        <v>40.211799999999997</v>
      </c>
      <c r="G150" s="66">
        <f>IF(propInventory[[#This Row],[myid]]="","",[3]DCBase!G144)</f>
        <v>2</v>
      </c>
      <c r="H150" s="66">
        <f>IF(propInventory[[#This Row],[myid]]="","",352.98/([3]DCBase!I144+273.15)*(1-0.0000225577*[3]DCBase!H144)^5.25578)</f>
        <v>1.1874514592074905</v>
      </c>
      <c r="I150" s="56">
        <f>IF(propInventory[[#This Row],[myid]]="","",[3]DCBase!K144)</f>
        <v>0.90886979999999995</v>
      </c>
      <c r="J150" s="67">
        <f>IF(propInventory[[#This Row],[myid]]="","",[3]DCBase!L144)</f>
        <v>3.08</v>
      </c>
      <c r="K150" s="66">
        <f>IF(propInventory[[#This Row],[myid]]="","",352.98/([3]DCBase!N144+273.15)*(1-0.0000225577*[3]DCBase!M144)^5.25578)</f>
        <v>1.2249869859448206</v>
      </c>
      <c r="O150" s="69"/>
      <c r="P150" s="69"/>
      <c r="Q150" s="69"/>
      <c r="R150" s="69"/>
    </row>
    <row r="151" spans="1:18" ht="15">
      <c r="A151" s="84">
        <f>VLOOKUP(propInventory[[#This Row],[Prop Name]],[2]!propInventory3[[Prop Name]:[Instock?]],10,FALSE)</f>
        <v>0</v>
      </c>
      <c r="B151" s="84">
        <f>IF([3]DCBase!$A145="","",[3]DCBase!$A145)</f>
        <v>145</v>
      </c>
      <c r="C151" s="80" t="str">
        <f>IF(propInventory[[#This Row],[myid]]="","",IF([3]DCBase!R145=0,[3]DCBase!D145&amp;"x"&amp;[3]DCBase!E145&amp;" "&amp;[3]DCBase!C145,[3]DCBase!D145&amp;"x"&amp;[3]DCBase!E145&amp;" "&amp;[3]DCBase!C145&amp;" "&amp;[3]DCBase!S145&amp;"mm"))</f>
        <v>14x7 APC E</v>
      </c>
      <c r="D151" s="65">
        <f>IF(propInventory[[#This Row],[myid]]="","",[3]DCBase!D145)</f>
        <v>14</v>
      </c>
      <c r="E151" s="65">
        <f>IF(propInventory[[#This Row],[myid]]="","",[3]DCBase!E145)</f>
        <v>7</v>
      </c>
      <c r="F151" s="66">
        <f>IF(propInventory[[#This Row],[myid]]="","",[3]DCBase!F145)</f>
        <v>52.270290000000003</v>
      </c>
      <c r="G151" s="66">
        <f>IF(propInventory[[#This Row],[myid]]="","",[3]DCBase!G145)</f>
        <v>2</v>
      </c>
      <c r="H151" s="66">
        <f>IF(propInventory[[#This Row],[myid]]="","",352.98/([3]DCBase!I145+273.15)*(1-0.0000225577*[3]DCBase!H145)^5.25578)</f>
        <v>1.2249869859448206</v>
      </c>
      <c r="I151" s="56">
        <f>IF(propInventory[[#This Row],[myid]]="","",[3]DCBase!K145)</f>
        <v>0.47292830000000002</v>
      </c>
      <c r="J151" s="67">
        <f>IF(propInventory[[#This Row],[myid]]="","",[3]DCBase!L145)</f>
        <v>3.3938329999999999</v>
      </c>
      <c r="K151" s="66">
        <f>IF(propInventory[[#This Row],[myid]]="","",352.98/([3]DCBase!N145+273.15)*(1-0.0000225577*[3]DCBase!M145)^5.25578)</f>
        <v>1.2249869859448206</v>
      </c>
      <c r="O151" s="69"/>
      <c r="P151" s="69"/>
      <c r="Q151" s="69"/>
      <c r="R151" s="69"/>
    </row>
    <row r="152" spans="1:18" ht="15">
      <c r="A152" s="84">
        <f>VLOOKUP(propInventory[[#This Row],[Prop Name]],[2]!propInventory3[[Prop Name]:[Instock?]],10,FALSE)</f>
        <v>0</v>
      </c>
      <c r="B152" s="84">
        <f>IF([3]DCBase!$A146="","",[3]DCBase!$A146)</f>
        <v>146</v>
      </c>
      <c r="C152" s="80" t="str">
        <f>IF(propInventory[[#This Row],[myid]]="","",IF([3]DCBase!R146=0,[3]DCBase!D146&amp;"x"&amp;[3]DCBase!E146&amp;" "&amp;[3]DCBase!C146,[3]DCBase!D146&amp;"x"&amp;[3]DCBase!E146&amp;" "&amp;[3]DCBase!C146&amp;" "&amp;[3]DCBase!S146&amp;"mm"))</f>
        <v>14x8 AeroCAM 42mm</v>
      </c>
      <c r="D152" s="65">
        <f>IF(propInventory[[#This Row],[myid]]="","",[3]DCBase!D146)</f>
        <v>14</v>
      </c>
      <c r="E152" s="65">
        <f>IF(propInventory[[#This Row],[myid]]="","",[3]DCBase!E146)</f>
        <v>8</v>
      </c>
      <c r="F152" s="66">
        <f>IF(propInventory[[#This Row],[myid]]="","",[3]DCBase!F146)</f>
        <v>48.939660000000003</v>
      </c>
      <c r="G152" s="66">
        <f>IF(propInventory[[#This Row],[myid]]="","",[3]DCBase!G146)</f>
        <v>2.1135299999999999</v>
      </c>
      <c r="H152" s="66">
        <f>IF(propInventory[[#This Row],[myid]]="","",352.98/([3]DCBase!I146+273.15)*(1-0.0000225577*[3]DCBase!H146)^5.25578)</f>
        <v>1.2249869859448206</v>
      </c>
      <c r="I152" s="56">
        <f>IF(propInventory[[#This Row],[myid]]="","",[3]DCBase!K146)</f>
        <v>1.249479</v>
      </c>
      <c r="J152" s="67">
        <f>IF(propInventory[[#This Row],[myid]]="","",[3]DCBase!L146)</f>
        <v>3.08</v>
      </c>
      <c r="K152" s="66">
        <f>IF(propInventory[[#This Row],[myid]]="","",352.98/([3]DCBase!N146+273.15)*(1-0.0000225577*[3]DCBase!M146)^5.25578)</f>
        <v>1.2249869859448206</v>
      </c>
      <c r="O152" s="69"/>
      <c r="P152" s="69"/>
      <c r="Q152" s="69"/>
      <c r="R152" s="69"/>
    </row>
    <row r="153" spans="1:18" ht="15">
      <c r="A153" s="84">
        <f>VLOOKUP(propInventory[[#This Row],[Prop Name]],[2]!propInventory3[[Prop Name]:[Instock?]],10,FALSE)</f>
        <v>0</v>
      </c>
      <c r="B153" s="84">
        <f>IF([3]DCBase!$A147="","",[3]DCBase!$A147)</f>
        <v>147</v>
      </c>
      <c r="C153" s="80" t="str">
        <f>IF(propInventory[[#This Row],[myid]]="","",IF([3]DCBase!R147=0,[3]DCBase!D147&amp;"x"&amp;[3]DCBase!E147&amp;" "&amp;[3]DCBase!C147,[3]DCBase!D147&amp;"x"&amp;[3]DCBase!E147&amp;" "&amp;[3]DCBase!C147&amp;" "&amp;[3]DCBase!S147&amp;"mm"))</f>
        <v>14x8 APC Sport</v>
      </c>
      <c r="D153" s="65">
        <f>IF(propInventory[[#This Row],[myid]]="","",[3]DCBase!D147)</f>
        <v>14</v>
      </c>
      <c r="E153" s="65">
        <f>IF(propInventory[[#This Row],[myid]]="","",[3]DCBase!E147)</f>
        <v>8</v>
      </c>
      <c r="F153" s="66">
        <f>IF(propInventory[[#This Row],[myid]]="","",[3]DCBase!F147)</f>
        <v>0</v>
      </c>
      <c r="G153" s="66">
        <f>IF(propInventory[[#This Row],[myid]]="","",[3]DCBase!G147)</f>
        <v>0</v>
      </c>
      <c r="H153" s="66">
        <f>IF(propInventory[[#This Row],[myid]]="","",352.98/([3]DCBase!I147+273.15)*(1-0.0000225577*[3]DCBase!H147)^5.25578)</f>
        <v>1.2249869859448206</v>
      </c>
      <c r="I153" s="56">
        <f>IF(propInventory[[#This Row],[myid]]="","",[3]DCBase!K147)</f>
        <v>1.228723</v>
      </c>
      <c r="J153" s="67">
        <f>IF(propInventory[[#This Row],[myid]]="","",[3]DCBase!L147)</f>
        <v>2.9992658410000002</v>
      </c>
      <c r="K153" s="66">
        <f>IF(propInventory[[#This Row],[myid]]="","",352.98/([3]DCBase!N147+273.15)*(1-0.0000225577*[3]DCBase!M147)^5.25578)</f>
        <v>1.182130401350806</v>
      </c>
      <c r="O153" s="69"/>
      <c r="P153" s="69"/>
      <c r="Q153" s="69"/>
      <c r="R153" s="69"/>
    </row>
    <row r="154" spans="1:18" ht="15">
      <c r="A154" s="84">
        <f>VLOOKUP(propInventory[[#This Row],[Prop Name]],[2]!propInventory3[[Prop Name]:[Instock?]],10,FALSE)</f>
        <v>0</v>
      </c>
      <c r="B154" s="84">
        <f>IF([3]DCBase!$A148="","",[3]DCBase!$A148)</f>
        <v>148</v>
      </c>
      <c r="C154" s="80" t="str">
        <f>IF(propInventory[[#This Row],[myid]]="","",IF([3]DCBase!R148=0,[3]DCBase!D148&amp;"x"&amp;[3]DCBase!E148&amp;" "&amp;[3]DCBase!C148,[3]DCBase!D148&amp;"x"&amp;[3]DCBase!E148&amp;" "&amp;[3]DCBase!C148&amp;" "&amp;[3]DCBase!S148&amp;"mm"))</f>
        <v>14x9 AeroCAM 42mm</v>
      </c>
      <c r="D154" s="65">
        <f>IF(propInventory[[#This Row],[myid]]="","",[3]DCBase!D148)</f>
        <v>14</v>
      </c>
      <c r="E154" s="65">
        <f>IF(propInventory[[#This Row],[myid]]="","",[3]DCBase!E148)</f>
        <v>9</v>
      </c>
      <c r="F154" s="66">
        <f>IF(propInventory[[#This Row],[myid]]="","",[3]DCBase!F148)</f>
        <v>52.177770000000002</v>
      </c>
      <c r="G154" s="66">
        <f>IF(propInventory[[#This Row],[myid]]="","",[3]DCBase!G148)</f>
        <v>2.0882679999999998</v>
      </c>
      <c r="H154" s="66">
        <f>IF(propInventory[[#This Row],[myid]]="","",352.98/([3]DCBase!I148+273.15)*(1-0.0000225577*[3]DCBase!H148)^5.25578)</f>
        <v>1.2249869859448206</v>
      </c>
      <c r="I154" s="56">
        <f>IF(propInventory[[#This Row],[myid]]="","",[3]DCBase!K148)</f>
        <v>1.452801</v>
      </c>
      <c r="J154" s="67">
        <f>IF(propInventory[[#This Row],[myid]]="","",[3]DCBase!L148)</f>
        <v>3.08</v>
      </c>
      <c r="K154" s="66">
        <f>IF(propInventory[[#This Row],[myid]]="","",352.98/([3]DCBase!N148+273.15)*(1-0.0000225577*[3]DCBase!M148)^5.25578)</f>
        <v>1.2249869859448206</v>
      </c>
      <c r="O154" s="69"/>
      <c r="P154" s="69"/>
      <c r="Q154" s="69"/>
      <c r="R154" s="69"/>
    </row>
    <row r="155" spans="1:18" ht="15">
      <c r="A155" s="84">
        <f>VLOOKUP(propInventory[[#This Row],[Prop Name]],[2]!propInventory3[[Prop Name]:[Instock?]],10,FALSE)</f>
        <v>0</v>
      </c>
      <c r="B155" s="84">
        <f>IF([3]DCBase!$A149="","",[3]DCBase!$A149)</f>
        <v>149</v>
      </c>
      <c r="C155" s="80" t="str">
        <f>IF(propInventory[[#This Row],[myid]]="","",IF([3]DCBase!R149=0,[3]DCBase!D149&amp;"x"&amp;[3]DCBase!E149&amp;" "&amp;[3]DCBase!C149,[3]DCBase!D149&amp;"x"&amp;[3]DCBase!E149&amp;" "&amp;[3]DCBase!C149&amp;" "&amp;[3]DCBase!S149&amp;"mm"))</f>
        <v>14x10 AeroCAM 42mm</v>
      </c>
      <c r="D155" s="65">
        <f>IF(propInventory[[#This Row],[myid]]="","",[3]DCBase!D149)</f>
        <v>14</v>
      </c>
      <c r="E155" s="65">
        <f>IF(propInventory[[#This Row],[myid]]="","",[3]DCBase!E149)</f>
        <v>10</v>
      </c>
      <c r="F155" s="66">
        <f>IF(propInventory[[#This Row],[myid]]="","",[3]DCBase!F149)</f>
        <v>63.0075</v>
      </c>
      <c r="G155" s="66">
        <f>IF(propInventory[[#This Row],[myid]]="","",[3]DCBase!G149)</f>
        <v>2</v>
      </c>
      <c r="H155" s="66">
        <f>IF(propInventory[[#This Row],[myid]]="","",352.98/([3]DCBase!I149+273.15)*(1-0.0000225577*[3]DCBase!H149)^5.25578)</f>
        <v>1.2249869859448206</v>
      </c>
      <c r="I155" s="56">
        <f>IF(propInventory[[#This Row],[myid]]="","",[3]DCBase!K149)</f>
        <v>1.70652</v>
      </c>
      <c r="J155" s="67">
        <f>IF(propInventory[[#This Row],[myid]]="","",[3]DCBase!L149)</f>
        <v>3.08</v>
      </c>
      <c r="K155" s="66">
        <f>IF(propInventory[[#This Row],[myid]]="","",352.98/([3]DCBase!N149+273.15)*(1-0.0000225577*[3]DCBase!M149)^5.25578)</f>
        <v>1.2249869859448206</v>
      </c>
      <c r="O155" s="69"/>
      <c r="P155" s="69"/>
      <c r="Q155" s="69"/>
      <c r="R155" s="69"/>
    </row>
    <row r="156" spans="1:18" ht="15">
      <c r="A156" s="84">
        <f>VLOOKUP(propInventory[[#This Row],[Prop Name]],[2]!propInventory3[[Prop Name]:[Instock?]],10,FALSE)</f>
        <v>0</v>
      </c>
      <c r="B156" s="84">
        <f>IF([3]DCBase!$A150="","",[3]DCBase!$A150)</f>
        <v>150</v>
      </c>
      <c r="C156" s="80" t="str">
        <f>IF(propInventory[[#This Row],[myid]]="","",IF([3]DCBase!R150=0,[3]DCBase!D150&amp;"x"&amp;[3]DCBase!E150&amp;" "&amp;[3]DCBase!C150,[3]DCBase!D150&amp;"x"&amp;[3]DCBase!E150&amp;" "&amp;[3]DCBase!C150&amp;" "&amp;[3]DCBase!S150&amp;"mm"))</f>
        <v>14x10 APC E</v>
      </c>
      <c r="D156" s="65">
        <f>IF(propInventory[[#This Row],[myid]]="","",[3]DCBase!D150)</f>
        <v>14</v>
      </c>
      <c r="E156" s="65">
        <f>IF(propInventory[[#This Row],[myid]]="","",[3]DCBase!E150)</f>
        <v>10</v>
      </c>
      <c r="F156" s="66">
        <f>IF(propInventory[[#This Row],[myid]]="","",[3]DCBase!F150)</f>
        <v>51.624980000000001</v>
      </c>
      <c r="G156" s="66">
        <f>IF(propInventory[[#This Row],[myid]]="","",[3]DCBase!G150)</f>
        <v>2.080838</v>
      </c>
      <c r="H156" s="66">
        <f>IF(propInventory[[#This Row],[myid]]="","",352.98/([3]DCBase!I150+273.15)*(1-0.0000225577*[3]DCBase!H150)^5.25578)</f>
        <v>1.2249869859448206</v>
      </c>
      <c r="I156" s="56">
        <f>IF(propInventory[[#This Row],[myid]]="","",[3]DCBase!K150)</f>
        <v>1.499447</v>
      </c>
      <c r="J156" s="67">
        <f>IF(propInventory[[#This Row],[myid]]="","",[3]DCBase!L150)</f>
        <v>3</v>
      </c>
      <c r="K156" s="66">
        <f>IF(propInventory[[#This Row],[myid]]="","",352.98/([3]DCBase!N150+273.15)*(1-0.0000225577*[3]DCBase!M150)^5.25578)</f>
        <v>1.1952155100729527</v>
      </c>
      <c r="O156" s="69"/>
      <c r="P156" s="69"/>
      <c r="Q156" s="69"/>
      <c r="R156" s="69"/>
    </row>
    <row r="157" spans="1:18" ht="15">
      <c r="A157" s="84">
        <f>VLOOKUP(propInventory[[#This Row],[Prop Name]],[2]!propInventory3[[Prop Name]:[Instock?]],10,FALSE)</f>
        <v>0</v>
      </c>
      <c r="B157" s="84">
        <f>IF([3]DCBase!$A151="","",[3]DCBase!$A151)</f>
        <v>151</v>
      </c>
      <c r="C157" s="80" t="str">
        <f>IF(propInventory[[#This Row],[myid]]="","",IF([3]DCBase!R151=0,[3]DCBase!D151&amp;"x"&amp;[3]DCBase!E151&amp;" "&amp;[3]DCBase!C151,[3]DCBase!D151&amp;"x"&amp;[3]DCBase!E151&amp;" "&amp;[3]DCBase!C151&amp;" "&amp;[3]DCBase!S151&amp;"mm"))</f>
        <v>14x10 APC Sport</v>
      </c>
      <c r="D157" s="65">
        <f>IF(propInventory[[#This Row],[myid]]="","",[3]DCBase!D151)</f>
        <v>14</v>
      </c>
      <c r="E157" s="65">
        <f>IF(propInventory[[#This Row],[myid]]="","",[3]DCBase!E151)</f>
        <v>10</v>
      </c>
      <c r="F157" s="66">
        <f>IF(propInventory[[#This Row],[myid]]="","",[3]DCBase!F151)</f>
        <v>0</v>
      </c>
      <c r="G157" s="66">
        <f>IF(propInventory[[#This Row],[myid]]="","",[3]DCBase!G151)</f>
        <v>0</v>
      </c>
      <c r="H157" s="66">
        <f>IF(propInventory[[#This Row],[myid]]="","",352.98/([3]DCBase!I151+273.15)*(1-0.0000225577*[3]DCBase!H151)^5.25578)</f>
        <v>1.2249869859448206</v>
      </c>
      <c r="I157" s="56">
        <f>IF(propInventory[[#This Row],[myid]]="","",[3]DCBase!K151)</f>
        <v>1.748672</v>
      </c>
      <c r="J157" s="67">
        <f>IF(propInventory[[#This Row],[myid]]="","",[3]DCBase!L151)</f>
        <v>3.0022729930000001</v>
      </c>
      <c r="K157" s="66">
        <f>IF(propInventory[[#This Row],[myid]]="","",352.98/([3]DCBase!N151+273.15)*(1-0.0000225577*[3]DCBase!M151)^5.25578)</f>
        <v>1.182130401350806</v>
      </c>
      <c r="O157" s="69"/>
      <c r="P157" s="69"/>
      <c r="Q157" s="69"/>
      <c r="R157" s="69"/>
    </row>
    <row r="158" spans="1:18" ht="15">
      <c r="A158" s="84">
        <f>VLOOKUP(propInventory[[#This Row],[Prop Name]],[2]!propInventory3[[Prop Name]:[Instock?]],10,FALSE)</f>
        <v>0</v>
      </c>
      <c r="B158" s="84">
        <f>IF([3]DCBase!$A152="","",[3]DCBase!$A152)</f>
        <v>152</v>
      </c>
      <c r="C158" s="80" t="str">
        <f>IF(propInventory[[#This Row],[myid]]="","",IF([3]DCBase!R152=0,[3]DCBase!D152&amp;"x"&amp;[3]DCBase!E152&amp;" "&amp;[3]DCBase!C152,[3]DCBase!D152&amp;"x"&amp;[3]DCBase!E152&amp;" "&amp;[3]DCBase!C152&amp;" "&amp;[3]DCBase!S152&amp;"mm"))</f>
        <v>14x12 APC Sport</v>
      </c>
      <c r="D158" s="65">
        <f>IF(propInventory[[#This Row],[myid]]="","",[3]DCBase!D152)</f>
        <v>14</v>
      </c>
      <c r="E158" s="65">
        <f>IF(propInventory[[#This Row],[myid]]="","",[3]DCBase!E152)</f>
        <v>12</v>
      </c>
      <c r="F158" s="66">
        <f>IF(propInventory[[#This Row],[myid]]="","",[3]DCBase!F152)</f>
        <v>0</v>
      </c>
      <c r="G158" s="66">
        <f>IF(propInventory[[#This Row],[myid]]="","",[3]DCBase!G152)</f>
        <v>0</v>
      </c>
      <c r="H158" s="66">
        <f>IF(propInventory[[#This Row],[myid]]="","",352.98/([3]DCBase!I152+273.15)*(1-0.0000225577*[3]DCBase!H152)^5.25578)</f>
        <v>1.2249869859448206</v>
      </c>
      <c r="I158" s="56">
        <f>IF(propInventory[[#This Row],[myid]]="","",[3]DCBase!K152)</f>
        <v>1.990297</v>
      </c>
      <c r="J158" s="67">
        <f>IF(propInventory[[#This Row],[myid]]="","",[3]DCBase!L152)</f>
        <v>3.0074937890000002</v>
      </c>
      <c r="K158" s="66">
        <f>IF(propInventory[[#This Row],[myid]]="","",352.98/([3]DCBase!N152+273.15)*(1-0.0000225577*[3]DCBase!M152)^5.25578)</f>
        <v>1.182130401350806</v>
      </c>
      <c r="O158" s="69"/>
      <c r="P158" s="69"/>
      <c r="Q158" s="69"/>
      <c r="R158" s="69"/>
    </row>
    <row r="159" spans="1:18" ht="15">
      <c r="A159" s="84">
        <f>VLOOKUP(propInventory[[#This Row],[Prop Name]],[2]!propInventory3[[Prop Name]:[Instock?]],10,FALSE)</f>
        <v>0</v>
      </c>
      <c r="B159" s="84">
        <f>IF([3]DCBase!$A153="","",[3]DCBase!$A153)</f>
        <v>153</v>
      </c>
      <c r="C159" s="80" t="str">
        <f>IF(propInventory[[#This Row],[myid]]="","",IF([3]DCBase!R153=0,[3]DCBase!D153&amp;"x"&amp;[3]DCBase!E153&amp;" "&amp;[3]DCBase!C153,[3]DCBase!D153&amp;"x"&amp;[3]DCBase!E153&amp;" "&amp;[3]DCBase!C153&amp;" "&amp;[3]DCBase!S153&amp;"mm"))</f>
        <v>14x14 APC Sport</v>
      </c>
      <c r="D159" s="65">
        <f>IF(propInventory[[#This Row],[myid]]="","",[3]DCBase!D153)</f>
        <v>14</v>
      </c>
      <c r="E159" s="65">
        <f>IF(propInventory[[#This Row],[myid]]="","",[3]DCBase!E153)</f>
        <v>14</v>
      </c>
      <c r="F159" s="66">
        <f>IF(propInventory[[#This Row],[myid]]="","",[3]DCBase!F153)</f>
        <v>0</v>
      </c>
      <c r="G159" s="66">
        <f>IF(propInventory[[#This Row],[myid]]="","",[3]DCBase!G153)</f>
        <v>0</v>
      </c>
      <c r="H159" s="66">
        <f>IF(propInventory[[#This Row],[myid]]="","",352.98/([3]DCBase!I153+273.15)*(1-0.0000225577*[3]DCBase!H153)^5.25578)</f>
        <v>1.2249869859448206</v>
      </c>
      <c r="I159" s="56">
        <f>IF(propInventory[[#This Row],[myid]]="","",[3]DCBase!K153)</f>
        <v>2.848312</v>
      </c>
      <c r="J159" s="67">
        <f>IF(propInventory[[#This Row],[myid]]="","",[3]DCBase!L153)</f>
        <v>2.9934570800000002</v>
      </c>
      <c r="K159" s="66">
        <f>IF(propInventory[[#This Row],[myid]]="","",352.98/([3]DCBase!N153+273.15)*(1-0.0000225577*[3]DCBase!M153)^5.25578)</f>
        <v>1.182130401350806</v>
      </c>
      <c r="O159" s="69"/>
      <c r="P159" s="69"/>
      <c r="Q159" s="69"/>
      <c r="R159" s="69"/>
    </row>
    <row r="160" spans="1:18" ht="15">
      <c r="A160" s="84">
        <f>VLOOKUP(propInventory[[#This Row],[Prop Name]],[2]!propInventory3[[Prop Name]:[Instock?]],10,FALSE)</f>
        <v>0</v>
      </c>
      <c r="B160" s="84">
        <f>IF([3]DCBase!$A154="","",[3]DCBase!$A154)</f>
        <v>154</v>
      </c>
      <c r="C160" s="80" t="str">
        <f>IF(propInventory[[#This Row],[myid]]="","",IF([3]DCBase!R154=0,[3]DCBase!D154&amp;"x"&amp;[3]DCBase!E154&amp;" "&amp;[3]DCBase!C154,[3]DCBase!D154&amp;"x"&amp;[3]DCBase!E154&amp;" "&amp;[3]DCBase!C154&amp;" "&amp;[3]DCBase!S154&amp;"mm"))</f>
        <v>14.5x4 Graupner CAM 42mm</v>
      </c>
      <c r="D160" s="65">
        <f>IF(propInventory[[#This Row],[myid]]="","",[3]DCBase!D154)</f>
        <v>14.5</v>
      </c>
      <c r="E160" s="65">
        <f>IF(propInventory[[#This Row],[myid]]="","",[3]DCBase!E154)</f>
        <v>4</v>
      </c>
      <c r="F160" s="66">
        <f>IF(propInventory[[#This Row],[myid]]="","",[3]DCBase!F154)</f>
        <v>26.491299999999999</v>
      </c>
      <c r="G160" s="66">
        <f>IF(propInventory[[#This Row],[myid]]="","",[3]DCBase!G154)</f>
        <v>2.109</v>
      </c>
      <c r="H160" s="66">
        <f>IF(propInventory[[#This Row],[myid]]="","",352.98/([3]DCBase!I154+273.15)*(1-0.0000225577*[3]DCBase!H154)^5.25578)</f>
        <v>1.1952155100729527</v>
      </c>
      <c r="I160" s="56">
        <f>IF(propInventory[[#This Row],[myid]]="","",[3]DCBase!K154)</f>
        <v>0.50603379999999998</v>
      </c>
      <c r="J160" s="67">
        <f>IF(propInventory[[#This Row],[myid]]="","",[3]DCBase!L154)</f>
        <v>3.0651999999999999</v>
      </c>
      <c r="K160" s="66">
        <f>IF(propInventory[[#This Row],[myid]]="","",352.98/([3]DCBase!N154+273.15)*(1-0.0000225577*[3]DCBase!M154)^5.25578)</f>
        <v>1.1952155100729527</v>
      </c>
      <c r="O160" s="69"/>
      <c r="P160" s="69"/>
      <c r="Q160" s="69"/>
      <c r="R160" s="69"/>
    </row>
    <row r="161" spans="1:18" ht="15">
      <c r="A161" s="84">
        <f>VLOOKUP(propInventory[[#This Row],[Prop Name]],[2]!propInventory3[[Prop Name]:[Instock?]],10,FALSE)</f>
        <v>0</v>
      </c>
      <c r="B161" s="84">
        <f>IF([3]DCBase!$A155="","",[3]DCBase!$A155)</f>
        <v>155</v>
      </c>
      <c r="C161" s="80" t="str">
        <f>IF(propInventory[[#This Row],[myid]]="","",IF([3]DCBase!R155=0,[3]DCBase!D155&amp;"x"&amp;[3]DCBase!E155&amp;" "&amp;[3]DCBase!C155,[3]DCBase!D155&amp;"x"&amp;[3]DCBase!E155&amp;" "&amp;[3]DCBase!C155&amp;" "&amp;[3]DCBase!S155&amp;"mm"))</f>
        <v>15x8 AeroCAM 42mm</v>
      </c>
      <c r="D161" s="65">
        <f>IF(propInventory[[#This Row],[myid]]="","",[3]DCBase!D155)</f>
        <v>15</v>
      </c>
      <c r="E161" s="65">
        <f>IF(propInventory[[#This Row],[myid]]="","",[3]DCBase!E155)</f>
        <v>8</v>
      </c>
      <c r="F161" s="66">
        <f>IF(propInventory[[#This Row],[myid]]="","",[3]DCBase!F155)</f>
        <v>58.79072</v>
      </c>
      <c r="G161" s="66">
        <f>IF(propInventory[[#This Row],[myid]]="","",[3]DCBase!G155)</f>
        <v>2.035469</v>
      </c>
      <c r="H161" s="66">
        <f>IF(propInventory[[#This Row],[myid]]="","",352.98/([3]DCBase!I155+273.15)*(1-0.0000225577*[3]DCBase!H155)^5.25578)</f>
        <v>1.2249869859448206</v>
      </c>
      <c r="I161" s="56">
        <f>IF(propInventory[[#This Row],[myid]]="","",[3]DCBase!K155)</f>
        <v>1.258168</v>
      </c>
      <c r="J161" s="67">
        <f>IF(propInventory[[#This Row],[myid]]="","",[3]DCBase!L155)</f>
        <v>3.08</v>
      </c>
      <c r="K161" s="66">
        <f>IF(propInventory[[#This Row],[myid]]="","",352.98/([3]DCBase!N155+273.15)*(1-0.0000225577*[3]DCBase!M155)^5.25578)</f>
        <v>1.2249869859448206</v>
      </c>
      <c r="O161" s="69"/>
      <c r="P161" s="69"/>
      <c r="Q161" s="69"/>
      <c r="R161" s="69"/>
    </row>
    <row r="162" spans="1:18" ht="15">
      <c r="A162" s="84">
        <f>VLOOKUP(propInventory[[#This Row],[Prop Name]],[2]!propInventory3[[Prop Name]:[Instock?]],10,FALSE)</f>
        <v>0</v>
      </c>
      <c r="B162" s="84">
        <f>IF([3]DCBase!$A156="","",[3]DCBase!$A156)</f>
        <v>156</v>
      </c>
      <c r="C162" s="80" t="str">
        <f>IF(propInventory[[#This Row],[myid]]="","",IF([3]DCBase!R156=0,[3]DCBase!D156&amp;"x"&amp;[3]DCBase!E156&amp;" "&amp;[3]DCBase!C156,[3]DCBase!D156&amp;"x"&amp;[3]DCBase!E156&amp;" "&amp;[3]DCBase!C156&amp;" "&amp;[3]DCBase!S156&amp;"mm"))</f>
        <v>15x8 APC Sport</v>
      </c>
      <c r="D162" s="65">
        <f>IF(propInventory[[#This Row],[myid]]="","",[3]DCBase!D156)</f>
        <v>15</v>
      </c>
      <c r="E162" s="65">
        <f>IF(propInventory[[#This Row],[myid]]="","",[3]DCBase!E156)</f>
        <v>8</v>
      </c>
      <c r="F162" s="66">
        <f>IF(propInventory[[#This Row],[myid]]="","",[3]DCBase!F156)</f>
        <v>0</v>
      </c>
      <c r="G162" s="66">
        <f>IF(propInventory[[#This Row],[myid]]="","",[3]DCBase!G156)</f>
        <v>0</v>
      </c>
      <c r="H162" s="66">
        <f>IF(propInventory[[#This Row],[myid]]="","",352.98/([3]DCBase!I156+273.15)*(1-0.0000225577*[3]DCBase!H156)^5.25578)</f>
        <v>1.2249869859448206</v>
      </c>
      <c r="I162" s="56">
        <f>IF(propInventory[[#This Row],[myid]]="","",[3]DCBase!K156)</f>
        <v>1.0650230000000001</v>
      </c>
      <c r="J162" s="67">
        <f>IF(propInventory[[#This Row],[myid]]="","",[3]DCBase!L156)</f>
        <v>3.2420140000000002</v>
      </c>
      <c r="K162" s="66">
        <f>IF(propInventory[[#This Row],[myid]]="","",352.98/([3]DCBase!N156+273.15)*(1-0.0000225577*[3]DCBase!M156)^5.25578)</f>
        <v>1.182130401350806</v>
      </c>
      <c r="O162" s="69"/>
      <c r="P162" s="69"/>
      <c r="Q162" s="69"/>
      <c r="R162" s="69"/>
    </row>
    <row r="163" spans="1:18" ht="15">
      <c r="A163" s="84">
        <f>VLOOKUP(propInventory[[#This Row],[Prop Name]],[2]!propInventory3[[Prop Name]:[Instock?]],10,FALSE)</f>
        <v>0</v>
      </c>
      <c r="B163" s="84">
        <f>IF([3]DCBase!$A157="","",[3]DCBase!$A157)</f>
        <v>157</v>
      </c>
      <c r="C163" s="80" t="str">
        <f>IF(propInventory[[#This Row],[myid]]="","",IF([3]DCBase!R157=0,[3]DCBase!D157&amp;"x"&amp;[3]DCBase!E157&amp;" "&amp;[3]DCBase!C157,[3]DCBase!D157&amp;"x"&amp;[3]DCBase!E157&amp;" "&amp;[3]DCBase!C157&amp;" "&amp;[3]DCBase!S157&amp;"mm"))</f>
        <v>15x9.5 AeroCarbon 42mm</v>
      </c>
      <c r="D163" s="65">
        <f>IF(propInventory[[#This Row],[myid]]="","",[3]DCBase!D157)</f>
        <v>15</v>
      </c>
      <c r="E163" s="65">
        <f>IF(propInventory[[#This Row],[myid]]="","",[3]DCBase!E157)</f>
        <v>9.5</v>
      </c>
      <c r="F163" s="66">
        <f>IF(propInventory[[#This Row],[myid]]="","",[3]DCBase!F157)</f>
        <v>62.0366</v>
      </c>
      <c r="G163" s="66">
        <f>IF(propInventory[[#This Row],[myid]]="","",[3]DCBase!G157)</f>
        <v>2</v>
      </c>
      <c r="H163" s="66">
        <f>IF(propInventory[[#This Row],[myid]]="","",352.98/([3]DCBase!I157+273.15)*(1-0.0000225577*[3]DCBase!H157)^5.25578)</f>
        <v>1.1874514592074905</v>
      </c>
      <c r="I163" s="56">
        <f>IF(propInventory[[#This Row],[myid]]="","",[3]DCBase!K157)</f>
        <v>1.249479</v>
      </c>
      <c r="J163" s="67">
        <f>IF(propInventory[[#This Row],[myid]]="","",[3]DCBase!L157)</f>
        <v>3.08</v>
      </c>
      <c r="K163" s="66">
        <f>IF(propInventory[[#This Row],[myid]]="","",352.98/([3]DCBase!N157+273.15)*(1-0.0000225577*[3]DCBase!M157)^5.25578)</f>
        <v>1.2249869859448206</v>
      </c>
      <c r="O163" s="69"/>
      <c r="P163" s="69"/>
      <c r="Q163" s="69"/>
      <c r="R163" s="69"/>
    </row>
    <row r="164" spans="1:18" ht="15">
      <c r="A164" s="84">
        <f>VLOOKUP(propInventory[[#This Row],[Prop Name]],[2]!propInventory3[[Prop Name]:[Instock?]],10,FALSE)</f>
        <v>0</v>
      </c>
      <c r="B164" s="84">
        <f>IF([3]DCBase!$A158="","",[3]DCBase!$A158)</f>
        <v>158</v>
      </c>
      <c r="C164" s="80" t="str">
        <f>IF(propInventory[[#This Row],[myid]]="","",IF([3]DCBase!R158=0,[3]DCBase!D158&amp;"x"&amp;[3]DCBase!E158&amp;" "&amp;[3]DCBase!C158,[3]DCBase!D158&amp;"x"&amp;[3]DCBase!E158&amp;" "&amp;[3]DCBase!C158&amp;" "&amp;[3]DCBase!S158&amp;"mm"))</f>
        <v>15x10 AeroCAM 42mm</v>
      </c>
      <c r="D164" s="65">
        <f>IF(propInventory[[#This Row],[myid]]="","",[3]DCBase!D158)</f>
        <v>15</v>
      </c>
      <c r="E164" s="65">
        <f>IF(propInventory[[#This Row],[myid]]="","",[3]DCBase!E158)</f>
        <v>10</v>
      </c>
      <c r="F164" s="66">
        <f>IF(propInventory[[#This Row],[myid]]="","",[3]DCBase!F158)</f>
        <v>59.304070000000003</v>
      </c>
      <c r="G164" s="66">
        <f>IF(propInventory[[#This Row],[myid]]="","",[3]DCBase!G158)</f>
        <v>2.120905</v>
      </c>
      <c r="H164" s="66">
        <f>IF(propInventory[[#This Row],[myid]]="","",352.98/([3]DCBase!I158+273.15)*(1-0.0000225577*[3]DCBase!H158)^5.25578)</f>
        <v>1.2249869859448206</v>
      </c>
      <c r="I164" s="56">
        <f>IF(propInventory[[#This Row],[myid]]="","",[3]DCBase!K158)</f>
        <v>1.7725569999999999</v>
      </c>
      <c r="J164" s="67">
        <f>IF(propInventory[[#This Row],[myid]]="","",[3]DCBase!L158)</f>
        <v>3.08</v>
      </c>
      <c r="K164" s="66">
        <f>IF(propInventory[[#This Row],[myid]]="","",352.98/([3]DCBase!N158+273.15)*(1-0.0000225577*[3]DCBase!M158)^5.25578)</f>
        <v>1.2249869859448206</v>
      </c>
      <c r="O164" s="69"/>
      <c r="P164" s="69"/>
      <c r="Q164" s="69"/>
      <c r="R164" s="69"/>
    </row>
    <row r="165" spans="1:18" ht="15">
      <c r="A165" s="84">
        <f>VLOOKUP(propInventory[[#This Row],[Prop Name]],[2]!propInventory3[[Prop Name]:[Instock?]],10,FALSE)</f>
        <v>0</v>
      </c>
      <c r="B165" s="84">
        <f>IF([3]DCBase!$A159="","",[3]DCBase!$A159)</f>
        <v>159</v>
      </c>
      <c r="C165" s="80" t="str">
        <f>IF(propInventory[[#This Row],[myid]]="","",IF([3]DCBase!R159=0,[3]DCBase!D159&amp;"x"&amp;[3]DCBase!E159&amp;" "&amp;[3]DCBase!C159,[3]DCBase!D159&amp;"x"&amp;[3]DCBase!E159&amp;" "&amp;[3]DCBase!C159&amp;" "&amp;[3]DCBase!S159&amp;"mm"))</f>
        <v>15x10 APC Sport</v>
      </c>
      <c r="D165" s="65">
        <f>IF(propInventory[[#This Row],[myid]]="","",[3]DCBase!D159)</f>
        <v>15</v>
      </c>
      <c r="E165" s="65">
        <f>IF(propInventory[[#This Row],[myid]]="","",[3]DCBase!E159)</f>
        <v>10</v>
      </c>
      <c r="F165" s="66">
        <f>IF(propInventory[[#This Row],[myid]]="","",[3]DCBase!F159)</f>
        <v>0</v>
      </c>
      <c r="G165" s="66">
        <f>IF(propInventory[[#This Row],[myid]]="","",[3]DCBase!G159)</f>
        <v>0</v>
      </c>
      <c r="H165" s="66">
        <f>IF(propInventory[[#This Row],[myid]]="","",352.98/([3]DCBase!I159+273.15)*(1-0.0000225577*[3]DCBase!H159)^5.25578)</f>
        <v>1.2249869859448206</v>
      </c>
      <c r="I165" s="56">
        <f>IF(propInventory[[#This Row],[myid]]="","",[3]DCBase!K159)</f>
        <v>2.043809</v>
      </c>
      <c r="J165" s="67">
        <f>IF(propInventory[[#This Row],[myid]]="","",[3]DCBase!L159)</f>
        <v>3.007975176</v>
      </c>
      <c r="K165" s="66">
        <f>IF(propInventory[[#This Row],[myid]]="","",352.98/([3]DCBase!N159+273.15)*(1-0.0000225577*[3]DCBase!M159)^5.25578)</f>
        <v>1.182130401350806</v>
      </c>
      <c r="O165" s="69"/>
      <c r="P165" s="69"/>
      <c r="Q165" s="69"/>
      <c r="R165" s="69"/>
    </row>
    <row r="166" spans="1:18" ht="15">
      <c r="A166" s="84">
        <f>VLOOKUP(propInventory[[#This Row],[Prop Name]],[2]!propInventory3[[Prop Name]:[Instock?]],10,FALSE)</f>
        <v>0</v>
      </c>
      <c r="B166" s="84">
        <f>IF([3]DCBase!$A160="","",[3]DCBase!$A160)</f>
        <v>160</v>
      </c>
      <c r="C166" s="80" t="str">
        <f>IF(propInventory[[#This Row],[myid]]="","",IF([3]DCBase!R160=0,[3]DCBase!D160&amp;"x"&amp;[3]DCBase!E160&amp;" "&amp;[3]DCBase!C160,[3]DCBase!D160&amp;"x"&amp;[3]DCBase!E160&amp;" "&amp;[3]DCBase!C160&amp;" "&amp;[3]DCBase!S160&amp;"mm"))</f>
        <v>15x13 AeroCAM 42mm</v>
      </c>
      <c r="D166" s="65">
        <f>IF(propInventory[[#This Row],[myid]]="","",[3]DCBase!D160)</f>
        <v>15</v>
      </c>
      <c r="E166" s="65">
        <f>IF(propInventory[[#This Row],[myid]]="","",[3]DCBase!E160)</f>
        <v>13</v>
      </c>
      <c r="F166" s="66">
        <f>IF(propInventory[[#This Row],[myid]]="","",[3]DCBase!F160)</f>
        <v>58.573979999999999</v>
      </c>
      <c r="G166" s="66">
        <f>IF(propInventory[[#This Row],[myid]]="","",[3]DCBase!G160)</f>
        <v>2.189762</v>
      </c>
      <c r="H166" s="66">
        <f>IF(propInventory[[#This Row],[myid]]="","",352.98/([3]DCBase!I160+273.15)*(1-0.0000225577*[3]DCBase!H160)^5.25578)</f>
        <v>1.2249869859448206</v>
      </c>
      <c r="I166" s="56">
        <f>IF(propInventory[[#This Row],[myid]]="","",[3]DCBase!K160)</f>
        <v>2.5371890000000001</v>
      </c>
      <c r="J166" s="67">
        <f>IF(propInventory[[#This Row],[myid]]="","",[3]DCBase!L160)</f>
        <v>3.08</v>
      </c>
      <c r="K166" s="66">
        <f>IF(propInventory[[#This Row],[myid]]="","",352.98/([3]DCBase!N160+273.15)*(1-0.0000225577*[3]DCBase!M160)^5.25578)</f>
        <v>1.2249869859448206</v>
      </c>
      <c r="O166" s="69"/>
      <c r="P166" s="69"/>
      <c r="Q166" s="69"/>
      <c r="R166" s="69"/>
    </row>
    <row r="167" spans="1:18" ht="15">
      <c r="A167" s="84">
        <f>VLOOKUP(propInventory[[#This Row],[Prop Name]],[2]!propInventory3[[Prop Name]:[Instock?]],10,FALSE)</f>
        <v>0</v>
      </c>
      <c r="B167" s="84">
        <f>IF([3]DCBase!$A161="","",[3]DCBase!$A161)</f>
        <v>161</v>
      </c>
      <c r="C167" s="80" t="str">
        <f>IF(propInventory[[#This Row],[myid]]="","",IF([3]DCBase!R161=0,[3]DCBase!D161&amp;"x"&amp;[3]DCBase!E161&amp;" "&amp;[3]DCBase!C161,[3]DCBase!D161&amp;"x"&amp;[3]DCBase!E161&amp;" "&amp;[3]DCBase!C161&amp;" "&amp;[3]DCBase!S161&amp;"mm"))</f>
        <v>15x13 APC Sport</v>
      </c>
      <c r="D167" s="65">
        <f>IF(propInventory[[#This Row],[myid]]="","",[3]DCBase!D161)</f>
        <v>15</v>
      </c>
      <c r="E167" s="65">
        <f>IF(propInventory[[#This Row],[myid]]="","",[3]DCBase!E161)</f>
        <v>13</v>
      </c>
      <c r="F167" s="66">
        <f>IF(propInventory[[#This Row],[myid]]="","",[3]DCBase!F161)</f>
        <v>0</v>
      </c>
      <c r="G167" s="66">
        <f>IF(propInventory[[#This Row],[myid]]="","",[3]DCBase!G161)</f>
        <v>0</v>
      </c>
      <c r="H167" s="66">
        <f>IF(propInventory[[#This Row],[myid]]="","",352.98/([3]DCBase!I161+273.15)*(1-0.0000225577*[3]DCBase!H161)^5.25578)</f>
        <v>1.2249869859448206</v>
      </c>
      <c r="I167" s="56">
        <f>IF(propInventory[[#This Row],[myid]]="","",[3]DCBase!K161)</f>
        <v>2.66</v>
      </c>
      <c r="J167" s="67">
        <f>IF(propInventory[[#This Row],[myid]]="","",[3]DCBase!L161)</f>
        <v>3</v>
      </c>
      <c r="K167" s="66">
        <f>IF(propInventory[[#This Row],[myid]]="","",352.98/([3]DCBase!N161+273.15)*(1-0.0000225577*[3]DCBase!M161)^5.25578)</f>
        <v>1.182130401350806</v>
      </c>
      <c r="O167" s="69"/>
      <c r="P167" s="69"/>
      <c r="Q167" s="69"/>
      <c r="R167" s="69"/>
    </row>
    <row r="168" spans="1:18" ht="15">
      <c r="A168" s="84">
        <f>VLOOKUP(propInventory[[#This Row],[Prop Name]],[2]!propInventory3[[Prop Name]:[Instock?]],10,FALSE)</f>
        <v>0</v>
      </c>
      <c r="B168" s="84">
        <f>IF([3]DCBase!$A162="","",[3]DCBase!$A162)</f>
        <v>162</v>
      </c>
      <c r="C168" s="80" t="str">
        <f>IF(propInventory[[#This Row],[myid]]="","",IF([3]DCBase!R162=0,[3]DCBase!D162&amp;"x"&amp;[3]DCBase!E162&amp;" "&amp;[3]DCBase!C162,[3]DCBase!D162&amp;"x"&amp;[3]DCBase!E162&amp;" "&amp;[3]DCBase!C162&amp;" "&amp;[3]DCBase!S162&amp;"mm"))</f>
        <v>16x8 AeroCAM 42mm</v>
      </c>
      <c r="D168" s="65">
        <f>IF(propInventory[[#This Row],[myid]]="","",[3]DCBase!D162)</f>
        <v>16</v>
      </c>
      <c r="E168" s="65">
        <f>IF(propInventory[[#This Row],[myid]]="","",[3]DCBase!E162)</f>
        <v>8</v>
      </c>
      <c r="F168" s="66">
        <f>IF(propInventory[[#This Row],[myid]]="","",[3]DCBase!F162)</f>
        <v>68.564239999999998</v>
      </c>
      <c r="G168" s="66">
        <f>IF(propInventory[[#This Row],[myid]]="","",[3]DCBase!G162)</f>
        <v>2.1025079999999998</v>
      </c>
      <c r="H168" s="66">
        <f>IF(propInventory[[#This Row],[myid]]="","",352.98/([3]DCBase!I162+273.15)*(1-0.0000225577*[3]DCBase!H162)^5.25578)</f>
        <v>1.2249869859448206</v>
      </c>
      <c r="I168" s="56">
        <f>IF(propInventory[[#This Row],[myid]]="","",[3]DCBase!K162)</f>
        <v>1.511887</v>
      </c>
      <c r="J168" s="67">
        <f>IF(propInventory[[#This Row],[myid]]="","",[3]DCBase!L162)</f>
        <v>3.08</v>
      </c>
      <c r="K168" s="66">
        <f>IF(propInventory[[#This Row],[myid]]="","",352.98/([3]DCBase!N162+273.15)*(1-0.0000225577*[3]DCBase!M162)^5.25578)</f>
        <v>1.2249869859448206</v>
      </c>
      <c r="O168" s="69"/>
      <c r="P168" s="69"/>
      <c r="Q168" s="69"/>
      <c r="R168" s="69"/>
    </row>
    <row r="169" spans="1:18" ht="15">
      <c r="A169" s="84">
        <f>VLOOKUP(propInventory[[#This Row],[Prop Name]],[2]!propInventory3[[Prop Name]:[Instock?]],10,FALSE)</f>
        <v>0</v>
      </c>
      <c r="B169" s="84">
        <f>IF([3]DCBase!$A163="","",[3]DCBase!$A163)</f>
        <v>163</v>
      </c>
      <c r="C169" s="80" t="str">
        <f>IF(propInventory[[#This Row],[myid]]="","",IF([3]DCBase!R163=0,[3]DCBase!D163&amp;"x"&amp;[3]DCBase!E163&amp;" "&amp;[3]DCBase!C163,[3]DCBase!D163&amp;"x"&amp;[3]DCBase!E163&amp;" "&amp;[3]DCBase!C163&amp;" "&amp;[3]DCBase!S163&amp;"mm"))</f>
        <v>16x8 APC Sport</v>
      </c>
      <c r="D169" s="65">
        <f>IF(propInventory[[#This Row],[myid]]="","",[3]DCBase!D163)</f>
        <v>16</v>
      </c>
      <c r="E169" s="65">
        <f>IF(propInventory[[#This Row],[myid]]="","",[3]DCBase!E163)</f>
        <v>8</v>
      </c>
      <c r="F169" s="66">
        <f>IF(propInventory[[#This Row],[myid]]="","",[3]DCBase!F163)</f>
        <v>0</v>
      </c>
      <c r="G169" s="66">
        <f>IF(propInventory[[#This Row],[myid]]="","",[3]DCBase!G163)</f>
        <v>0</v>
      </c>
      <c r="H169" s="66">
        <f>IF(propInventory[[#This Row],[myid]]="","",352.98/([3]DCBase!I163+273.15)*(1-0.0000225577*[3]DCBase!H163)^5.25578)</f>
        <v>1.2249869859448206</v>
      </c>
      <c r="I169" s="56">
        <f>IF(propInventory[[#This Row],[myid]]="","",[3]DCBase!K163)</f>
        <v>2.1648710000000002</v>
      </c>
      <c r="J169" s="67">
        <f>IF(propInventory[[#This Row],[myid]]="","",[3]DCBase!L163)</f>
        <v>3.0009332089999998</v>
      </c>
      <c r="K169" s="66">
        <f>IF(propInventory[[#This Row],[myid]]="","",352.98/([3]DCBase!N163+273.15)*(1-0.0000225577*[3]DCBase!M163)^5.25578)</f>
        <v>1.182130401350806</v>
      </c>
      <c r="O169" s="69"/>
      <c r="P169" s="69"/>
      <c r="Q169" s="69"/>
      <c r="R169" s="69"/>
    </row>
    <row r="170" spans="1:18" ht="15">
      <c r="A170" s="84">
        <f>VLOOKUP(propInventory[[#This Row],[Prop Name]],[2]!propInventory3[[Prop Name]:[Instock?]],10,FALSE)</f>
        <v>0</v>
      </c>
      <c r="B170" s="84">
        <f>IF([3]DCBase!$A164="","",[3]DCBase!$A164)</f>
        <v>164</v>
      </c>
      <c r="C170" s="80" t="str">
        <f>IF(propInventory[[#This Row],[myid]]="","",IF([3]DCBase!R164=0,[3]DCBase!D164&amp;"x"&amp;[3]DCBase!E164&amp;" "&amp;[3]DCBase!C164,[3]DCBase!D164&amp;"x"&amp;[3]DCBase!E164&amp;" "&amp;[3]DCBase!C164&amp;" "&amp;[3]DCBase!S164&amp;"mm"))</f>
        <v>16x10 AeroCAM 42mm</v>
      </c>
      <c r="D170" s="65">
        <f>IF(propInventory[[#This Row],[myid]]="","",[3]DCBase!D164)</f>
        <v>16</v>
      </c>
      <c r="E170" s="65">
        <f>IF(propInventory[[#This Row],[myid]]="","",[3]DCBase!E164)</f>
        <v>10</v>
      </c>
      <c r="F170" s="66">
        <f>IF(propInventory[[#This Row],[myid]]="","",[3]DCBase!F164)</f>
        <v>83.795270000000002</v>
      </c>
      <c r="G170" s="66">
        <f>IF(propInventory[[#This Row],[myid]]="","",[3]DCBase!G164)</f>
        <v>2</v>
      </c>
      <c r="H170" s="66">
        <f>IF(propInventory[[#This Row],[myid]]="","",352.98/([3]DCBase!I164+273.15)*(1-0.0000225577*[3]DCBase!H164)^5.25578)</f>
        <v>1.2249869859448206</v>
      </c>
      <c r="I170" s="56">
        <f>IF(propInventory[[#This Row],[myid]]="","",[3]DCBase!K164)</f>
        <v>2.3303630000000002</v>
      </c>
      <c r="J170" s="67">
        <f>IF(propInventory[[#This Row],[myid]]="","",[3]DCBase!L164)</f>
        <v>3</v>
      </c>
      <c r="K170" s="66">
        <f>IF(propInventory[[#This Row],[myid]]="","",352.98/([3]DCBase!N164+273.15)*(1-0.0000225577*[3]DCBase!M164)^5.25578)</f>
        <v>1.2249869859448206</v>
      </c>
      <c r="O170" s="69"/>
      <c r="P170" s="69"/>
      <c r="Q170" s="69"/>
      <c r="R170" s="69"/>
    </row>
    <row r="171" spans="1:18" ht="15">
      <c r="A171" s="84">
        <f>VLOOKUP(propInventory[[#This Row],[Prop Name]],[2]!propInventory3[[Prop Name]:[Instock?]],10,FALSE)</f>
        <v>0</v>
      </c>
      <c r="B171" s="84">
        <f>IF([3]DCBase!$A165="","",[3]DCBase!$A165)</f>
        <v>165</v>
      </c>
      <c r="C171" s="80" t="str">
        <f>IF(propInventory[[#This Row],[myid]]="","",IF([3]DCBase!R165=0,[3]DCBase!D165&amp;"x"&amp;[3]DCBase!E165&amp;" "&amp;[3]DCBase!C165,[3]DCBase!D165&amp;"x"&amp;[3]DCBase!E165&amp;" "&amp;[3]DCBase!C165&amp;" "&amp;[3]DCBase!S165&amp;"mm"))</f>
        <v>16x10 APC Sport</v>
      </c>
      <c r="D171" s="65">
        <f>IF(propInventory[[#This Row],[myid]]="","",[3]DCBase!D165)</f>
        <v>16</v>
      </c>
      <c r="E171" s="65">
        <f>IF(propInventory[[#This Row],[myid]]="","",[3]DCBase!E165)</f>
        <v>10</v>
      </c>
      <c r="F171" s="66">
        <f>IF(propInventory[[#This Row],[myid]]="","",[3]DCBase!F165)</f>
        <v>0</v>
      </c>
      <c r="G171" s="66">
        <f>IF(propInventory[[#This Row],[myid]]="","",[3]DCBase!G165)</f>
        <v>0</v>
      </c>
      <c r="H171" s="66">
        <f>IF(propInventory[[#This Row],[myid]]="","",352.98/([3]DCBase!I165+273.15)*(1-0.0000225577*[3]DCBase!H165)^5.25578)</f>
        <v>1.2249869859448206</v>
      </c>
      <c r="I171" s="56">
        <f>IF(propInventory[[#This Row],[myid]]="","",[3]DCBase!K165)</f>
        <v>2.596832</v>
      </c>
      <c r="J171" s="67">
        <f>IF(propInventory[[#This Row],[myid]]="","",[3]DCBase!L165)</f>
        <v>3.0028168810000002</v>
      </c>
      <c r="K171" s="66">
        <f>IF(propInventory[[#This Row],[myid]]="","",352.98/([3]DCBase!N165+273.15)*(1-0.0000225577*[3]DCBase!M165)^5.25578)</f>
        <v>1.182130401350806</v>
      </c>
      <c r="O171" s="69"/>
      <c r="P171" s="69"/>
      <c r="Q171" s="69"/>
      <c r="R171" s="69"/>
    </row>
    <row r="172" spans="1:18" ht="15">
      <c r="A172" s="84">
        <f>VLOOKUP(propInventory[[#This Row],[Prop Name]],[2]!propInventory3[[Prop Name]:[Instock?]],10,FALSE)</f>
        <v>0</v>
      </c>
      <c r="B172" s="84">
        <f>IF([3]DCBase!$A166="","",[3]DCBase!$A166)</f>
        <v>166</v>
      </c>
      <c r="C172" s="80" t="str">
        <f>IF(propInventory[[#This Row],[myid]]="","",IF([3]DCBase!R166=0,[3]DCBase!D166&amp;"x"&amp;[3]DCBase!E166&amp;" "&amp;[3]DCBase!C166,[3]DCBase!D166&amp;"x"&amp;[3]DCBase!E166&amp;" "&amp;[3]DCBase!C166&amp;" "&amp;[3]DCBase!S166&amp;"mm"))</f>
        <v>16x12 APC Sport</v>
      </c>
      <c r="D172" s="65">
        <f>IF(propInventory[[#This Row],[myid]]="","",[3]DCBase!D166)</f>
        <v>16</v>
      </c>
      <c r="E172" s="65">
        <f>IF(propInventory[[#This Row],[myid]]="","",[3]DCBase!E166)</f>
        <v>12</v>
      </c>
      <c r="F172" s="66">
        <f>IF(propInventory[[#This Row],[myid]]="","",[3]DCBase!F166)</f>
        <v>0</v>
      </c>
      <c r="G172" s="66">
        <f>IF(propInventory[[#This Row],[myid]]="","",[3]DCBase!G166)</f>
        <v>0</v>
      </c>
      <c r="H172" s="66">
        <f>IF(propInventory[[#This Row],[myid]]="","",352.98/([3]DCBase!I166+273.15)*(1-0.0000225577*[3]DCBase!H166)^5.25578)</f>
        <v>1.2249869859448206</v>
      </c>
      <c r="I172" s="56">
        <f>IF(propInventory[[#This Row],[myid]]="","",[3]DCBase!K166)</f>
        <v>2.0588540000000002</v>
      </c>
      <c r="J172" s="67">
        <f>IF(propInventory[[#This Row],[myid]]="","",[3]DCBase!L166)</f>
        <v>3.2480768360000001</v>
      </c>
      <c r="K172" s="66">
        <f>IF(propInventory[[#This Row],[myid]]="","",352.98/([3]DCBase!N166+273.15)*(1-0.0000225577*[3]DCBase!M166)^5.25578)</f>
        <v>1.182130401350806</v>
      </c>
      <c r="O172" s="69"/>
      <c r="P172" s="69"/>
      <c r="Q172" s="69"/>
      <c r="R172" s="69"/>
    </row>
    <row r="173" spans="1:18" ht="15">
      <c r="A173" s="84">
        <f>VLOOKUP(propInventory[[#This Row],[Prop Name]],[2]!propInventory3[[Prop Name]:[Instock?]],10,FALSE)</f>
        <v>0</v>
      </c>
      <c r="B173" s="84">
        <f>IF([3]DCBase!$A167="","",[3]DCBase!$A167)</f>
        <v>167</v>
      </c>
      <c r="C173" s="80" t="str">
        <f>IF(propInventory[[#This Row],[myid]]="","",IF([3]DCBase!R167=0,[3]DCBase!D167&amp;"x"&amp;[3]DCBase!E167&amp;" "&amp;[3]DCBase!C167,[3]DCBase!D167&amp;"x"&amp;[3]DCBase!E167&amp;" "&amp;[3]DCBase!C167&amp;" "&amp;[3]DCBase!S167&amp;"mm"))</f>
        <v>16x13 AeroCAM 42mm</v>
      </c>
      <c r="D173" s="65">
        <f>IF(propInventory[[#This Row],[myid]]="","",[3]DCBase!D167)</f>
        <v>16</v>
      </c>
      <c r="E173" s="65">
        <f>IF(propInventory[[#This Row],[myid]]="","",[3]DCBase!E167)</f>
        <v>13</v>
      </c>
      <c r="F173" s="66">
        <f>IF(propInventory[[#This Row],[myid]]="","",[3]DCBase!F167)</f>
        <v>71.235759999999999</v>
      </c>
      <c r="G173" s="66">
        <f>IF(propInventory[[#This Row],[myid]]="","",[3]DCBase!G167)</f>
        <v>2.2034630000000002</v>
      </c>
      <c r="H173" s="66">
        <f>IF(propInventory[[#This Row],[myid]]="","",352.98/([3]DCBase!I167+273.15)*(1-0.0000225577*[3]DCBase!H167)^5.25578)</f>
        <v>1.2249869859448206</v>
      </c>
      <c r="I173" s="56">
        <f>IF(propInventory[[#This Row],[myid]]="","",[3]DCBase!K167)</f>
        <v>2.780481</v>
      </c>
      <c r="J173" s="67">
        <f>IF(propInventory[[#This Row],[myid]]="","",[3]DCBase!L167)</f>
        <v>3.08</v>
      </c>
      <c r="K173" s="66">
        <f>IF(propInventory[[#This Row],[myid]]="","",352.98/([3]DCBase!N167+273.15)*(1-0.0000225577*[3]DCBase!M167)^5.25578)</f>
        <v>1.2249869859448206</v>
      </c>
      <c r="O173" s="69"/>
      <c r="P173" s="69"/>
      <c r="Q173" s="69"/>
      <c r="R173" s="69"/>
    </row>
    <row r="174" spans="1:18" ht="15">
      <c r="A174" s="84">
        <f>VLOOKUP(propInventory[[#This Row],[Prop Name]],[2]!propInventory3[[Prop Name]:[Instock?]],10,FALSE)</f>
        <v>0</v>
      </c>
      <c r="B174" s="84">
        <f>IF([3]DCBase!$A168="","",[3]DCBase!$A168)</f>
        <v>168</v>
      </c>
      <c r="C174" s="80" t="str">
        <f>IF(propInventory[[#This Row],[myid]]="","",IF([3]DCBase!R168=0,[3]DCBase!D168&amp;"x"&amp;[3]DCBase!E168&amp;" "&amp;[3]DCBase!C168,[3]DCBase!D168&amp;"x"&amp;[3]DCBase!E168&amp;" "&amp;[3]DCBase!C168&amp;" "&amp;[3]DCBase!S168&amp;"mm"))</f>
        <v>16.5x15 AeroCarbon 42mm</v>
      </c>
      <c r="D174" s="65">
        <f>IF(propInventory[[#This Row],[myid]]="","",[3]DCBase!D168)</f>
        <v>16.5</v>
      </c>
      <c r="E174" s="65">
        <f>IF(propInventory[[#This Row],[myid]]="","",[3]DCBase!E168)</f>
        <v>15</v>
      </c>
      <c r="F174" s="66">
        <f>IF(propInventory[[#This Row],[myid]]="","",[3]DCBase!F168)</f>
        <v>115.57599999999999</v>
      </c>
      <c r="G174" s="66">
        <f>IF(propInventory[[#This Row],[myid]]="","",[3]DCBase!G168)</f>
        <v>2</v>
      </c>
      <c r="H174" s="66">
        <f>IF(propInventory[[#This Row],[myid]]="","",352.98/([3]DCBase!I168+273.15)*(1-0.0000225577*[3]DCBase!H168)^5.25578)</f>
        <v>1.1874514592074905</v>
      </c>
      <c r="I174" s="56">
        <f>IF(propInventory[[#This Row],[myid]]="","",[3]DCBase!K168)</f>
        <v>3.7037040000000001</v>
      </c>
      <c r="J174" s="67">
        <f>IF(propInventory[[#This Row],[myid]]="","",[3]DCBase!L168)</f>
        <v>3</v>
      </c>
      <c r="K174" s="66">
        <f>IF(propInventory[[#This Row],[myid]]="","",352.98/([3]DCBase!N168+273.15)*(1-0.0000225577*[3]DCBase!M168)^5.25578)</f>
        <v>1.2249869859448206</v>
      </c>
      <c r="O174" s="69"/>
      <c r="P174" s="69"/>
      <c r="Q174" s="69"/>
      <c r="R174" s="69"/>
    </row>
    <row r="175" spans="1:18" ht="15">
      <c r="A175" s="84">
        <f>VLOOKUP(propInventory[[#This Row],[Prop Name]],[2]!propInventory3[[Prop Name]:[Instock?]],10,FALSE)</f>
        <v>0</v>
      </c>
      <c r="B175" s="84">
        <f>IF([3]DCBase!$A169="","",[3]DCBase!$A169)</f>
        <v>169</v>
      </c>
      <c r="C175" s="80" t="str">
        <f>IF(propInventory[[#This Row],[myid]]="","",IF([3]DCBase!R169=0,[3]DCBase!D169&amp;"x"&amp;[3]DCBase!E169&amp;" "&amp;[3]DCBase!C169,[3]DCBase!D169&amp;"x"&amp;[3]DCBase!E169&amp;" "&amp;[3]DCBase!C169&amp;" "&amp;[3]DCBase!S169&amp;"mm"))</f>
        <v>17x9 AeroCAM 42mm</v>
      </c>
      <c r="D175" s="65">
        <f>IF(propInventory[[#This Row],[myid]]="","",[3]DCBase!D169)</f>
        <v>17</v>
      </c>
      <c r="E175" s="65">
        <f>IF(propInventory[[#This Row],[myid]]="","",[3]DCBase!E169)</f>
        <v>9</v>
      </c>
      <c r="F175" s="66">
        <f>IF(propInventory[[#This Row],[myid]]="","",[3]DCBase!F169)</f>
        <v>102.3633</v>
      </c>
      <c r="G175" s="66">
        <f>IF(propInventory[[#This Row],[myid]]="","",[3]DCBase!G169)</f>
        <v>2.0622440000000002</v>
      </c>
      <c r="H175" s="66">
        <f>IF(propInventory[[#This Row],[myid]]="","",352.98/([3]DCBase!I169+273.15)*(1-0.0000225577*[3]DCBase!H169)^5.25578)</f>
        <v>1.2249869859448206</v>
      </c>
      <c r="I175" s="56">
        <f>IF(propInventory[[#This Row],[myid]]="","",[3]DCBase!K169)</f>
        <v>2.3112750000000002</v>
      </c>
      <c r="J175" s="67">
        <f>IF(propInventory[[#This Row],[myid]]="","",[3]DCBase!L169)</f>
        <v>3.08</v>
      </c>
      <c r="K175" s="66">
        <f>IF(propInventory[[#This Row],[myid]]="","",352.98/([3]DCBase!N169+273.15)*(1-0.0000225577*[3]DCBase!M169)^5.25578)</f>
        <v>1.2249869859448206</v>
      </c>
      <c r="O175" s="69"/>
      <c r="P175" s="69"/>
      <c r="Q175" s="69"/>
      <c r="R175" s="69"/>
    </row>
    <row r="176" spans="1:18" ht="15">
      <c r="A176" s="84">
        <f>VLOOKUP(propInventory[[#This Row],[Prop Name]],[2]!propInventory3[[Prop Name]:[Instock?]],10,FALSE)</f>
        <v>0</v>
      </c>
      <c r="B176" s="84">
        <f>IF([3]DCBase!$A170="","",[3]DCBase!$A170)</f>
        <v>170</v>
      </c>
      <c r="C176" s="80" t="str">
        <f>IF(propInventory[[#This Row],[myid]]="","",IF([3]DCBase!R170=0,[3]DCBase!D170&amp;"x"&amp;[3]DCBase!E170&amp;" "&amp;[3]DCBase!C170,[3]DCBase!D170&amp;"x"&amp;[3]DCBase!E170&amp;" "&amp;[3]DCBase!C170&amp;" "&amp;[3]DCBase!S170&amp;"mm"))</f>
        <v>17x11 AeroCAM 42mm</v>
      </c>
      <c r="D176" s="65">
        <f>IF(propInventory[[#This Row],[myid]]="","",[3]DCBase!D170)</f>
        <v>17</v>
      </c>
      <c r="E176" s="65">
        <f>IF(propInventory[[#This Row],[myid]]="","",[3]DCBase!E170)</f>
        <v>11</v>
      </c>
      <c r="F176" s="66">
        <f>IF(propInventory[[#This Row],[myid]]="","",[3]DCBase!F170)</f>
        <v>96.051349999999999</v>
      </c>
      <c r="G176" s="66">
        <f>IF(propInventory[[#This Row],[myid]]="","",[3]DCBase!G170)</f>
        <v>2.1447910000000001</v>
      </c>
      <c r="H176" s="66">
        <f>IF(propInventory[[#This Row],[myid]]="","",352.98/([3]DCBase!I170+273.15)*(1-0.0000225577*[3]DCBase!H170)^5.25578)</f>
        <v>1.2249869859448206</v>
      </c>
      <c r="I176" s="56">
        <f>IF(propInventory[[#This Row],[myid]]="","",[3]DCBase!K170)</f>
        <v>3.3887119999999999</v>
      </c>
      <c r="J176" s="67">
        <f>IF(propInventory[[#This Row],[myid]]="","",[3]DCBase!L170)</f>
        <v>3.08</v>
      </c>
      <c r="K176" s="66">
        <f>IF(propInventory[[#This Row],[myid]]="","",352.98/([3]DCBase!N170+273.15)*(1-0.0000225577*[3]DCBase!M170)^5.25578)</f>
        <v>1.2249869859448206</v>
      </c>
      <c r="O176" s="69"/>
      <c r="P176" s="69"/>
      <c r="Q176" s="69"/>
      <c r="R176" s="69"/>
    </row>
    <row r="177" spans="1:18" ht="15">
      <c r="A177" s="84">
        <f>VLOOKUP(propInventory[[#This Row],[Prop Name]],[2]!propInventory3[[Prop Name]:[Instock?]],10,FALSE)</f>
        <v>0</v>
      </c>
      <c r="B177" s="84">
        <f>IF([3]DCBase!$A171="","",[3]DCBase!$A171)</f>
        <v>171</v>
      </c>
      <c r="C177" s="80" t="str">
        <f>IF(propInventory[[#This Row],[myid]]="","",IF([3]DCBase!R171=0,[3]DCBase!D171&amp;"x"&amp;[3]DCBase!E171&amp;" "&amp;[3]DCBase!C171,[3]DCBase!D171&amp;"x"&amp;[3]DCBase!E171&amp;" "&amp;[3]DCBase!C171&amp;" "&amp;[3]DCBase!S171&amp;"mm"))</f>
        <v>17x13 AeroCAM 42mm</v>
      </c>
      <c r="D177" s="65">
        <f>IF(propInventory[[#This Row],[myid]]="","",[3]DCBase!D171)</f>
        <v>17</v>
      </c>
      <c r="E177" s="65">
        <f>IF(propInventory[[#This Row],[myid]]="","",[3]DCBase!E171)</f>
        <v>13</v>
      </c>
      <c r="F177" s="66">
        <f>IF(propInventory[[#This Row],[myid]]="","",[3]DCBase!F171)</f>
        <v>143.35900000000001</v>
      </c>
      <c r="G177" s="66">
        <f>IF(propInventory[[#This Row],[myid]]="","",[3]DCBase!G171)</f>
        <v>2</v>
      </c>
      <c r="H177" s="66">
        <f>IF(propInventory[[#This Row],[myid]]="","",352.98/([3]DCBase!I171+273.15)*(1-0.0000225577*[3]DCBase!H171)^5.25578)</f>
        <v>1.2249869859448206</v>
      </c>
      <c r="I177" s="56">
        <f>IF(propInventory[[#This Row],[myid]]="","",[3]DCBase!K171)</f>
        <v>4.97011</v>
      </c>
      <c r="J177" s="67">
        <f>IF(propInventory[[#This Row],[myid]]="","",[3]DCBase!L171)</f>
        <v>3.08</v>
      </c>
      <c r="K177" s="66">
        <f>IF(propInventory[[#This Row],[myid]]="","",352.98/([3]DCBase!N171+273.15)*(1-0.0000225577*[3]DCBase!M171)^5.25578)</f>
        <v>1.2249869859448206</v>
      </c>
      <c r="O177" s="69"/>
      <c r="P177" s="69"/>
      <c r="Q177" s="69"/>
      <c r="R177" s="69"/>
    </row>
    <row r="178" spans="1:18" ht="15">
      <c r="A178" s="84">
        <f>VLOOKUP(propInventory[[#This Row],[Prop Name]],[2]!propInventory3[[Prop Name]:[Instock?]],10,FALSE)</f>
        <v>0</v>
      </c>
      <c r="B178" s="84">
        <f>IF([3]DCBase!$A172="","",[3]DCBase!$A172)</f>
        <v>172</v>
      </c>
      <c r="C178" s="80" t="str">
        <f>IF(propInventory[[#This Row],[myid]]="","",IF([3]DCBase!R172=0,[3]DCBase!D172&amp;"x"&amp;[3]DCBase!E172&amp;" "&amp;[3]DCBase!C172,[3]DCBase!D172&amp;"x"&amp;[3]DCBase!E172&amp;" "&amp;[3]DCBase!C172&amp;" "&amp;[3]DCBase!S172&amp;"mm"))</f>
        <v>18x6 APC Sport</v>
      </c>
      <c r="D178" s="65">
        <f>IF(propInventory[[#This Row],[myid]]="","",[3]DCBase!D172)</f>
        <v>18</v>
      </c>
      <c r="E178" s="65">
        <f>IF(propInventory[[#This Row],[myid]]="","",[3]DCBase!E172)</f>
        <v>6</v>
      </c>
      <c r="F178" s="66">
        <f>IF(propInventory[[#This Row],[myid]]="","",[3]DCBase!F172)</f>
        <v>0</v>
      </c>
      <c r="G178" s="66">
        <f>IF(propInventory[[#This Row],[myid]]="","",[3]DCBase!G172)</f>
        <v>0</v>
      </c>
      <c r="H178" s="66">
        <f>IF(propInventory[[#This Row],[myid]]="","",352.98/([3]DCBase!I172+273.15)*(1-0.0000225577*[3]DCBase!H172)^5.25578)</f>
        <v>1.2249869859448206</v>
      </c>
      <c r="I178" s="56">
        <f>IF(propInventory[[#This Row],[myid]]="","",[3]DCBase!K172)</f>
        <v>2.538046</v>
      </c>
      <c r="J178" s="67">
        <f>IF(propInventory[[#This Row],[myid]]="","",[3]DCBase!L172)</f>
        <v>2.9986808059999999</v>
      </c>
      <c r="K178" s="66">
        <f>IF(propInventory[[#This Row],[myid]]="","",352.98/([3]DCBase!N172+273.15)*(1-0.0000225577*[3]DCBase!M172)^5.25578)</f>
        <v>1.182130401350806</v>
      </c>
      <c r="O178" s="69"/>
      <c r="P178" s="69"/>
      <c r="Q178" s="69"/>
      <c r="R178" s="69"/>
    </row>
    <row r="179" spans="1:18" ht="15">
      <c r="A179" s="84">
        <f>VLOOKUP(propInventory[[#This Row],[Prop Name]],[2]!propInventory3[[Prop Name]:[Instock?]],10,FALSE)</f>
        <v>0</v>
      </c>
      <c r="B179" s="84">
        <f>IF([3]DCBase!$A173="","",[3]DCBase!$A173)</f>
        <v>173</v>
      </c>
      <c r="C179" s="80" t="str">
        <f>IF(propInventory[[#This Row],[myid]]="","",IF([3]DCBase!R173=0,[3]DCBase!D173&amp;"x"&amp;[3]DCBase!E173&amp;" "&amp;[3]DCBase!C173,[3]DCBase!D173&amp;"x"&amp;[3]DCBase!E173&amp;" "&amp;[3]DCBase!C173&amp;" "&amp;[3]DCBase!S173&amp;"mm"))</f>
        <v>18x8 AeroCarbon 42mm</v>
      </c>
      <c r="D179" s="65">
        <f>IF(propInventory[[#This Row],[myid]]="","",[3]DCBase!D173)</f>
        <v>18</v>
      </c>
      <c r="E179" s="65">
        <f>IF(propInventory[[#This Row],[myid]]="","",[3]DCBase!E173)</f>
        <v>8</v>
      </c>
      <c r="F179" s="66">
        <f>IF(propInventory[[#This Row],[myid]]="","",[3]DCBase!F173)</f>
        <v>97.651020000000003</v>
      </c>
      <c r="G179" s="66">
        <f>IF(propInventory[[#This Row],[myid]]="","",[3]DCBase!G173)</f>
        <v>2</v>
      </c>
      <c r="H179" s="66">
        <f>IF(propInventory[[#This Row],[myid]]="","",352.98/([3]DCBase!I173+273.15)*(1-0.0000225577*[3]DCBase!H173)^5.25578)</f>
        <v>1.1874514592074905</v>
      </c>
      <c r="I179" s="56">
        <f>IF(propInventory[[#This Row],[myid]]="","",[3]DCBase!K173)</f>
        <v>1.9289590000000001</v>
      </c>
      <c r="J179" s="67">
        <f>IF(propInventory[[#This Row],[myid]]="","",[3]DCBase!L173)</f>
        <v>3.08</v>
      </c>
      <c r="K179" s="66">
        <f>IF(propInventory[[#This Row],[myid]]="","",352.98/([3]DCBase!N173+273.15)*(1-0.0000225577*[3]DCBase!M173)^5.25578)</f>
        <v>1.2249869859448206</v>
      </c>
      <c r="O179" s="69"/>
      <c r="P179" s="69"/>
      <c r="Q179" s="69"/>
      <c r="R179" s="69"/>
    </row>
    <row r="180" spans="1:18" ht="15">
      <c r="A180" s="84">
        <f>VLOOKUP(propInventory[[#This Row],[Prop Name]],[2]!propInventory3[[Prop Name]:[Instock?]],10,FALSE)</f>
        <v>0</v>
      </c>
      <c r="B180" s="84">
        <f>IF([3]DCBase!$A174="","",[3]DCBase!$A174)</f>
        <v>174</v>
      </c>
      <c r="C180" s="80" t="str">
        <f>IF(propInventory[[#This Row],[myid]]="","",IF([3]DCBase!R174=0,[3]DCBase!D174&amp;"x"&amp;[3]DCBase!E174&amp;" "&amp;[3]DCBase!C174,[3]DCBase!D174&amp;"x"&amp;[3]DCBase!E174&amp;" "&amp;[3]DCBase!C174&amp;" "&amp;[3]DCBase!S174&amp;"mm"))</f>
        <v>18x11 AeroCAM 42mm</v>
      </c>
      <c r="D180" s="65">
        <f>IF(propInventory[[#This Row],[myid]]="","",[3]DCBase!D174)</f>
        <v>18</v>
      </c>
      <c r="E180" s="65">
        <f>IF(propInventory[[#This Row],[myid]]="","",[3]DCBase!E174)</f>
        <v>11</v>
      </c>
      <c r="F180" s="66">
        <f>IF(propInventory[[#This Row],[myid]]="","",[3]DCBase!F174)</f>
        <v>113.5624</v>
      </c>
      <c r="G180" s="66">
        <f>IF(propInventory[[#This Row],[myid]]="","",[3]DCBase!G174)</f>
        <v>2.0902250000000002</v>
      </c>
      <c r="H180" s="66">
        <f>IF(propInventory[[#This Row],[myid]]="","",352.98/([3]DCBase!I174+273.15)*(1-0.0000225577*[3]DCBase!H174)^5.25578)</f>
        <v>1.2249869859448206</v>
      </c>
      <c r="I180" s="56">
        <f>IF(propInventory[[#This Row],[myid]]="","",[3]DCBase!K174)</f>
        <v>3.162798</v>
      </c>
      <c r="J180" s="67">
        <f>IF(propInventory[[#This Row],[myid]]="","",[3]DCBase!L174)</f>
        <v>3.08</v>
      </c>
      <c r="K180" s="66">
        <f>IF(propInventory[[#This Row],[myid]]="","",352.98/([3]DCBase!N174+273.15)*(1-0.0000225577*[3]DCBase!M174)^5.25578)</f>
        <v>1.2249869859448206</v>
      </c>
      <c r="O180" s="69"/>
      <c r="P180" s="69"/>
      <c r="Q180" s="69"/>
      <c r="R180" s="69"/>
    </row>
    <row r="181" spans="1:18" ht="15">
      <c r="A181" s="84">
        <f>VLOOKUP(propInventory[[#This Row],[Prop Name]],[2]!propInventory3[[Prop Name]:[Instock?]],10,FALSE)</f>
        <v>0</v>
      </c>
      <c r="B181" s="84">
        <f>IF([3]DCBase!$A175="","",[3]DCBase!$A175)</f>
        <v>175</v>
      </c>
      <c r="C181" s="80" t="str">
        <f>IF(propInventory[[#This Row],[myid]]="","",IF([3]DCBase!R175=0,[3]DCBase!D175&amp;"x"&amp;[3]DCBase!E175&amp;" "&amp;[3]DCBase!C175,[3]DCBase!D175&amp;"x"&amp;[3]DCBase!E175&amp;" "&amp;[3]DCBase!C175&amp;" "&amp;[3]DCBase!S175&amp;"mm"))</f>
        <v>18.5x12 AeroCAM 42mm</v>
      </c>
      <c r="D181" s="65">
        <f>IF(propInventory[[#This Row],[myid]]="","",[3]DCBase!D175)</f>
        <v>18.5</v>
      </c>
      <c r="E181" s="65">
        <f>IF(propInventory[[#This Row],[myid]]="","",[3]DCBase!E175)</f>
        <v>12</v>
      </c>
      <c r="F181" s="66">
        <f>IF(propInventory[[#This Row],[myid]]="","",[3]DCBase!F175)</f>
        <v>110.7379</v>
      </c>
      <c r="G181" s="66">
        <f>IF(propInventory[[#This Row],[myid]]="","",[3]DCBase!G175)</f>
        <v>2.169019</v>
      </c>
      <c r="H181" s="66">
        <f>IF(propInventory[[#This Row],[myid]]="","",352.98/([3]DCBase!I175+273.15)*(1-0.0000225577*[3]DCBase!H175)^5.25578)</f>
        <v>1.2249869859448206</v>
      </c>
      <c r="I181" s="56">
        <f>IF(propInventory[[#This Row],[myid]]="","",[3]DCBase!K175)</f>
        <v>4.3792580000000001</v>
      </c>
      <c r="J181" s="67">
        <f>IF(propInventory[[#This Row],[myid]]="","",[3]DCBase!L175)</f>
        <v>3.08</v>
      </c>
      <c r="K181" s="66">
        <f>IF(propInventory[[#This Row],[myid]]="","",352.98/([3]DCBase!N175+273.15)*(1-0.0000225577*[3]DCBase!M175)^5.25578)</f>
        <v>1.2249869859448206</v>
      </c>
      <c r="O181" s="69"/>
      <c r="P181" s="69"/>
      <c r="Q181" s="69"/>
      <c r="R181" s="69"/>
    </row>
    <row r="182" spans="1:18" ht="15">
      <c r="A182" s="84">
        <f>VLOOKUP(propInventory[[#This Row],[Prop Name]],[2]!propInventory3[[Prop Name]:[Instock?]],10,FALSE)</f>
        <v>0</v>
      </c>
      <c r="B182" s="84">
        <f>IF([3]DCBase!$A176="","",[3]DCBase!$A176)</f>
        <v>176</v>
      </c>
      <c r="C182" s="80" t="str">
        <f>IF(propInventory[[#This Row],[myid]]="","",IF([3]DCBase!R176=0,[3]DCBase!D176&amp;"x"&amp;[3]DCBase!E176&amp;" "&amp;[3]DCBase!C176,[3]DCBase!D176&amp;"x"&amp;[3]DCBase!E176&amp;" "&amp;[3]DCBase!C176&amp;" "&amp;[3]DCBase!S176&amp;"mm"))</f>
        <v>20x13 Freudenthaler 42mm</v>
      </c>
      <c r="D182" s="65">
        <f>IF(propInventory[[#This Row],[myid]]="","",[3]DCBase!D176)</f>
        <v>20</v>
      </c>
      <c r="E182" s="65">
        <f>IF(propInventory[[#This Row],[myid]]="","",[3]DCBase!E176)</f>
        <v>13</v>
      </c>
      <c r="F182" s="66">
        <f>IF(propInventory[[#This Row],[myid]]="","",[3]DCBase!F176)</f>
        <v>0</v>
      </c>
      <c r="G182" s="66">
        <f>IF(propInventory[[#This Row],[myid]]="","",[3]DCBase!G176)</f>
        <v>0</v>
      </c>
      <c r="H182" s="66">
        <f>IF(propInventory[[#This Row],[myid]]="","",352.98/([3]DCBase!I176+273.15)*(1-0.0000225577*[3]DCBase!H176)^5.25578)</f>
        <v>1.2249869859448206</v>
      </c>
      <c r="I182" s="56">
        <f>IF(propInventory[[#This Row],[myid]]="","",[3]DCBase!K176)</f>
        <v>6.6119199999999996</v>
      </c>
      <c r="J182" s="67">
        <f>IF(propInventory[[#This Row],[myid]]="","",[3]DCBase!L176)</f>
        <v>3</v>
      </c>
      <c r="K182" s="66">
        <f>IF(propInventory[[#This Row],[myid]]="","",352.98/([3]DCBase!N176+273.15)*(1-0.0000225577*[3]DCBase!M176)^5.25578)</f>
        <v>1.2249869859448206</v>
      </c>
      <c r="O182" s="69"/>
      <c r="P182" s="69"/>
      <c r="Q182" s="69"/>
      <c r="R182" s="69"/>
    </row>
    <row r="183" spans="1:18" ht="15">
      <c r="A183" s="84">
        <f>VLOOKUP(propInventory[[#This Row],[Prop Name]],[2]!propInventory3[[Prop Name]:[Instock?]],10,FALSE)</f>
        <v>0</v>
      </c>
      <c r="B183" s="84">
        <f>IF([3]DCBase!$A177="","",[3]DCBase!$A177)</f>
        <v>177</v>
      </c>
      <c r="C183" s="80" t="str">
        <f>IF(propInventory[[#This Row],[myid]]="","",IF([3]DCBase!R177=0,[3]DCBase!D177&amp;"x"&amp;[3]DCBase!E177&amp;" "&amp;[3]DCBase!C177,[3]DCBase!D177&amp;"x"&amp;[3]DCBase!E177&amp;" "&amp;[3]DCBase!C177&amp;" "&amp;[3]DCBase!S177&amp;"mm"))</f>
        <v>24x12 CFK Folder 52mm</v>
      </c>
      <c r="D183" s="65">
        <f>IF(propInventory[[#This Row],[myid]]="","",[3]DCBase!D177)</f>
        <v>24</v>
      </c>
      <c r="E183" s="65">
        <f>IF(propInventory[[#This Row],[myid]]="","",[3]DCBase!E177)</f>
        <v>12</v>
      </c>
      <c r="F183" s="66">
        <f>IF(propInventory[[#This Row],[myid]]="","",[3]DCBase!F177)</f>
        <v>0</v>
      </c>
      <c r="G183" s="66">
        <f>IF(propInventory[[#This Row],[myid]]="","",[3]DCBase!G177)</f>
        <v>0</v>
      </c>
      <c r="H183" s="66">
        <f>IF(propInventory[[#This Row],[myid]]="","",352.98/([3]DCBase!I177+273.15)*(1-0.0000225577*[3]DCBase!H177)^5.25578)</f>
        <v>1.2249869859448206</v>
      </c>
      <c r="I183" s="56">
        <f>IF(propInventory[[#This Row],[myid]]="","",[3]DCBase!K177)</f>
        <v>8.8143600000000006</v>
      </c>
      <c r="J183" s="67">
        <f>IF(propInventory[[#This Row],[myid]]="","",[3]DCBase!L177)</f>
        <v>3</v>
      </c>
      <c r="K183" s="66">
        <f>IF(propInventory[[#This Row],[myid]]="","",352.98/([3]DCBase!N177+273.15)*(1-0.0000225577*[3]DCBase!M177)^5.25578)</f>
        <v>1.2249869859448206</v>
      </c>
      <c r="O183" s="69"/>
      <c r="P183" s="69"/>
      <c r="Q183" s="69"/>
      <c r="R183" s="69"/>
    </row>
    <row r="184" spans="1:18" ht="15">
      <c r="A184" s="84">
        <f>VLOOKUP(propInventory[[#This Row],[Prop Name]],[2]!propInventory3[[Prop Name]:[Instock?]],10,FALSE)</f>
        <v>1</v>
      </c>
      <c r="B184" s="84">
        <f>IF([3]DCBase!$A178="","",[3]DCBase!$A178)</f>
        <v>178</v>
      </c>
      <c r="C184" s="80" t="str">
        <f>IF(propInventory[[#This Row],[myid]]="","",IF([3]DCBase!R178=0,[3]DCBase!D178&amp;"x"&amp;[3]DCBase!E178&amp;" "&amp;[3]DCBase!C178,[3]DCBase!D178&amp;"x"&amp;[3]DCBase!E178&amp;" "&amp;[3]DCBase!C178&amp;" "&amp;[3]DCBase!S178&amp;"mm"))</f>
        <v>10x6 GWS HD</v>
      </c>
      <c r="D184" s="65">
        <f>IF(propInventory[[#This Row],[myid]]="","",[3]DCBase!D178)</f>
        <v>10</v>
      </c>
      <c r="E184" s="65">
        <f>IF(propInventory[[#This Row],[myid]]="","",[3]DCBase!E178)</f>
        <v>6</v>
      </c>
      <c r="F184" s="66">
        <f>IF(propInventory[[#This Row],[myid]]="","",[3]DCBase!F178)</f>
        <v>12.99897</v>
      </c>
      <c r="G184" s="66">
        <f>IF(propInventory[[#This Row],[myid]]="","",[3]DCBase!G178)</f>
        <v>2.0362049999999998</v>
      </c>
      <c r="H184" s="66">
        <f>IF(propInventory[[#This Row],[myid]]="","",352.98/([3]DCBase!I178+273.15)*(1-0.0000225577*[3]DCBase!H178)^5.25578)</f>
        <v>1.1758151638376082</v>
      </c>
      <c r="I184" s="56">
        <f>IF(propInventory[[#This Row],[myid]]="","",[3]DCBase!K178)</f>
        <v>0.14337800000000001</v>
      </c>
      <c r="J184" s="67">
        <f>IF(propInventory[[#This Row],[myid]]="","",[3]DCBase!L178)</f>
        <v>3.1832780000000001</v>
      </c>
      <c r="K184" s="66">
        <f>IF(propInventory[[#This Row],[myid]]="","",352.98/([3]DCBase!N178+273.15)*(1-0.0000225577*[3]DCBase!M178)^5.25578)</f>
        <v>1.1801594788826961</v>
      </c>
      <c r="O184" s="69"/>
      <c r="P184" s="69"/>
      <c r="Q184" s="69"/>
      <c r="R184" s="69"/>
    </row>
    <row r="185" spans="1:18" ht="15">
      <c r="A185" s="84">
        <f>VLOOKUP(propInventory[[#This Row],[Prop Name]],[2]!propInventory3[[Prop Name]:[Instock?]],10,FALSE)</f>
        <v>1</v>
      </c>
      <c r="B185" s="84">
        <f>IF([3]DCBase!$A179="","",[3]DCBase!$A179)</f>
        <v>179</v>
      </c>
      <c r="C185" s="80" t="str">
        <f>IF(propInventory[[#This Row],[myid]]="","",IF([3]DCBase!R179=0,[3]DCBase!D179&amp;"x"&amp;[3]DCBase!E179&amp;" "&amp;[3]DCBase!C179,[3]DCBase!D179&amp;"x"&amp;[3]DCBase!E179&amp;" "&amp;[3]DCBase!C179&amp;" "&amp;[3]DCBase!S179&amp;"mm"))</f>
        <v>11x7 GWS HD</v>
      </c>
      <c r="D185" s="65">
        <f>IF(propInventory[[#This Row],[myid]]="","",[3]DCBase!D179)</f>
        <v>11</v>
      </c>
      <c r="E185" s="65">
        <f>IF(propInventory[[#This Row],[myid]]="","",[3]DCBase!E179)</f>
        <v>7</v>
      </c>
      <c r="F185" s="66">
        <f>IF(propInventory[[#This Row],[myid]]="","",[3]DCBase!F179)</f>
        <v>18.176189999999998</v>
      </c>
      <c r="G185" s="66">
        <f>IF(propInventory[[#This Row],[myid]]="","",[3]DCBase!G179)</f>
        <v>2.1115910000000002</v>
      </c>
      <c r="H185" s="66">
        <f>IF(propInventory[[#This Row],[myid]]="","",352.98/([3]DCBase!I179+273.15)*(1-0.0000225577*[3]DCBase!H179)^5.25578)</f>
        <v>1.1758151638376082</v>
      </c>
      <c r="I185" s="56">
        <f>IF(propInventory[[#This Row],[myid]]="","",[3]DCBase!K179)</f>
        <v>0.37088700000000002</v>
      </c>
      <c r="J185" s="67">
        <f>IF(propInventory[[#This Row],[myid]]="","",[3]DCBase!L179)</f>
        <v>3.0058020000000001</v>
      </c>
      <c r="K185" s="66">
        <f>IF(propInventory[[#This Row],[myid]]="","",352.98/([3]DCBase!N179+273.15)*(1-0.0000225577*[3]DCBase!M179)^5.25578)</f>
        <v>1.1801594788826961</v>
      </c>
      <c r="O185" s="69"/>
      <c r="P185" s="69"/>
      <c r="Q185" s="69"/>
      <c r="R185" s="69"/>
    </row>
    <row r="186" spans="1:18" ht="15">
      <c r="A186" s="84">
        <f>VLOOKUP(propInventory[[#This Row],[Prop Name]],[2]!propInventory3[[Prop Name]:[Instock?]],10,FALSE)</f>
        <v>1</v>
      </c>
      <c r="B186" s="84">
        <f>IF([3]DCBase!$A180="","",[3]DCBase!$A180)</f>
        <v>180</v>
      </c>
      <c r="C186" s="80" t="str">
        <f>IF(propInventory[[#This Row],[myid]]="","",IF([3]DCBase!R180=0,[3]DCBase!D180&amp;"x"&amp;[3]DCBase!E180&amp;" "&amp;[3]DCBase!C180,[3]DCBase!D180&amp;"x"&amp;[3]DCBase!E180&amp;" "&amp;[3]DCBase!C180&amp;" "&amp;[3]DCBase!S180&amp;"mm"))</f>
        <v>12x8 GWS HD</v>
      </c>
      <c r="D186" s="65">
        <f>IF(propInventory[[#This Row],[myid]]="","",[3]DCBase!D180)</f>
        <v>12</v>
      </c>
      <c r="E186" s="65">
        <f>IF(propInventory[[#This Row],[myid]]="","",[3]DCBase!E180)</f>
        <v>8</v>
      </c>
      <c r="F186" s="66">
        <f>IF(propInventory[[#This Row],[myid]]="","",[3]DCBase!F180)</f>
        <v>25.45166</v>
      </c>
      <c r="G186" s="66">
        <f>IF(propInventory[[#This Row],[myid]]="","",[3]DCBase!G180)</f>
        <v>2.1341329999999998</v>
      </c>
      <c r="H186" s="66">
        <f>IF(propInventory[[#This Row],[myid]]="","",352.98/([3]DCBase!I180+273.15)*(1-0.0000225577*[3]DCBase!H180)^5.25578)</f>
        <v>1.1758151638376082</v>
      </c>
      <c r="I186" s="56">
        <f>IF(propInventory[[#This Row],[myid]]="","",[3]DCBase!K180)</f>
        <v>0.51801580000000003</v>
      </c>
      <c r="J186" s="67">
        <f>IF(propInventory[[#This Row],[myid]]="","",[3]DCBase!L180)</f>
        <v>3.073604</v>
      </c>
      <c r="K186" s="66">
        <f>IF(propInventory[[#This Row],[myid]]="","",352.98/([3]DCBase!N180+273.15)*(1-0.0000225577*[3]DCBase!M180)^5.25578)</f>
        <v>1.1801594788826961</v>
      </c>
      <c r="O186" s="69"/>
      <c r="P186" s="69"/>
      <c r="Q186" s="69"/>
      <c r="R186" s="69"/>
    </row>
    <row r="187" spans="1:18" ht="15">
      <c r="A187" s="84">
        <f>VLOOKUP(propInventory[[#This Row],[Prop Name]],[2]!propInventory3[[Prop Name]:[Instock?]],10,FALSE)</f>
        <v>0</v>
      </c>
      <c r="B187" s="84">
        <f>IF([3]DCBase!$A181="","",[3]DCBase!$A181)</f>
        <v>181</v>
      </c>
      <c r="C187" s="80" t="str">
        <f>IF(propInventory[[#This Row],[myid]]="","",IF([3]DCBase!R181=0,[3]DCBase!D181&amp;"x"&amp;[3]DCBase!E181&amp;" "&amp;[3]DCBase!C181,[3]DCBase!D181&amp;"x"&amp;[3]DCBase!E181&amp;" "&amp;[3]DCBase!C181&amp;" "&amp;[3]DCBase!S181&amp;"mm"))</f>
        <v>11x6 AeroCAM 42mm</v>
      </c>
      <c r="D187" s="65">
        <f>IF(propInventory[[#This Row],[myid]]="","",[3]DCBase!D181)</f>
        <v>11</v>
      </c>
      <c r="E187" s="65">
        <f>IF(propInventory[[#This Row],[myid]]="","",[3]DCBase!E181)</f>
        <v>6</v>
      </c>
      <c r="F187" s="66">
        <f>IF(propInventory[[#This Row],[myid]]="","",[3]DCBase!F181)</f>
        <v>20.626840000000001</v>
      </c>
      <c r="G187" s="66">
        <f>IF(propInventory[[#This Row],[myid]]="","",[3]DCBase!G181)</f>
        <v>2.0250919999999999</v>
      </c>
      <c r="H187" s="66">
        <f>IF(propInventory[[#This Row],[myid]]="","",352.98/([3]DCBase!I181+273.15)*(1-0.0000225577*[3]DCBase!H181)^5.25578)</f>
        <v>1.2249869859448206</v>
      </c>
      <c r="I187" s="56">
        <f>IF(propInventory[[#This Row],[myid]]="","",[3]DCBase!K181)</f>
        <v>0.43968760000000001</v>
      </c>
      <c r="J187" s="67">
        <f>IF(propInventory[[#This Row],[myid]]="","",[3]DCBase!L181)</f>
        <v>2.942669</v>
      </c>
      <c r="K187" s="66">
        <f>IF(propInventory[[#This Row],[myid]]="","",352.98/([3]DCBase!N181+273.15)*(1-0.0000225577*[3]DCBase!M181)^5.25578)</f>
        <v>1.2249869859448206</v>
      </c>
      <c r="O187" s="69"/>
      <c r="P187" s="69"/>
      <c r="Q187" s="69"/>
      <c r="R187" s="69"/>
    </row>
    <row r="188" spans="1:18" ht="15">
      <c r="A188" s="84">
        <f>VLOOKUP(propInventory[[#This Row],[Prop Name]],[2]!propInventory3[[Prop Name]:[Instock?]],10,FALSE)</f>
        <v>0</v>
      </c>
      <c r="B188" s="84">
        <f>IF([3]DCBase!$A182="","",[3]DCBase!$A182)</f>
        <v>182</v>
      </c>
      <c r="C188" s="80" t="str">
        <f>IF(propInventory[[#This Row],[myid]]="","",IF([3]DCBase!R182=0,[3]DCBase!D182&amp;"x"&amp;[3]DCBase!E182&amp;" "&amp;[3]DCBase!C182,[3]DCBase!D182&amp;"x"&amp;[3]DCBase!E182&amp;" "&amp;[3]DCBase!C182&amp;" "&amp;[3]DCBase!S182&amp;"mm"))</f>
        <v>8x4 Graupner Slim</v>
      </c>
      <c r="D188" s="65">
        <f>IF(propInventory[[#This Row],[myid]]="","",[3]DCBase!D182)</f>
        <v>8</v>
      </c>
      <c r="E188" s="65">
        <f>IF(propInventory[[#This Row],[myid]]="","",[3]DCBase!E182)</f>
        <v>4</v>
      </c>
      <c r="F188" s="66">
        <f>IF(propInventory[[#This Row],[myid]]="","",[3]DCBase!F182)</f>
        <v>4.6458640000000004</v>
      </c>
      <c r="G188" s="66">
        <f>IF(propInventory[[#This Row],[myid]]="","",[3]DCBase!G182)</f>
        <v>2.1030829999999998</v>
      </c>
      <c r="H188" s="66">
        <f>IF(propInventory[[#This Row],[myid]]="","",352.98/([3]DCBase!I182+273.15)*(1-0.0000225577*[3]DCBase!H182)^5.25578)</f>
        <v>1.1758151638376082</v>
      </c>
      <c r="I188" s="56">
        <f>IF(propInventory[[#This Row],[myid]]="","",[3]DCBase!K182)</f>
        <v>0.20974950000000001</v>
      </c>
      <c r="J188" s="67">
        <f>IF(propInventory[[#This Row],[myid]]="","",[3]DCBase!L182)</f>
        <v>2.8319000000000001</v>
      </c>
      <c r="K188" s="66">
        <f>IF(propInventory[[#This Row],[myid]]="","",352.98/([3]DCBase!N182+273.15)*(1-0.0000225577*[3]DCBase!M182)^5.25578)</f>
        <v>1.1952155100729527</v>
      </c>
      <c r="O188" s="69"/>
      <c r="P188" s="69"/>
      <c r="Q188" s="69"/>
      <c r="R188" s="69"/>
    </row>
    <row r="189" spans="1:18" ht="15">
      <c r="A189" s="84">
        <f>VLOOKUP(propInventory[[#This Row],[Prop Name]],[2]!propInventory3[[Prop Name]:[Instock?]],10,FALSE)</f>
        <v>0</v>
      </c>
      <c r="B189" s="84">
        <f>IF([3]DCBase!$A183="","",[3]DCBase!$A183)</f>
        <v>183</v>
      </c>
      <c r="C189" s="80" t="str">
        <f>IF(propInventory[[#This Row],[myid]]="","",IF([3]DCBase!R183=0,[3]DCBase!D183&amp;"x"&amp;[3]DCBase!E183&amp;" "&amp;[3]DCBase!C183,[3]DCBase!D183&amp;"x"&amp;[3]DCBase!E183&amp;" "&amp;[3]DCBase!C183&amp;" "&amp;[3]DCBase!S183&amp;"mm"))</f>
        <v>11x5 APC Sport</v>
      </c>
      <c r="D189" s="65">
        <f>IF(propInventory[[#This Row],[myid]]="","",[3]DCBase!D183)</f>
        <v>11</v>
      </c>
      <c r="E189" s="65">
        <f>IF(propInventory[[#This Row],[myid]]="","",[3]DCBase!E183)</f>
        <v>5</v>
      </c>
      <c r="F189" s="66">
        <f>IF(propInventory[[#This Row],[myid]]="","",[3]DCBase!F183)</f>
        <v>0</v>
      </c>
      <c r="G189" s="66">
        <f>IF(propInventory[[#This Row],[myid]]="","",[3]DCBase!G183)</f>
        <v>0</v>
      </c>
      <c r="H189" s="66">
        <f>IF(propInventory[[#This Row],[myid]]="","",352.98/([3]DCBase!I183+273.15)*(1-0.0000225577*[3]DCBase!H183)^5.25578)</f>
        <v>1.1918959986493332</v>
      </c>
      <c r="I189" s="56">
        <f>IF(propInventory[[#This Row],[myid]]="","",[3]DCBase!K183)</f>
        <v>0.309</v>
      </c>
      <c r="J189" s="67">
        <f>IF(propInventory[[#This Row],[myid]]="","",[3]DCBase!L183)</f>
        <v>3</v>
      </c>
      <c r="K189" s="66">
        <f>IF(propInventory[[#This Row],[myid]]="","",352.98/([3]DCBase!N183+273.15)*(1-0.0000225577*[3]DCBase!M183)^5.25578)</f>
        <v>1.1918959986493332</v>
      </c>
      <c r="O189" s="69"/>
      <c r="P189" s="69"/>
      <c r="Q189" s="69"/>
      <c r="R189" s="69"/>
    </row>
    <row r="190" spans="1:18" ht="15">
      <c r="A190" s="84">
        <f>VLOOKUP(propInventory[[#This Row],[Prop Name]],[2]!propInventory3[[Prop Name]:[Instock?]],10,FALSE)</f>
        <v>0</v>
      </c>
      <c r="B190" s="84">
        <f>IF([3]DCBase!$A184="","",[3]DCBase!$A184)</f>
        <v>184</v>
      </c>
      <c r="C190" s="80" t="str">
        <f>IF(propInventory[[#This Row],[myid]]="","",IF([3]DCBase!R184=0,[3]DCBase!D184&amp;"x"&amp;[3]DCBase!E184&amp;" "&amp;[3]DCBase!C184,[3]DCBase!D184&amp;"x"&amp;[3]DCBase!E184&amp;" "&amp;[3]DCBase!C184&amp;" "&amp;[3]DCBase!S184&amp;"mm"))</f>
        <v>16x8 AeroCAM 55mm</v>
      </c>
      <c r="D190" s="65">
        <f>IF(propInventory[[#This Row],[myid]]="","",[3]DCBase!D184)</f>
        <v>16</v>
      </c>
      <c r="E190" s="65">
        <f>IF(propInventory[[#This Row],[myid]]="","",[3]DCBase!E184)</f>
        <v>8</v>
      </c>
      <c r="F190" s="66">
        <f>IF(propInventory[[#This Row],[myid]]="","",[3]DCBase!F184)</f>
        <v>0</v>
      </c>
      <c r="G190" s="66">
        <f>IF(propInventory[[#This Row],[myid]]="","",[3]DCBase!G184)</f>
        <v>0</v>
      </c>
      <c r="H190" s="66">
        <f>IF(propInventory[[#This Row],[myid]]="","",352.98/([3]DCBase!I184+273.15)*(1-0.0000225577*[3]DCBase!H184)^5.25578)</f>
        <v>1.2249869859448206</v>
      </c>
      <c r="I190" s="56">
        <f>IF(propInventory[[#This Row],[myid]]="","",[3]DCBase!K184)</f>
        <v>1.7229815820000001</v>
      </c>
      <c r="J190" s="67">
        <f>IF(propInventory[[#This Row],[myid]]="","",[3]DCBase!L184)</f>
        <v>3.08</v>
      </c>
      <c r="K190" s="66">
        <f>IF(propInventory[[#This Row],[myid]]="","",352.98/([3]DCBase!N184+273.15)*(1-0.0000225577*[3]DCBase!M184)^5.25578)</f>
        <v>1.1814273550371019</v>
      </c>
      <c r="O190" s="69"/>
      <c r="P190" s="69"/>
      <c r="Q190" s="69"/>
      <c r="R190" s="69"/>
    </row>
    <row r="191" spans="1:18" ht="15">
      <c r="A191" s="84">
        <f>VLOOKUP(propInventory[[#This Row],[Prop Name]],[2]!propInventory3[[Prop Name]:[Instock?]],10,FALSE)</f>
        <v>0</v>
      </c>
      <c r="B191" s="84">
        <f>IF([3]DCBase!$A185="","",[3]DCBase!$A185)</f>
        <v>185</v>
      </c>
      <c r="C191" s="80" t="str">
        <f>IF(propInventory[[#This Row],[myid]]="","",IF([3]DCBase!R185=0,[3]DCBase!D185&amp;"x"&amp;[3]DCBase!E185&amp;" "&amp;[3]DCBase!C185,[3]DCBase!D185&amp;"x"&amp;[3]DCBase!E185&amp;" "&amp;[3]DCBase!C185&amp;" "&amp;[3]DCBase!S185&amp;"mm"))</f>
        <v>13x7 Graupner CAM 55mm</v>
      </c>
      <c r="D191" s="65">
        <f>IF(propInventory[[#This Row],[myid]]="","",[3]DCBase!D185)</f>
        <v>13</v>
      </c>
      <c r="E191" s="65">
        <f>IF(propInventory[[#This Row],[myid]]="","",[3]DCBase!E185)</f>
        <v>7</v>
      </c>
      <c r="F191" s="66">
        <f>IF(propInventory[[#This Row],[myid]]="","",[3]DCBase!F185)</f>
        <v>0</v>
      </c>
      <c r="G191" s="66">
        <f>IF(propInventory[[#This Row],[myid]]="","",[3]DCBase!G185)</f>
        <v>0</v>
      </c>
      <c r="H191" s="66">
        <f>IF(propInventory[[#This Row],[myid]]="","",352.98/([3]DCBase!I185+273.15)*(1-0.0000225577*[3]DCBase!H185)^5.25578)</f>
        <v>1.2249869859448206</v>
      </c>
      <c r="I191" s="56">
        <f>IF(propInventory[[#This Row],[myid]]="","",[3]DCBase!K185)</f>
        <v>0.69705061000000001</v>
      </c>
      <c r="J191" s="67">
        <f>IF(propInventory[[#This Row],[myid]]="","",[3]DCBase!L185)</f>
        <v>3.08</v>
      </c>
      <c r="K191" s="66">
        <f>IF(propInventory[[#This Row],[myid]]="","",352.98/([3]DCBase!N185+273.15)*(1-0.0000225577*[3]DCBase!M185)^5.25578)</f>
        <v>1.1814273550371019</v>
      </c>
      <c r="O191" s="69"/>
      <c r="P191" s="69"/>
      <c r="Q191" s="69"/>
      <c r="R191" s="69"/>
    </row>
    <row r="192" spans="1:18" ht="15">
      <c r="A192" s="84">
        <f>VLOOKUP(propInventory[[#This Row],[Prop Name]],[2]!propInventory3[[Prop Name]:[Instock?]],10,FALSE)</f>
        <v>0</v>
      </c>
      <c r="B192" s="84">
        <f>IF([3]DCBase!$A186="","",[3]DCBase!$A186)</f>
        <v>186</v>
      </c>
      <c r="C192" s="80" t="str">
        <f>IF(propInventory[[#This Row],[myid]]="","",IF([3]DCBase!R186=0,[3]DCBase!D186&amp;"x"&amp;[3]DCBase!E186&amp;" "&amp;[3]DCBase!C186,[3]DCBase!D186&amp;"x"&amp;[3]DCBase!E186&amp;" "&amp;[3]DCBase!C186&amp;" "&amp;[3]DCBase!S186&amp;"mm"))</f>
        <v>11x6 Graupner CAM 45mm</v>
      </c>
      <c r="D192" s="65">
        <f>IF(propInventory[[#This Row],[myid]]="","",[3]DCBase!D186)</f>
        <v>11</v>
      </c>
      <c r="E192" s="65">
        <f>IF(propInventory[[#This Row],[myid]]="","",[3]DCBase!E186)</f>
        <v>6</v>
      </c>
      <c r="F192" s="66">
        <f>IF(propInventory[[#This Row],[myid]]="","",[3]DCBase!F186)</f>
        <v>0</v>
      </c>
      <c r="G192" s="66">
        <f>IF(propInventory[[#This Row],[myid]]="","",[3]DCBase!G186)</f>
        <v>0</v>
      </c>
      <c r="H192" s="66">
        <f>IF(propInventory[[#This Row],[myid]]="","",352.98/([3]DCBase!I186+273.15)*(1-0.0000225577*[3]DCBase!H186)^5.25578)</f>
        <v>1.1814273550371019</v>
      </c>
      <c r="I192" s="56">
        <f>IF(propInventory[[#This Row],[myid]]="","",[3]DCBase!K186)</f>
        <v>0.23411129999999999</v>
      </c>
      <c r="J192" s="67">
        <f>IF(propInventory[[#This Row],[myid]]="","",[3]DCBase!L186)</f>
        <v>3.1940170000000001</v>
      </c>
      <c r="K192" s="66">
        <f>IF(propInventory[[#This Row],[myid]]="","",352.98/([3]DCBase!N186+273.15)*(1-0.0000225577*[3]DCBase!M186)^5.25578)</f>
        <v>1.1814273550371019</v>
      </c>
      <c r="O192" s="69"/>
      <c r="P192" s="69"/>
      <c r="Q192" s="69"/>
      <c r="R192" s="69"/>
    </row>
    <row r="193" spans="1:18" ht="15">
      <c r="A193" s="84">
        <f>VLOOKUP(propInventory[[#This Row],[Prop Name]],[2]!propInventory3[[Prop Name]:[Instock?]],10,FALSE)</f>
        <v>0</v>
      </c>
      <c r="B193" s="84">
        <f>IF([3]DCBase!$A187="","",[3]DCBase!$A187)</f>
        <v>187</v>
      </c>
      <c r="C193" s="80" t="str">
        <f>IF(propInventory[[#This Row],[myid]]="","",IF([3]DCBase!R187=0,[3]DCBase!D187&amp;"x"&amp;[3]DCBase!E187&amp;" "&amp;[3]DCBase!C187,[3]DCBase!D187&amp;"x"&amp;[3]DCBase!E187&amp;" "&amp;[3]DCBase!C187&amp;" "&amp;[3]DCBase!S187&amp;"mm"))</f>
        <v>10x8 AeroCAM 45mm</v>
      </c>
      <c r="D193" s="65">
        <f>IF(propInventory[[#This Row],[myid]]="","",[3]DCBase!D187)</f>
        <v>10</v>
      </c>
      <c r="E193" s="65">
        <f>IF(propInventory[[#This Row],[myid]]="","",[3]DCBase!E187)</f>
        <v>8</v>
      </c>
      <c r="F193" s="66">
        <f>IF(propInventory[[#This Row],[myid]]="","",[3]DCBase!F187)</f>
        <v>0</v>
      </c>
      <c r="G193" s="66">
        <f>IF(propInventory[[#This Row],[myid]]="","",[3]DCBase!G187)</f>
        <v>0</v>
      </c>
      <c r="H193" s="66">
        <f>IF(propInventory[[#This Row],[myid]]="","",352.98/([3]DCBase!I187+273.15)*(1-0.0000225577*[3]DCBase!H187)^5.25578)</f>
        <v>1.1814273550371019</v>
      </c>
      <c r="I193" s="56">
        <f>IF(propInventory[[#This Row],[myid]]="","",[3]DCBase!K187)</f>
        <v>0.31419425899999998</v>
      </c>
      <c r="J193" s="67">
        <f>IF(propInventory[[#This Row],[myid]]="","",[3]DCBase!L187)</f>
        <v>3.08</v>
      </c>
      <c r="K193" s="66">
        <f>IF(propInventory[[#This Row],[myid]]="","",352.98/([3]DCBase!N187+273.15)*(1-0.0000225577*[3]DCBase!M187)^5.25578)</f>
        <v>1.1814273550371019</v>
      </c>
      <c r="O193" s="69"/>
      <c r="P193" s="69"/>
      <c r="Q193" s="69"/>
      <c r="R193" s="69"/>
    </row>
    <row r="194" spans="1:18" ht="15">
      <c r="A194" s="84">
        <f>VLOOKUP(propInventory[[#This Row],[Prop Name]],[2]!propInventory3[[Prop Name]:[Instock?]],10,FALSE)</f>
        <v>1</v>
      </c>
      <c r="B194" s="84">
        <f>IF([3]DCBase!$A188="","",[3]DCBase!$A188)</f>
        <v>188</v>
      </c>
      <c r="C194" s="80" t="str">
        <f>IF(propInventory[[#This Row],[myid]]="","",IF([3]DCBase!R188=0,[3]DCBase!D188&amp;"x"&amp;[3]DCBase!E188&amp;" "&amp;[3]DCBase!C188,[3]DCBase!D188&amp;"x"&amp;[3]DCBase!E188&amp;" "&amp;[3]DCBase!C188&amp;" "&amp;[3]DCBase!S188&amp;"mm"))</f>
        <v>4x2.5 GWS HD</v>
      </c>
      <c r="D194" s="65">
        <f>IF(propInventory[[#This Row],[myid]]="","",[3]DCBase!D188)</f>
        <v>4</v>
      </c>
      <c r="E194" s="65">
        <f>IF(propInventory[[#This Row],[myid]]="","",[3]DCBase!E188)</f>
        <v>2.5</v>
      </c>
      <c r="F194" s="66">
        <f>IF(propInventory[[#This Row],[myid]]="","",[3]DCBase!F188)</f>
        <v>0.44823360000000001</v>
      </c>
      <c r="G194" s="66">
        <f>IF(propInventory[[#This Row],[myid]]="","",[3]DCBase!G188)</f>
        <v>2.0089769999999998</v>
      </c>
      <c r="H194" s="66">
        <f>IF(propInventory[[#This Row],[myid]]="","",352.98/([3]DCBase!I188+273.15)*(1-0.0000225577*[3]DCBase!H188)^5.25578)</f>
        <v>1.1814273550371019</v>
      </c>
      <c r="I194" s="56">
        <f>IF(propInventory[[#This Row],[myid]]="","",[3]DCBase!K188)</f>
        <v>3.4669000000000002E-3</v>
      </c>
      <c r="J194" s="67">
        <f>IF(propInventory[[#This Row],[myid]]="","",[3]DCBase!L188)</f>
        <v>3.0519069999999999</v>
      </c>
      <c r="K194" s="66">
        <f>IF(propInventory[[#This Row],[myid]]="","",352.98/([3]DCBase!N188+273.15)*(1-0.0000225577*[3]DCBase!M188)^5.25578)</f>
        <v>1.1814273550371019</v>
      </c>
      <c r="O194" s="69"/>
      <c r="P194" s="69"/>
      <c r="Q194" s="69"/>
      <c r="R194" s="69"/>
    </row>
    <row r="195" spans="1:18" ht="15">
      <c r="A195" s="84">
        <f>VLOOKUP(propInventory[[#This Row],[Prop Name]],[2]!propInventory3[[Prop Name]:[Instock?]],10,FALSE)</f>
        <v>0</v>
      </c>
      <c r="B195" s="84">
        <f>IF([3]DCBase!$A189="","",[3]DCBase!$A189)</f>
        <v>189</v>
      </c>
      <c r="C195" s="80" t="str">
        <f>IF(propInventory[[#This Row],[myid]]="","",IF([3]DCBase!R189=0,[3]DCBase!D189&amp;"x"&amp;[3]DCBase!E189&amp;" "&amp;[3]DCBase!C189,[3]DCBase!D189&amp;"x"&amp;[3]DCBase!E189&amp;" "&amp;[3]DCBase!C189&amp;" "&amp;[3]DCBase!S189&amp;"mm"))</f>
        <v>7x3.3 STO</v>
      </c>
      <c r="D195" s="65">
        <f>IF(propInventory[[#This Row],[myid]]="","",[3]DCBase!D189)</f>
        <v>7</v>
      </c>
      <c r="E195" s="65">
        <f>IF(propInventory[[#This Row],[myid]]="","",[3]DCBase!E189)</f>
        <v>3.3</v>
      </c>
      <c r="F195" s="66">
        <f>IF(propInventory[[#This Row],[myid]]="","",[3]DCBase!F189)</f>
        <v>0</v>
      </c>
      <c r="G195" s="66">
        <f>IF(propInventory[[#This Row],[myid]]="","",[3]DCBase!G189)</f>
        <v>0</v>
      </c>
      <c r="H195" s="66">
        <f>IF(propInventory[[#This Row],[myid]]="","",352.98/([3]DCBase!I189+273.15)*(1-0.0000225577*[3]DCBase!H189)^5.25578)</f>
        <v>1.1814273550371019</v>
      </c>
      <c r="I195" s="56">
        <f>IF(propInventory[[#This Row],[myid]]="","",[3]DCBase!K189)</f>
        <v>4.8868300000000003E-2</v>
      </c>
      <c r="J195" s="67">
        <f>IF(propInventory[[#This Row],[myid]]="","",[3]DCBase!L189)</f>
        <v>3</v>
      </c>
      <c r="K195" s="66">
        <f>IF(propInventory[[#This Row],[myid]]="","",352.98/([3]DCBase!N189+273.15)*(1-0.0000225577*[3]DCBase!M189)^5.25578)</f>
        <v>1.1814273550371019</v>
      </c>
      <c r="O195" s="69"/>
      <c r="P195" s="69"/>
      <c r="Q195" s="69"/>
      <c r="R195" s="69"/>
    </row>
    <row r="196" spans="1:18" ht="15">
      <c r="A196" s="84">
        <f>VLOOKUP(propInventory[[#This Row],[Prop Name]],[2]!propInventory3[[Prop Name]:[Instock?]],10,FALSE)</f>
        <v>0</v>
      </c>
      <c r="B196" s="84">
        <f>IF([3]DCBase!$A190="","",[3]DCBase!$A190)</f>
        <v>190</v>
      </c>
      <c r="C196" s="80" t="str">
        <f>IF(propInventory[[#This Row],[myid]]="","",IF([3]DCBase!R190=0,[3]DCBase!D190&amp;"x"&amp;[3]DCBase!E190&amp;" "&amp;[3]DCBase!C190,[3]DCBase!D190&amp;"x"&amp;[3]DCBase!E190&amp;" "&amp;[3]DCBase!C190&amp;" "&amp;[3]DCBase!S190&amp;"mm"))</f>
        <v>9x4.3 STO</v>
      </c>
      <c r="D196" s="65">
        <f>IF(propInventory[[#This Row],[myid]]="","",[3]DCBase!D190)</f>
        <v>9</v>
      </c>
      <c r="E196" s="65">
        <f>IF(propInventory[[#This Row],[myid]]="","",[3]DCBase!E190)</f>
        <v>4.3</v>
      </c>
      <c r="F196" s="66">
        <f>IF(propInventory[[#This Row],[myid]]="","",[3]DCBase!F190)</f>
        <v>0</v>
      </c>
      <c r="G196" s="66">
        <f>IF(propInventory[[#This Row],[myid]]="","",[3]DCBase!G190)</f>
        <v>0</v>
      </c>
      <c r="H196" s="66">
        <f>IF(propInventory[[#This Row],[myid]]="","",352.98/([3]DCBase!I190+273.15)*(1-0.0000225577*[3]DCBase!H190)^5.25578)</f>
        <v>1.1814273550371019</v>
      </c>
      <c r="I196" s="56">
        <f>IF(propInventory[[#This Row],[myid]]="","",[3]DCBase!K190)</f>
        <v>0.22939970000000001</v>
      </c>
      <c r="J196" s="67">
        <f>IF(propInventory[[#This Row],[myid]]="","",[3]DCBase!L190)</f>
        <v>3</v>
      </c>
      <c r="K196" s="66">
        <f>IF(propInventory[[#This Row],[myid]]="","",352.98/([3]DCBase!N190+273.15)*(1-0.0000225577*[3]DCBase!M190)^5.25578)</f>
        <v>1.1814273550371019</v>
      </c>
      <c r="O196" s="69"/>
      <c r="P196" s="69"/>
      <c r="Q196" s="69"/>
      <c r="R196" s="69"/>
    </row>
    <row r="197" spans="1:18" ht="15">
      <c r="A197" s="84">
        <f>VLOOKUP(propInventory[[#This Row],[Prop Name]],[2]!propInventory3[[Prop Name]:[Instock?]],10,FALSE)</f>
        <v>0</v>
      </c>
      <c r="B197" s="84">
        <f>IF([3]DCBase!$A191="","",[3]DCBase!$A191)</f>
        <v>191</v>
      </c>
      <c r="C197" s="80" t="str">
        <f>IF(propInventory[[#This Row],[myid]]="","",IF([3]DCBase!R191=0,[3]DCBase!D191&amp;"x"&amp;[3]DCBase!E191&amp;" "&amp;[3]DCBase!C191,[3]DCBase!D191&amp;"x"&amp;[3]DCBase!E191&amp;" "&amp;[3]DCBase!C191&amp;" "&amp;[3]DCBase!S191&amp;"mm"))</f>
        <v>8x3.3 STO</v>
      </c>
      <c r="D197" s="65">
        <f>IF(propInventory[[#This Row],[myid]]="","",[3]DCBase!D191)</f>
        <v>8</v>
      </c>
      <c r="E197" s="65">
        <f>IF(propInventory[[#This Row],[myid]]="","",[3]DCBase!E191)</f>
        <v>3.3</v>
      </c>
      <c r="F197" s="66">
        <f>IF(propInventory[[#This Row],[myid]]="","",[3]DCBase!F191)</f>
        <v>0</v>
      </c>
      <c r="G197" s="66">
        <f>IF(propInventory[[#This Row],[myid]]="","",[3]DCBase!G191)</f>
        <v>0</v>
      </c>
      <c r="H197" s="66">
        <f>IF(propInventory[[#This Row],[myid]]="","",352.98/([3]DCBase!I191+273.15)*(1-0.0000225577*[3]DCBase!H191)^5.25578)</f>
        <v>1.1814273550371019</v>
      </c>
      <c r="I197" s="56">
        <f>IF(propInventory[[#This Row],[myid]]="","",[3]DCBase!K191)</f>
        <v>6.8729399999999996E-2</v>
      </c>
      <c r="J197" s="67">
        <f>IF(propInventory[[#This Row],[myid]]="","",[3]DCBase!L191)</f>
        <v>3</v>
      </c>
      <c r="K197" s="66">
        <f>IF(propInventory[[#This Row],[myid]]="","",352.98/([3]DCBase!N191+273.15)*(1-0.0000225577*[3]DCBase!M191)^5.25578)</f>
        <v>1.1814273550371019</v>
      </c>
      <c r="O197" s="69"/>
      <c r="P197" s="69"/>
      <c r="Q197" s="69"/>
      <c r="R197" s="69"/>
    </row>
    <row r="198" spans="1:18" ht="15">
      <c r="A198" s="84">
        <f>VLOOKUP(propInventory[[#This Row],[Prop Name]],[2]!propInventory3[[Prop Name]:[Instock?]],10,FALSE)</f>
        <v>0</v>
      </c>
      <c r="B198" s="84">
        <f>IF([3]DCBase!$A192="","",[3]DCBase!$A192)</f>
        <v>192</v>
      </c>
      <c r="C198" s="80" t="str">
        <f>IF(propInventory[[#This Row],[myid]]="","",IF([3]DCBase!R192=0,[3]DCBase!D192&amp;"x"&amp;[3]DCBase!E192&amp;" "&amp;[3]DCBase!C192,[3]DCBase!D192&amp;"x"&amp;[3]DCBase!E192&amp;" "&amp;[3]DCBase!C192&amp;" "&amp;[3]DCBase!S192&amp;"mm"))</f>
        <v>6x3 Graupner CAM Folder 30mm</v>
      </c>
      <c r="D198" s="65">
        <f>IF(propInventory[[#This Row],[myid]]="","",[3]DCBase!D192)</f>
        <v>6</v>
      </c>
      <c r="E198" s="65">
        <f>IF(propInventory[[#This Row],[myid]]="","",[3]DCBase!E192)</f>
        <v>3</v>
      </c>
      <c r="F198" s="66">
        <f>IF(propInventory[[#This Row],[myid]]="","",[3]DCBase!F192)</f>
        <v>0</v>
      </c>
      <c r="G198" s="66">
        <f>IF(propInventory[[#This Row],[myid]]="","",[3]DCBase!G192)</f>
        <v>0</v>
      </c>
      <c r="H198" s="66">
        <f>IF(propInventory[[#This Row],[myid]]="","",352.98/([3]DCBase!I192+273.15)*(1-0.0000225577*[3]DCBase!H192)^5.25578)</f>
        <v>1.1814273550371019</v>
      </c>
      <c r="I198" s="56">
        <f>IF(propInventory[[#This Row],[myid]]="","",[3]DCBase!K192)</f>
        <v>2.2592899999999999E-2</v>
      </c>
      <c r="J198" s="67">
        <f>IF(propInventory[[#This Row],[myid]]="","",[3]DCBase!L192)</f>
        <v>3</v>
      </c>
      <c r="K198" s="66">
        <f>IF(propInventory[[#This Row],[myid]]="","",352.98/([3]DCBase!N192+273.15)*(1-0.0000225577*[3]DCBase!M192)^5.25578)</f>
        <v>1.1814273550371019</v>
      </c>
      <c r="O198" s="69"/>
      <c r="P198" s="69"/>
      <c r="Q198" s="69"/>
      <c r="R198" s="69"/>
    </row>
    <row r="199" spans="1:18" ht="15">
      <c r="A199" s="84">
        <f>VLOOKUP(propInventory[[#This Row],[Prop Name]],[2]!propInventory3[[Prop Name]:[Instock?]],10,FALSE)</f>
        <v>0</v>
      </c>
      <c r="B199" s="84">
        <f>IF([3]DCBase!$A193="","",[3]DCBase!$A193)</f>
        <v>193</v>
      </c>
      <c r="C199" s="80" t="str">
        <f>IF(propInventory[[#This Row],[myid]]="","",IF([3]DCBase!R193=0,[3]DCBase!D193&amp;"x"&amp;[3]DCBase!E193&amp;" "&amp;[3]DCBase!C193,[3]DCBase!D193&amp;"x"&amp;[3]DCBase!E193&amp;" "&amp;[3]DCBase!C193&amp;" "&amp;[3]DCBase!S193&amp;"mm"))</f>
        <v>4.75x4.5 APC E</v>
      </c>
      <c r="D199" s="65">
        <f>IF(propInventory[[#This Row],[myid]]="","",[3]DCBase!D193)</f>
        <v>4.75</v>
      </c>
      <c r="E199" s="65">
        <f>IF(propInventory[[#This Row],[myid]]="","",[3]DCBase!E193)</f>
        <v>4.5</v>
      </c>
      <c r="F199" s="66">
        <f>IF(propInventory[[#This Row],[myid]]="","",[3]DCBase!F193)</f>
        <v>0.44878289999999998</v>
      </c>
      <c r="G199" s="66">
        <f>IF(propInventory[[#This Row],[myid]]="","",[3]DCBase!G193)</f>
        <v>2.2523930000000001</v>
      </c>
      <c r="H199" s="66">
        <f>IF(propInventory[[#This Row],[myid]]="","",352.98/([3]DCBase!I193+273.15)*(1-0.0000225577*[3]DCBase!H193)^5.25578)</f>
        <v>1.1814273550371019</v>
      </c>
      <c r="I199" s="56">
        <f>IF(propInventory[[#This Row],[myid]]="","",[3]DCBase!K193)</f>
        <v>1.03728E-2</v>
      </c>
      <c r="J199" s="67">
        <f>IF(propInventory[[#This Row],[myid]]="","",[3]DCBase!L193)</f>
        <v>3.0908319999999998</v>
      </c>
      <c r="K199" s="66">
        <f>IF(propInventory[[#This Row],[myid]]="","",352.98/([3]DCBase!N193+273.15)*(1-0.0000225577*[3]DCBase!M193)^5.25578)</f>
        <v>1.1814273550371019</v>
      </c>
      <c r="O199" s="69"/>
      <c r="P199" s="69"/>
      <c r="Q199" s="69"/>
      <c r="R199" s="69"/>
    </row>
    <row r="200" spans="1:18" ht="15">
      <c r="A200" s="84">
        <f>VLOOKUP(propInventory[[#This Row],[Prop Name]],[2]!propInventory3[[Prop Name]:[Instock?]],10,FALSE)</f>
        <v>3</v>
      </c>
      <c r="B200" s="84">
        <f>IF([3]DCBase!$A194="","",[3]DCBase!$A194)</f>
        <v>194</v>
      </c>
      <c r="C200" s="80" t="str">
        <f>IF(propInventory[[#This Row],[myid]]="","",IF([3]DCBase!R194=0,[3]DCBase!D194&amp;"x"&amp;[3]DCBase!E194&amp;" "&amp;[3]DCBase!C194,[3]DCBase!D194&amp;"x"&amp;[3]DCBase!E194&amp;" "&amp;[3]DCBase!C194&amp;" "&amp;[3]DCBase!S194&amp;"mm"))</f>
        <v>5x5 APC E</v>
      </c>
      <c r="D200" s="65">
        <f>IF(propInventory[[#This Row],[myid]]="","",[3]DCBase!D194)</f>
        <v>5</v>
      </c>
      <c r="E200" s="65">
        <f>IF(propInventory[[#This Row],[myid]]="","",[3]DCBase!E194)</f>
        <v>5</v>
      </c>
      <c r="F200" s="66">
        <f>IF(propInventory[[#This Row],[myid]]="","",[3]DCBase!F194)</f>
        <v>0.99562430000000002</v>
      </c>
      <c r="G200" s="66">
        <f>IF(propInventory[[#This Row],[myid]]="","",[3]DCBase!G194)</f>
        <v>2.0077569999999998</v>
      </c>
      <c r="H200" s="66">
        <f>IF(propInventory[[#This Row],[myid]]="","",352.98/([3]DCBase!I194+273.15)*(1-0.0000225577*[3]DCBase!H194)^5.25578)</f>
        <v>1.1758151638376082</v>
      </c>
      <c r="I200" s="56">
        <f>IF(propInventory[[#This Row],[myid]]="","",[3]DCBase!K194)</f>
        <v>1.2949799999999999E-2</v>
      </c>
      <c r="J200" s="67">
        <f>IF(propInventory[[#This Row],[myid]]="","",[3]DCBase!L194)</f>
        <v>3.1222569999999998</v>
      </c>
      <c r="K200" s="66">
        <f>IF(propInventory[[#This Row],[myid]]="","",352.98/([3]DCBase!N194+273.15)*(1-0.0000225577*[3]DCBase!M194)^5.25578)</f>
        <v>1.1814273550371019</v>
      </c>
      <c r="O200" s="69"/>
      <c r="P200" s="69"/>
      <c r="Q200" s="69"/>
      <c r="R200" s="69"/>
    </row>
    <row r="201" spans="1:18" ht="15">
      <c r="A201" s="84">
        <f>VLOOKUP(propInventory[[#This Row],[Prop Name]],[2]!propInventory3[[Prop Name]:[Instock?]],10,FALSE)</f>
        <v>0</v>
      </c>
      <c r="B201" s="84">
        <f>IF([3]DCBase!$A195="","",[3]DCBase!$A195)</f>
        <v>195</v>
      </c>
      <c r="C201" s="80" t="str">
        <f>IF(propInventory[[#This Row],[myid]]="","",IF([3]DCBase!R195=0,[3]DCBase!D195&amp;"x"&amp;[3]DCBase!E195&amp;" "&amp;[3]DCBase!C195,[3]DCBase!D195&amp;"x"&amp;[3]DCBase!E195&amp;" "&amp;[3]DCBase!C195&amp;" "&amp;[3]DCBase!S195&amp;"mm"))</f>
        <v>8x6 Graupner CAM 45mm</v>
      </c>
      <c r="D201" s="65">
        <f>IF(propInventory[[#This Row],[myid]]="","",[3]DCBase!D195)</f>
        <v>8</v>
      </c>
      <c r="E201" s="65">
        <f>IF(propInventory[[#This Row],[myid]]="","",[3]DCBase!E195)</f>
        <v>6</v>
      </c>
      <c r="F201" s="66">
        <f>IF(propInventory[[#This Row],[myid]]="","",[3]DCBase!F195)</f>
        <v>0</v>
      </c>
      <c r="G201" s="66">
        <f>IF(propInventory[[#This Row],[myid]]="","",[3]DCBase!G195)</f>
        <v>0</v>
      </c>
      <c r="H201" s="66">
        <f>IF(propInventory[[#This Row],[myid]]="","",352.98/([3]DCBase!I195+273.15)*(1-0.0000225577*[3]DCBase!H195)^5.25578)</f>
        <v>1.1814273550371019</v>
      </c>
      <c r="I201" s="56">
        <f>IF(propInventory[[#This Row],[myid]]="","",[3]DCBase!K195)</f>
        <v>0.14676729999999999</v>
      </c>
      <c r="J201" s="67">
        <f>IF(propInventory[[#This Row],[myid]]="","",[3]DCBase!L195)</f>
        <v>3</v>
      </c>
      <c r="K201" s="66">
        <f>IF(propInventory[[#This Row],[myid]]="","",352.98/([3]DCBase!N195+273.15)*(1-0.0000225577*[3]DCBase!M195)^5.25578)</f>
        <v>1.1814273550371019</v>
      </c>
      <c r="O201" s="69"/>
      <c r="P201" s="69"/>
      <c r="Q201" s="69"/>
      <c r="R201" s="69"/>
    </row>
    <row r="202" spans="1:18" ht="15">
      <c r="A202" s="84">
        <f>VLOOKUP(propInventory[[#This Row],[Prop Name]],[2]!propInventory3[[Prop Name]:[Instock?]],10,FALSE)</f>
        <v>0</v>
      </c>
      <c r="B202" s="84">
        <f>IF([3]DCBase!$A196="","",[3]DCBase!$A196)</f>
        <v>196</v>
      </c>
      <c r="C202" s="80" t="str">
        <f>IF(propInventory[[#This Row],[myid]]="","",IF([3]DCBase!R196=0,[3]DCBase!D196&amp;"x"&amp;[3]DCBase!E196&amp;" "&amp;[3]DCBase!C196,[3]DCBase!D196&amp;"x"&amp;[3]DCBase!E196&amp;" "&amp;[3]DCBase!C196&amp;" "&amp;[3]DCBase!S196&amp;"mm"))</f>
        <v>12x8 AeroCAM 45mm</v>
      </c>
      <c r="D202" s="65">
        <f>IF(propInventory[[#This Row],[myid]]="","",[3]DCBase!D196)</f>
        <v>12</v>
      </c>
      <c r="E202" s="65">
        <f>IF(propInventory[[#This Row],[myid]]="","",[3]DCBase!E196)</f>
        <v>8</v>
      </c>
      <c r="F202" s="66">
        <f>IF(propInventory[[#This Row],[myid]]="","",[3]DCBase!F196)</f>
        <v>0</v>
      </c>
      <c r="G202" s="66">
        <f>IF(propInventory[[#This Row],[myid]]="","",[3]DCBase!G196)</f>
        <v>0</v>
      </c>
      <c r="H202" s="66">
        <f>IF(propInventory[[#This Row],[myid]]="","",352.98/([3]DCBase!I196+273.15)*(1-0.0000225577*[3]DCBase!H196)^5.25578)</f>
        <v>1.1814273550371019</v>
      </c>
      <c r="I202" s="56">
        <f>IF(propInventory[[#This Row],[myid]]="","",[3]DCBase!K196)</f>
        <v>0.66098796999999998</v>
      </c>
      <c r="J202" s="67">
        <f>IF(propInventory[[#This Row],[myid]]="","",[3]DCBase!L196)</f>
        <v>3</v>
      </c>
      <c r="K202" s="66">
        <f>IF(propInventory[[#This Row],[myid]]="","",352.98/([3]DCBase!N196+273.15)*(1-0.0000225577*[3]DCBase!M196)^5.25578)</f>
        <v>1.1814273550371019</v>
      </c>
      <c r="O202" s="69"/>
      <c r="P202" s="69"/>
      <c r="Q202" s="69"/>
      <c r="R202" s="69"/>
    </row>
    <row r="203" spans="1:18" ht="15">
      <c r="A203" s="84">
        <f>VLOOKUP(propInventory[[#This Row],[Prop Name]],[2]!propInventory3[[Prop Name]:[Instock?]],10,FALSE)</f>
        <v>0</v>
      </c>
      <c r="B203" s="84">
        <f>IF([3]DCBase!$A197="","",[3]DCBase!$A197)</f>
        <v>197</v>
      </c>
      <c r="C203" s="80" t="str">
        <f>IF(propInventory[[#This Row],[myid]]="","",IF([3]DCBase!R197=0,[3]DCBase!D197&amp;"x"&amp;[3]DCBase!E197&amp;" "&amp;[3]DCBase!C197,[3]DCBase!D197&amp;"x"&amp;[3]DCBase!E197&amp;" "&amp;[3]DCBase!C197&amp;" "&amp;[3]DCBase!S197&amp;"mm"))</f>
        <v>12x6 CFK Folder 45mm</v>
      </c>
      <c r="D203" s="65">
        <f>IF(propInventory[[#This Row],[myid]]="","",[3]DCBase!D197)</f>
        <v>12</v>
      </c>
      <c r="E203" s="65">
        <f>IF(propInventory[[#This Row],[myid]]="","",[3]DCBase!E197)</f>
        <v>6</v>
      </c>
      <c r="F203" s="66">
        <f>IF(propInventory[[#This Row],[myid]]="","",[3]DCBase!F197)</f>
        <v>0</v>
      </c>
      <c r="G203" s="66">
        <f>IF(propInventory[[#This Row],[myid]]="","",[3]DCBase!G197)</f>
        <v>0</v>
      </c>
      <c r="H203" s="66">
        <f>IF(propInventory[[#This Row],[myid]]="","",352.98/([3]DCBase!I197+273.15)*(1-0.0000225577*[3]DCBase!H197)^5.25578)</f>
        <v>1.1814273550371019</v>
      </c>
      <c r="I203" s="56">
        <f>IF(propInventory[[#This Row],[myid]]="","",[3]DCBase!K197)</f>
        <v>0.39297349999999998</v>
      </c>
      <c r="J203" s="67">
        <f>IF(propInventory[[#This Row],[myid]]="","",[3]DCBase!L197)</f>
        <v>3</v>
      </c>
      <c r="K203" s="66">
        <f>IF(propInventory[[#This Row],[myid]]="","",352.98/([3]DCBase!N197+273.15)*(1-0.0000225577*[3]DCBase!M197)^5.25578)</f>
        <v>1.1814273550371019</v>
      </c>
      <c r="O203" s="69"/>
      <c r="P203" s="69"/>
      <c r="Q203" s="69"/>
      <c r="R203" s="69"/>
    </row>
    <row r="204" spans="1:18" ht="15">
      <c r="A204" s="84">
        <f>VLOOKUP(propInventory[[#This Row],[Prop Name]],[2]!propInventory3[[Prop Name]:[Instock?]],10,FALSE)</f>
        <v>0</v>
      </c>
      <c r="B204" s="84">
        <f>IF([3]DCBase!$A198="","",[3]DCBase!$A198)</f>
        <v>198</v>
      </c>
      <c r="C204" s="80" t="str">
        <f>IF(propInventory[[#This Row],[myid]]="","",IF([3]DCBase!R198=0,[3]DCBase!D198&amp;"x"&amp;[3]DCBase!E198&amp;" "&amp;[3]DCBase!C198,[3]DCBase!D198&amp;"x"&amp;[3]DCBase!E198&amp;" "&amp;[3]DCBase!C198&amp;" "&amp;[3]DCBase!S198&amp;"mm"))</f>
        <v>9x6 Graupner CAM 45mm</v>
      </c>
      <c r="D204" s="65">
        <f>IF(propInventory[[#This Row],[myid]]="","",[3]DCBase!D198)</f>
        <v>9</v>
      </c>
      <c r="E204" s="65">
        <f>IF(propInventory[[#This Row],[myid]]="","",[3]DCBase!E198)</f>
        <v>6</v>
      </c>
      <c r="F204" s="66">
        <f>IF(propInventory[[#This Row],[myid]]="","",[3]DCBase!F198)</f>
        <v>0</v>
      </c>
      <c r="G204" s="66">
        <f>IF(propInventory[[#This Row],[myid]]="","",[3]DCBase!G198)</f>
        <v>0</v>
      </c>
      <c r="H204" s="66">
        <f>IF(propInventory[[#This Row],[myid]]="","",352.98/([3]DCBase!I198+273.15)*(1-0.0000225577*[3]DCBase!H198)^5.25578)</f>
        <v>1.1814273550371019</v>
      </c>
      <c r="I204" s="56">
        <f>IF(propInventory[[#This Row],[myid]]="","",[3]DCBase!K198)</f>
        <v>0.18960389999999999</v>
      </c>
      <c r="J204" s="67">
        <f>IF(propInventory[[#This Row],[myid]]="","",[3]DCBase!L198)</f>
        <v>3</v>
      </c>
      <c r="K204" s="66">
        <f>IF(propInventory[[#This Row],[myid]]="","",352.98/([3]DCBase!N198+273.15)*(1-0.0000225577*[3]DCBase!M198)^5.25578)</f>
        <v>1.1814273550371019</v>
      </c>
      <c r="O204" s="69"/>
      <c r="P204" s="69"/>
      <c r="Q204" s="69"/>
      <c r="R204" s="69"/>
    </row>
    <row r="205" spans="1:18" ht="15">
      <c r="A205" s="84">
        <f>VLOOKUP(propInventory[[#This Row],[Prop Name]],[2]!propInventory3[[Prop Name]:[Instock?]],10,FALSE)</f>
        <v>0</v>
      </c>
      <c r="B205" s="84">
        <f>IF([3]DCBase!$A199="","",[3]DCBase!$A199)</f>
        <v>199</v>
      </c>
      <c r="C205" s="80" t="str">
        <f>IF(propInventory[[#This Row],[myid]]="","",IF([3]DCBase!R199=0,[3]DCBase!D199&amp;"x"&amp;[3]DCBase!E199&amp;" "&amp;[3]DCBase!C199,[3]DCBase!D199&amp;"x"&amp;[3]DCBase!E199&amp;" "&amp;[3]DCBase!C199&amp;" "&amp;[3]DCBase!S199&amp;"mm"))</f>
        <v>10x6 Graupner CAM 45mm</v>
      </c>
      <c r="D205" s="65">
        <f>IF(propInventory[[#This Row],[myid]]="","",[3]DCBase!D199)</f>
        <v>10</v>
      </c>
      <c r="E205" s="65">
        <f>IF(propInventory[[#This Row],[myid]]="","",[3]DCBase!E199)</f>
        <v>6</v>
      </c>
      <c r="F205" s="66">
        <f>IF(propInventory[[#This Row],[myid]]="","",[3]DCBase!F199)</f>
        <v>0</v>
      </c>
      <c r="G205" s="66">
        <f>IF(propInventory[[#This Row],[myid]]="","",[3]DCBase!G199)</f>
        <v>0</v>
      </c>
      <c r="H205" s="66">
        <f>IF(propInventory[[#This Row],[myid]]="","",352.98/([3]DCBase!I199+273.15)*(1-0.0000225577*[3]DCBase!H199)^5.25578)</f>
        <v>1.1814273550371019</v>
      </c>
      <c r="I205" s="56">
        <f>IF(propInventory[[#This Row],[myid]]="","",[3]DCBase!K199)</f>
        <v>0.2510443</v>
      </c>
      <c r="J205" s="67">
        <f>IF(propInventory[[#This Row],[myid]]="","",[3]DCBase!L199)</f>
        <v>3</v>
      </c>
      <c r="K205" s="66">
        <f>IF(propInventory[[#This Row],[myid]]="","",352.98/([3]DCBase!N199+273.15)*(1-0.0000225577*[3]DCBase!M199)^5.25578)</f>
        <v>1.1814273550371019</v>
      </c>
      <c r="O205" s="69"/>
      <c r="P205" s="69"/>
      <c r="Q205" s="69"/>
      <c r="R205" s="69"/>
    </row>
    <row r="206" spans="1:18" ht="15">
      <c r="A206" s="84">
        <f>VLOOKUP(propInventory[[#This Row],[Prop Name]],[2]!propInventory3[[Prop Name]:[Instock?]],10,FALSE)</f>
        <v>0</v>
      </c>
      <c r="B206" s="84">
        <f>IF([3]DCBase!$A200="","",[3]DCBase!$A200)</f>
        <v>200</v>
      </c>
      <c r="C206" s="80" t="str">
        <f>IF(propInventory[[#This Row],[myid]]="","",IF([3]DCBase!R200=0,[3]DCBase!D200&amp;"x"&amp;[3]DCBase!E200&amp;" "&amp;[3]DCBase!C200,[3]DCBase!D200&amp;"x"&amp;[3]DCBase!E200&amp;" "&amp;[3]DCBase!C200&amp;" "&amp;[3]DCBase!S200&amp;"mm"))</f>
        <v>9.5x5 Aero Glass</v>
      </c>
      <c r="D206" s="65">
        <f>IF(propInventory[[#This Row],[myid]]="","",[3]DCBase!D200)</f>
        <v>9.5</v>
      </c>
      <c r="E206" s="65">
        <f>IF(propInventory[[#This Row],[myid]]="","",[3]DCBase!E200)</f>
        <v>5</v>
      </c>
      <c r="F206" s="66">
        <f>IF(propInventory[[#This Row],[myid]]="","",[3]DCBase!F200)</f>
        <v>0</v>
      </c>
      <c r="G206" s="66">
        <f>IF(propInventory[[#This Row],[myid]]="","",[3]DCBase!G200)</f>
        <v>0</v>
      </c>
      <c r="H206" s="66">
        <f>IF(propInventory[[#This Row],[myid]]="","",352.98/([3]DCBase!I200+273.15)*(1-0.0000225577*[3]DCBase!H200)^5.25578)</f>
        <v>1.1814273550371019</v>
      </c>
      <c r="I206" s="56">
        <f>IF(propInventory[[#This Row],[myid]]="","",[3]DCBase!K200)</f>
        <v>0.1612431</v>
      </c>
      <c r="J206" s="67">
        <f>IF(propInventory[[#This Row],[myid]]="","",[3]DCBase!L200)</f>
        <v>3</v>
      </c>
      <c r="K206" s="66">
        <f>IF(propInventory[[#This Row],[myid]]="","",352.98/([3]DCBase!N200+273.15)*(1-0.0000225577*[3]DCBase!M200)^5.25578)</f>
        <v>1.1814273550371019</v>
      </c>
      <c r="O206" s="69"/>
      <c r="P206" s="69"/>
      <c r="Q206" s="69"/>
      <c r="R206" s="69"/>
    </row>
    <row r="207" spans="1:18" ht="15">
      <c r="A207" s="84">
        <f>VLOOKUP(propInventory[[#This Row],[Prop Name]],[2]!propInventory3[[Prop Name]:[Instock?]],10,FALSE)</f>
        <v>0</v>
      </c>
      <c r="B207" s="84">
        <f>IF([3]DCBase!$A201="","",[3]DCBase!$A201)</f>
        <v>201</v>
      </c>
      <c r="C207" s="80" t="str">
        <f>IF(propInventory[[#This Row],[myid]]="","",IF([3]DCBase!R201=0,[3]DCBase!D201&amp;"x"&amp;[3]DCBase!E201&amp;" "&amp;[3]DCBase!C201,[3]DCBase!D201&amp;"x"&amp;[3]DCBase!E201&amp;" "&amp;[3]DCBase!C201&amp;" "&amp;[3]DCBase!S201&amp;"mm"))</f>
        <v>9x5 AeroCAM 45mm</v>
      </c>
      <c r="D207" s="65">
        <f>IF(propInventory[[#This Row],[myid]]="","",[3]DCBase!D201)</f>
        <v>9</v>
      </c>
      <c r="E207" s="65">
        <f>IF(propInventory[[#This Row],[myid]]="","",[3]DCBase!E201)</f>
        <v>5</v>
      </c>
      <c r="F207" s="66">
        <f>IF(propInventory[[#This Row],[myid]]="","",[3]DCBase!F201)</f>
        <v>0</v>
      </c>
      <c r="G207" s="66">
        <f>IF(propInventory[[#This Row],[myid]]="","",[3]DCBase!G201)</f>
        <v>0</v>
      </c>
      <c r="H207" s="66">
        <f>IF(propInventory[[#This Row],[myid]]="","",352.98/([3]DCBase!I201+273.15)*(1-0.0000225577*[3]DCBase!H201)^5.25578)</f>
        <v>1.1814273550371019</v>
      </c>
      <c r="I207" s="56">
        <f>IF(propInventory[[#This Row],[myid]]="","",[3]DCBase!K201)</f>
        <v>0.15515309999999999</v>
      </c>
      <c r="J207" s="67">
        <f>IF(propInventory[[#This Row],[myid]]="","",[3]DCBase!L201)</f>
        <v>3</v>
      </c>
      <c r="K207" s="66">
        <f>IF(propInventory[[#This Row],[myid]]="","",352.98/([3]DCBase!N201+273.15)*(1-0.0000225577*[3]DCBase!M201)^5.25578)</f>
        <v>1.1814273550371019</v>
      </c>
      <c r="O207" s="69"/>
      <c r="P207" s="69"/>
      <c r="Q207" s="69"/>
      <c r="R207" s="69"/>
    </row>
    <row r="208" spans="1:18" ht="15">
      <c r="A208" s="84">
        <f>VLOOKUP(propInventory[[#This Row],[Prop Name]],[2]!propInventory3[[Prop Name]:[Instock?]],10,FALSE)</f>
        <v>0</v>
      </c>
      <c r="B208" s="84">
        <f>IF([3]DCBase!$A202="","",[3]DCBase!$A202)</f>
        <v>202</v>
      </c>
      <c r="C208" s="80" t="str">
        <f>IF(propInventory[[#This Row],[myid]]="","",IF([3]DCBase!R202=0,[3]DCBase!D202&amp;"x"&amp;[3]DCBase!E202&amp;" "&amp;[3]DCBase!C202,[3]DCBase!D202&amp;"x"&amp;[3]DCBase!E202&amp;" "&amp;[3]DCBase!C202&amp;" "&amp;[3]DCBase!S202&amp;"mm"))</f>
        <v>9x5 Aeronaut E-Prop</v>
      </c>
      <c r="D208" s="65">
        <f>IF(propInventory[[#This Row],[myid]]="","",[3]DCBase!D202)</f>
        <v>9</v>
      </c>
      <c r="E208" s="65">
        <f>IF(propInventory[[#This Row],[myid]]="","",[3]DCBase!E202)</f>
        <v>5</v>
      </c>
      <c r="F208" s="66">
        <f>IF(propInventory[[#This Row],[myid]]="","",[3]DCBase!F202)</f>
        <v>0</v>
      </c>
      <c r="G208" s="66">
        <f>IF(propInventory[[#This Row],[myid]]="","",[3]DCBase!G202)</f>
        <v>0</v>
      </c>
      <c r="H208" s="66">
        <f>IF(propInventory[[#This Row],[myid]]="","",352.98/([3]DCBase!I202+273.15)*(1-0.0000225577*[3]DCBase!H202)^5.25578)</f>
        <v>1.1814273550371019</v>
      </c>
      <c r="I208" s="56">
        <f>IF(propInventory[[#This Row],[myid]]="","",[3]DCBase!K202)</f>
        <v>0.19809080000000001</v>
      </c>
      <c r="J208" s="67">
        <f>IF(propInventory[[#This Row],[myid]]="","",[3]DCBase!L202)</f>
        <v>3</v>
      </c>
      <c r="K208" s="66">
        <f>IF(propInventory[[#This Row],[myid]]="","",352.98/([3]DCBase!N202+273.15)*(1-0.0000225577*[3]DCBase!M202)^5.25578)</f>
        <v>1.1814273550371019</v>
      </c>
      <c r="O208" s="69"/>
      <c r="P208" s="69"/>
      <c r="Q208" s="69"/>
      <c r="R208" s="69"/>
    </row>
    <row r="209" spans="1:18" ht="15">
      <c r="A209" s="84">
        <f>VLOOKUP(propInventory[[#This Row],[Prop Name]],[2]!propInventory3[[Prop Name]:[Instock?]],10,FALSE)</f>
        <v>0</v>
      </c>
      <c r="B209" s="84">
        <f>IF([3]DCBase!$A203="","",[3]DCBase!$A203)</f>
        <v>203</v>
      </c>
      <c r="C209" s="80" t="str">
        <f>IF(propInventory[[#This Row],[myid]]="","",IF([3]DCBase!R203=0,[3]DCBase!D203&amp;"x"&amp;[3]DCBase!E203&amp;" "&amp;[3]DCBase!C203,[3]DCBase!D203&amp;"x"&amp;[3]DCBase!E203&amp;" "&amp;[3]DCBase!C203&amp;" "&amp;[3]DCBase!S203&amp;"mm"))</f>
        <v>13x8 AeroCAM 60mm</v>
      </c>
      <c r="D209" s="65">
        <f>IF(propInventory[[#This Row],[myid]]="","",[3]DCBase!D203)</f>
        <v>13</v>
      </c>
      <c r="E209" s="65">
        <f>IF(propInventory[[#This Row],[myid]]="","",[3]DCBase!E203)</f>
        <v>8</v>
      </c>
      <c r="F209" s="66">
        <f>IF(propInventory[[#This Row],[myid]]="","",[3]DCBase!F203)</f>
        <v>0</v>
      </c>
      <c r="G209" s="66">
        <f>IF(propInventory[[#This Row],[myid]]="","",[3]DCBase!G203)</f>
        <v>0</v>
      </c>
      <c r="H209" s="66">
        <f>IF(propInventory[[#This Row],[myid]]="","",352.98/([3]DCBase!I203+273.15)*(1-0.0000225577*[3]DCBase!H203)^5.25578)</f>
        <v>1.2249869859448206</v>
      </c>
      <c r="I209" s="56">
        <f>IF(propInventory[[#This Row],[myid]]="","",[3]DCBase!K203)</f>
        <v>0.80075839000000004</v>
      </c>
      <c r="J209" s="67">
        <f>IF(propInventory[[#This Row],[myid]]="","",[3]DCBase!L203)</f>
        <v>3.08</v>
      </c>
      <c r="K209" s="66">
        <f>IF(propInventory[[#This Row],[myid]]="","",352.98/([3]DCBase!N203+273.15)*(1-0.0000225577*[3]DCBase!M203)^5.25578)</f>
        <v>1.2249869859448206</v>
      </c>
      <c r="O209" s="69"/>
      <c r="P209" s="69"/>
      <c r="Q209" s="69"/>
      <c r="R209" s="69"/>
    </row>
    <row r="210" spans="1:18" ht="15">
      <c r="A210" s="84">
        <f>VLOOKUP(propInventory[[#This Row],[Prop Name]],[2]!propInventory3[[Prop Name]:[Instock?]],10,FALSE)</f>
        <v>0</v>
      </c>
      <c r="B210" s="84">
        <f>IF([3]DCBase!$A204="","",[3]DCBase!$A204)</f>
        <v>204</v>
      </c>
      <c r="C210" s="80" t="str">
        <f>IF(propInventory[[#This Row],[myid]]="","",IF([3]DCBase!R204=0,[3]DCBase!D204&amp;"x"&amp;[3]DCBase!E204&amp;" "&amp;[3]DCBase!C204,[3]DCBase!D204&amp;"x"&amp;[3]DCBase!E204&amp;" "&amp;[3]DCBase!C204&amp;" "&amp;[3]DCBase!S204&amp;"mm"))</f>
        <v>12x10 AeroCAM 60mm</v>
      </c>
      <c r="D210" s="65">
        <f>IF(propInventory[[#This Row],[myid]]="","",[3]DCBase!D204)</f>
        <v>12</v>
      </c>
      <c r="E210" s="65">
        <f>IF(propInventory[[#This Row],[myid]]="","",[3]DCBase!E204)</f>
        <v>10</v>
      </c>
      <c r="F210" s="66">
        <f>IF(propInventory[[#This Row],[myid]]="","",[3]DCBase!F204)</f>
        <v>0</v>
      </c>
      <c r="G210" s="66">
        <f>IF(propInventory[[#This Row],[myid]]="","",[3]DCBase!G204)</f>
        <v>0</v>
      </c>
      <c r="H210" s="66">
        <f>IF(propInventory[[#This Row],[myid]]="","",352.98/([3]DCBase!I204+273.15)*(1-0.0000225577*[3]DCBase!H204)^5.25578)</f>
        <v>1.2922570016474466</v>
      </c>
      <c r="I210" s="56">
        <f>IF(propInventory[[#This Row],[myid]]="","",[3]DCBase!K204)</f>
        <v>1.2443390000000001</v>
      </c>
      <c r="J210" s="67">
        <f>IF(propInventory[[#This Row],[myid]]="","",[3]DCBase!L204)</f>
        <v>3</v>
      </c>
      <c r="K210" s="66">
        <f>IF(propInventory[[#This Row],[myid]]="","",352.98/([3]DCBase!N204+273.15)*(1-0.0000225577*[3]DCBase!M204)^5.25578)</f>
        <v>1.2249869859448206</v>
      </c>
      <c r="O210" s="69"/>
      <c r="P210" s="69"/>
      <c r="Q210" s="69"/>
      <c r="R210" s="69"/>
    </row>
    <row r="211" spans="1:18" ht="15">
      <c r="A211" s="84">
        <f>VLOOKUP(propInventory[[#This Row],[Prop Name]],[2]!propInventory3[[Prop Name]:[Instock?]],10,FALSE)</f>
        <v>0</v>
      </c>
      <c r="B211" s="84">
        <f>IF([3]DCBase!$A205="","",[3]DCBase!$A205)</f>
        <v>205</v>
      </c>
      <c r="C211" s="80" t="str">
        <f>IF(propInventory[[#This Row],[myid]]="","",IF([3]DCBase!R205=0,[3]DCBase!D205&amp;"x"&amp;[3]DCBase!E205&amp;" "&amp;[3]DCBase!C205,[3]DCBase!D205&amp;"x"&amp;[3]DCBase!E205&amp;" "&amp;[3]DCBase!C205&amp;" "&amp;[3]DCBase!S205&amp;"mm"))</f>
        <v>8x6 Graupner CAM 55mm</v>
      </c>
      <c r="D211" s="65">
        <f>IF(propInventory[[#This Row],[myid]]="","",[3]DCBase!D205)</f>
        <v>8</v>
      </c>
      <c r="E211" s="65">
        <f>IF(propInventory[[#This Row],[myid]]="","",[3]DCBase!E205)</f>
        <v>6</v>
      </c>
      <c r="F211" s="66">
        <f>IF(propInventory[[#This Row],[myid]]="","",[3]DCBase!F205)</f>
        <v>0</v>
      </c>
      <c r="G211" s="66">
        <f>IF(propInventory[[#This Row],[myid]]="","",[3]DCBase!G205)</f>
        <v>0</v>
      </c>
      <c r="H211" s="66">
        <f>IF(propInventory[[#This Row],[myid]]="","",352.98/([3]DCBase!I205+273.15)*(1-0.0000225577*[3]DCBase!H205)^5.25578)</f>
        <v>1.2174537280657201</v>
      </c>
      <c r="I211" s="56">
        <f>IF(propInventory[[#This Row],[myid]]="","",[3]DCBase!K205)</f>
        <v>0.18053667100000001</v>
      </c>
      <c r="J211" s="67">
        <f>IF(propInventory[[#This Row],[myid]]="","",[3]DCBase!L205)</f>
        <v>3</v>
      </c>
      <c r="K211" s="66">
        <f>IF(propInventory[[#This Row],[myid]]="","",352.98/([3]DCBase!N205+273.15)*(1-0.0000225577*[3]DCBase!M205)^5.25578)</f>
        <v>1.2249869859448206</v>
      </c>
      <c r="O211" s="69"/>
      <c r="P211" s="69"/>
      <c r="Q211" s="69"/>
      <c r="R211" s="69"/>
    </row>
    <row r="212" spans="1:18" ht="15">
      <c r="A212" s="84">
        <f>VLOOKUP(propInventory[[#This Row],[Prop Name]],[2]!propInventory3[[Prop Name]:[Instock?]],10,FALSE)</f>
        <v>0</v>
      </c>
      <c r="B212" s="84">
        <f>IF([3]DCBase!$A206="","",[3]DCBase!$A206)</f>
        <v>206</v>
      </c>
      <c r="C212" s="80" t="str">
        <f>IF(propInventory[[#This Row],[myid]]="","",IF([3]DCBase!R206=0,[3]DCBase!D206&amp;"x"&amp;[3]DCBase!E206&amp;" "&amp;[3]DCBase!C206,[3]DCBase!D206&amp;"x"&amp;[3]DCBase!E206&amp;" "&amp;[3]DCBase!C206&amp;" "&amp;[3]DCBase!S206&amp;"mm"))</f>
        <v>10x6 Graupner CAM 55mm</v>
      </c>
      <c r="D212" s="65">
        <f>IF(propInventory[[#This Row],[myid]]="","",[3]DCBase!D206)</f>
        <v>10</v>
      </c>
      <c r="E212" s="65">
        <f>IF(propInventory[[#This Row],[myid]]="","",[3]DCBase!E206)</f>
        <v>6</v>
      </c>
      <c r="F212" s="66">
        <f>IF(propInventory[[#This Row],[myid]]="","",[3]DCBase!F206)</f>
        <v>0</v>
      </c>
      <c r="G212" s="66">
        <f>IF(propInventory[[#This Row],[myid]]="","",[3]DCBase!G206)</f>
        <v>0</v>
      </c>
      <c r="H212" s="66">
        <f>IF(propInventory[[#This Row],[myid]]="","",352.98/([3]DCBase!I206+273.15)*(1-0.0000225577*[3]DCBase!H206)^5.25578)</f>
        <v>1.2174537280657201</v>
      </c>
      <c r="I212" s="56">
        <f>IF(propInventory[[#This Row],[myid]]="","",[3]DCBase!K206)</f>
        <v>0.295771381</v>
      </c>
      <c r="J212" s="67">
        <f>IF(propInventory[[#This Row],[myid]]="","",[3]DCBase!L206)</f>
        <v>3</v>
      </c>
      <c r="K212" s="66">
        <f>IF(propInventory[[#This Row],[myid]]="","",352.98/([3]DCBase!N206+273.15)*(1-0.0000225577*[3]DCBase!M206)^5.25578)</f>
        <v>1.2249869859448206</v>
      </c>
      <c r="O212" s="69"/>
      <c r="P212" s="69"/>
      <c r="Q212" s="69"/>
      <c r="R212" s="69"/>
    </row>
    <row r="213" spans="1:18" ht="15">
      <c r="A213" s="84">
        <f>VLOOKUP(propInventory[[#This Row],[Prop Name]],[2]!propInventory3[[Prop Name]:[Instock?]],10,FALSE)</f>
        <v>0</v>
      </c>
      <c r="B213" s="84">
        <f>IF([3]DCBase!$A207="","",[3]DCBase!$A207)</f>
        <v>207</v>
      </c>
      <c r="C213" s="80" t="str">
        <f>IF(propInventory[[#This Row],[myid]]="","",IF([3]DCBase!R207=0,[3]DCBase!D207&amp;"x"&amp;[3]DCBase!E207&amp;" "&amp;[3]DCBase!C207,[3]DCBase!D207&amp;"x"&amp;[3]DCBase!E207&amp;" "&amp;[3]DCBase!C207&amp;" "&amp;[3]DCBase!S207&amp;"mm"))</f>
        <v>7x6 AeroCarbon 55mm</v>
      </c>
      <c r="D213" s="65">
        <f>IF(propInventory[[#This Row],[myid]]="","",[3]DCBase!D207)</f>
        <v>7</v>
      </c>
      <c r="E213" s="65">
        <f>IF(propInventory[[#This Row],[myid]]="","",[3]DCBase!E207)</f>
        <v>6</v>
      </c>
      <c r="F213" s="66">
        <f>IF(propInventory[[#This Row],[myid]]="","",[3]DCBase!F207)</f>
        <v>0</v>
      </c>
      <c r="G213" s="66">
        <f>IF(propInventory[[#This Row],[myid]]="","",[3]DCBase!G207)</f>
        <v>0</v>
      </c>
      <c r="H213" s="66">
        <f>IF(propInventory[[#This Row],[myid]]="","",352.98/([3]DCBase!I207+273.15)*(1-0.0000225577*[3]DCBase!H207)^5.25578)</f>
        <v>1.220968625325449</v>
      </c>
      <c r="I213" s="56">
        <f>IF(propInventory[[#This Row],[myid]]="","",[3]DCBase!K207)</f>
        <v>7.2599999999999998E-2</v>
      </c>
      <c r="J213" s="67">
        <f>IF(propInventory[[#This Row],[myid]]="","",[3]DCBase!L207)</f>
        <v>3.0667371229999998</v>
      </c>
      <c r="K213" s="66">
        <f>IF(propInventory[[#This Row],[myid]]="","",352.98/([3]DCBase!N207+273.15)*(1-0.0000225577*[3]DCBase!M207)^5.25578)</f>
        <v>1.1814273550371019</v>
      </c>
      <c r="O213" s="69"/>
      <c r="P213" s="69"/>
      <c r="Q213" s="69"/>
      <c r="R213" s="69"/>
    </row>
    <row r="214" spans="1:18" ht="15">
      <c r="A214" s="84">
        <f>VLOOKUP(propInventory[[#This Row],[Prop Name]],[2]!propInventory3[[Prop Name]:[Instock?]],10,FALSE)</f>
        <v>0</v>
      </c>
      <c r="B214" s="84">
        <f>IF([3]DCBase!$A208="","",[3]DCBase!$A208)</f>
        <v>208</v>
      </c>
      <c r="C214" s="80" t="str">
        <f>IF(propInventory[[#This Row],[myid]]="","",IF([3]DCBase!R208=0,[3]DCBase!D208&amp;"x"&amp;[3]DCBase!E208&amp;" "&amp;[3]DCBase!C208,[3]DCBase!D208&amp;"x"&amp;[3]DCBase!E208&amp;" "&amp;[3]DCBase!C208&amp;" "&amp;[3]DCBase!S208&amp;"mm"))</f>
        <v>9x5 AeroCAM 55mm</v>
      </c>
      <c r="D214" s="65">
        <f>IF(propInventory[[#This Row],[myid]]="","",[3]DCBase!D208)</f>
        <v>9</v>
      </c>
      <c r="E214" s="65">
        <f>IF(propInventory[[#This Row],[myid]]="","",[3]DCBase!E208)</f>
        <v>5</v>
      </c>
      <c r="F214" s="66">
        <f>IF(propInventory[[#This Row],[myid]]="","",[3]DCBase!F208)</f>
        <v>0</v>
      </c>
      <c r="G214" s="66">
        <f>IF(propInventory[[#This Row],[myid]]="","",[3]DCBase!G208)</f>
        <v>0</v>
      </c>
      <c r="H214" s="66">
        <f>IF(propInventory[[#This Row],[myid]]="","",352.98/([3]DCBase!I208+273.15)*(1-0.0000225577*[3]DCBase!H208)^5.25578)</f>
        <v>1.1814273550371019</v>
      </c>
      <c r="I214" s="56">
        <f>IF(propInventory[[#This Row],[myid]]="","",[3]DCBase!K208)</f>
        <v>0.18588640000000001</v>
      </c>
      <c r="J214" s="67">
        <f>IF(propInventory[[#This Row],[myid]]="","",[3]DCBase!L208)</f>
        <v>3</v>
      </c>
      <c r="K214" s="66">
        <f>IF(propInventory[[#This Row],[myid]]="","",352.98/([3]DCBase!N208+273.15)*(1-0.0000225577*[3]DCBase!M208)^5.25578)</f>
        <v>1.1814273550371019</v>
      </c>
      <c r="O214" s="69"/>
      <c r="P214" s="69"/>
      <c r="Q214" s="69"/>
      <c r="R214" s="69"/>
    </row>
    <row r="215" spans="1:18" ht="15">
      <c r="A215" s="84">
        <f>VLOOKUP(propInventory[[#This Row],[Prop Name]],[2]!propInventory3[[Prop Name]:[Instock?]],10,FALSE)</f>
        <v>0</v>
      </c>
      <c r="B215" s="84">
        <f>IF([3]DCBase!$A209="","",[3]DCBase!$A209)</f>
        <v>209</v>
      </c>
      <c r="C215" s="80" t="str">
        <f>IF(propInventory[[#This Row],[myid]]="","",IF([3]DCBase!R209=0,[3]DCBase!D209&amp;"x"&amp;[3]DCBase!E209&amp;" "&amp;[3]DCBase!C209,[3]DCBase!D209&amp;"x"&amp;[3]DCBase!E209&amp;" "&amp;[3]DCBase!C209&amp;" "&amp;[3]DCBase!S209&amp;"mm"))</f>
        <v>13x8 AeroCAM 55mm</v>
      </c>
      <c r="D215" s="65">
        <f>IF(propInventory[[#This Row],[myid]]="","",[3]DCBase!D209)</f>
        <v>13</v>
      </c>
      <c r="E215" s="65">
        <f>IF(propInventory[[#This Row],[myid]]="","",[3]DCBase!E209)</f>
        <v>8</v>
      </c>
      <c r="F215" s="66">
        <f>IF(propInventory[[#This Row],[myid]]="","",[3]DCBase!F209)</f>
        <v>0</v>
      </c>
      <c r="G215" s="66">
        <f>IF(propInventory[[#This Row],[myid]]="","",[3]DCBase!G209)</f>
        <v>0</v>
      </c>
      <c r="H215" s="66">
        <f>IF(propInventory[[#This Row],[myid]]="","",352.98/([3]DCBase!I209+273.15)*(1-0.0000225577*[3]DCBase!H209)^5.25578)</f>
        <v>1.1814273550371019</v>
      </c>
      <c r="I215" s="56">
        <f>IF(propInventory[[#This Row],[myid]]="","",[3]DCBase!K209)</f>
        <v>0.75376476800000003</v>
      </c>
      <c r="J215" s="67">
        <f>IF(propInventory[[#This Row],[myid]]="","",[3]DCBase!L209)</f>
        <v>3.08</v>
      </c>
      <c r="K215" s="66">
        <f>IF(propInventory[[#This Row],[myid]]="","",352.98/([3]DCBase!N209+273.15)*(1-0.0000225577*[3]DCBase!M209)^5.25578)</f>
        <v>1.1814273550371019</v>
      </c>
      <c r="O215" s="69"/>
      <c r="P215" s="69"/>
      <c r="Q215" s="69"/>
      <c r="R215" s="69"/>
    </row>
    <row r="216" spans="1:18" ht="15">
      <c r="A216" s="84">
        <f>VLOOKUP(propInventory[[#This Row],[Prop Name]],[2]!propInventory3[[Prop Name]:[Instock?]],10,FALSE)</f>
        <v>0</v>
      </c>
      <c r="B216" s="84">
        <f>IF([3]DCBase!$A210="","",[3]DCBase!$A210)</f>
        <v>210</v>
      </c>
      <c r="C216" s="80" t="str">
        <f>IF(propInventory[[#This Row],[myid]]="","",IF([3]DCBase!R210=0,[3]DCBase!D210&amp;"x"&amp;[3]DCBase!E210&amp;" "&amp;[3]DCBase!C210,[3]DCBase!D210&amp;"x"&amp;[3]DCBase!E210&amp;" "&amp;[3]DCBase!C210&amp;" "&amp;[3]DCBase!S210&amp;"mm"))</f>
        <v>13x7 Graupner CAM 52mm</v>
      </c>
      <c r="D216" s="65">
        <f>IF(propInventory[[#This Row],[myid]]="","",[3]DCBase!D210)</f>
        <v>13</v>
      </c>
      <c r="E216" s="65">
        <f>IF(propInventory[[#This Row],[myid]]="","",[3]DCBase!E210)</f>
        <v>7</v>
      </c>
      <c r="F216" s="66">
        <f>IF(propInventory[[#This Row],[myid]]="","",[3]DCBase!F210)</f>
        <v>0</v>
      </c>
      <c r="G216" s="66">
        <f>IF(propInventory[[#This Row],[myid]]="","",[3]DCBase!G210)</f>
        <v>0</v>
      </c>
      <c r="H216" s="66">
        <f>IF(propInventory[[#This Row],[myid]]="","",352.98/([3]DCBase!I210+273.15)*(1-0.0000225577*[3]DCBase!H210)^5.25578)</f>
        <v>1.1814273550371019</v>
      </c>
      <c r="I216" s="56">
        <f>IF(propInventory[[#This Row],[myid]]="","",[3]DCBase!K210)</f>
        <v>0.67191162100000001</v>
      </c>
      <c r="J216" s="67">
        <f>IF(propInventory[[#This Row],[myid]]="","",[3]DCBase!L210)</f>
        <v>3.08</v>
      </c>
      <c r="K216" s="66">
        <f>IF(propInventory[[#This Row],[myid]]="","",352.98/([3]DCBase!N210+273.15)*(1-0.0000225577*[3]DCBase!M210)^5.25578)</f>
        <v>1.1814273550371019</v>
      </c>
      <c r="O216" s="69"/>
      <c r="P216" s="69"/>
      <c r="Q216" s="69"/>
      <c r="R216" s="69"/>
    </row>
    <row r="217" spans="1:18" ht="15">
      <c r="A217" s="84">
        <f>VLOOKUP(propInventory[[#This Row],[Prop Name]],[2]!propInventory3[[Prop Name]:[Instock?]],10,FALSE)</f>
        <v>0</v>
      </c>
      <c r="B217" s="84">
        <f>IF([3]DCBase!$A211="","",[3]DCBase!$A211)</f>
        <v>211</v>
      </c>
      <c r="C217" s="80" t="str">
        <f>IF(propInventory[[#This Row],[myid]]="","",IF([3]DCBase!R211=0,[3]DCBase!D211&amp;"x"&amp;[3]DCBase!E211&amp;" "&amp;[3]DCBase!C211,[3]DCBase!D211&amp;"x"&amp;[3]DCBase!E211&amp;" "&amp;[3]DCBase!C211&amp;" "&amp;[3]DCBase!S211&amp;"mm"))</f>
        <v>13x11 Graupner CAM 52mm</v>
      </c>
      <c r="D217" s="65">
        <f>IF(propInventory[[#This Row],[myid]]="","",[3]DCBase!D211)</f>
        <v>13</v>
      </c>
      <c r="E217" s="65">
        <f>IF(propInventory[[#This Row],[myid]]="","",[3]DCBase!E211)</f>
        <v>11</v>
      </c>
      <c r="F217" s="66">
        <f>IF(propInventory[[#This Row],[myid]]="","",[3]DCBase!F211)</f>
        <v>0</v>
      </c>
      <c r="G217" s="66">
        <f>IF(propInventory[[#This Row],[myid]]="","",[3]DCBase!G211)</f>
        <v>0</v>
      </c>
      <c r="H217" s="66">
        <f>IF(propInventory[[#This Row],[myid]]="","",352.98/([3]DCBase!I211+273.15)*(1-0.0000225577*[3]DCBase!H211)^5.25578)</f>
        <v>1.1814273550371019</v>
      </c>
      <c r="I217" s="56">
        <f>IF(propInventory[[#This Row],[myid]]="","",[3]DCBase!K211)</f>
        <v>1.2571159999999999</v>
      </c>
      <c r="J217" s="67">
        <f>IF(propInventory[[#This Row],[myid]]="","",[3]DCBase!L211)</f>
        <v>3</v>
      </c>
      <c r="K217" s="66">
        <f>IF(propInventory[[#This Row],[myid]]="","",352.98/([3]DCBase!N211+273.15)*(1-0.0000225577*[3]DCBase!M211)^5.25578)</f>
        <v>1.1814273550371019</v>
      </c>
      <c r="O217" s="69"/>
      <c r="P217" s="69"/>
      <c r="Q217" s="69"/>
      <c r="R217" s="69"/>
    </row>
    <row r="218" spans="1:18" ht="15">
      <c r="A218" s="84">
        <f>VLOOKUP(propInventory[[#This Row],[Prop Name]],[2]!propInventory3[[Prop Name]:[Instock?]],10,FALSE)</f>
        <v>0</v>
      </c>
      <c r="B218" s="84">
        <f>IF([3]DCBase!$A212="","",[3]DCBase!$A212)</f>
        <v>212</v>
      </c>
      <c r="C218" s="80" t="str">
        <f>IF(propInventory[[#This Row],[myid]]="","",IF([3]DCBase!R212=0,[3]DCBase!D212&amp;"x"&amp;[3]DCBase!E212&amp;" "&amp;[3]DCBase!C212,[3]DCBase!D212&amp;"x"&amp;[3]DCBase!E212&amp;" "&amp;[3]DCBase!C212&amp;" "&amp;[3]DCBase!S212&amp;"mm"))</f>
        <v>14x12 Graupner CAM 52mm</v>
      </c>
      <c r="D218" s="65">
        <f>IF(propInventory[[#This Row],[myid]]="","",[3]DCBase!D212)</f>
        <v>14</v>
      </c>
      <c r="E218" s="65">
        <f>IF(propInventory[[#This Row],[myid]]="","",[3]DCBase!E212)</f>
        <v>12</v>
      </c>
      <c r="F218" s="66">
        <f>IF(propInventory[[#This Row],[myid]]="","",[3]DCBase!F212)</f>
        <v>0</v>
      </c>
      <c r="G218" s="66">
        <f>IF(propInventory[[#This Row],[myid]]="","",[3]DCBase!G212)</f>
        <v>0</v>
      </c>
      <c r="H218" s="66">
        <f>IF(propInventory[[#This Row],[myid]]="","",352.98/([3]DCBase!I212+273.15)*(1-0.0000225577*[3]DCBase!H212)^5.25578)</f>
        <v>1.1814273550371019</v>
      </c>
      <c r="I218" s="56">
        <f>IF(propInventory[[#This Row],[myid]]="","",[3]DCBase!K212)</f>
        <v>2.6346639999999999</v>
      </c>
      <c r="J218" s="67">
        <f>IF(propInventory[[#This Row],[myid]]="","",[3]DCBase!L212)</f>
        <v>3</v>
      </c>
      <c r="K218" s="66">
        <f>IF(propInventory[[#This Row],[myid]]="","",352.98/([3]DCBase!N212+273.15)*(1-0.0000225577*[3]DCBase!M212)^5.25578)</f>
        <v>1.1814273550371019</v>
      </c>
      <c r="O218" s="69"/>
      <c r="P218" s="69"/>
      <c r="Q218" s="69"/>
      <c r="R218" s="69"/>
    </row>
    <row r="219" spans="1:18" ht="15">
      <c r="A219" s="84">
        <f>VLOOKUP(propInventory[[#This Row],[Prop Name]],[2]!propInventory3[[Prop Name]:[Instock?]],10,FALSE)</f>
        <v>0</v>
      </c>
      <c r="B219" s="84">
        <f>IF([3]DCBase!$A213="","",[3]DCBase!$A213)</f>
        <v>213</v>
      </c>
      <c r="C219" s="80" t="str">
        <f>IF(propInventory[[#This Row],[myid]]="","",IF([3]DCBase!R213=0,[3]DCBase!D213&amp;"x"&amp;[3]DCBase!E213&amp;" "&amp;[3]DCBase!C213,[3]DCBase!D213&amp;"x"&amp;[3]DCBase!E213&amp;" "&amp;[3]DCBase!C213&amp;" "&amp;[3]DCBase!S213&amp;"mm"))</f>
        <v>14x12 AeroCAM 47mm</v>
      </c>
      <c r="D219" s="65">
        <f>IF(propInventory[[#This Row],[myid]]="","",[3]DCBase!D213)</f>
        <v>14</v>
      </c>
      <c r="E219" s="65">
        <f>IF(propInventory[[#This Row],[myid]]="","",[3]DCBase!E213)</f>
        <v>12</v>
      </c>
      <c r="F219" s="66">
        <f>IF(propInventory[[#This Row],[myid]]="","",[3]DCBase!F213)</f>
        <v>0</v>
      </c>
      <c r="G219" s="66">
        <f>IF(propInventory[[#This Row],[myid]]="","",[3]DCBase!G213)</f>
        <v>0</v>
      </c>
      <c r="H219" s="66">
        <f>IF(propInventory[[#This Row],[myid]]="","",352.98/([3]DCBase!I213+273.15)*(1-0.0000225577*[3]DCBase!H213)^5.25578)</f>
        <v>1.1814273550371019</v>
      </c>
      <c r="I219" s="56">
        <f>IF(propInventory[[#This Row],[myid]]="","",[3]DCBase!K213)</f>
        <v>2.3319619999999999</v>
      </c>
      <c r="J219" s="67">
        <f>IF(propInventory[[#This Row],[myid]]="","",[3]DCBase!L213)</f>
        <v>3</v>
      </c>
      <c r="K219" s="66">
        <f>IF(propInventory[[#This Row],[myid]]="","",352.98/([3]DCBase!N213+273.15)*(1-0.0000225577*[3]DCBase!M213)^5.25578)</f>
        <v>1.1814273550371019</v>
      </c>
      <c r="O219" s="69"/>
      <c r="P219" s="69"/>
      <c r="Q219" s="69"/>
      <c r="R219" s="69"/>
    </row>
    <row r="220" spans="1:18" ht="15">
      <c r="A220" s="84">
        <f>VLOOKUP(propInventory[[#This Row],[Prop Name]],[2]!propInventory3[[Prop Name]:[Instock?]],10,FALSE)</f>
        <v>0</v>
      </c>
      <c r="B220" s="84">
        <f>IF([3]DCBase!$A214="","",[3]DCBase!$A214)</f>
        <v>214</v>
      </c>
      <c r="C220" s="80" t="str">
        <f>IF(propInventory[[#This Row],[myid]]="","",IF([3]DCBase!R214=0,[3]DCBase!D214&amp;"x"&amp;[3]DCBase!E214&amp;" "&amp;[3]DCBase!C214,[3]DCBase!D214&amp;"x"&amp;[3]DCBase!E214&amp;" "&amp;[3]DCBase!C214&amp;" "&amp;[3]DCBase!S214&amp;"mm"))</f>
        <v>16x16 CFK Folder 47mm</v>
      </c>
      <c r="D220" s="65">
        <f>IF(propInventory[[#This Row],[myid]]="","",[3]DCBase!D214)</f>
        <v>16</v>
      </c>
      <c r="E220" s="65">
        <f>IF(propInventory[[#This Row],[myid]]="","",[3]DCBase!E214)</f>
        <v>16</v>
      </c>
      <c r="F220" s="66">
        <f>IF(propInventory[[#This Row],[myid]]="","",[3]DCBase!F214)</f>
        <v>0</v>
      </c>
      <c r="G220" s="66">
        <f>IF(propInventory[[#This Row],[myid]]="","",[3]DCBase!G214)</f>
        <v>0</v>
      </c>
      <c r="H220" s="66">
        <f>IF(propInventory[[#This Row],[myid]]="","",352.98/([3]DCBase!I214+273.15)*(1-0.0000225577*[3]DCBase!H214)^5.25578)</f>
        <v>1.1814273550371019</v>
      </c>
      <c r="I220" s="56">
        <f>IF(propInventory[[#This Row],[myid]]="","",[3]DCBase!K214)</f>
        <v>4.7058470000000003</v>
      </c>
      <c r="J220" s="67">
        <f>IF(propInventory[[#This Row],[myid]]="","",[3]DCBase!L214)</f>
        <v>3</v>
      </c>
      <c r="K220" s="66">
        <f>IF(propInventory[[#This Row],[myid]]="","",352.98/([3]DCBase!N214+273.15)*(1-0.0000225577*[3]DCBase!M214)^5.25578)</f>
        <v>1.1814273550371019</v>
      </c>
      <c r="O220" s="69"/>
      <c r="P220" s="69"/>
      <c r="Q220" s="69"/>
      <c r="R220" s="69"/>
    </row>
    <row r="221" spans="1:18" ht="15">
      <c r="A221" s="84">
        <f>VLOOKUP(propInventory[[#This Row],[Prop Name]],[2]!propInventory3[[Prop Name]:[Instock?]],10,FALSE)</f>
        <v>0</v>
      </c>
      <c r="B221" s="84">
        <f>IF([3]DCBase!$A215="","",[3]DCBase!$A215)</f>
        <v>215</v>
      </c>
      <c r="C221" s="80" t="str">
        <f>IF(propInventory[[#This Row],[myid]]="","",IF([3]DCBase!R215=0,[3]DCBase!D215&amp;"x"&amp;[3]DCBase!E215&amp;" "&amp;[3]DCBase!C215,[3]DCBase!D215&amp;"x"&amp;[3]DCBase!E215&amp;" "&amp;[3]DCBase!C215&amp;" "&amp;[3]DCBase!S215&amp;"mm"))</f>
        <v>6x6 CFK Folder</v>
      </c>
      <c r="D221" s="65">
        <f>IF(propInventory[[#This Row],[myid]]="","",[3]DCBase!D215)</f>
        <v>6</v>
      </c>
      <c r="E221" s="65">
        <f>IF(propInventory[[#This Row],[myid]]="","",[3]DCBase!E215)</f>
        <v>6</v>
      </c>
      <c r="F221" s="66">
        <f>IF(propInventory[[#This Row],[myid]]="","",[3]DCBase!F215)</f>
        <v>0</v>
      </c>
      <c r="G221" s="66">
        <f>IF(propInventory[[#This Row],[myid]]="","",[3]DCBase!G215)</f>
        <v>0</v>
      </c>
      <c r="H221" s="66">
        <f>IF(propInventory[[#This Row],[myid]]="","",352.98/([3]DCBase!I215+273.15)*(1-0.0000225577*[3]DCBase!H215)^5.25578)</f>
        <v>1.1814273550371019</v>
      </c>
      <c r="I221" s="56">
        <f>IF(propInventory[[#This Row],[myid]]="","",[3]DCBase!K215)</f>
        <v>0.1953125</v>
      </c>
      <c r="J221" s="67">
        <f>IF(propInventory[[#This Row],[myid]]="","",[3]DCBase!L215)</f>
        <v>3</v>
      </c>
      <c r="K221" s="66">
        <f>IF(propInventory[[#This Row],[myid]]="","",352.98/([3]DCBase!N215+273.15)*(1-0.0000225577*[3]DCBase!M215)^5.25578)</f>
        <v>1.1814273550371019</v>
      </c>
      <c r="O221" s="69"/>
      <c r="P221" s="69"/>
      <c r="Q221" s="69"/>
      <c r="R221" s="69"/>
    </row>
    <row r="222" spans="1:18" ht="15">
      <c r="A222" s="84">
        <f>VLOOKUP(propInventory[[#This Row],[Prop Name]],[2]!propInventory3[[Prop Name]:[Instock?]],10,FALSE)</f>
        <v>0</v>
      </c>
      <c r="B222" s="84">
        <f>IF([3]DCBase!$A216="","",[3]DCBase!$A216)</f>
        <v>216</v>
      </c>
      <c r="C222" s="80" t="str">
        <f>IF(propInventory[[#This Row],[myid]]="","",IF([3]DCBase!R216=0,[3]DCBase!D216&amp;"x"&amp;[3]DCBase!E216&amp;" "&amp;[3]DCBase!C216,[3]DCBase!D216&amp;"x"&amp;[3]DCBase!E216&amp;" "&amp;[3]DCBase!C216&amp;" "&amp;[3]DCBase!S216&amp;"mm"))</f>
        <v>12x10 Graupner CAM 45mm</v>
      </c>
      <c r="D222" s="65">
        <f>IF(propInventory[[#This Row],[myid]]="","",[3]DCBase!D216)</f>
        <v>12</v>
      </c>
      <c r="E222" s="65">
        <f>IF(propInventory[[#This Row],[myid]]="","",[3]DCBase!E216)</f>
        <v>10</v>
      </c>
      <c r="F222" s="66">
        <f>IF(propInventory[[#This Row],[myid]]="","",[3]DCBase!F216)</f>
        <v>0</v>
      </c>
      <c r="G222" s="66">
        <f>IF(propInventory[[#This Row],[myid]]="","",[3]DCBase!G216)</f>
        <v>0</v>
      </c>
      <c r="H222" s="66">
        <f>IF(propInventory[[#This Row],[myid]]="","",352.98/([3]DCBase!I216+273.15)*(1-0.0000225577*[3]DCBase!H216)^5.25578)</f>
        <v>1.2249869859448206</v>
      </c>
      <c r="I222" s="56">
        <f>IF(propInventory[[#This Row],[myid]]="","",[3]DCBase!K216)</f>
        <v>1.0370490000000001</v>
      </c>
      <c r="J222" s="67">
        <f>IF(propInventory[[#This Row],[myid]]="","",[3]DCBase!L216)</f>
        <v>3</v>
      </c>
      <c r="K222" s="66">
        <f>IF(propInventory[[#This Row],[myid]]="","",352.98/([3]DCBase!N216+273.15)*(1-0.0000225577*[3]DCBase!M216)^5.25578)</f>
        <v>1.1814273550371019</v>
      </c>
      <c r="O222" s="69"/>
      <c r="P222" s="69"/>
      <c r="Q222" s="69"/>
      <c r="R222" s="69"/>
    </row>
    <row r="223" spans="1:18" ht="15">
      <c r="A223" s="84">
        <f>VLOOKUP(propInventory[[#This Row],[Prop Name]],[2]!propInventory3[[Prop Name]:[Instock?]],10,FALSE)</f>
        <v>0</v>
      </c>
      <c r="B223" s="84">
        <f>IF([3]DCBase!$A217="","",[3]DCBase!$A217)</f>
        <v>217</v>
      </c>
      <c r="C223" s="80" t="str">
        <f>IF(propInventory[[#This Row],[myid]]="","",IF([3]DCBase!R217=0,[3]DCBase!D217&amp;"x"&amp;[3]DCBase!E217&amp;" "&amp;[3]DCBase!C217,[3]DCBase!D217&amp;"x"&amp;[3]DCBase!E217&amp;" "&amp;[3]DCBase!C217&amp;" "&amp;[3]DCBase!S217&amp;"mm"))</f>
        <v>11x8 Graupner CAM 45mm</v>
      </c>
      <c r="D223" s="65">
        <f>IF(propInventory[[#This Row],[myid]]="","",[3]DCBase!D217)</f>
        <v>11</v>
      </c>
      <c r="E223" s="65">
        <f>IF(propInventory[[#This Row],[myid]]="","",[3]DCBase!E217)</f>
        <v>8</v>
      </c>
      <c r="F223" s="66">
        <f>IF(propInventory[[#This Row],[myid]]="","",[3]DCBase!F217)</f>
        <v>0</v>
      </c>
      <c r="G223" s="66">
        <f>IF(propInventory[[#This Row],[myid]]="","",[3]DCBase!G217)</f>
        <v>0</v>
      </c>
      <c r="H223" s="66">
        <f>IF(propInventory[[#This Row],[myid]]="","",352.98/([3]DCBase!I217+273.15)*(1-0.0000225577*[3]DCBase!H217)^5.25578)</f>
        <v>1.2249869859448206</v>
      </c>
      <c r="I223" s="56">
        <f>IF(propInventory[[#This Row],[myid]]="","",[3]DCBase!K217)</f>
        <v>0.3870885</v>
      </c>
      <c r="J223" s="67">
        <f>IF(propInventory[[#This Row],[myid]]="","",[3]DCBase!L217)</f>
        <v>3</v>
      </c>
      <c r="K223" s="66">
        <f>IF(propInventory[[#This Row],[myid]]="","",352.98/([3]DCBase!N217+273.15)*(1-0.0000225577*[3]DCBase!M217)^5.25578)</f>
        <v>1.1814273550371019</v>
      </c>
      <c r="O223" s="69"/>
      <c r="P223" s="69"/>
      <c r="Q223" s="69"/>
      <c r="R223" s="69"/>
    </row>
    <row r="224" spans="1:18" ht="15">
      <c r="A224" s="84">
        <f>VLOOKUP(propInventory[[#This Row],[Prop Name]],[2]!propInventory3[[Prop Name]:[Instock?]],10,FALSE)</f>
        <v>0</v>
      </c>
      <c r="B224" s="84">
        <f>IF([3]DCBase!$A218="","",[3]DCBase!$A218)</f>
        <v>218</v>
      </c>
      <c r="C224" s="80" t="str">
        <f>IF(propInventory[[#This Row],[myid]]="","",IF([3]DCBase!R218=0,[3]DCBase!D218&amp;"x"&amp;[3]DCBase!E218&amp;" "&amp;[3]DCBase!C218,[3]DCBase!D218&amp;"x"&amp;[3]DCBase!E218&amp;" "&amp;[3]DCBase!C218&amp;" "&amp;[3]DCBase!S218&amp;"mm"))</f>
        <v>10x8 Graupner CAM 45mm</v>
      </c>
      <c r="D224" s="65">
        <f>IF(propInventory[[#This Row],[myid]]="","",[3]DCBase!D218)</f>
        <v>10</v>
      </c>
      <c r="E224" s="65">
        <f>IF(propInventory[[#This Row],[myid]]="","",[3]DCBase!E218)</f>
        <v>8</v>
      </c>
      <c r="F224" s="66">
        <f>IF(propInventory[[#This Row],[myid]]="","",[3]DCBase!F218)</f>
        <v>0</v>
      </c>
      <c r="G224" s="66">
        <f>IF(propInventory[[#This Row],[myid]]="","",[3]DCBase!G218)</f>
        <v>0</v>
      </c>
      <c r="H224" s="66">
        <f>IF(propInventory[[#This Row],[myid]]="","",352.98/([3]DCBase!I218+273.15)*(1-0.0000225577*[3]DCBase!H218)^5.25578)</f>
        <v>1.2249869859448206</v>
      </c>
      <c r="I224" s="56">
        <f>IF(propInventory[[#This Row],[myid]]="","",[3]DCBase!K218)</f>
        <v>0.51491830000000005</v>
      </c>
      <c r="J224" s="67">
        <f>IF(propInventory[[#This Row],[myid]]="","",[3]DCBase!L218)</f>
        <v>3</v>
      </c>
      <c r="K224" s="66">
        <f>IF(propInventory[[#This Row],[myid]]="","",352.98/([3]DCBase!N218+273.15)*(1-0.0000225577*[3]DCBase!M218)^5.25578)</f>
        <v>1.2249869859448206</v>
      </c>
      <c r="O224" s="69"/>
      <c r="P224" s="69"/>
      <c r="Q224" s="69"/>
      <c r="R224" s="69"/>
    </row>
    <row r="225" spans="1:18" ht="15">
      <c r="A225" s="84">
        <f>VLOOKUP(propInventory[[#This Row],[Prop Name]],[2]!propInventory3[[Prop Name]:[Instock?]],10,FALSE)</f>
        <v>0</v>
      </c>
      <c r="B225" s="84">
        <f>IF([3]DCBase!$A219="","",[3]DCBase!$A219)</f>
        <v>219</v>
      </c>
      <c r="C225" s="80" t="str">
        <f>IF(propInventory[[#This Row],[myid]]="","",IF([3]DCBase!R219=0,[3]DCBase!D219&amp;"x"&amp;[3]DCBase!E219&amp;" "&amp;[3]DCBase!C219,[3]DCBase!D219&amp;"x"&amp;[3]DCBase!E219&amp;" "&amp;[3]DCBase!C219&amp;" "&amp;[3]DCBase!S219&amp;"mm"))</f>
        <v>8x4.5 Graupner CAM 45mm</v>
      </c>
      <c r="D225" s="65">
        <f>IF(propInventory[[#This Row],[myid]]="","",[3]DCBase!D219)</f>
        <v>8</v>
      </c>
      <c r="E225" s="65">
        <f>IF(propInventory[[#This Row],[myid]]="","",[3]DCBase!E219)</f>
        <v>4.5</v>
      </c>
      <c r="F225" s="66">
        <f>IF(propInventory[[#This Row],[myid]]="","",[3]DCBase!F219)</f>
        <v>0</v>
      </c>
      <c r="G225" s="66">
        <f>IF(propInventory[[#This Row],[myid]]="","",[3]DCBase!G219)</f>
        <v>0</v>
      </c>
      <c r="H225" s="66">
        <f>IF(propInventory[[#This Row],[myid]]="","",352.98/([3]DCBase!I219+273.15)*(1-0.0000225577*[3]DCBase!H219)^5.25578)</f>
        <v>1.2249869859448206</v>
      </c>
      <c r="I225" s="56">
        <f>IF(propInventory[[#This Row],[myid]]="","",[3]DCBase!K219)</f>
        <v>7.7328099999999997E-2</v>
      </c>
      <c r="J225" s="67">
        <f>IF(propInventory[[#This Row],[myid]]="","",[3]DCBase!L219)</f>
        <v>3</v>
      </c>
      <c r="K225" s="66">
        <f>IF(propInventory[[#This Row],[myid]]="","",352.98/([3]DCBase!N219+273.15)*(1-0.0000225577*[3]DCBase!M219)^5.25578)</f>
        <v>1.2249869859448206</v>
      </c>
      <c r="O225" s="69"/>
      <c r="P225" s="69"/>
      <c r="Q225" s="69"/>
      <c r="R225" s="69"/>
    </row>
    <row r="226" spans="1:18" ht="15">
      <c r="A226" s="84">
        <f>VLOOKUP(propInventory[[#This Row],[Prop Name]],[2]!propInventory3[[Prop Name]:[Instock?]],10,FALSE)</f>
        <v>0</v>
      </c>
      <c r="B226" s="84">
        <f>IF([3]DCBase!$A220="","",[3]DCBase!$A220)</f>
        <v>220</v>
      </c>
      <c r="C226" s="80" t="str">
        <f>IF(propInventory[[#This Row],[myid]]="","",IF([3]DCBase!R220=0,[3]DCBase!D220&amp;"x"&amp;[3]DCBase!E220&amp;" "&amp;[3]DCBase!C220,[3]DCBase!D220&amp;"x"&amp;[3]DCBase!E220&amp;" "&amp;[3]DCBase!C220&amp;" "&amp;[3]DCBase!S220&amp;"mm"))</f>
        <v>10x6 AeroCAM 45mm</v>
      </c>
      <c r="D226" s="65">
        <f>IF(propInventory[[#This Row],[myid]]="","",[3]DCBase!D220)</f>
        <v>10</v>
      </c>
      <c r="E226" s="65">
        <f>IF(propInventory[[#This Row],[myid]]="","",[3]DCBase!E220)</f>
        <v>6</v>
      </c>
      <c r="F226" s="66">
        <f>IF(propInventory[[#This Row],[myid]]="","",[3]DCBase!F220)</f>
        <v>0</v>
      </c>
      <c r="G226" s="66">
        <f>IF(propInventory[[#This Row],[myid]]="","",[3]DCBase!G220)</f>
        <v>0</v>
      </c>
      <c r="H226" s="66">
        <f>IF(propInventory[[#This Row],[myid]]="","",352.98/([3]DCBase!I220+273.15)*(1-0.0000225577*[3]DCBase!H220)^5.25578)</f>
        <v>1.2249869859448206</v>
      </c>
      <c r="I226" s="56">
        <f>IF(propInventory[[#This Row],[myid]]="","",[3]DCBase!K220)</f>
        <v>0.2172598</v>
      </c>
      <c r="J226" s="67">
        <f>IF(propInventory[[#This Row],[myid]]="","",[3]DCBase!L220)</f>
        <v>3</v>
      </c>
      <c r="K226" s="66">
        <f>IF(propInventory[[#This Row],[myid]]="","",352.98/([3]DCBase!N220+273.15)*(1-0.0000225577*[3]DCBase!M220)^5.25578)</f>
        <v>1.2249869859448206</v>
      </c>
      <c r="O226" s="69"/>
      <c r="P226" s="69"/>
      <c r="Q226" s="69"/>
      <c r="R226" s="69"/>
    </row>
    <row r="227" spans="1:18" ht="15">
      <c r="A227" s="84">
        <f>VLOOKUP(propInventory[[#This Row],[Prop Name]],[2]!propInventory3[[Prop Name]:[Instock?]],10,FALSE)</f>
        <v>0</v>
      </c>
      <c r="B227" s="84">
        <f>IF([3]DCBase!$A221="","",[3]DCBase!$A221)</f>
        <v>221</v>
      </c>
      <c r="C227" s="80" t="str">
        <f>IF(propInventory[[#This Row],[myid]]="","",IF([3]DCBase!R221=0,[3]DCBase!D221&amp;"x"&amp;[3]DCBase!E221&amp;" "&amp;[3]DCBase!C221,[3]DCBase!D221&amp;"x"&amp;[3]DCBase!E221&amp;" "&amp;[3]DCBase!C221&amp;" "&amp;[3]DCBase!S221&amp;"mm"))</f>
        <v>9.5x5 Aeronaut glass</v>
      </c>
      <c r="D227" s="65">
        <f>IF(propInventory[[#This Row],[myid]]="","",[3]DCBase!D221)</f>
        <v>9.5</v>
      </c>
      <c r="E227" s="65">
        <f>IF(propInventory[[#This Row],[myid]]="","",[3]DCBase!E221)</f>
        <v>5</v>
      </c>
      <c r="F227" s="66">
        <f>IF(propInventory[[#This Row],[myid]]="","",[3]DCBase!F221)</f>
        <v>0</v>
      </c>
      <c r="G227" s="66">
        <f>IF(propInventory[[#This Row],[myid]]="","",[3]DCBase!G221)</f>
        <v>0</v>
      </c>
      <c r="H227" s="66">
        <f>IF(propInventory[[#This Row],[myid]]="","",352.98/([3]DCBase!I221+273.15)*(1-0.0000225577*[3]DCBase!H221)^5.25578)</f>
        <v>1.2249869859448206</v>
      </c>
      <c r="I227" s="56">
        <f>IF(propInventory[[#This Row],[myid]]="","",[3]DCBase!K221)</f>
        <v>0.16994899999999999</v>
      </c>
      <c r="J227" s="67">
        <f>IF(propInventory[[#This Row],[myid]]="","",[3]DCBase!L221)</f>
        <v>3</v>
      </c>
      <c r="K227" s="66">
        <f>IF(propInventory[[#This Row],[myid]]="","",352.98/([3]DCBase!N221+273.15)*(1-0.0000225577*[3]DCBase!M221)^5.25578)</f>
        <v>1.1814273550371019</v>
      </c>
      <c r="O227" s="69"/>
      <c r="P227" s="69"/>
      <c r="Q227" s="69"/>
      <c r="R227" s="69"/>
    </row>
    <row r="228" spans="1:18" ht="15">
      <c r="A228" s="84">
        <f>VLOOKUP(propInventory[[#This Row],[Prop Name]],[2]!propInventory3[[Prop Name]:[Instock?]],10,FALSE)</f>
        <v>0</v>
      </c>
      <c r="B228" s="84">
        <f>IF([3]DCBase!$A222="","",[3]DCBase!$A222)</f>
        <v>222</v>
      </c>
      <c r="C228" s="80" t="str">
        <f>IF(propInventory[[#This Row],[myid]]="","",IF([3]DCBase!R222=0,[3]DCBase!D222&amp;"x"&amp;[3]DCBase!E222&amp;" "&amp;[3]DCBase!C222,[3]DCBase!D222&amp;"x"&amp;[3]DCBase!E222&amp;" "&amp;[3]DCBase!C222&amp;" "&amp;[3]DCBase!S222&amp;"mm"))</f>
        <v>10x6 Graupner CAM 50mm</v>
      </c>
      <c r="D228" s="65">
        <f>IF(propInventory[[#This Row],[myid]]="","",[3]DCBase!D222)</f>
        <v>10</v>
      </c>
      <c r="E228" s="65">
        <f>IF(propInventory[[#This Row],[myid]]="","",[3]DCBase!E222)</f>
        <v>6</v>
      </c>
      <c r="F228" s="66">
        <f>IF(propInventory[[#This Row],[myid]]="","",[3]DCBase!F222)</f>
        <v>0</v>
      </c>
      <c r="G228" s="66">
        <f>IF(propInventory[[#This Row],[myid]]="","",[3]DCBase!G222)</f>
        <v>0</v>
      </c>
      <c r="H228" s="66">
        <f>IF(propInventory[[#This Row],[myid]]="","",352.98/([3]DCBase!I222+273.15)*(1-0.0000225577*[3]DCBase!H222)^5.25578)</f>
        <v>1.2174537280657201</v>
      </c>
      <c r="I228" s="56">
        <f>IF(propInventory[[#This Row],[myid]]="","",[3]DCBase!K222)</f>
        <v>0.27272067700000002</v>
      </c>
      <c r="J228" s="67">
        <f>IF(propInventory[[#This Row],[myid]]="","",[3]DCBase!L222)</f>
        <v>3</v>
      </c>
      <c r="K228" s="66">
        <f>IF(propInventory[[#This Row],[myid]]="","",352.98/([3]DCBase!N222+273.15)*(1-0.0000225577*[3]DCBase!M222)^5.25578)</f>
        <v>1.2249869859448206</v>
      </c>
      <c r="O228" s="69"/>
      <c r="P228" s="69"/>
      <c r="Q228" s="69"/>
      <c r="R228" s="69"/>
    </row>
    <row r="229" spans="1:18" ht="15">
      <c r="A229" s="84">
        <f>VLOOKUP(propInventory[[#This Row],[Prop Name]],[2]!propInventory3[[Prop Name]:[Instock?]],10,FALSE)</f>
        <v>0</v>
      </c>
      <c r="B229" s="84">
        <f>IF([3]DCBase!$A223="","",[3]DCBase!$A223)</f>
        <v>223</v>
      </c>
      <c r="C229" s="80" t="str">
        <f>IF(propInventory[[#This Row],[myid]]="","",IF([3]DCBase!R223=0,[3]DCBase!D223&amp;"x"&amp;[3]DCBase!E223&amp;" "&amp;[3]DCBase!C223,[3]DCBase!D223&amp;"x"&amp;[3]DCBase!E223&amp;" "&amp;[3]DCBase!C223&amp;" "&amp;[3]DCBase!S223&amp;"mm"))</f>
        <v>10.5x6 AeroCarbon 45mm</v>
      </c>
      <c r="D229" s="65">
        <f>IF(propInventory[[#This Row],[myid]]="","",[3]DCBase!D223)</f>
        <v>10.5</v>
      </c>
      <c r="E229" s="65">
        <f>IF(propInventory[[#This Row],[myid]]="","",[3]DCBase!E223)</f>
        <v>6</v>
      </c>
      <c r="F229" s="66">
        <f>IF(propInventory[[#This Row],[myid]]="","",[3]DCBase!F223)</f>
        <v>13.9579</v>
      </c>
      <c r="G229" s="66">
        <f>IF(propInventory[[#This Row],[myid]]="","",[3]DCBase!G223)</f>
        <v>2</v>
      </c>
      <c r="H229" s="66">
        <f>IF(propInventory[[#This Row],[myid]]="","",352.98/([3]DCBase!I223+273.15)*(1-0.0000225577*[3]DCBase!H223)^5.25578)</f>
        <v>1.1874514592074905</v>
      </c>
      <c r="I229" s="56">
        <f>IF(propInventory[[#This Row],[myid]]="","",[3]DCBase!K223)</f>
        <v>0.35585749999999999</v>
      </c>
      <c r="J229" s="67">
        <f>IF(propInventory[[#This Row],[myid]]="","",[3]DCBase!L223)</f>
        <v>3</v>
      </c>
      <c r="K229" s="66">
        <f>IF(propInventory[[#This Row],[myid]]="","",352.98/([3]DCBase!N223+273.15)*(1-0.0000225577*[3]DCBase!M223)^5.25578)</f>
        <v>1.2249869859448206</v>
      </c>
      <c r="O229" s="69"/>
      <c r="P229" s="69"/>
      <c r="Q229" s="69"/>
      <c r="R229" s="69"/>
    </row>
    <row r="230" spans="1:18" ht="15">
      <c r="A230" s="84">
        <f>VLOOKUP(propInventory[[#This Row],[Prop Name]],[2]!propInventory3[[Prop Name]:[Instock?]],10,FALSE)</f>
        <v>0</v>
      </c>
      <c r="B230" s="84">
        <f>IF([3]DCBase!$A224="","",[3]DCBase!$A224)</f>
        <v>224</v>
      </c>
      <c r="C230" s="80" t="str">
        <f>IF(propInventory[[#This Row],[myid]]="","",IF([3]DCBase!R224=0,[3]DCBase!D224&amp;"x"&amp;[3]DCBase!E224&amp;" "&amp;[3]DCBase!C224,[3]DCBase!D224&amp;"x"&amp;[3]DCBase!E224&amp;" "&amp;[3]DCBase!C224&amp;" "&amp;[3]DCBase!S224&amp;"mm"))</f>
        <v>12x10 AeroCAM 45mm</v>
      </c>
      <c r="D230" s="65">
        <f>IF(propInventory[[#This Row],[myid]]="","",[3]DCBase!D224)</f>
        <v>12</v>
      </c>
      <c r="E230" s="65">
        <f>IF(propInventory[[#This Row],[myid]]="","",[3]DCBase!E224)</f>
        <v>10</v>
      </c>
      <c r="F230" s="66">
        <f>IF(propInventory[[#This Row],[myid]]="","",[3]DCBase!F224)</f>
        <v>0</v>
      </c>
      <c r="G230" s="66">
        <f>IF(propInventory[[#This Row],[myid]]="","",[3]DCBase!G224)</f>
        <v>0</v>
      </c>
      <c r="H230" s="66">
        <f>IF(propInventory[[#This Row],[myid]]="","",352.98/([3]DCBase!I224+273.15)*(1-0.0000225577*[3]DCBase!H224)^5.25578)</f>
        <v>1.2922570016474466</v>
      </c>
      <c r="I230" s="56">
        <f>IF(propInventory[[#This Row],[myid]]="","",[3]DCBase!K224)</f>
        <v>0.88295170000000001</v>
      </c>
      <c r="J230" s="67">
        <f>IF(propInventory[[#This Row],[myid]]="","",[3]DCBase!L224)</f>
        <v>3</v>
      </c>
      <c r="K230" s="66">
        <f>IF(propInventory[[#This Row],[myid]]="","",352.98/([3]DCBase!N224+273.15)*(1-0.0000225577*[3]DCBase!M224)^5.25578)</f>
        <v>1.2249869859448206</v>
      </c>
      <c r="O230" s="69"/>
      <c r="P230" s="69"/>
      <c r="Q230" s="69"/>
      <c r="R230" s="69"/>
    </row>
    <row r="231" spans="1:18" ht="15">
      <c r="A231" s="84">
        <f>VLOOKUP(propInventory[[#This Row],[Prop Name]],[2]!propInventory3[[Prop Name]:[Instock?]],10,FALSE)</f>
        <v>0</v>
      </c>
      <c r="B231" s="84">
        <f>IF([3]DCBase!$A225="","",[3]DCBase!$A225)</f>
        <v>225</v>
      </c>
      <c r="C231" s="80" t="str">
        <f>IF(propInventory[[#This Row],[myid]]="","",IF([3]DCBase!R225=0,[3]DCBase!D225&amp;"x"&amp;[3]DCBase!E225&amp;" "&amp;[3]DCBase!C225,[3]DCBase!D225&amp;"x"&amp;[3]DCBase!E225&amp;" "&amp;[3]DCBase!C225&amp;" "&amp;[3]DCBase!S225&amp;"mm"))</f>
        <v>12x6 Rasa 45mm</v>
      </c>
      <c r="D231" s="65">
        <f>IF(propInventory[[#This Row],[myid]]="","",[3]DCBase!D225)</f>
        <v>12</v>
      </c>
      <c r="E231" s="65">
        <f>IF(propInventory[[#This Row],[myid]]="","",[3]DCBase!E225)</f>
        <v>6</v>
      </c>
      <c r="F231" s="66">
        <f>IF(propInventory[[#This Row],[myid]]="","",[3]DCBase!F225)</f>
        <v>0</v>
      </c>
      <c r="G231" s="66">
        <f>IF(propInventory[[#This Row],[myid]]="","",[3]DCBase!G225)</f>
        <v>0</v>
      </c>
      <c r="H231" s="66">
        <f>IF(propInventory[[#This Row],[myid]]="","",352.98/([3]DCBase!I225+273.15)*(1-0.0000225577*[3]DCBase!H225)^5.25578)</f>
        <v>1.2249869859448206</v>
      </c>
      <c r="I231" s="56">
        <f>IF(propInventory[[#This Row],[myid]]="","",[3]DCBase!K225)</f>
        <v>0.38149739999999999</v>
      </c>
      <c r="J231" s="67">
        <f>IF(propInventory[[#This Row],[myid]]="","",[3]DCBase!L225)</f>
        <v>3</v>
      </c>
      <c r="K231" s="66">
        <f>IF(propInventory[[#This Row],[myid]]="","",352.98/([3]DCBase!N225+273.15)*(1-0.0000225577*[3]DCBase!M225)^5.25578)</f>
        <v>1.2249869859448206</v>
      </c>
      <c r="O231" s="69"/>
      <c r="P231" s="69"/>
      <c r="Q231" s="69"/>
      <c r="R231" s="69"/>
    </row>
    <row r="232" spans="1:18" ht="15">
      <c r="A232" s="84">
        <f>VLOOKUP(propInventory[[#This Row],[Prop Name]],[2]!propInventory3[[Prop Name]:[Instock?]],10,FALSE)</f>
        <v>0</v>
      </c>
      <c r="B232" s="84">
        <f>IF([3]DCBase!$A226="","",[3]DCBase!$A226)</f>
        <v>226</v>
      </c>
      <c r="C232" s="80" t="str">
        <f>IF(propInventory[[#This Row],[myid]]="","",IF([3]DCBase!R226=0,[3]DCBase!D226&amp;"x"&amp;[3]DCBase!E226&amp;" "&amp;[3]DCBase!C226,[3]DCBase!D226&amp;"x"&amp;[3]DCBase!E226&amp;" "&amp;[3]DCBase!C226&amp;" "&amp;[3]DCBase!S226&amp;"mm"))</f>
        <v>6x3.3 STO</v>
      </c>
      <c r="D232" s="65">
        <f>IF(propInventory[[#This Row],[myid]]="","",[3]DCBase!D226)</f>
        <v>6</v>
      </c>
      <c r="E232" s="65">
        <f>IF(propInventory[[#This Row],[myid]]="","",[3]DCBase!E226)</f>
        <v>3.3</v>
      </c>
      <c r="F232" s="66">
        <f>IF(propInventory[[#This Row],[myid]]="","",[3]DCBase!F226)</f>
        <v>0</v>
      </c>
      <c r="G232" s="66">
        <f>IF(propInventory[[#This Row],[myid]]="","",[3]DCBase!G226)</f>
        <v>0</v>
      </c>
      <c r="H232" s="66">
        <f>IF(propInventory[[#This Row],[myid]]="","",352.98/([3]DCBase!I226+273.15)*(1-0.0000225577*[3]DCBase!H226)^5.25578)</f>
        <v>1.2249869859448206</v>
      </c>
      <c r="I232" s="56">
        <f>IF(propInventory[[#This Row],[myid]]="","",[3]DCBase!K226)</f>
        <v>2.8761599999999998E-2</v>
      </c>
      <c r="J232" s="67">
        <f>IF(propInventory[[#This Row],[myid]]="","",[3]DCBase!L226)</f>
        <v>3</v>
      </c>
      <c r="K232" s="66">
        <f>IF(propInventory[[#This Row],[myid]]="","",352.98/([3]DCBase!N226+273.15)*(1-0.0000225577*[3]DCBase!M226)^5.25578)</f>
        <v>1.1814273550371019</v>
      </c>
      <c r="O232" s="69"/>
      <c r="P232" s="69"/>
      <c r="Q232" s="69"/>
      <c r="R232" s="69"/>
    </row>
    <row r="233" spans="1:18" ht="15">
      <c r="A233" s="84">
        <f>VLOOKUP(propInventory[[#This Row],[Prop Name]],[2]!propInventory3[[Prop Name]:[Instock?]],10,FALSE)</f>
        <v>0</v>
      </c>
      <c r="B233" s="84">
        <f>IF([3]DCBase!$A227="","",[3]DCBase!$A227)</f>
        <v>227</v>
      </c>
      <c r="C233" s="80" t="str">
        <f>IF(propInventory[[#This Row],[myid]]="","",IF([3]DCBase!R227=0,[3]DCBase!D227&amp;"x"&amp;[3]DCBase!E227&amp;" "&amp;[3]DCBase!C227,[3]DCBase!D227&amp;"x"&amp;[3]DCBase!E227&amp;" "&amp;[3]DCBase!C227&amp;" "&amp;[3]DCBase!S227&amp;"mm"))</f>
        <v>3x3 GWS HD</v>
      </c>
      <c r="D233" s="65">
        <f>IF(propInventory[[#This Row],[myid]]="","",[3]DCBase!D227)</f>
        <v>3</v>
      </c>
      <c r="E233" s="65">
        <f>IF(propInventory[[#This Row],[myid]]="","",[3]DCBase!E227)</f>
        <v>3</v>
      </c>
      <c r="F233" s="66">
        <f>IF(propInventory[[#This Row],[myid]]="","",[3]DCBase!F227)</f>
        <v>0.19059599999999999</v>
      </c>
      <c r="G233" s="66">
        <f>IF(propInventory[[#This Row],[myid]]="","",[3]DCBase!G227)</f>
        <v>2.051396</v>
      </c>
      <c r="H233" s="66">
        <f>IF(propInventory[[#This Row],[myid]]="","",352.98/([3]DCBase!I227+273.15)*(1-0.0000225577*[3]DCBase!H227)^5.25578)</f>
        <v>1.2249869859448206</v>
      </c>
      <c r="I233" s="56">
        <f>IF(propInventory[[#This Row],[myid]]="","",[3]DCBase!K227)</f>
        <v>3.9037999999999998E-3</v>
      </c>
      <c r="J233" s="67">
        <f>IF(propInventory[[#This Row],[myid]]="","",[3]DCBase!L227)</f>
        <v>2.8716599999999999</v>
      </c>
      <c r="K233" s="66">
        <f>IF(propInventory[[#This Row],[myid]]="","",352.98/([3]DCBase!N227+273.15)*(1-0.0000225577*[3]DCBase!M227)^5.25578)</f>
        <v>1.1814273550371019</v>
      </c>
      <c r="O233" s="69"/>
      <c r="P233" s="69"/>
      <c r="Q233" s="69"/>
      <c r="R233" s="69"/>
    </row>
    <row r="234" spans="1:18" ht="15">
      <c r="A234" s="84">
        <f>VLOOKUP(propInventory[[#This Row],[Prop Name]],[2]!propInventory3[[Prop Name]:[Instock?]],10,FALSE)</f>
        <v>0</v>
      </c>
      <c r="B234" s="84">
        <f>IF([3]DCBase!$A228="","",[3]DCBase!$A228)</f>
        <v>228</v>
      </c>
      <c r="C234" s="80" t="str">
        <f>IF(propInventory[[#This Row],[myid]]="","",IF([3]DCBase!R228=0,[3]DCBase!D228&amp;"x"&amp;[3]DCBase!E228&amp;" "&amp;[3]DCBase!C228,[3]DCBase!D228&amp;"x"&amp;[3]DCBase!E228&amp;" "&amp;[3]DCBase!C228&amp;" "&amp;[3]DCBase!S228&amp;"mm"))</f>
        <v>4.5x3 GWS HD</v>
      </c>
      <c r="D234" s="65">
        <f>IF(propInventory[[#This Row],[myid]]="","",[3]DCBase!D228)</f>
        <v>4.5</v>
      </c>
      <c r="E234" s="65">
        <f>IF(propInventory[[#This Row],[myid]]="","",[3]DCBase!E228)</f>
        <v>3</v>
      </c>
      <c r="F234" s="66">
        <f>IF(propInventory[[#This Row],[myid]]="","",[3]DCBase!F228)</f>
        <v>0.46912100000000001</v>
      </c>
      <c r="G234" s="66">
        <f>IF(propInventory[[#This Row],[myid]]="","",[3]DCBase!G228)</f>
        <v>2.1458409999999999</v>
      </c>
      <c r="H234" s="66">
        <f>IF(propInventory[[#This Row],[myid]]="","",352.98/([3]DCBase!I228+273.15)*(1-0.0000225577*[3]DCBase!H228)^5.25578)</f>
        <v>1.1758151638376082</v>
      </c>
      <c r="I234" s="56">
        <f>IF(propInventory[[#This Row],[myid]]="","",[3]DCBase!K228)</f>
        <v>6.2075999999999998E-3</v>
      </c>
      <c r="J234" s="67">
        <f>IF(propInventory[[#This Row],[myid]]="","",[3]DCBase!L228)</f>
        <v>3</v>
      </c>
      <c r="K234" s="66">
        <f>IF(propInventory[[#This Row],[myid]]="","",352.98/([3]DCBase!N228+273.15)*(1-0.0000225577*[3]DCBase!M228)^5.25578)</f>
        <v>1.1814273550371019</v>
      </c>
      <c r="O234" s="69"/>
      <c r="P234" s="69"/>
      <c r="Q234" s="69"/>
      <c r="R234" s="69"/>
    </row>
    <row r="235" spans="1:18" ht="15">
      <c r="A235" s="84">
        <f>VLOOKUP(propInventory[[#This Row],[Prop Name]],[2]!propInventory3[[Prop Name]:[Instock?]],10,FALSE)</f>
        <v>0</v>
      </c>
      <c r="B235" s="84">
        <f>IF([3]DCBase!$A229="","",[3]DCBase!$A229)</f>
        <v>229</v>
      </c>
      <c r="C235" s="80" t="str">
        <f>IF(propInventory[[#This Row],[myid]]="","",IF([3]DCBase!R229=0,[3]DCBase!D229&amp;"x"&amp;[3]DCBase!E229&amp;" "&amp;[3]DCBase!C229,[3]DCBase!D229&amp;"x"&amp;[3]DCBase!E229&amp;" "&amp;[3]DCBase!C229&amp;" "&amp;[3]DCBase!S229&amp;"mm"))</f>
        <v>4.5x4 GWS HD</v>
      </c>
      <c r="D235" s="65">
        <f>IF(propInventory[[#This Row],[myid]]="","",[3]DCBase!D229)</f>
        <v>4.5</v>
      </c>
      <c r="E235" s="65">
        <f>IF(propInventory[[#This Row],[myid]]="","",[3]DCBase!E229)</f>
        <v>4</v>
      </c>
      <c r="F235" s="66">
        <f>IF(propInventory[[#This Row],[myid]]="","",[3]DCBase!F229)</f>
        <v>0.72057740000000003</v>
      </c>
      <c r="G235" s="66">
        <f>IF(propInventory[[#This Row],[myid]]="","",[3]DCBase!G229)</f>
        <v>2.0751400000000002</v>
      </c>
      <c r="H235" s="66">
        <f>IF(propInventory[[#This Row],[myid]]="","",352.98/([3]DCBase!I229+273.15)*(1-0.0000225577*[3]DCBase!H229)^5.25578)</f>
        <v>1.1758151638376082</v>
      </c>
      <c r="I235" s="56">
        <f>IF(propInventory[[#This Row],[myid]]="","",[3]DCBase!K229)</f>
        <v>7.9542999999999992E-3</v>
      </c>
      <c r="J235" s="67">
        <f>IF(propInventory[[#This Row],[myid]]="","",[3]DCBase!L229)</f>
        <v>3</v>
      </c>
      <c r="K235" s="66">
        <f>IF(propInventory[[#This Row],[myid]]="","",352.98/([3]DCBase!N229+273.15)*(1-0.0000225577*[3]DCBase!M229)^5.25578)</f>
        <v>1.1814273550371019</v>
      </c>
      <c r="O235" s="69"/>
      <c r="P235" s="69"/>
      <c r="Q235" s="69"/>
      <c r="R235" s="69"/>
    </row>
    <row r="236" spans="1:18" ht="15">
      <c r="A236" s="84">
        <f>VLOOKUP(propInventory[[#This Row],[Prop Name]],[2]!propInventory3[[Prop Name]:[Instock?]],10,FALSE)</f>
        <v>0</v>
      </c>
      <c r="B236" s="84">
        <f>IF([3]DCBase!$A230="","",[3]DCBase!$A230)</f>
        <v>230</v>
      </c>
      <c r="C236" s="80" t="str">
        <f>IF(propInventory[[#This Row],[myid]]="","",IF([3]DCBase!R230=0,[3]DCBase!D230&amp;"x"&amp;[3]DCBase!E230&amp;" "&amp;[3]DCBase!C230,[3]DCBase!D230&amp;"x"&amp;[3]DCBase!E230&amp;" "&amp;[3]DCBase!C230&amp;" "&amp;[3]DCBase!S230&amp;"mm"))</f>
        <v>4.7x2.3 Graupner CAM 20mm</v>
      </c>
      <c r="D236" s="65">
        <f>IF(propInventory[[#This Row],[myid]]="","",[3]DCBase!D230)</f>
        <v>4.7</v>
      </c>
      <c r="E236" s="65">
        <f>IF(propInventory[[#This Row],[myid]]="","",[3]DCBase!E230)</f>
        <v>2.2999999999999998</v>
      </c>
      <c r="F236" s="66">
        <f>IF(propInventory[[#This Row],[myid]]="","",[3]DCBase!F230)</f>
        <v>0</v>
      </c>
      <c r="G236" s="66">
        <f>IF(propInventory[[#This Row],[myid]]="","",[3]DCBase!G230)</f>
        <v>0</v>
      </c>
      <c r="H236" s="66">
        <f>IF(propInventory[[#This Row],[myid]]="","",352.98/([3]DCBase!I230+273.15)*(1-0.0000225577*[3]DCBase!H230)^5.25578)</f>
        <v>1.2249869859448206</v>
      </c>
      <c r="I236" s="56">
        <f>IF(propInventory[[#This Row],[myid]]="","",[3]DCBase!K230)</f>
        <v>5.6449999999999998E-3</v>
      </c>
      <c r="J236" s="67">
        <f>IF(propInventory[[#This Row],[myid]]="","",[3]DCBase!L230)</f>
        <v>3</v>
      </c>
      <c r="K236" s="66">
        <f>IF(propInventory[[#This Row],[myid]]="","",352.98/([3]DCBase!N230+273.15)*(1-0.0000225577*[3]DCBase!M230)^5.25578)</f>
        <v>1.1814273550371019</v>
      </c>
      <c r="O236" s="69"/>
      <c r="P236" s="69"/>
      <c r="Q236" s="69"/>
      <c r="R236" s="69"/>
    </row>
    <row r="237" spans="1:18" ht="15">
      <c r="A237" s="84">
        <f>VLOOKUP(propInventory[[#This Row],[Prop Name]],[2]!propInventory3[[Prop Name]:[Instock?]],10,FALSE)</f>
        <v>1</v>
      </c>
      <c r="B237" s="84">
        <f>IF([3]DCBase!$A231="","",[3]DCBase!$A231)</f>
        <v>231</v>
      </c>
      <c r="C237" s="80" t="str">
        <f>IF(propInventory[[#This Row],[myid]]="","",IF([3]DCBase!R231=0,[3]DCBase!D231&amp;"x"&amp;[3]DCBase!E231&amp;" "&amp;[3]DCBase!C231,[3]DCBase!D231&amp;"x"&amp;[3]DCBase!E231&amp;" "&amp;[3]DCBase!C231&amp;" "&amp;[3]DCBase!S231&amp;"mm"))</f>
        <v>12x6 APC E</v>
      </c>
      <c r="D237" s="65">
        <f>IF(propInventory[[#This Row],[myid]]="","",[3]DCBase!D231)</f>
        <v>12</v>
      </c>
      <c r="E237" s="65">
        <f>IF(propInventory[[#This Row],[myid]]="","",[3]DCBase!E231)</f>
        <v>6</v>
      </c>
      <c r="F237" s="66">
        <f>IF(propInventory[[#This Row],[myid]]="","",[3]DCBase!F231)</f>
        <v>18.877880000000001</v>
      </c>
      <c r="G237" s="66">
        <f>IF(propInventory[[#This Row],[myid]]="","",[3]DCBase!G231)</f>
        <v>2.1962359999999999</v>
      </c>
      <c r="H237" s="66">
        <f>IF(propInventory[[#This Row],[myid]]="","",352.98/([3]DCBase!I231+273.15)*(1-0.0000225577*[3]DCBase!H231)^5.25578)</f>
        <v>1.1758151638376082</v>
      </c>
      <c r="I237" s="56">
        <f>IF(propInventory[[#This Row],[myid]]="","",[3]DCBase!K231)</f>
        <v>0.2537758</v>
      </c>
      <c r="J237" s="67">
        <f>IF(propInventory[[#This Row],[myid]]="","",[3]DCBase!L231)</f>
        <v>3.3509129999999998</v>
      </c>
      <c r="K237" s="66">
        <f>IF(propInventory[[#This Row],[myid]]="","",352.98/([3]DCBase!N231+273.15)*(1-0.0000225577*[3]DCBase!M231)^5.25578)</f>
        <v>1.1952155100729527</v>
      </c>
      <c r="O237" s="69"/>
      <c r="P237" s="69"/>
      <c r="Q237" s="69"/>
      <c r="R237" s="69"/>
    </row>
    <row r="238" spans="1:18" ht="15">
      <c r="A238" s="84">
        <f>VLOOKUP(propInventory[[#This Row],[Prop Name]],[2]!propInventory3[[Prop Name]:[Instock?]],10,FALSE)</f>
        <v>1</v>
      </c>
      <c r="B238" s="84">
        <f>IF([3]DCBase!$A232="","",[3]DCBase!$A232)</f>
        <v>232</v>
      </c>
      <c r="C238" s="80" t="str">
        <f>IF(propInventory[[#This Row],[myid]]="","",IF([3]DCBase!R232=0,[3]DCBase!D232&amp;"x"&amp;[3]DCBase!E232&amp;" "&amp;[3]DCBase!C232,[3]DCBase!D232&amp;"x"&amp;[3]DCBase!E232&amp;" "&amp;[3]DCBase!C232&amp;" "&amp;[3]DCBase!S232&amp;"mm"))</f>
        <v>7x4 APC SF</v>
      </c>
      <c r="D238" s="65">
        <f>IF(propInventory[[#This Row],[myid]]="","",[3]DCBase!D232)</f>
        <v>7</v>
      </c>
      <c r="E238" s="65">
        <f>IF(propInventory[[#This Row],[myid]]="","",[3]DCBase!E232)</f>
        <v>4</v>
      </c>
      <c r="F238" s="66">
        <f>IF(propInventory[[#This Row],[myid]]="","",[3]DCBase!F232)</f>
        <v>2.9703889999999999</v>
      </c>
      <c r="G238" s="66">
        <f>IF(propInventory[[#This Row],[myid]]="","",[3]DCBase!G232)</f>
        <v>2.1305839999999998</v>
      </c>
      <c r="H238" s="66">
        <f>IF(propInventory[[#This Row],[myid]]="","",352.98/([3]DCBase!I232+273.15)*(1-0.0000225577*[3]DCBase!H232)^5.25578)</f>
        <v>1.1758151638376082</v>
      </c>
      <c r="I238" s="56">
        <f>IF(propInventory[[#This Row],[myid]]="","",[3]DCBase!K232)</f>
        <v>5.1210199999999997E-2</v>
      </c>
      <c r="J238" s="67">
        <f>IF(propInventory[[#This Row],[myid]]="","",[3]DCBase!L232)</f>
        <v>2.9813260000000001</v>
      </c>
      <c r="K238" s="66">
        <f>IF(propInventory[[#This Row],[myid]]="","",352.98/([3]DCBase!N232+273.15)*(1-0.0000225577*[3]DCBase!M232)^5.25578)</f>
        <v>1.220968625325449</v>
      </c>
      <c r="O238" s="69"/>
      <c r="P238" s="69"/>
      <c r="Q238" s="69"/>
      <c r="R238" s="69"/>
    </row>
    <row r="239" spans="1:18" ht="15">
      <c r="A239" s="84">
        <f>VLOOKUP(propInventory[[#This Row],[Prop Name]],[2]!propInventory3[[Prop Name]:[Instock?]],10,FALSE)</f>
        <v>3</v>
      </c>
      <c r="B239" s="84">
        <f>IF([3]DCBase!$A233="","",[3]DCBase!$A233)</f>
        <v>233</v>
      </c>
      <c r="C239" s="80" t="str">
        <f>IF(propInventory[[#This Row],[myid]]="","",IF([3]DCBase!R233=0,[3]DCBase!D233&amp;"x"&amp;[3]DCBase!E233&amp;" "&amp;[3]DCBase!C233,[3]DCBase!D233&amp;"x"&amp;[3]DCBase!E233&amp;" "&amp;[3]DCBase!C233&amp;" "&amp;[3]DCBase!S233&amp;"mm"))</f>
        <v>9x6 APC SF</v>
      </c>
      <c r="D239" s="65">
        <f>IF(propInventory[[#This Row],[myid]]="","",[3]DCBase!D233)</f>
        <v>9</v>
      </c>
      <c r="E239" s="65">
        <f>IF(propInventory[[#This Row],[myid]]="","",[3]DCBase!E233)</f>
        <v>6</v>
      </c>
      <c r="F239" s="66">
        <f>IF(propInventory[[#This Row],[myid]]="","",[3]DCBase!F233)</f>
        <v>10.021100000000001</v>
      </c>
      <c r="G239" s="66">
        <f>IF(propInventory[[#This Row],[myid]]="","",[3]DCBase!G233)</f>
        <v>2.2213099999999999</v>
      </c>
      <c r="H239" s="66">
        <f>IF(propInventory[[#This Row],[myid]]="","",352.98/([3]DCBase!I233+273.15)*(1-0.0000225577*[3]DCBase!H233)^5.25578)</f>
        <v>1.1758151638376082</v>
      </c>
      <c r="I239" s="56">
        <f>IF(propInventory[[#This Row],[myid]]="","",[3]DCBase!K233)</f>
        <v>0.3575506</v>
      </c>
      <c r="J239" s="67">
        <f>IF(propInventory[[#This Row],[myid]]="","",[3]DCBase!L233)</f>
        <v>3</v>
      </c>
      <c r="K239" s="66">
        <f>IF(propInventory[[#This Row],[myid]]="","",352.98/([3]DCBase!N233+273.15)*(1-0.0000225577*[3]DCBase!M233)^5.25578)</f>
        <v>1.2604750701499288</v>
      </c>
      <c r="O239" s="69"/>
      <c r="P239" s="69"/>
      <c r="Q239" s="69"/>
      <c r="R239" s="69"/>
    </row>
    <row r="240" spans="1:18" ht="15">
      <c r="A240" s="84">
        <f>VLOOKUP(propInventory[[#This Row],[Prop Name]],[2]!propInventory3[[Prop Name]:[Instock?]],10,FALSE)</f>
        <v>3</v>
      </c>
      <c r="B240" s="84">
        <f>IF([3]DCBase!$A234="","",[3]DCBase!$A234)</f>
        <v>234</v>
      </c>
      <c r="C240" s="80" t="str">
        <f>IF(propInventory[[#This Row],[myid]]="","",IF([3]DCBase!R234=0,[3]DCBase!D234&amp;"x"&amp;[3]DCBase!E234&amp;" "&amp;[3]DCBase!C234,[3]DCBase!D234&amp;"x"&amp;[3]DCBase!E234&amp;" "&amp;[3]DCBase!C234&amp;" "&amp;[3]DCBase!S234&amp;"mm"))</f>
        <v>9x6 APC E</v>
      </c>
      <c r="D240" s="65">
        <f>IF(propInventory[[#This Row],[myid]]="","",[3]DCBase!D234)</f>
        <v>9</v>
      </c>
      <c r="E240" s="65">
        <f>IF(propInventory[[#This Row],[myid]]="","",[3]DCBase!E234)</f>
        <v>6</v>
      </c>
      <c r="F240" s="66">
        <f>IF(propInventory[[#This Row],[myid]]="","",[3]DCBase!F234)</f>
        <v>10.797330000000001</v>
      </c>
      <c r="G240" s="66">
        <f>IF(propInventory[[#This Row],[myid]]="","",[3]DCBase!G234)</f>
        <v>2.0322990000000001</v>
      </c>
      <c r="H240" s="66">
        <f>IF(propInventory[[#This Row],[myid]]="","",352.98/([3]DCBase!I234+273.15)*(1-0.0000225577*[3]DCBase!H234)^5.25578)</f>
        <v>1.1758151638376082</v>
      </c>
      <c r="I240" s="56">
        <f>IF(propInventory[[#This Row],[myid]]="","",[3]DCBase!K234)</f>
        <v>0.17532990000000001</v>
      </c>
      <c r="J240" s="67">
        <f>IF(propInventory[[#This Row],[myid]]="","",[3]DCBase!L234)</f>
        <v>3.0253369999999999</v>
      </c>
      <c r="K240" s="66">
        <f>IF(propInventory[[#This Row],[myid]]="","",352.98/([3]DCBase!N234+273.15)*(1-0.0000225577*[3]DCBase!M234)^5.25578)</f>
        <v>1.1952155100729527</v>
      </c>
      <c r="O240" s="69"/>
      <c r="P240" s="69"/>
      <c r="Q240" s="69"/>
      <c r="R240" s="69"/>
    </row>
    <row r="241" spans="1:18" ht="15">
      <c r="A241" s="84">
        <f>VLOOKUP(propInventory[[#This Row],[Prop Name]],[2]!propInventory3[[Prop Name]:[Instock?]],10,FALSE)</f>
        <v>0</v>
      </c>
      <c r="B241" s="84">
        <f>IF([3]DCBase!$A235="","",[3]DCBase!$A235)</f>
        <v>235</v>
      </c>
      <c r="C241" s="80" t="str">
        <f>IF(propInventory[[#This Row],[myid]]="","",IF([3]DCBase!R235=0,[3]DCBase!D235&amp;"x"&amp;[3]DCBase!E235&amp;" "&amp;[3]DCBase!C235,[3]DCBase!D235&amp;"x"&amp;[3]DCBase!E235&amp;" "&amp;[3]DCBase!C235&amp;" "&amp;[3]DCBase!S235&amp;"mm"))</f>
        <v>6x3 APC C-2</v>
      </c>
      <c r="D241" s="65">
        <f>IF(propInventory[[#This Row],[myid]]="","",[3]DCBase!D235)</f>
        <v>6</v>
      </c>
      <c r="E241" s="65">
        <f>IF(propInventory[[#This Row],[myid]]="","",[3]DCBase!E235)</f>
        <v>3</v>
      </c>
      <c r="F241" s="66">
        <f>IF(propInventory[[#This Row],[myid]]="","",[3]DCBase!F235)</f>
        <v>0</v>
      </c>
      <c r="G241" s="66">
        <f>IF(propInventory[[#This Row],[myid]]="","",[3]DCBase!G235)</f>
        <v>0</v>
      </c>
      <c r="H241" s="66">
        <f>IF(propInventory[[#This Row],[myid]]="","",352.98/([3]DCBase!I235+273.15)*(1-0.0000225577*[3]DCBase!H235)^5.25578)</f>
        <v>1.1758151638376082</v>
      </c>
      <c r="I241" s="56">
        <f>IF(propInventory[[#This Row],[myid]]="","",[3]DCBase!K235)</f>
        <v>4.9576999999999998E-3</v>
      </c>
      <c r="J241" s="67">
        <f>IF(propInventory[[#This Row],[myid]]="","",[3]DCBase!L235)</f>
        <v>3.4139499999999998</v>
      </c>
      <c r="K241" s="66">
        <f>IF(propInventory[[#This Row],[myid]]="","",352.98/([3]DCBase!N235+273.15)*(1-0.0000225577*[3]DCBase!M235)^5.25578)</f>
        <v>1.189886294462454</v>
      </c>
      <c r="O241" s="69"/>
      <c r="P241" s="69"/>
      <c r="Q241" s="69"/>
      <c r="R241" s="69"/>
    </row>
    <row r="242" spans="1:18" ht="15">
      <c r="A242" s="84">
        <f>VLOOKUP(propInventory[[#This Row],[Prop Name]],[2]!propInventory3[[Prop Name]:[Instock?]],10,FALSE)</f>
        <v>0</v>
      </c>
      <c r="B242" s="84">
        <f>IF([3]DCBase!$A236="","",[3]DCBase!$A236)</f>
        <v>236</v>
      </c>
      <c r="C242" s="80" t="str">
        <f>IF(propInventory[[#This Row],[myid]]="","",IF([3]DCBase!R236=0,[3]DCBase!D236&amp;"x"&amp;[3]DCBase!E236&amp;" "&amp;[3]DCBase!C236,[3]DCBase!D236&amp;"x"&amp;[3]DCBase!E236&amp;" "&amp;[3]DCBase!C236&amp;" "&amp;[3]DCBase!S236&amp;"mm"))</f>
        <v>6x5.3 Günther</v>
      </c>
      <c r="D242" s="65">
        <f>IF(propInventory[[#This Row],[myid]]="","",[3]DCBase!D236)</f>
        <v>6</v>
      </c>
      <c r="E242" s="65">
        <f>IF(propInventory[[#This Row],[myid]]="","",[3]DCBase!E236)</f>
        <v>5.3</v>
      </c>
      <c r="F242" s="66">
        <f>IF(propInventory[[#This Row],[myid]]="","",[3]DCBase!F236)</f>
        <v>0</v>
      </c>
      <c r="G242" s="66">
        <f>IF(propInventory[[#This Row],[myid]]="","",[3]DCBase!G236)</f>
        <v>0</v>
      </c>
      <c r="H242" s="66">
        <f>IF(propInventory[[#This Row],[myid]]="","",352.98/([3]DCBase!I236+273.15)*(1-0.0000225577*[3]DCBase!H236)^5.25578)</f>
        <v>1.189886294462454</v>
      </c>
      <c r="I242" s="56">
        <f>IF(propInventory[[#This Row],[myid]]="","",[3]DCBase!K236)</f>
        <v>6.3639000000000001E-2</v>
      </c>
      <c r="J242" s="67">
        <f>IF(propInventory[[#This Row],[myid]]="","",[3]DCBase!L236)</f>
        <v>3</v>
      </c>
      <c r="K242" s="66">
        <f>IF(propInventory[[#This Row],[myid]]="","",352.98/([3]DCBase!N236+273.15)*(1-0.0000225577*[3]DCBase!M236)^5.25578)</f>
        <v>1.189886294462454</v>
      </c>
      <c r="O242" s="69"/>
      <c r="P242" s="69"/>
      <c r="Q242" s="69"/>
      <c r="R242" s="69"/>
    </row>
    <row r="243" spans="1:18" ht="15">
      <c r="A243" s="84">
        <f>VLOOKUP(propInventory[[#This Row],[Prop Name]],[2]!propInventory3[[Prop Name]:[Instock?]],10,FALSE)</f>
        <v>0</v>
      </c>
      <c r="B243" s="84">
        <f>IF([3]DCBase!$A237="","",[3]DCBase!$A237)</f>
        <v>237</v>
      </c>
      <c r="C243" s="80" t="str">
        <f>IF(propInventory[[#This Row],[myid]]="","",IF([3]DCBase!R237=0,[3]DCBase!D237&amp;"x"&amp;[3]DCBase!E237&amp;" "&amp;[3]DCBase!C237,[3]DCBase!D237&amp;"x"&amp;[3]DCBase!E237&amp;" "&amp;[3]DCBase!C237&amp;" "&amp;[3]DCBase!S237&amp;"mm"))</f>
        <v>5x4 MPX</v>
      </c>
      <c r="D243" s="65">
        <f>IF(propInventory[[#This Row],[myid]]="","",[3]DCBase!D237)</f>
        <v>5</v>
      </c>
      <c r="E243" s="65">
        <f>IF(propInventory[[#This Row],[myid]]="","",[3]DCBase!E237)</f>
        <v>4</v>
      </c>
      <c r="F243" s="66">
        <f>IF(propInventory[[#This Row],[myid]]="","",[3]DCBase!F237)</f>
        <v>0</v>
      </c>
      <c r="G243" s="66">
        <f>IF(propInventory[[#This Row],[myid]]="","",[3]DCBase!G237)</f>
        <v>0</v>
      </c>
      <c r="H243" s="66">
        <f>IF(propInventory[[#This Row],[myid]]="","",352.98/([3]DCBase!I237+273.15)*(1-0.0000225577*[3]DCBase!H237)^5.25578)</f>
        <v>1.189886294462454</v>
      </c>
      <c r="I243" s="56">
        <f>IF(propInventory[[#This Row],[myid]]="","",[3]DCBase!K237)</f>
        <v>7.6685E-3</v>
      </c>
      <c r="J243" s="67">
        <f>IF(propInventory[[#This Row],[myid]]="","",[3]DCBase!L237)</f>
        <v>3.2341069999999998</v>
      </c>
      <c r="K243" s="66">
        <f>IF(propInventory[[#This Row],[myid]]="","",352.98/([3]DCBase!N237+273.15)*(1-0.0000225577*[3]DCBase!M237)^5.25578)</f>
        <v>1.189886294462454</v>
      </c>
      <c r="O243" s="69"/>
      <c r="P243" s="69"/>
      <c r="Q243" s="69"/>
      <c r="R243" s="69"/>
    </row>
    <row r="244" spans="1:18" ht="15">
      <c r="A244" s="84">
        <f>VLOOKUP(propInventory[[#This Row],[Prop Name]],[2]!propInventory3[[Prop Name]:[Instock?]],10,FALSE)</f>
        <v>1</v>
      </c>
      <c r="B244" s="84">
        <f>IF([3]DCBase!$A238="","",[3]DCBase!$A238)</f>
        <v>238</v>
      </c>
      <c r="C244" s="80" t="str">
        <f>IF(propInventory[[#This Row],[myid]]="","",IF([3]DCBase!R238=0,[3]DCBase!D238&amp;"x"&amp;[3]DCBase!E238&amp;" "&amp;[3]DCBase!C238,[3]DCBase!D238&amp;"x"&amp;[3]DCBase!E238&amp;" "&amp;[3]DCBase!C238&amp;" "&amp;[3]DCBase!S238&amp;"mm"))</f>
        <v>4x4 GWS HD</v>
      </c>
      <c r="D244" s="65">
        <f>IF(propInventory[[#This Row],[myid]]="","",[3]DCBase!D238)</f>
        <v>4</v>
      </c>
      <c r="E244" s="65">
        <f>IF(propInventory[[#This Row],[myid]]="","",[3]DCBase!E238)</f>
        <v>4</v>
      </c>
      <c r="F244" s="66">
        <f>IF(propInventory[[#This Row],[myid]]="","",[3]DCBase!F238)</f>
        <v>0.5006121</v>
      </c>
      <c r="G244" s="66">
        <f>IF(propInventory[[#This Row],[myid]]="","",[3]DCBase!G238)</f>
        <v>2.060619</v>
      </c>
      <c r="H244" s="66">
        <f>IF(propInventory[[#This Row],[myid]]="","",352.98/([3]DCBase!I238+273.15)*(1-0.0000225577*[3]DCBase!H238)^5.25578)</f>
        <v>1.1758151638376082</v>
      </c>
      <c r="I244" s="56">
        <f>IF(propInventory[[#This Row],[myid]]="","",[3]DCBase!K238)</f>
        <v>1.7018200000000001E-2</v>
      </c>
      <c r="J244" s="67">
        <f>IF(propInventory[[#This Row],[myid]]="","",[3]DCBase!L238)</f>
        <v>2.6874729999999998</v>
      </c>
      <c r="K244" s="66">
        <f>IF(propInventory[[#This Row],[myid]]="","",352.98/([3]DCBase!N238+273.15)*(1-0.0000225577*[3]DCBase!M238)^5.25578)</f>
        <v>1.189886294462454</v>
      </c>
      <c r="O244" s="69"/>
      <c r="P244" s="69"/>
      <c r="Q244" s="69"/>
      <c r="R244" s="69"/>
    </row>
    <row r="245" spans="1:18" ht="15">
      <c r="A245" s="84">
        <f>VLOOKUP(propInventory[[#This Row],[Prop Name]],[2]!propInventory3[[Prop Name]:[Instock?]],10,FALSE)</f>
        <v>1</v>
      </c>
      <c r="B245" s="84">
        <f>IF([3]DCBase!$A239="","",[3]DCBase!$A239)</f>
        <v>239</v>
      </c>
      <c r="C245" s="80" t="str">
        <f>IF(propInventory[[#This Row],[myid]]="","",IF([3]DCBase!R239=0,[3]DCBase!D239&amp;"x"&amp;[3]DCBase!E239&amp;" "&amp;[3]DCBase!C239,[3]DCBase!D239&amp;"x"&amp;[3]DCBase!E239&amp;" "&amp;[3]DCBase!C239&amp;" "&amp;[3]DCBase!S239&amp;"mm"))</f>
        <v>3x2 GWS HD</v>
      </c>
      <c r="D245" s="65">
        <f>IF(propInventory[[#This Row],[myid]]="","",[3]DCBase!D239)</f>
        <v>3</v>
      </c>
      <c r="E245" s="65">
        <f>IF(propInventory[[#This Row],[myid]]="","",[3]DCBase!E239)</f>
        <v>2</v>
      </c>
      <c r="F245" s="66">
        <f>IF(propInventory[[#This Row],[myid]]="","",[3]DCBase!F239)</f>
        <v>0.1634671</v>
      </c>
      <c r="G245" s="66">
        <f>IF(propInventory[[#This Row],[myid]]="","",[3]DCBase!G239)</f>
        <v>2.0291299999999999</v>
      </c>
      <c r="H245" s="66">
        <f>IF(propInventory[[#This Row],[myid]]="","",352.98/([3]DCBase!I239+273.15)*(1-0.0000225577*[3]DCBase!H239)^5.25578)</f>
        <v>1.189886294462454</v>
      </c>
      <c r="I245" s="56">
        <f>IF(propInventory[[#This Row],[myid]]="","",[3]DCBase!K239)</f>
        <v>1.511E-3</v>
      </c>
      <c r="J245" s="67">
        <f>IF(propInventory[[#This Row],[myid]]="","",[3]DCBase!L239)</f>
        <v>3</v>
      </c>
      <c r="K245" s="66">
        <f>IF(propInventory[[#This Row],[myid]]="","",352.98/([3]DCBase!N239+273.15)*(1-0.0000225577*[3]DCBase!M239)^5.25578)</f>
        <v>1.189886294462454</v>
      </c>
      <c r="O245" s="69"/>
      <c r="P245" s="69"/>
      <c r="Q245" s="69"/>
      <c r="R245" s="69"/>
    </row>
    <row r="246" spans="1:18" ht="15">
      <c r="A246" s="84">
        <f>VLOOKUP(propInventory[[#This Row],[Prop Name]],[2]!propInventory3[[Prop Name]:[Instock?]],10,FALSE)</f>
        <v>0</v>
      </c>
      <c r="B246" s="84">
        <f>IF([3]DCBase!$A240="","",[3]DCBase!$A240)</f>
        <v>240</v>
      </c>
      <c r="C246" s="80" t="str">
        <f>IF(propInventory[[#This Row],[myid]]="","",IF([3]DCBase!R240=0,[3]DCBase!D240&amp;"x"&amp;[3]DCBase!E240&amp;" "&amp;[3]DCBase!C240,[3]DCBase!D240&amp;"x"&amp;[3]DCBase!E240&amp;" "&amp;[3]DCBase!C240&amp;" "&amp;[3]DCBase!S240&amp;"mm"))</f>
        <v>2.7x2.6 STO rot</v>
      </c>
      <c r="D246" s="65">
        <f>IF(propInventory[[#This Row],[myid]]="","",[3]DCBase!D240)</f>
        <v>2.7</v>
      </c>
      <c r="E246" s="65">
        <f>IF(propInventory[[#This Row],[myid]]="","",[3]DCBase!E240)</f>
        <v>2.6</v>
      </c>
      <c r="F246" s="66">
        <f>IF(propInventory[[#This Row],[myid]]="","",[3]DCBase!F240)</f>
        <v>0</v>
      </c>
      <c r="G246" s="66">
        <f>IF(propInventory[[#This Row],[myid]]="","",[3]DCBase!G240)</f>
        <v>0</v>
      </c>
      <c r="H246" s="66">
        <f>IF(propInventory[[#This Row],[myid]]="","",352.98/([3]DCBase!I240+273.15)*(1-0.0000225577*[3]DCBase!H240)^5.25578)</f>
        <v>1.189886294462454</v>
      </c>
      <c r="I246" s="56">
        <f>IF(propInventory[[#This Row],[myid]]="","",[3]DCBase!K240)</f>
        <v>1.5679999999999999E-3</v>
      </c>
      <c r="J246" s="67">
        <f>IF(propInventory[[#This Row],[myid]]="","",[3]DCBase!L240)</f>
        <v>2.7922359999999999</v>
      </c>
      <c r="K246" s="66">
        <f>IF(propInventory[[#This Row],[myid]]="","",352.98/([3]DCBase!N240+273.15)*(1-0.0000225577*[3]DCBase!M240)^5.25578)</f>
        <v>1.1699318035273127</v>
      </c>
      <c r="O246" s="69"/>
      <c r="P246" s="69"/>
      <c r="Q246" s="69"/>
      <c r="R246" s="69"/>
    </row>
    <row r="247" spans="1:18" ht="15">
      <c r="A247" s="84">
        <f>VLOOKUP(propInventory[[#This Row],[Prop Name]],[2]!propInventory3[[Prop Name]:[Instock?]],10,FALSE)</f>
        <v>0</v>
      </c>
      <c r="B247" s="84">
        <f>IF([3]DCBase!$A241="","",[3]DCBase!$A241)</f>
        <v>241</v>
      </c>
      <c r="C247" s="80" t="str">
        <f>IF(propInventory[[#This Row],[myid]]="","",IF([3]DCBase!R241=0,[3]DCBase!D241&amp;"x"&amp;[3]DCBase!E241&amp;" "&amp;[3]DCBase!C241,[3]DCBase!D241&amp;"x"&amp;[3]DCBase!E241&amp;" "&amp;[3]DCBase!C241&amp;" "&amp;[3]DCBase!S241&amp;"mm"))</f>
        <v>5x2 Graupner Nylon</v>
      </c>
      <c r="D247" s="65">
        <f>IF(propInventory[[#This Row],[myid]]="","",[3]DCBase!D241)</f>
        <v>5</v>
      </c>
      <c r="E247" s="65">
        <f>IF(propInventory[[#This Row],[myid]]="","",[3]DCBase!E241)</f>
        <v>2</v>
      </c>
      <c r="F247" s="66">
        <f>IF(propInventory[[#This Row],[myid]]="","",[3]DCBase!F241)</f>
        <v>0.25071329999999997</v>
      </c>
      <c r="G247" s="66">
        <f>IF(propInventory[[#This Row],[myid]]="","",[3]DCBase!G241)</f>
        <v>1.8806689999999999</v>
      </c>
      <c r="H247" s="66">
        <f>IF(propInventory[[#This Row],[myid]]="","",352.98/([3]DCBase!I241+273.15)*(1-0.0000225577*[3]DCBase!H241)^5.25578)</f>
        <v>1.189886294462454</v>
      </c>
      <c r="I247" s="56">
        <f>IF(propInventory[[#This Row],[myid]]="","",[3]DCBase!K241)</f>
        <v>5.8011E-3</v>
      </c>
      <c r="J247" s="67">
        <f>IF(propInventory[[#This Row],[myid]]="","",[3]DCBase!L241)</f>
        <v>3.0412340000000002</v>
      </c>
      <c r="K247" s="66">
        <f>IF(propInventory[[#This Row],[myid]]="","",352.98/([3]DCBase!N241+273.15)*(1-0.0000225577*[3]DCBase!M241)^5.25578)</f>
        <v>1.1699318035273127</v>
      </c>
      <c r="O247" s="69"/>
      <c r="P247" s="69"/>
      <c r="Q247" s="69"/>
      <c r="R247" s="69"/>
    </row>
    <row r="248" spans="1:18" ht="15">
      <c r="A248" s="84">
        <f>VLOOKUP(propInventory[[#This Row],[Prop Name]],[2]!propInventory3[[Prop Name]:[Instock?]],10,FALSE)</f>
        <v>1</v>
      </c>
      <c r="B248" s="84">
        <f>IF([3]DCBase!$A242="","",[3]DCBase!$A242)</f>
        <v>242</v>
      </c>
      <c r="C248" s="80" t="str">
        <f>IF(propInventory[[#This Row],[myid]]="","",IF([3]DCBase!R242=0,[3]DCBase!D242&amp;"x"&amp;[3]DCBase!E242&amp;" "&amp;[3]DCBase!C242,[3]DCBase!D242&amp;"x"&amp;[3]DCBase!E242&amp;" "&amp;[3]DCBase!C242&amp;" "&amp;[3]DCBase!S242&amp;"mm"))</f>
        <v>5.1x4.5 APC E</v>
      </c>
      <c r="D248" s="65">
        <f>IF(propInventory[[#This Row],[myid]]="","",[3]DCBase!D242)</f>
        <v>5.0999999999999996</v>
      </c>
      <c r="E248" s="65">
        <f>IF(propInventory[[#This Row],[myid]]="","",[3]DCBase!E242)</f>
        <v>4.5</v>
      </c>
      <c r="F248" s="66">
        <f>IF(propInventory[[#This Row],[myid]]="","",[3]DCBase!F242)</f>
        <v>1.4728760000000001</v>
      </c>
      <c r="G248" s="66">
        <f>IF(propInventory[[#This Row],[myid]]="","",[3]DCBase!G242)</f>
        <v>2.0746470000000001</v>
      </c>
      <c r="H248" s="66">
        <f>IF(propInventory[[#This Row],[myid]]="","",352.98/([3]DCBase!I242+273.15)*(1-0.0000225577*[3]DCBase!H242)^5.25578)</f>
        <v>1.1758151638376082</v>
      </c>
      <c r="I248" s="56">
        <f>IF(propInventory[[#This Row],[myid]]="","",[3]DCBase!K242)</f>
        <v>2.7141200000000001E-2</v>
      </c>
      <c r="J248" s="67">
        <f>IF(propInventory[[#This Row],[myid]]="","",[3]DCBase!L242)</f>
        <v>2.9751210000000001</v>
      </c>
      <c r="K248" s="66">
        <f>IF(propInventory[[#This Row],[myid]]="","",352.98/([3]DCBase!N242+273.15)*(1-0.0000225577*[3]DCBase!M242)^5.25578)</f>
        <v>1.189886294462454</v>
      </c>
      <c r="O248" s="69"/>
      <c r="P248" s="69"/>
      <c r="Q248" s="69"/>
      <c r="R248" s="69"/>
    </row>
    <row r="249" spans="1:18" ht="15">
      <c r="A249" s="84">
        <f>VLOOKUP(propInventory[[#This Row],[Prop Name]],[2]!propInventory3[[Prop Name]:[Instock?]],10,FALSE)</f>
        <v>0</v>
      </c>
      <c r="B249" s="84">
        <f>IF([3]DCBase!$A243="","",[3]DCBase!$A243)</f>
        <v>243</v>
      </c>
      <c r="C249" s="80" t="str">
        <f>IF(propInventory[[#This Row],[myid]]="","",IF([3]DCBase!R243=0,[3]DCBase!D243&amp;"x"&amp;[3]DCBase!E243&amp;" "&amp;[3]DCBase!C243,[3]DCBase!D243&amp;"x"&amp;[3]DCBase!E243&amp;" "&amp;[3]DCBase!C243&amp;" "&amp;[3]DCBase!S243&amp;"mm"))</f>
        <v>17x10 Biela CFK 3-Blade</v>
      </c>
      <c r="D249" s="65">
        <f>IF(propInventory[[#This Row],[myid]]="","",[3]DCBase!D243)</f>
        <v>17</v>
      </c>
      <c r="E249" s="65">
        <f>IF(propInventory[[#This Row],[myid]]="","",[3]DCBase!E243)</f>
        <v>10</v>
      </c>
      <c r="F249" s="66">
        <f>IF(propInventory[[#This Row],[myid]]="","",[3]DCBase!F243)</f>
        <v>164.18940000000001</v>
      </c>
      <c r="G249" s="66">
        <f>IF(propInventory[[#This Row],[myid]]="","",[3]DCBase!G243)</f>
        <v>2.0753439999999999</v>
      </c>
      <c r="H249" s="66">
        <f>IF(propInventory[[#This Row],[myid]]="","",352.98/([3]DCBase!I243+273.15)*(1-0.0000225577*[3]DCBase!H243)^5.25578)</f>
        <v>1.2249869859448206</v>
      </c>
      <c r="I249" s="56">
        <f>IF(propInventory[[#This Row],[myid]]="","",[3]DCBase!K243)</f>
        <v>7.0265129999999996</v>
      </c>
      <c r="J249" s="67">
        <f>IF(propInventory[[#This Row],[myid]]="","",[3]DCBase!L243)</f>
        <v>3.0441760000000002</v>
      </c>
      <c r="K249" s="66">
        <f>IF(propInventory[[#This Row],[myid]]="","",352.98/([3]DCBase!N243+273.15)*(1-0.0000225577*[3]DCBase!M243)^5.25578)</f>
        <v>1.2249869859448206</v>
      </c>
      <c r="O249" s="69"/>
      <c r="P249" s="69"/>
      <c r="Q249" s="69"/>
      <c r="R249" s="69"/>
    </row>
    <row r="250" spans="1:18" ht="15">
      <c r="A250" s="84">
        <f>VLOOKUP(propInventory[[#This Row],[Prop Name]],[2]!propInventory3[[Prop Name]:[Instock?]],10,FALSE)</f>
        <v>1</v>
      </c>
      <c r="B250" s="84">
        <f>IF([3]DCBase!$A244="","",[3]DCBase!$A244)</f>
        <v>244</v>
      </c>
      <c r="C250" s="80" t="str">
        <f>IF(propInventory[[#This Row],[myid]]="","",IF([3]DCBase!R244=0,[3]DCBase!D244&amp;"x"&amp;[3]DCBase!E244&amp;" "&amp;[3]DCBase!C244,[3]DCBase!D244&amp;"x"&amp;[3]DCBase!E244&amp;" "&amp;[3]DCBase!C244&amp;" "&amp;[3]DCBase!S244&amp;"mm"))</f>
        <v>2.5x0.8 GWS</v>
      </c>
      <c r="D250" s="65">
        <f>IF(propInventory[[#This Row],[myid]]="","",[3]DCBase!D244)</f>
        <v>2.5</v>
      </c>
      <c r="E250" s="65">
        <f>IF(propInventory[[#This Row],[myid]]="","",[3]DCBase!E244)</f>
        <v>0.8</v>
      </c>
      <c r="F250" s="66">
        <f>IF(propInventory[[#This Row],[myid]]="","",[3]DCBase!F244)</f>
        <v>3.9223599999999997E-2</v>
      </c>
      <c r="G250" s="66">
        <f>IF(propInventory[[#This Row],[myid]]="","",[3]DCBase!G244)</f>
        <v>2.001538</v>
      </c>
      <c r="H250" s="66">
        <f>IF(propInventory[[#This Row],[myid]]="","",352.98/([3]DCBase!I244+273.15)*(1-0.0000225577*[3]DCBase!H244)^5.25578)</f>
        <v>1.189886294462454</v>
      </c>
      <c r="I250" s="56">
        <f>IF(propInventory[[#This Row],[myid]]="","",[3]DCBase!K244)</f>
        <v>6.246E-4</v>
      </c>
      <c r="J250" s="67">
        <f>IF(propInventory[[#This Row],[myid]]="","",[3]DCBase!L244)</f>
        <v>2.6103939999999999</v>
      </c>
      <c r="K250" s="66">
        <f>IF(propInventory[[#This Row],[myid]]="","",352.98/([3]DCBase!N244+273.15)*(1-0.0000225577*[3]DCBase!M244)^5.25578)</f>
        <v>1.1738689793763026</v>
      </c>
      <c r="O250" s="69"/>
      <c r="P250" s="69"/>
      <c r="Q250" s="69"/>
      <c r="R250" s="69"/>
    </row>
    <row r="251" spans="1:18" ht="15">
      <c r="A251" s="84">
        <f>VLOOKUP(propInventory[[#This Row],[Prop Name]],[2]!propInventory3[[Prop Name]:[Instock?]],10,FALSE)</f>
        <v>0</v>
      </c>
      <c r="B251" s="84">
        <f>IF([3]DCBase!$A245="","",[3]DCBase!$A245)</f>
        <v>245</v>
      </c>
      <c r="C251" s="80" t="str">
        <f>IF(propInventory[[#This Row],[myid]]="","",IF([3]DCBase!R245=0,[3]DCBase!D245&amp;"x"&amp;[3]DCBase!E245&amp;" "&amp;[3]DCBase!C245,[3]DCBase!D245&amp;"x"&amp;[3]DCBase!E245&amp;" "&amp;[3]DCBase!C245&amp;" "&amp;[3]DCBase!S245&amp;"mm"))</f>
        <v>2.5x1 GWS</v>
      </c>
      <c r="D251" s="65">
        <f>IF(propInventory[[#This Row],[myid]]="","",[3]DCBase!D245)</f>
        <v>2.5</v>
      </c>
      <c r="E251" s="65">
        <f>IF(propInventory[[#This Row],[myid]]="","",[3]DCBase!E245)</f>
        <v>1</v>
      </c>
      <c r="F251" s="66">
        <f>IF(propInventory[[#This Row],[myid]]="","",[3]DCBase!F245)</f>
        <v>6.4096799999999995E-2</v>
      </c>
      <c r="G251" s="66">
        <f>IF(propInventory[[#This Row],[myid]]="","",[3]DCBase!G245)</f>
        <v>1.8879060000000001</v>
      </c>
      <c r="H251" s="66">
        <f>IF(propInventory[[#This Row],[myid]]="","",352.98/([3]DCBase!I245+273.15)*(1-0.0000225577*[3]DCBase!H245)^5.25578)</f>
        <v>1.189886294462454</v>
      </c>
      <c r="I251" s="56">
        <f>IF(propInventory[[#This Row],[myid]]="","",[3]DCBase!K245)</f>
        <v>9.5620000000000004E-4</v>
      </c>
      <c r="J251" s="67">
        <f>IF(propInventory[[#This Row],[myid]]="","",[3]DCBase!L245)</f>
        <v>2.6043759999999998</v>
      </c>
      <c r="K251" s="66">
        <f>IF(propInventory[[#This Row],[myid]]="","",352.98/([3]DCBase!N245+273.15)*(1-0.0000225577*[3]DCBase!M245)^5.25578)</f>
        <v>1.1738689793763026</v>
      </c>
      <c r="O251" s="69"/>
      <c r="P251" s="69"/>
      <c r="Q251" s="69"/>
      <c r="R251" s="69"/>
    </row>
    <row r="252" spans="1:18" ht="15">
      <c r="A252" s="84">
        <f>VLOOKUP(propInventory[[#This Row],[Prop Name]],[2]!propInventory3[[Prop Name]:[Instock?]],10,FALSE)</f>
        <v>0</v>
      </c>
      <c r="B252" s="84">
        <f>IF([3]DCBase!$A246="","",[3]DCBase!$A246)</f>
        <v>246</v>
      </c>
      <c r="C252" s="80" t="str">
        <f>IF(propInventory[[#This Row],[myid]]="","",IF([3]DCBase!R246=0,[3]DCBase!D246&amp;"x"&amp;[3]DCBase!E246&amp;" "&amp;[3]DCBase!C246,[3]DCBase!D246&amp;"x"&amp;[3]DCBase!E246&amp;" "&amp;[3]DCBase!C246&amp;" "&amp;[3]DCBase!S246&amp;"mm"))</f>
        <v>16x8 Mejzlik Carbon</v>
      </c>
      <c r="D252" s="65">
        <f>IF(propInventory[[#This Row],[myid]]="","",[3]DCBase!D246)</f>
        <v>16</v>
      </c>
      <c r="E252" s="65">
        <f>IF(propInventory[[#This Row],[myid]]="","",[3]DCBase!E246)</f>
        <v>8</v>
      </c>
      <c r="F252" s="66">
        <f>IF(propInventory[[#This Row],[myid]]="","",[3]DCBase!F246)</f>
        <v>0</v>
      </c>
      <c r="G252" s="66">
        <f>IF(propInventory[[#This Row],[myid]]="","",[3]DCBase!G246)</f>
        <v>0</v>
      </c>
      <c r="H252" s="66">
        <f>IF(propInventory[[#This Row],[myid]]="","",352.98/([3]DCBase!I246+273.15)*(1-0.0000225577*[3]DCBase!H246)^5.25578)</f>
        <v>1.2249869859448206</v>
      </c>
      <c r="I252" s="56">
        <f>IF(propInventory[[#This Row],[myid]]="","",[3]DCBase!K246)</f>
        <v>2.1433469999999999</v>
      </c>
      <c r="J252" s="67">
        <f>IF(propInventory[[#This Row],[myid]]="","",[3]DCBase!L246)</f>
        <v>3</v>
      </c>
      <c r="K252" s="66">
        <f>IF(propInventory[[#This Row],[myid]]="","",352.98/([3]DCBase!N246+273.15)*(1-0.0000225577*[3]DCBase!M246)^5.25578)</f>
        <v>1.2249869859448206</v>
      </c>
      <c r="O252" s="69"/>
      <c r="P252" s="69"/>
      <c r="Q252" s="69"/>
      <c r="R252" s="69"/>
    </row>
    <row r="253" spans="1:18" ht="15">
      <c r="A253" s="84">
        <f>VLOOKUP(propInventory[[#This Row],[Prop Name]],[2]!propInventory3[[Prop Name]:[Instock?]],10,FALSE)</f>
        <v>0</v>
      </c>
      <c r="B253" s="84">
        <f>IF([3]DCBase!$A247="","",[3]DCBase!$A247)</f>
        <v>247</v>
      </c>
      <c r="C253" s="80" t="str">
        <f>IF(propInventory[[#This Row],[myid]]="","",IF([3]DCBase!R247=0,[3]DCBase!D247&amp;"x"&amp;[3]DCBase!E247&amp;" "&amp;[3]DCBase!C247,[3]DCBase!D247&amp;"x"&amp;[3]DCBase!E247&amp;" "&amp;[3]DCBase!C247&amp;" "&amp;[3]DCBase!S247&amp;"mm"))</f>
        <v>19x8 Mejzlik Carbon</v>
      </c>
      <c r="D253" s="65">
        <f>IF(propInventory[[#This Row],[myid]]="","",[3]DCBase!D247)</f>
        <v>19</v>
      </c>
      <c r="E253" s="65">
        <f>IF(propInventory[[#This Row],[myid]]="","",[3]DCBase!E247)</f>
        <v>8</v>
      </c>
      <c r="F253" s="66">
        <f>IF(propInventory[[#This Row],[myid]]="","",[3]DCBase!F247)</f>
        <v>0</v>
      </c>
      <c r="G253" s="66">
        <f>IF(propInventory[[#This Row],[myid]]="","",[3]DCBase!G247)</f>
        <v>0</v>
      </c>
      <c r="H253" s="66">
        <f>IF(propInventory[[#This Row],[myid]]="","",352.98/([3]DCBase!I247+273.15)*(1-0.0000225577*[3]DCBase!H247)^5.25578)</f>
        <v>1.2249869859448206</v>
      </c>
      <c r="I253" s="56">
        <f>IF(propInventory[[#This Row],[myid]]="","",[3]DCBase!K247)</f>
        <v>4.3198179999999997</v>
      </c>
      <c r="J253" s="67">
        <f>IF(propInventory[[#This Row],[myid]]="","",[3]DCBase!L247)</f>
        <v>3</v>
      </c>
      <c r="K253" s="66">
        <f>IF(propInventory[[#This Row],[myid]]="","",352.98/([3]DCBase!N247+273.15)*(1-0.0000225577*[3]DCBase!M247)^5.25578)</f>
        <v>1.2249869859448206</v>
      </c>
      <c r="O253" s="69"/>
      <c r="P253" s="69"/>
      <c r="Q253" s="69"/>
      <c r="R253" s="69"/>
    </row>
    <row r="254" spans="1:18" ht="15">
      <c r="A254" s="84">
        <f>VLOOKUP(propInventory[[#This Row],[Prop Name]],[2]!propInventory3[[Prop Name]:[Instock?]],10,FALSE)</f>
        <v>0</v>
      </c>
      <c r="B254" s="84">
        <f>IF([3]DCBase!$A248="","",[3]DCBase!$A248)</f>
        <v>248</v>
      </c>
      <c r="C254" s="80" t="str">
        <f>IF(propInventory[[#This Row],[myid]]="","",IF([3]DCBase!R248=0,[3]DCBase!D248&amp;"x"&amp;[3]DCBase!E248&amp;" "&amp;[3]DCBase!C248,[3]DCBase!D248&amp;"x"&amp;[3]DCBase!E248&amp;" "&amp;[3]DCBase!C248&amp;" "&amp;[3]DCBase!S248&amp;"mm"))</f>
        <v>22x8 Mejzlik Carbon</v>
      </c>
      <c r="D254" s="65">
        <f>IF(propInventory[[#This Row],[myid]]="","",[3]DCBase!D248)</f>
        <v>22</v>
      </c>
      <c r="E254" s="65">
        <f>IF(propInventory[[#This Row],[myid]]="","",[3]DCBase!E248)</f>
        <v>8</v>
      </c>
      <c r="F254" s="66">
        <f>IF(propInventory[[#This Row],[myid]]="","",[3]DCBase!F248)</f>
        <v>0</v>
      </c>
      <c r="G254" s="66">
        <f>IF(propInventory[[#This Row],[myid]]="","",[3]DCBase!G248)</f>
        <v>0</v>
      </c>
      <c r="H254" s="66">
        <f>IF(propInventory[[#This Row],[myid]]="","",352.98/([3]DCBase!I248+273.15)*(1-0.0000225577*[3]DCBase!H248)^5.25578)</f>
        <v>1.2249869859448206</v>
      </c>
      <c r="I254" s="56">
        <f>IF(propInventory[[#This Row],[myid]]="","",[3]DCBase!K248)</f>
        <v>7.2337959999999999</v>
      </c>
      <c r="J254" s="67">
        <f>IF(propInventory[[#This Row],[myid]]="","",[3]DCBase!L248)</f>
        <v>3</v>
      </c>
      <c r="K254" s="66">
        <f>IF(propInventory[[#This Row],[myid]]="","",352.98/([3]DCBase!N248+273.15)*(1-0.0000225577*[3]DCBase!M248)^5.25578)</f>
        <v>1.2249869859448206</v>
      </c>
      <c r="O254" s="69"/>
      <c r="P254" s="69"/>
      <c r="Q254" s="69"/>
      <c r="R254" s="69"/>
    </row>
    <row r="255" spans="1:18" ht="15">
      <c r="A255" s="84">
        <f>VLOOKUP(propInventory[[#This Row],[Prop Name]],[2]!propInventory3[[Prop Name]:[Instock?]],10,FALSE)</f>
        <v>0</v>
      </c>
      <c r="B255" s="84">
        <f>IF([3]DCBase!$A249="","",[3]DCBase!$A249)</f>
        <v>249</v>
      </c>
      <c r="C255" s="80" t="str">
        <f>IF(propInventory[[#This Row],[myid]]="","",IF([3]DCBase!R249=0,[3]DCBase!D249&amp;"x"&amp;[3]DCBase!E249&amp;" "&amp;[3]DCBase!C249,[3]DCBase!D249&amp;"x"&amp;[3]DCBase!E249&amp;" "&amp;[3]DCBase!C249&amp;" "&amp;[3]DCBase!S249&amp;"mm"))</f>
        <v>22x10 APC E</v>
      </c>
      <c r="D255" s="65">
        <f>IF(propInventory[[#This Row],[myid]]="","",[3]DCBase!D249)</f>
        <v>22</v>
      </c>
      <c r="E255" s="65">
        <f>IF(propInventory[[#This Row],[myid]]="","",[3]DCBase!E249)</f>
        <v>10</v>
      </c>
      <c r="F255" s="66">
        <f>IF(propInventory[[#This Row],[myid]]="","",[3]DCBase!F249)</f>
        <v>230.03880000000001</v>
      </c>
      <c r="G255" s="66">
        <f>IF(propInventory[[#This Row],[myid]]="","",[3]DCBase!G249)</f>
        <v>2.1230959999999999</v>
      </c>
      <c r="H255" s="66">
        <f>IF(propInventory[[#This Row],[myid]]="","",352.98/([3]DCBase!I249+273.15)*(1-0.0000225577*[3]DCBase!H249)^5.25578)</f>
        <v>1.2037654067837569</v>
      </c>
      <c r="I255" s="56">
        <f>IF(propInventory[[#This Row],[myid]]="","",[3]DCBase!K249)</f>
        <v>8.9616399999999992</v>
      </c>
      <c r="J255" s="67">
        <f>IF(propInventory[[#This Row],[myid]]="","",[3]DCBase!L249)</f>
        <v>2.9469560000000001</v>
      </c>
      <c r="K255" s="66">
        <f>IF(propInventory[[#This Row],[myid]]="","",352.98/([3]DCBase!N249+273.15)*(1-0.0000225577*[3]DCBase!M249)^5.25578)</f>
        <v>1.2037654067837569</v>
      </c>
      <c r="O255" s="69"/>
      <c r="P255" s="69"/>
      <c r="Q255" s="69"/>
      <c r="R255" s="69"/>
    </row>
    <row r="256" spans="1:18" ht="15">
      <c r="A256" s="84">
        <f>VLOOKUP(propInventory[[#This Row],[Prop Name]],[2]!propInventory3[[Prop Name]:[Instock?]],10,FALSE)</f>
        <v>0</v>
      </c>
      <c r="B256" s="84">
        <f>IF([3]DCBase!$A250="","",[3]DCBase!$A250)</f>
        <v>250</v>
      </c>
      <c r="C256" s="80" t="str">
        <f>IF(propInventory[[#This Row],[myid]]="","",IF([3]DCBase!R250=0,[3]DCBase!D250&amp;"x"&amp;[3]DCBase!E250&amp;" "&amp;[3]DCBase!C250,[3]DCBase!D250&amp;"x"&amp;[3]DCBase!E250&amp;" "&amp;[3]DCBase!C250&amp;" "&amp;[3]DCBase!S250&amp;"mm"))</f>
        <v>15x8 AeroCAM 3-Blade 47mm</v>
      </c>
      <c r="D256" s="65">
        <f>IF(propInventory[[#This Row],[myid]]="","",[3]DCBase!D250)</f>
        <v>15</v>
      </c>
      <c r="E256" s="65">
        <f>IF(propInventory[[#This Row],[myid]]="","",[3]DCBase!E250)</f>
        <v>8</v>
      </c>
      <c r="F256" s="66">
        <f>IF(propInventory[[#This Row],[myid]]="","",[3]DCBase!F250)</f>
        <v>95.6</v>
      </c>
      <c r="G256" s="66">
        <f>IF(propInventory[[#This Row],[myid]]="","",[3]DCBase!G250)</f>
        <v>2</v>
      </c>
      <c r="H256" s="66">
        <f>IF(propInventory[[#This Row],[myid]]="","",352.98/([3]DCBase!I250+273.15)*(1-0.0000225577*[3]DCBase!H250)^5.25578)</f>
        <v>1.2249869859448206</v>
      </c>
      <c r="I256" s="56">
        <f>IF(propInventory[[#This Row],[myid]]="","",[3]DCBase!K250)</f>
        <v>1.817364</v>
      </c>
      <c r="J256" s="67">
        <f>IF(propInventory[[#This Row],[myid]]="","",[3]DCBase!L250)</f>
        <v>3</v>
      </c>
      <c r="K256" s="66">
        <f>IF(propInventory[[#This Row],[myid]]="","",352.98/([3]DCBase!N250+273.15)*(1-0.0000225577*[3]DCBase!M250)^5.25578)</f>
        <v>1.2049091249944606</v>
      </c>
      <c r="O256" s="69"/>
      <c r="P256" s="69"/>
      <c r="Q256" s="69"/>
      <c r="R256" s="69"/>
    </row>
    <row r="257" spans="1:18" ht="15">
      <c r="A257" s="84">
        <f>VLOOKUP(propInventory[[#This Row],[Prop Name]],[2]!propInventory3[[Prop Name]:[Instock?]],10,FALSE)</f>
        <v>0</v>
      </c>
      <c r="B257" s="84">
        <f>IF([3]DCBase!$A251="","",[3]DCBase!$A251)</f>
        <v>251</v>
      </c>
      <c r="C257" s="80" t="str">
        <f>IF(propInventory[[#This Row],[myid]]="","",IF([3]DCBase!R251=0,[3]DCBase!D251&amp;"x"&amp;[3]DCBase!E251&amp;" "&amp;[3]DCBase!C251,[3]DCBase!D251&amp;"x"&amp;[3]DCBase!E251&amp;" "&amp;[3]DCBase!C251&amp;" "&amp;[3]DCBase!S251&amp;"mm"))</f>
        <v>14x8.5 APC E</v>
      </c>
      <c r="D257" s="65">
        <f>IF(propInventory[[#This Row],[myid]]="","",[3]DCBase!D251)</f>
        <v>14</v>
      </c>
      <c r="E257" s="65">
        <f>IF(propInventory[[#This Row],[myid]]="","",[3]DCBase!E251)</f>
        <v>8.5</v>
      </c>
      <c r="F257" s="66">
        <f>IF(propInventory[[#This Row],[myid]]="","",[3]DCBase!F251)</f>
        <v>53.661459999999998</v>
      </c>
      <c r="G257" s="66">
        <f>IF(propInventory[[#This Row],[myid]]="","",[3]DCBase!G251)</f>
        <v>1.995673</v>
      </c>
      <c r="H257" s="66">
        <f>IF(propInventory[[#This Row],[myid]]="","",352.98/([3]DCBase!I251+273.15)*(1-0.0000225577*[3]DCBase!H251)^5.25578)</f>
        <v>1.1845808323872669</v>
      </c>
      <c r="I257" s="56">
        <f>IF(propInventory[[#This Row],[myid]]="","",[3]DCBase!K251)</f>
        <v>0.98880789999999996</v>
      </c>
      <c r="J257" s="67">
        <f>IF(propInventory[[#This Row],[myid]]="","",[3]DCBase!L251)</f>
        <v>3.0746250000000002</v>
      </c>
      <c r="K257" s="66">
        <f>IF(propInventory[[#This Row],[myid]]="","",352.98/([3]DCBase!N251+273.15)*(1-0.0000225577*[3]DCBase!M251)^5.25578)</f>
        <v>1.1757150448105775</v>
      </c>
      <c r="O257" s="69"/>
      <c r="P257" s="69"/>
      <c r="Q257" s="69"/>
      <c r="R257" s="69"/>
    </row>
    <row r="258" spans="1:18" ht="15">
      <c r="A258" s="84">
        <f>VLOOKUP(propInventory[[#This Row],[Prop Name]],[2]!propInventory3[[Prop Name]:[Instock?]],10,FALSE)</f>
        <v>0</v>
      </c>
      <c r="B258" s="84">
        <f>IF([3]DCBase!$A252="","",[3]DCBase!$A252)</f>
        <v>252</v>
      </c>
      <c r="C258" s="80" t="str">
        <f>IF(propInventory[[#This Row],[myid]]="","",IF([3]DCBase!R252=0,[3]DCBase!D252&amp;"x"&amp;[3]DCBase!E252&amp;" "&amp;[3]DCBase!C252,[3]DCBase!D252&amp;"x"&amp;[3]DCBase!E252&amp;" "&amp;[3]DCBase!C252&amp;" "&amp;[3]DCBase!S252&amp;"mm"))</f>
        <v>13x9 APC Pattern</v>
      </c>
      <c r="D258" s="65">
        <f>IF(propInventory[[#This Row],[myid]]="","",[3]DCBase!D252)</f>
        <v>13</v>
      </c>
      <c r="E258" s="65">
        <f>IF(propInventory[[#This Row],[myid]]="","",[3]DCBase!E252)</f>
        <v>9</v>
      </c>
      <c r="F258" s="66">
        <f>IF(propInventory[[#This Row],[myid]]="","",[3]DCBase!F252)</f>
        <v>0</v>
      </c>
      <c r="G258" s="66">
        <f>IF(propInventory[[#This Row],[myid]]="","",[3]DCBase!G252)</f>
        <v>0</v>
      </c>
      <c r="H258" s="66">
        <f>IF(propInventory[[#This Row],[myid]]="","",352.98/([3]DCBase!I252+273.15)*(1-0.0000225577*[3]DCBase!H252)^5.25578)</f>
        <v>1.1757150448105775</v>
      </c>
      <c r="I258" s="56">
        <f>IF(propInventory[[#This Row],[myid]]="","",[3]DCBase!K252)</f>
        <v>0.97</v>
      </c>
      <c r="J258" s="67">
        <f>IF(propInventory[[#This Row],[myid]]="","",[3]DCBase!L252)</f>
        <v>3</v>
      </c>
      <c r="K258" s="66">
        <f>IF(propInventory[[#This Row],[myid]]="","",352.98/([3]DCBase!N252+273.15)*(1-0.0000225577*[3]DCBase!M252)^5.25578)</f>
        <v>1.1757150448105775</v>
      </c>
      <c r="O258" s="69"/>
      <c r="P258" s="69"/>
      <c r="Q258" s="69"/>
      <c r="R258" s="69"/>
    </row>
    <row r="259" spans="1:18" ht="15">
      <c r="A259" s="84">
        <f>VLOOKUP(propInventory[[#This Row],[Prop Name]],[2]!propInventory3[[Prop Name]:[Instock?]],10,FALSE)</f>
        <v>0</v>
      </c>
      <c r="B259" s="84">
        <f>IF([3]DCBase!$A253="","",[3]DCBase!$A253)</f>
        <v>253</v>
      </c>
      <c r="C259" s="80" t="str">
        <f>IF(propInventory[[#This Row],[myid]]="","",IF([3]DCBase!R253=0,[3]DCBase!D253&amp;"x"&amp;[3]DCBase!E253&amp;" "&amp;[3]DCBase!C253,[3]DCBase!D253&amp;"x"&amp;[3]DCBase!E253&amp;" "&amp;[3]DCBase!C253&amp;" "&amp;[3]DCBase!S253&amp;"mm"))</f>
        <v>12x10 APC E v2</v>
      </c>
      <c r="D259" s="65">
        <f>IF(propInventory[[#This Row],[myid]]="","",[3]DCBase!D253)</f>
        <v>12</v>
      </c>
      <c r="E259" s="65">
        <f>IF(propInventory[[#This Row],[myid]]="","",[3]DCBase!E253)</f>
        <v>10</v>
      </c>
      <c r="F259" s="66">
        <f>IF(propInventory[[#This Row],[myid]]="","",[3]DCBase!F253)</f>
        <v>22.889140000000001</v>
      </c>
      <c r="G259" s="66">
        <f>IF(propInventory[[#This Row],[myid]]="","",[3]DCBase!G253)</f>
        <v>2.1061000000000001</v>
      </c>
      <c r="H259" s="66">
        <f>IF(propInventory[[#This Row],[myid]]="","",352.98/([3]DCBase!I253+273.15)*(1-0.0000225577*[3]DCBase!H253)^5.25578)</f>
        <v>1.1952155100729527</v>
      </c>
      <c r="I259" s="56">
        <f>IF(propInventory[[#This Row],[myid]]="","",[3]DCBase!K253)</f>
        <v>0.83</v>
      </c>
      <c r="J259" s="67">
        <f>IF(propInventory[[#This Row],[myid]]="","",[3]DCBase!L253)</f>
        <v>3.05</v>
      </c>
      <c r="K259" s="66">
        <f>IF(propInventory[[#This Row],[myid]]="","",352.98/([3]DCBase!N253+273.15)*(1-0.0000225577*[3]DCBase!M253)^5.25578)</f>
        <v>1.1952155100729527</v>
      </c>
      <c r="O259" s="69"/>
      <c r="P259" s="69"/>
      <c r="Q259" s="69"/>
      <c r="R259" s="69"/>
    </row>
    <row r="260" spans="1:18" ht="15">
      <c r="A260" s="84">
        <f>VLOOKUP(propInventory[[#This Row],[Prop Name]],[2]!propInventory3[[Prop Name]:[Instock?]],10,FALSE)</f>
        <v>0</v>
      </c>
      <c r="B260" s="84">
        <f>IF([3]DCBase!$A254="","",[3]DCBase!$A254)</f>
        <v>255</v>
      </c>
      <c r="C260" s="80" t="str">
        <f>IF(propInventory[[#This Row],[myid]]="","",IF([3]DCBase!R254=0,[3]DCBase!D254&amp;"x"&amp;[3]DCBase!E254&amp;" "&amp;[3]DCBase!C254,[3]DCBase!D254&amp;"x"&amp;[3]DCBase!E254&amp;" "&amp;[3]DCBase!C254&amp;" "&amp;[3]DCBase!S254&amp;"mm"))</f>
        <v>13x6.5 AeroCarbon 55mm</v>
      </c>
      <c r="D260" s="65">
        <f>IF(propInventory[[#This Row],[myid]]="","",[3]DCBase!D254)</f>
        <v>13</v>
      </c>
      <c r="E260" s="65">
        <f>IF(propInventory[[#This Row],[myid]]="","",[3]DCBase!E254)</f>
        <v>6.5</v>
      </c>
      <c r="F260" s="66">
        <f>IF(propInventory[[#This Row],[myid]]="","",[3]DCBase!F254)</f>
        <v>0</v>
      </c>
      <c r="G260" s="66">
        <f>IF(propInventory[[#This Row],[myid]]="","",[3]DCBase!G254)</f>
        <v>0</v>
      </c>
      <c r="H260" s="66">
        <f>IF(propInventory[[#This Row],[myid]]="","",352.98/([3]DCBase!I254+273.15)*(1-0.0000225577*[3]DCBase!H254)^5.25578)</f>
        <v>1.1499467947919271</v>
      </c>
      <c r="I260" s="56">
        <f>IF(propInventory[[#This Row],[myid]]="","",[3]DCBase!K254)</f>
        <v>0.60566520000000001</v>
      </c>
      <c r="J260" s="67">
        <f>IF(propInventory[[#This Row],[myid]]="","",[3]DCBase!L254)</f>
        <v>3</v>
      </c>
      <c r="K260" s="66">
        <f>IF(propInventory[[#This Row],[myid]]="","",352.98/([3]DCBase!N254+273.15)*(1-0.0000225577*[3]DCBase!M254)^5.25578)</f>
        <v>1.1499467947919271</v>
      </c>
      <c r="O260" s="69"/>
      <c r="P260" s="69"/>
      <c r="Q260" s="69"/>
      <c r="R260" s="69"/>
    </row>
    <row r="261" spans="1:18" ht="15">
      <c r="A261" s="84">
        <f>VLOOKUP(propInventory[[#This Row],[Prop Name]],[2]!propInventory3[[Prop Name]:[Instock?]],10,FALSE)</f>
        <v>0</v>
      </c>
      <c r="B261" s="84">
        <f>IF([3]DCBase!$A255="","",[3]DCBase!$A255)</f>
        <v>256</v>
      </c>
      <c r="C261" s="80" t="str">
        <f>IF(propInventory[[#This Row],[myid]]="","",IF([3]DCBase!R255=0,[3]DCBase!D255&amp;"x"&amp;[3]DCBase!E255&amp;" "&amp;[3]DCBase!C255,[3]DCBase!D255&amp;"x"&amp;[3]DCBase!E255&amp;" "&amp;[3]DCBase!C255&amp;" "&amp;[3]DCBase!S255&amp;"mm"))</f>
        <v>10x4.5 EPP1045</v>
      </c>
      <c r="D261" s="65">
        <f>IF(propInventory[[#This Row],[myid]]="","",[3]DCBase!D255)</f>
        <v>10</v>
      </c>
      <c r="E261" s="65">
        <f>IF(propInventory[[#This Row],[myid]]="","",[3]DCBase!E255)</f>
        <v>4.5</v>
      </c>
      <c r="F261" s="66">
        <f>IF(propInventory[[#This Row],[myid]]="","",[3]DCBase!F255)</f>
        <v>14.49676</v>
      </c>
      <c r="G261" s="66">
        <f>IF(propInventory[[#This Row],[myid]]="","",[3]DCBase!G255)</f>
        <v>2.0981030000000001</v>
      </c>
      <c r="H261" s="66">
        <f>IF(propInventory[[#This Row],[myid]]="","",352.98/([3]DCBase!I255+273.15)*(1-0.0000225577*[3]DCBase!H255)^5.25578)</f>
        <v>1.1891119314921677</v>
      </c>
      <c r="I261" s="56">
        <f>IF(propInventory[[#This Row],[myid]]="","",[3]DCBase!K255)</f>
        <v>0.41214669999999998</v>
      </c>
      <c r="J261" s="67">
        <f>IF(propInventory[[#This Row],[myid]]="","",[3]DCBase!L255)</f>
        <v>3.0171519999999998</v>
      </c>
      <c r="K261" s="66">
        <f>IF(propInventory[[#This Row],[myid]]="","",352.98/([3]DCBase!N255+273.15)*(1-0.0000225577*[3]DCBase!M255)^5.25578)</f>
        <v>1.1891119314921677</v>
      </c>
      <c r="O261" s="69"/>
      <c r="P261" s="69"/>
      <c r="Q261" s="69"/>
      <c r="R261" s="69"/>
    </row>
    <row r="262" spans="1:18" ht="15">
      <c r="A262" s="84">
        <f>VLOOKUP(propInventory[[#This Row],[Prop Name]],[2]!propInventory3[[Prop Name]:[Instock?]],10,FALSE)</f>
        <v>0</v>
      </c>
      <c r="B262" s="84">
        <f>IF([3]DCBase!$A256="","",[3]DCBase!$A256)</f>
        <v>257</v>
      </c>
      <c r="C262" s="80" t="str">
        <f>IF(propInventory[[#This Row],[myid]]="","",IF([3]DCBase!R256=0,[3]DCBase!D256&amp;"x"&amp;[3]DCBase!E256&amp;" "&amp;[3]DCBase!C256,[3]DCBase!D256&amp;"x"&amp;[3]DCBase!E256&amp;" "&amp;[3]DCBase!C256&amp;" "&amp;[3]DCBase!S256&amp;"mm"))</f>
        <v>10x7 Master Airscrew std. wood</v>
      </c>
      <c r="D262" s="65">
        <f>IF(propInventory[[#This Row],[myid]]="","",[3]DCBase!D256)</f>
        <v>10</v>
      </c>
      <c r="E262" s="65">
        <f>IF(propInventory[[#This Row],[myid]]="","",[3]DCBase!E256)</f>
        <v>7</v>
      </c>
      <c r="F262" s="66">
        <f>IF(propInventory[[#This Row],[myid]]="","",[3]DCBase!F256)</f>
        <v>0</v>
      </c>
      <c r="G262" s="66">
        <f>IF(propInventory[[#This Row],[myid]]="","",[3]DCBase!G256)</f>
        <v>0</v>
      </c>
      <c r="H262" s="66">
        <f>IF(propInventory[[#This Row],[myid]]="","",352.98/([3]DCBase!I256+273.15)*(1-0.0000225577*[3]DCBase!H256)^5.25578)</f>
        <v>1.1636831664737817</v>
      </c>
      <c r="I262" s="56">
        <f>IF(propInventory[[#This Row],[myid]]="","",[3]DCBase!K256)</f>
        <v>0.3755</v>
      </c>
      <c r="J262" s="67">
        <f>IF(propInventory[[#This Row],[myid]]="","",[3]DCBase!L256)</f>
        <v>3</v>
      </c>
      <c r="K262" s="66">
        <f>IF(propInventory[[#This Row],[myid]]="","",352.98/([3]DCBase!N256+273.15)*(1-0.0000225577*[3]DCBase!M256)^5.25578)</f>
        <v>1.1636831664737817</v>
      </c>
      <c r="O262" s="69"/>
      <c r="P262" s="69"/>
      <c r="Q262" s="69"/>
      <c r="R262" s="69"/>
    </row>
    <row r="263" spans="1:18" ht="15">
      <c r="A263" s="84">
        <f>VLOOKUP(propInventory[[#This Row],[Prop Name]],[2]!propInventory3[[Prop Name]:[Instock?]],10,FALSE)</f>
        <v>0</v>
      </c>
      <c r="B263" s="84">
        <f>IF([3]DCBase!$A257="","",[3]DCBase!$A257)</f>
        <v>258</v>
      </c>
      <c r="C263" s="80" t="str">
        <f>IF(propInventory[[#This Row],[myid]]="","",IF([3]DCBase!R257=0,[3]DCBase!D257&amp;"x"&amp;[3]DCBase!E257&amp;" "&amp;[3]DCBase!C257,[3]DCBase!D257&amp;"x"&amp;[3]DCBase!E257&amp;" "&amp;[3]DCBase!C257&amp;" "&amp;[3]DCBase!S257&amp;"mm"))</f>
        <v>10x8 Master Airscrew std. wood</v>
      </c>
      <c r="D263" s="65">
        <f>IF(propInventory[[#This Row],[myid]]="","",[3]DCBase!D257)</f>
        <v>10</v>
      </c>
      <c r="E263" s="65">
        <f>IF(propInventory[[#This Row],[myid]]="","",[3]DCBase!E257)</f>
        <v>8</v>
      </c>
      <c r="F263" s="66">
        <f>IF(propInventory[[#This Row],[myid]]="","",[3]DCBase!F257)</f>
        <v>0</v>
      </c>
      <c r="G263" s="66">
        <f>IF(propInventory[[#This Row],[myid]]="","",[3]DCBase!G257)</f>
        <v>0</v>
      </c>
      <c r="H263" s="66">
        <f>IF(propInventory[[#This Row],[myid]]="","",352.98/([3]DCBase!I257+273.15)*(1-0.0000225577*[3]DCBase!H257)^5.25578)</f>
        <v>1.1636831664737817</v>
      </c>
      <c r="I263" s="56">
        <f>IF(propInventory[[#This Row],[myid]]="","",[3]DCBase!K257)</f>
        <v>0.435</v>
      </c>
      <c r="J263" s="67">
        <f>IF(propInventory[[#This Row],[myid]]="","",[3]DCBase!L257)</f>
        <v>3</v>
      </c>
      <c r="K263" s="66">
        <f>IF(propInventory[[#This Row],[myid]]="","",352.98/([3]DCBase!N257+273.15)*(1-0.0000225577*[3]DCBase!M257)^5.25578)</f>
        <v>1.1636831664737817</v>
      </c>
      <c r="O263" s="69"/>
      <c r="P263" s="69"/>
      <c r="Q263" s="69"/>
      <c r="R263" s="69"/>
    </row>
    <row r="264" spans="1:18" ht="15">
      <c r="A264" s="84">
        <f>VLOOKUP(propInventory[[#This Row],[Prop Name]],[2]!propInventory3[[Prop Name]:[Instock?]],10,FALSE)</f>
        <v>0</v>
      </c>
      <c r="B264" s="84">
        <f>IF([3]DCBase!$A258="","",[3]DCBase!$A258)</f>
        <v>259</v>
      </c>
      <c r="C264" s="80" t="str">
        <f>IF(propInventory[[#This Row],[myid]]="","",IF([3]DCBase!R258=0,[3]DCBase!D258&amp;"x"&amp;[3]DCBase!E258&amp;" "&amp;[3]DCBase!C258,[3]DCBase!D258&amp;"x"&amp;[3]DCBase!E258&amp;" "&amp;[3]DCBase!C258&amp;" "&amp;[3]DCBase!S258&amp;"mm"))</f>
        <v>11x7 Master Airscrew std. wood</v>
      </c>
      <c r="D264" s="65">
        <f>IF(propInventory[[#This Row],[myid]]="","",[3]DCBase!D258)</f>
        <v>11</v>
      </c>
      <c r="E264" s="65">
        <f>IF(propInventory[[#This Row],[myid]]="","",[3]DCBase!E258)</f>
        <v>7</v>
      </c>
      <c r="F264" s="66">
        <f>IF(propInventory[[#This Row],[myid]]="","",[3]DCBase!F258)</f>
        <v>0</v>
      </c>
      <c r="G264" s="66">
        <f>IF(propInventory[[#This Row],[myid]]="","",[3]DCBase!G258)</f>
        <v>0</v>
      </c>
      <c r="H264" s="66">
        <f>IF(propInventory[[#This Row],[myid]]="","",352.98/([3]DCBase!I258+273.15)*(1-0.0000225577*[3]DCBase!H258)^5.25578)</f>
        <v>1.1636831664737817</v>
      </c>
      <c r="I264" s="56">
        <f>IF(propInventory[[#This Row],[myid]]="","",[3]DCBase!K258)</f>
        <v>0.51500000000000001</v>
      </c>
      <c r="J264" s="67">
        <f>IF(propInventory[[#This Row],[myid]]="","",[3]DCBase!L258)</f>
        <v>3</v>
      </c>
      <c r="K264" s="66">
        <f>IF(propInventory[[#This Row],[myid]]="","",352.98/([3]DCBase!N258+273.15)*(1-0.0000225577*[3]DCBase!M258)^5.25578)</f>
        <v>1.1636831664737817</v>
      </c>
      <c r="O264" s="69"/>
      <c r="P264" s="69"/>
      <c r="Q264" s="69"/>
      <c r="R264" s="69"/>
    </row>
    <row r="265" spans="1:18" ht="15">
      <c r="A265" s="84">
        <f>VLOOKUP(propInventory[[#This Row],[Prop Name]],[2]!propInventory3[[Prop Name]:[Instock?]],10,FALSE)</f>
        <v>0</v>
      </c>
      <c r="B265" s="84">
        <f>IF([3]DCBase!$A259="","",[3]DCBase!$A259)</f>
        <v>260</v>
      </c>
      <c r="C265" s="80" t="str">
        <f>IF(propInventory[[#This Row],[myid]]="","",IF([3]DCBase!R259=0,[3]DCBase!D259&amp;"x"&amp;[3]DCBase!E259&amp;" "&amp;[3]DCBase!C259,[3]DCBase!D259&amp;"x"&amp;[3]DCBase!E259&amp;" "&amp;[3]DCBase!C259&amp;" "&amp;[3]DCBase!S259&amp;"mm"))</f>
        <v>20x13 RFM 42mm</v>
      </c>
      <c r="D265" s="65">
        <f>IF(propInventory[[#This Row],[myid]]="","",[3]DCBase!D259)</f>
        <v>20</v>
      </c>
      <c r="E265" s="65">
        <f>IF(propInventory[[#This Row],[myid]]="","",[3]DCBase!E259)</f>
        <v>13</v>
      </c>
      <c r="F265" s="66">
        <f>IF(propInventory[[#This Row],[myid]]="","",[3]DCBase!F259)</f>
        <v>0</v>
      </c>
      <c r="G265" s="66">
        <f>IF(propInventory[[#This Row],[myid]]="","",[3]DCBase!G259)</f>
        <v>0</v>
      </c>
      <c r="H265" s="66">
        <f>IF(propInventory[[#This Row],[myid]]="","",352.98/([3]DCBase!I259+273.15)*(1-0.0000225577*[3]DCBase!H259)^5.25578)</f>
        <v>1.220968625325449</v>
      </c>
      <c r="I265" s="56">
        <f>IF(propInventory[[#This Row],[myid]]="","",[3]DCBase!K259)</f>
        <v>8.3721829999999997</v>
      </c>
      <c r="J265" s="67">
        <f>IF(propInventory[[#This Row],[myid]]="","",[3]DCBase!L259)</f>
        <v>3</v>
      </c>
      <c r="K265" s="66">
        <f>IF(propInventory[[#This Row],[myid]]="","",352.98/([3]DCBase!N259+273.15)*(1-0.0000225577*[3]DCBase!M259)^5.25578)</f>
        <v>1.1814273550371019</v>
      </c>
      <c r="O265" s="69"/>
      <c r="P265" s="69"/>
      <c r="Q265" s="69"/>
      <c r="R265" s="69"/>
    </row>
    <row r="266" spans="1:18" ht="15">
      <c r="A266" s="84">
        <f>VLOOKUP(propInventory[[#This Row],[Prop Name]],[2]!propInventory3[[Prop Name]:[Instock?]],10,FALSE)</f>
        <v>0</v>
      </c>
      <c r="B266" s="84">
        <f>IF([3]DCBase!$A260="","",[3]DCBase!$A260)</f>
        <v>261</v>
      </c>
      <c r="C266" s="80" t="str">
        <f>IF(propInventory[[#This Row],[myid]]="","",IF([3]DCBase!R260=0,[3]DCBase!D260&amp;"x"&amp;[3]DCBase!E260&amp;" "&amp;[3]DCBase!C260,[3]DCBase!D260&amp;"x"&amp;[3]DCBase!E260&amp;" "&amp;[3]DCBase!C260&amp;" "&amp;[3]DCBase!S260&amp;"mm"))</f>
        <v>15x8 APC E</v>
      </c>
      <c r="D266" s="65">
        <f>IF(propInventory[[#This Row],[myid]]="","",[3]DCBase!D260)</f>
        <v>15</v>
      </c>
      <c r="E266" s="65">
        <f>IF(propInventory[[#This Row],[myid]]="","",[3]DCBase!E260)</f>
        <v>8</v>
      </c>
      <c r="F266" s="66">
        <f>IF(propInventory[[#This Row],[myid]]="","",[3]DCBase!F260)</f>
        <v>44.215609999999998</v>
      </c>
      <c r="G266" s="66">
        <f>IF(propInventory[[#This Row],[myid]]="","",[3]DCBase!G260)</f>
        <v>2.2879239999999998</v>
      </c>
      <c r="H266" s="66">
        <f>IF(propInventory[[#This Row],[myid]]="","",352.98/([3]DCBase!I260+273.15)*(1-0.0000225577*[3]DCBase!H260)^5.25578)</f>
        <v>1.2249869859448206</v>
      </c>
      <c r="I266" s="56">
        <f>IF(propInventory[[#This Row],[myid]]="","",[3]DCBase!K260)</f>
        <v>1.789113</v>
      </c>
      <c r="J266" s="67">
        <f>IF(propInventory[[#This Row],[myid]]="","",[3]DCBase!L260)</f>
        <v>3</v>
      </c>
      <c r="K266" s="66">
        <f>IF(propInventory[[#This Row],[myid]]="","",352.98/([3]DCBase!N260+273.15)*(1-0.0000225577*[3]DCBase!M260)^5.25578)</f>
        <v>1.182130401350806</v>
      </c>
      <c r="O266" s="69"/>
      <c r="P266" s="69"/>
      <c r="Q266" s="69"/>
      <c r="R266" s="69"/>
    </row>
    <row r="267" spans="1:18" ht="15">
      <c r="A267" s="84">
        <f>VLOOKUP(propInventory[[#This Row],[Prop Name]],[2]!propInventory3[[Prop Name]:[Instock?]],10,FALSE)</f>
        <v>0</v>
      </c>
      <c r="B267" s="84">
        <f>IF([3]DCBase!$A261="","",[3]DCBase!$A261)</f>
        <v>262</v>
      </c>
      <c r="C267" s="80" t="str">
        <f>IF(propInventory[[#This Row],[myid]]="","",IF([3]DCBase!R261=0,[3]DCBase!D261&amp;"x"&amp;[3]DCBase!E261&amp;" "&amp;[3]DCBase!C261,[3]DCBase!D261&amp;"x"&amp;[3]DCBase!E261&amp;" "&amp;[3]DCBase!C261&amp;" "&amp;[3]DCBase!S261&amp;"mm"))</f>
        <v>16x8 APC E</v>
      </c>
      <c r="D267" s="65">
        <f>IF(propInventory[[#This Row],[myid]]="","",[3]DCBase!D261)</f>
        <v>16</v>
      </c>
      <c r="E267" s="65">
        <f>IF(propInventory[[#This Row],[myid]]="","",[3]DCBase!E261)</f>
        <v>8</v>
      </c>
      <c r="F267" s="66">
        <f>IF(propInventory[[#This Row],[myid]]="","",[3]DCBase!F261)</f>
        <v>62.980809999999998</v>
      </c>
      <c r="G267" s="66">
        <f>IF(propInventory[[#This Row],[myid]]="","",[3]DCBase!G261)</f>
        <v>2.2697590000000001</v>
      </c>
      <c r="H267" s="66">
        <f>IF(propInventory[[#This Row],[myid]]="","",352.98/([3]DCBase!I261+273.15)*(1-0.0000225577*[3]DCBase!H261)^5.25578)</f>
        <v>1.2249869859448206</v>
      </c>
      <c r="I267" s="56">
        <f>IF(propInventory[[#This Row],[myid]]="","",[3]DCBase!K261)</f>
        <v>1.5368219999999999</v>
      </c>
      <c r="J267" s="67">
        <f>IF(propInventory[[#This Row],[myid]]="","",[3]DCBase!L261)</f>
        <v>3.1989299999999998</v>
      </c>
      <c r="K267" s="66">
        <f>IF(propInventory[[#This Row],[myid]]="","",352.98/([3]DCBase!N261+273.15)*(1-0.0000225577*[3]DCBase!M261)^5.25578)</f>
        <v>1.182130401350806</v>
      </c>
      <c r="O267" s="69"/>
      <c r="P267" s="69"/>
      <c r="Q267" s="69"/>
      <c r="R267" s="69"/>
    </row>
    <row r="268" spans="1:18" ht="15">
      <c r="A268" s="84">
        <f>VLOOKUP(propInventory[[#This Row],[Prop Name]],[2]!propInventory3[[Prop Name]:[Instock?]],10,FALSE)</f>
        <v>0</v>
      </c>
      <c r="B268" s="84">
        <f>IF([3]DCBase!$A262="","",[3]DCBase!$A262)</f>
        <v>263</v>
      </c>
      <c r="C268" s="80" t="str">
        <f>IF(propInventory[[#This Row],[myid]]="","",IF([3]DCBase!R262=0,[3]DCBase!D262&amp;"x"&amp;[3]DCBase!E262&amp;" "&amp;[3]DCBase!C262,[3]DCBase!D262&amp;"x"&amp;[3]DCBase!E262&amp;" "&amp;[3]DCBase!C262&amp;" "&amp;[3]DCBase!S262&amp;"mm"))</f>
        <v>16x16 RFM CFK 47mm</v>
      </c>
      <c r="D268" s="65">
        <f>IF(propInventory[[#This Row],[myid]]="","",[3]DCBase!D262)</f>
        <v>16</v>
      </c>
      <c r="E268" s="65">
        <f>IF(propInventory[[#This Row],[myid]]="","",[3]DCBase!E262)</f>
        <v>16</v>
      </c>
      <c r="F268" s="66">
        <f>IF(propInventory[[#This Row],[myid]]="","",[3]DCBase!F262)</f>
        <v>0</v>
      </c>
      <c r="G268" s="66">
        <f>IF(propInventory[[#This Row],[myid]]="","",[3]DCBase!G262)</f>
        <v>0</v>
      </c>
      <c r="H268" s="66">
        <f>IF(propInventory[[#This Row],[myid]]="","",352.98/([3]DCBase!I262+273.15)*(1-0.0000225577*[3]DCBase!H262)^5.25578)</f>
        <v>1.2249869859448206</v>
      </c>
      <c r="I268" s="56">
        <f>IF(propInventory[[#This Row],[myid]]="","",[3]DCBase!K262)</f>
        <v>7.85</v>
      </c>
      <c r="J268" s="67">
        <f>IF(propInventory[[#This Row],[myid]]="","",[3]DCBase!L262)</f>
        <v>2.85</v>
      </c>
      <c r="K268" s="66">
        <f>IF(propInventory[[#This Row],[myid]]="","",352.98/([3]DCBase!N262+273.15)*(1-0.0000225577*[3]DCBase!M262)^5.25578)</f>
        <v>1.2249869859448206</v>
      </c>
      <c r="O268" s="69"/>
      <c r="P268" s="69"/>
      <c r="Q268" s="69"/>
      <c r="R268" s="69"/>
    </row>
    <row r="269" spans="1:18" ht="15">
      <c r="A269" s="84">
        <f>VLOOKUP(propInventory[[#This Row],[Prop Name]],[2]!propInventory3[[Prop Name]:[Instock?]],10,FALSE)</f>
        <v>0</v>
      </c>
      <c r="B269" s="84">
        <f>IF([3]DCBase!$A263="","",[3]DCBase!$A263)</f>
        <v>264</v>
      </c>
      <c r="C269" s="80" t="str">
        <f>IF(propInventory[[#This Row],[myid]]="","",IF([3]DCBase!R263=0,[3]DCBase!D263&amp;"x"&amp;[3]DCBase!E263&amp;" "&amp;[3]DCBase!C263,[3]DCBase!D263&amp;"x"&amp;[3]DCBase!E263&amp;" "&amp;[3]DCBase!C263&amp;" "&amp;[3]DCBase!S263&amp;"mm"))</f>
        <v>17x8 APC E</v>
      </c>
      <c r="D269" s="65">
        <f>IF(propInventory[[#This Row],[myid]]="","",[3]DCBase!D263)</f>
        <v>17</v>
      </c>
      <c r="E269" s="65">
        <f>IF(propInventory[[#This Row],[myid]]="","",[3]DCBase!E263)</f>
        <v>8</v>
      </c>
      <c r="F269" s="66">
        <f>IF(propInventory[[#This Row],[myid]]="","",[3]DCBase!F263)</f>
        <v>0</v>
      </c>
      <c r="G269" s="66">
        <f>IF(propInventory[[#This Row],[myid]]="","",[3]DCBase!G263)</f>
        <v>0</v>
      </c>
      <c r="H269" s="66">
        <f>IF(propInventory[[#This Row],[myid]]="","",352.98/([3]DCBase!I263+273.15)*(1-0.0000225577*[3]DCBase!H263)^5.25578)</f>
        <v>1.2249869859448206</v>
      </c>
      <c r="I269" s="56">
        <f>IF(propInventory[[#This Row],[myid]]="","",[3]DCBase!K263)</f>
        <v>1.40916</v>
      </c>
      <c r="J269" s="67">
        <f>IF(propInventory[[#This Row],[myid]]="","",[3]DCBase!L263)</f>
        <v>3.3264999999999998</v>
      </c>
      <c r="K269" s="66">
        <f>IF(propInventory[[#This Row],[myid]]="","",352.98/([3]DCBase!N263+273.15)*(1-0.0000225577*[3]DCBase!M263)^5.25578)</f>
        <v>1.2249869859448206</v>
      </c>
      <c r="O269" s="69"/>
      <c r="P269" s="69"/>
      <c r="Q269" s="69"/>
      <c r="R269" s="69"/>
    </row>
    <row r="270" spans="1:18" ht="15">
      <c r="A270" s="84">
        <f>VLOOKUP(propInventory[[#This Row],[Prop Name]],[2]!propInventory3[[Prop Name]:[Instock?]],10,FALSE)</f>
        <v>0</v>
      </c>
      <c r="B270" s="84">
        <f>IF([3]DCBase!$A264="","",[3]DCBase!$A264)</f>
        <v>265</v>
      </c>
      <c r="C270" s="80" t="str">
        <f>IF(propInventory[[#This Row],[myid]]="","",IF([3]DCBase!R264=0,[3]DCBase!D264&amp;"x"&amp;[3]DCBase!E264&amp;" "&amp;[3]DCBase!C264,[3]DCBase!D264&amp;"x"&amp;[3]DCBase!E264&amp;" "&amp;[3]DCBase!C264&amp;" "&amp;[3]DCBase!S264&amp;"mm"))</f>
        <v>20x10 APC E</v>
      </c>
      <c r="D270" s="65">
        <f>IF(propInventory[[#This Row],[myid]]="","",[3]DCBase!D264)</f>
        <v>20</v>
      </c>
      <c r="E270" s="65">
        <f>IF(propInventory[[#This Row],[myid]]="","",[3]DCBase!E264)</f>
        <v>10</v>
      </c>
      <c r="F270" s="66">
        <f>IF(propInventory[[#This Row],[myid]]="","",[3]DCBase!F264)</f>
        <v>139.5779</v>
      </c>
      <c r="G270" s="66">
        <f>IF(propInventory[[#This Row],[myid]]="","",[3]DCBase!G264)</f>
        <v>2.2717239999999999</v>
      </c>
      <c r="H270" s="66">
        <f>IF(propInventory[[#This Row],[myid]]="","",352.98/([3]DCBase!I264+273.15)*(1-0.0000225577*[3]DCBase!H264)^5.25578)</f>
        <v>1.2249869859448206</v>
      </c>
      <c r="I270" s="56">
        <f>IF(propInventory[[#This Row],[myid]]="","",[3]DCBase!K264)</f>
        <v>6.2266709999999996</v>
      </c>
      <c r="J270" s="67">
        <f>IF(propInventory[[#This Row],[myid]]="","",[3]DCBase!L264)</f>
        <v>3</v>
      </c>
      <c r="K270" s="66">
        <f>IF(propInventory[[#This Row],[myid]]="","",352.98/([3]DCBase!N264+273.15)*(1-0.0000225577*[3]DCBase!M264)^5.25578)</f>
        <v>1.2249869859448206</v>
      </c>
      <c r="O270" s="69"/>
      <c r="P270" s="69"/>
      <c r="Q270" s="69"/>
      <c r="R270" s="69"/>
    </row>
    <row r="271" spans="1:18" ht="15">
      <c r="A271" s="84">
        <f>VLOOKUP(propInventory[[#This Row],[Prop Name]],[2]!propInventory3[[Prop Name]:[Instock?]],10,FALSE)</f>
        <v>0</v>
      </c>
      <c r="B271" s="84">
        <f>IF([3]DCBase!$A265="","",[3]DCBase!$A265)</f>
        <v>266</v>
      </c>
      <c r="C271" s="80" t="str">
        <f>IF(propInventory[[#This Row],[myid]]="","",IF([3]DCBase!R265=0,[3]DCBase!D265&amp;"x"&amp;[3]DCBase!E265&amp;" "&amp;[3]DCBase!C265,[3]DCBase!D265&amp;"x"&amp;[3]DCBase!E265&amp;" "&amp;[3]DCBase!C265&amp;" "&amp;[3]DCBase!S265&amp;"mm"))</f>
        <v>17x10 APC E</v>
      </c>
      <c r="D271" s="65">
        <f>IF(propInventory[[#This Row],[myid]]="","",[3]DCBase!D265)</f>
        <v>17</v>
      </c>
      <c r="E271" s="65">
        <f>IF(propInventory[[#This Row],[myid]]="","",[3]DCBase!E265)</f>
        <v>10</v>
      </c>
      <c r="F271" s="66">
        <f>IF(propInventory[[#This Row],[myid]]="","",[3]DCBase!F265)</f>
        <v>0</v>
      </c>
      <c r="G271" s="66">
        <f>IF(propInventory[[#This Row],[myid]]="","",[3]DCBase!G265)</f>
        <v>0</v>
      </c>
      <c r="H271" s="66">
        <f>IF(propInventory[[#This Row],[myid]]="","",352.98/([3]DCBase!I265+273.15)*(1-0.0000225577*[3]DCBase!H265)^5.25578)</f>
        <v>1.2249869859448206</v>
      </c>
      <c r="I271" s="56">
        <f>IF(propInventory[[#This Row],[myid]]="","",[3]DCBase!K265)</f>
        <v>2.205101</v>
      </c>
      <c r="J271" s="67">
        <f>IF(propInventory[[#This Row],[myid]]="","",[3]DCBase!L265)</f>
        <v>3.2270910000000002</v>
      </c>
      <c r="K271" s="66">
        <f>IF(propInventory[[#This Row],[myid]]="","",352.98/([3]DCBase!N265+273.15)*(1-0.0000225577*[3]DCBase!M265)^5.25578)</f>
        <v>1.2249869859448206</v>
      </c>
      <c r="O271" s="69"/>
      <c r="P271" s="69"/>
      <c r="Q271" s="69"/>
      <c r="R271" s="69"/>
    </row>
    <row r="272" spans="1:18" ht="15">
      <c r="A272" s="84">
        <f>VLOOKUP(propInventory[[#This Row],[Prop Name]],[2]!propInventory3[[Prop Name]:[Instock?]],10,FALSE)</f>
        <v>0</v>
      </c>
      <c r="B272" s="84">
        <f>IF([3]DCBase!$A266="","",[3]DCBase!$A266)</f>
        <v>268</v>
      </c>
      <c r="C272" s="80" t="str">
        <f>IF(propInventory[[#This Row],[myid]]="","",IF([3]DCBase!R266=0,[3]DCBase!D266&amp;"x"&amp;[3]DCBase!E266&amp;" "&amp;[3]DCBase!C266,[3]DCBase!D266&amp;"x"&amp;[3]DCBase!E266&amp;" "&amp;[3]DCBase!C266&amp;" "&amp;[3]DCBase!S266&amp;"mm"))</f>
        <v>17x10 CFK Folder 42mm</v>
      </c>
      <c r="D272" s="65">
        <f>IF(propInventory[[#This Row],[myid]]="","",[3]DCBase!D266)</f>
        <v>17</v>
      </c>
      <c r="E272" s="65">
        <f>IF(propInventory[[#This Row],[myid]]="","",[3]DCBase!E266)</f>
        <v>10</v>
      </c>
      <c r="F272" s="66">
        <f>IF(propInventory[[#This Row],[myid]]="","",[3]DCBase!F266)</f>
        <v>94.932959999999994</v>
      </c>
      <c r="G272" s="66">
        <f>IF(propInventory[[#This Row],[myid]]="","",[3]DCBase!G266)</f>
        <v>2.1126529999999999</v>
      </c>
      <c r="H272" s="66">
        <f>IF(propInventory[[#This Row],[myid]]="","",352.98/([3]DCBase!I266+273.15)*(1-0.0000225577*[3]DCBase!H266)^5.25578)</f>
        <v>1.2249869859448206</v>
      </c>
      <c r="I272" s="56">
        <f>IF(propInventory[[#This Row],[myid]]="","",[3]DCBase!K266)</f>
        <v>3.7314400000000001</v>
      </c>
      <c r="J272" s="67">
        <f>IF(propInventory[[#This Row],[myid]]="","",[3]DCBase!L266)</f>
        <v>2.96</v>
      </c>
      <c r="K272" s="66">
        <f>IF(propInventory[[#This Row],[myid]]="","",352.98/([3]DCBase!N266+273.15)*(1-0.0000225577*[3]DCBase!M266)^5.25578)</f>
        <v>1.2249869859448206</v>
      </c>
      <c r="O272" s="69"/>
      <c r="P272" s="69"/>
      <c r="Q272" s="69"/>
      <c r="R272" s="69"/>
    </row>
    <row r="273" spans="1:18" ht="15">
      <c r="A273" s="84">
        <f>VLOOKUP(propInventory[[#This Row],[Prop Name]],[2]!propInventory3[[Prop Name]:[Instock?]],10,FALSE)</f>
        <v>0</v>
      </c>
      <c r="B273" s="84">
        <f>IF([3]DCBase!$A267="","",[3]DCBase!$A267)</f>
        <v>269</v>
      </c>
      <c r="C273" s="80" t="str">
        <f>IF(propInventory[[#This Row],[myid]]="","",IF([3]DCBase!R267=0,[3]DCBase!D267&amp;"x"&amp;[3]DCBase!E267&amp;" "&amp;[3]DCBase!C267,[3]DCBase!D267&amp;"x"&amp;[3]DCBase!E267&amp;" "&amp;[3]DCBase!C267&amp;" "&amp;[3]DCBase!S267&amp;"mm"))</f>
        <v>9.5x5 AeroCarbon 45mm</v>
      </c>
      <c r="D273" s="65">
        <f>IF(propInventory[[#This Row],[myid]]="","",[3]DCBase!D267)</f>
        <v>9.5</v>
      </c>
      <c r="E273" s="65">
        <f>IF(propInventory[[#This Row],[myid]]="","",[3]DCBase!E267)</f>
        <v>5</v>
      </c>
      <c r="F273" s="66">
        <f>IF(propInventory[[#This Row],[myid]]="","",[3]DCBase!F267)</f>
        <v>0</v>
      </c>
      <c r="G273" s="66">
        <f>IF(propInventory[[#This Row],[myid]]="","",[3]DCBase!G267)</f>
        <v>0</v>
      </c>
      <c r="H273" s="66">
        <f>IF(propInventory[[#This Row],[myid]]="","",352.98/([3]DCBase!I267+273.15)*(1-0.0000225577*[3]DCBase!H267)^5.25578)</f>
        <v>1.2249869859448206</v>
      </c>
      <c r="I273" s="56">
        <f>IF(propInventory[[#This Row],[myid]]="","",[3]DCBase!K267)</f>
        <v>0.16538839999999999</v>
      </c>
      <c r="J273" s="67">
        <f>IF(propInventory[[#This Row],[myid]]="","",[3]DCBase!L267)</f>
        <v>3</v>
      </c>
      <c r="K273" s="66">
        <f>IF(propInventory[[#This Row],[myid]]="","",352.98/([3]DCBase!N267+273.15)*(1-0.0000225577*[3]DCBase!M267)^5.25578)</f>
        <v>1.2249869859448206</v>
      </c>
      <c r="O273" s="69"/>
      <c r="P273" s="69"/>
      <c r="Q273" s="69"/>
      <c r="R273" s="69"/>
    </row>
    <row r="274" spans="1:18" ht="15">
      <c r="A274" s="84">
        <f>VLOOKUP(propInventory[[#This Row],[Prop Name]],[2]!propInventory3[[Prop Name]:[Instock?]],10,FALSE)</f>
        <v>0</v>
      </c>
      <c r="B274" s="84">
        <f>IF([3]DCBase!$A268="","",[3]DCBase!$A268)</f>
        <v>270</v>
      </c>
      <c r="C274" s="80" t="str">
        <f>IF(propInventory[[#This Row],[myid]]="","",IF([3]DCBase!R268=0,[3]DCBase!D268&amp;"x"&amp;[3]DCBase!E268&amp;" "&amp;[3]DCBase!C268,[3]DCBase!D268&amp;"x"&amp;[3]DCBase!E268&amp;" "&amp;[3]DCBase!C268&amp;" "&amp;[3]DCBase!S268&amp;"mm"))</f>
        <v>4.7x4.25 APC E</v>
      </c>
      <c r="D274" s="65">
        <f>IF(propInventory[[#This Row],[myid]]="","",[3]DCBase!D268)</f>
        <v>4.7</v>
      </c>
      <c r="E274" s="65">
        <f>IF(propInventory[[#This Row],[myid]]="","",[3]DCBase!E268)</f>
        <v>4.25</v>
      </c>
      <c r="F274" s="66">
        <f>IF(propInventory[[#This Row],[myid]]="","",[3]DCBase!F268)</f>
        <v>0.44038040000000001</v>
      </c>
      <c r="G274" s="66">
        <f>IF(propInventory[[#This Row],[myid]]="","",[3]DCBase!G268)</f>
        <v>2.2523930000000001</v>
      </c>
      <c r="H274" s="66">
        <f>IF(propInventory[[#This Row],[myid]]="","",352.98/([3]DCBase!I268+273.15)*(1-0.0000225577*[3]DCBase!H268)^5.25578)</f>
        <v>1.2249869859448206</v>
      </c>
      <c r="I274" s="56">
        <f>IF(propInventory[[#This Row],[myid]]="","",[3]DCBase!K268)</f>
        <v>1.0091899999999999E-2</v>
      </c>
      <c r="J274" s="67">
        <f>IF(propInventory[[#This Row],[myid]]="","",[3]DCBase!L268)</f>
        <v>3.0836320000000002</v>
      </c>
      <c r="K274" s="66">
        <f>IF(propInventory[[#This Row],[myid]]="","",352.98/([3]DCBase!N268+273.15)*(1-0.0000225577*[3]DCBase!M268)^5.25578)</f>
        <v>1.1405426994382752</v>
      </c>
      <c r="O274" s="69"/>
      <c r="P274" s="69"/>
      <c r="Q274" s="69"/>
      <c r="R274" s="69"/>
    </row>
    <row r="275" spans="1:18" ht="15">
      <c r="A275" s="84">
        <f>VLOOKUP(propInventory[[#This Row],[Prop Name]],[2]!propInventory3[[Prop Name]:[Instock?]],10,FALSE)</f>
        <v>0</v>
      </c>
      <c r="B275" s="84">
        <f>IF([3]DCBase!$A269="","",[3]DCBase!$A269)</f>
        <v>272</v>
      </c>
      <c r="C275" s="80" t="str">
        <f>IF(propInventory[[#This Row],[myid]]="","",IF([3]DCBase!R269=0,[3]DCBase!D269&amp;"x"&amp;[3]DCBase!E269&amp;" "&amp;[3]DCBase!C269,[3]DCBase!D269&amp;"x"&amp;[3]DCBase!E269&amp;" "&amp;[3]DCBase!C269&amp;" "&amp;[3]DCBase!S269&amp;"mm"))</f>
        <v>9x7 AeroCAM 38mm</v>
      </c>
      <c r="D275" s="65">
        <f>IF(propInventory[[#This Row],[myid]]="","",[3]DCBase!D269)</f>
        <v>9</v>
      </c>
      <c r="E275" s="65">
        <f>IF(propInventory[[#This Row],[myid]]="","",[3]DCBase!E269)</f>
        <v>7</v>
      </c>
      <c r="F275" s="66">
        <f>IF(propInventory[[#This Row],[myid]]="","",[3]DCBase!F269)</f>
        <v>0</v>
      </c>
      <c r="G275" s="66">
        <f>IF(propInventory[[#This Row],[myid]]="","",[3]DCBase!G269)</f>
        <v>0</v>
      </c>
      <c r="H275" s="66">
        <f>IF(propInventory[[#This Row],[myid]]="","",352.98/([3]DCBase!I269+273.15)*(1-0.0000225577*[3]DCBase!H269)^5.25578)</f>
        <v>1.2249869859448206</v>
      </c>
      <c r="I275" s="56">
        <f>IF(propInventory[[#This Row],[myid]]="","",[3]DCBase!K269)</f>
        <v>0.2251264</v>
      </c>
      <c r="J275" s="67">
        <f>IF(propInventory[[#This Row],[myid]]="","",[3]DCBase!L269)</f>
        <v>3</v>
      </c>
      <c r="K275" s="66">
        <f>IF(propInventory[[#This Row],[myid]]="","",352.98/([3]DCBase!N269+273.15)*(1-0.0000225577*[3]DCBase!M269)^5.25578)</f>
        <v>1.139859749672564</v>
      </c>
      <c r="O275" s="69"/>
      <c r="P275" s="69"/>
      <c r="Q275" s="69"/>
      <c r="R275" s="69"/>
    </row>
    <row r="276" spans="1:18" ht="15">
      <c r="A276" s="84">
        <f>VLOOKUP(propInventory[[#This Row],[Prop Name]],[2]!propInventory3[[Prop Name]:[Instock?]],10,FALSE)</f>
        <v>0</v>
      </c>
      <c r="B276" s="84">
        <f>IF([3]DCBase!$A270="","",[3]DCBase!$A270)</f>
        <v>273</v>
      </c>
      <c r="C276" s="80" t="str">
        <f>IF(propInventory[[#This Row],[myid]]="","",IF([3]DCBase!R270=0,[3]DCBase!D270&amp;"x"&amp;[3]DCBase!E270&amp;" "&amp;[3]DCBase!C270,[3]DCBase!D270&amp;"x"&amp;[3]DCBase!E270&amp;" "&amp;[3]DCBase!C270&amp;" "&amp;[3]DCBase!S270&amp;"mm"))</f>
        <v>9x6 Graupner CAM Folder 38mm</v>
      </c>
      <c r="D276" s="65">
        <f>IF(propInventory[[#This Row],[myid]]="","",[3]DCBase!D270)</f>
        <v>9</v>
      </c>
      <c r="E276" s="65">
        <f>IF(propInventory[[#This Row],[myid]]="","",[3]DCBase!E270)</f>
        <v>6</v>
      </c>
      <c r="F276" s="66">
        <f>IF(propInventory[[#This Row],[myid]]="","",[3]DCBase!F270)</f>
        <v>0</v>
      </c>
      <c r="G276" s="66">
        <f>IF(propInventory[[#This Row],[myid]]="","",[3]DCBase!G270)</f>
        <v>0</v>
      </c>
      <c r="H276" s="66">
        <f>IF(propInventory[[#This Row],[myid]]="","",352.98/([3]DCBase!I270+273.15)*(1-0.0000225577*[3]DCBase!H270)^5.25578)</f>
        <v>1.2249869859448206</v>
      </c>
      <c r="I276" s="56">
        <f>IF(propInventory[[#This Row],[myid]]="","",[3]DCBase!K270)</f>
        <v>0.13935439999999999</v>
      </c>
      <c r="J276" s="67">
        <f>IF(propInventory[[#This Row],[myid]]="","",[3]DCBase!L270)</f>
        <v>3</v>
      </c>
      <c r="K276" s="66">
        <f>IF(propInventory[[#This Row],[myid]]="","",352.98/([3]DCBase!N270+273.15)*(1-0.0000225577*[3]DCBase!M270)^5.25578)</f>
        <v>1.139859749672564</v>
      </c>
      <c r="O276" s="69"/>
      <c r="P276" s="69"/>
      <c r="Q276" s="69"/>
      <c r="R276" s="69"/>
    </row>
    <row r="277" spans="1:18" ht="15">
      <c r="A277" s="84">
        <f>VLOOKUP(propInventory[[#This Row],[Prop Name]],[2]!propInventory3[[Prop Name]:[Instock?]],10,FALSE)</f>
        <v>0</v>
      </c>
      <c r="B277" s="84">
        <f>IF([3]DCBase!$A271="","",[3]DCBase!$A271)</f>
        <v>274</v>
      </c>
      <c r="C277" s="80" t="str">
        <f>IF(propInventory[[#This Row],[myid]]="","",IF([3]DCBase!R271=0,[3]DCBase!D271&amp;"x"&amp;[3]DCBase!E271&amp;" "&amp;[3]DCBase!C271,[3]DCBase!D271&amp;"x"&amp;[3]DCBase!E271&amp;" "&amp;[3]DCBase!C271&amp;" "&amp;[3]DCBase!S271&amp;"mm"))</f>
        <v>13x6 APC E</v>
      </c>
      <c r="D277" s="65">
        <f>IF(propInventory[[#This Row],[myid]]="","",[3]DCBase!D271)</f>
        <v>13</v>
      </c>
      <c r="E277" s="65">
        <f>IF(propInventory[[#This Row],[myid]]="","",[3]DCBase!E271)</f>
        <v>6</v>
      </c>
      <c r="F277" s="66">
        <f>IF(propInventory[[#This Row],[myid]]="","",[3]DCBase!F271)</f>
        <v>0</v>
      </c>
      <c r="G277" s="66">
        <f>IF(propInventory[[#This Row],[myid]]="","",[3]DCBase!G271)</f>
        <v>0</v>
      </c>
      <c r="H277" s="66">
        <f>IF(propInventory[[#This Row],[myid]]="","",352.98/([3]DCBase!I271+273.15)*(1-0.0000225577*[3]DCBase!H271)^5.25578)</f>
        <v>1.2249869859448206</v>
      </c>
      <c r="I277" s="56">
        <f>IF(propInventory[[#This Row],[myid]]="","",[3]DCBase!K271)</f>
        <v>0.66516120000000001</v>
      </c>
      <c r="J277" s="67">
        <f>IF(propInventory[[#This Row],[myid]]="","",[3]DCBase!L271)</f>
        <v>3</v>
      </c>
      <c r="K277" s="66">
        <f>IF(propInventory[[#This Row],[myid]]="","",352.98/([3]DCBase!N271+273.15)*(1-0.0000225577*[3]DCBase!M271)^5.25578)</f>
        <v>1.2922570016474466</v>
      </c>
      <c r="O277" s="69"/>
      <c r="P277" s="69"/>
      <c r="Q277" s="69"/>
      <c r="R277" s="69"/>
    </row>
    <row r="278" spans="1:18" ht="15">
      <c r="A278" s="84">
        <f>VLOOKUP(propInventory[[#This Row],[Prop Name]],[2]!propInventory3[[Prop Name]:[Instock?]],10,FALSE)</f>
        <v>0</v>
      </c>
      <c r="B278" s="84">
        <f>IF([3]DCBase!$A272="","",[3]DCBase!$A272)</f>
        <v>275</v>
      </c>
      <c r="C278" s="80" t="str">
        <f>IF(propInventory[[#This Row],[myid]]="","",IF([3]DCBase!R272=0,[3]DCBase!D272&amp;"x"&amp;[3]DCBase!E272&amp;" "&amp;[3]DCBase!C272,[3]DCBase!D272&amp;"x"&amp;[3]DCBase!E272&amp;" "&amp;[3]DCBase!C272&amp;" "&amp;[3]DCBase!S272&amp;"mm"))</f>
        <v>18x10 CAM Folder 40mm</v>
      </c>
      <c r="D278" s="65">
        <f>IF(propInventory[[#This Row],[myid]]="","",[3]DCBase!D272)</f>
        <v>18</v>
      </c>
      <c r="E278" s="65">
        <f>IF(propInventory[[#This Row],[myid]]="","",[3]DCBase!E272)</f>
        <v>10</v>
      </c>
      <c r="F278" s="66">
        <f>IF(propInventory[[#This Row],[myid]]="","",[3]DCBase!F272)</f>
        <v>80.796580000000006</v>
      </c>
      <c r="G278" s="66">
        <f>IF(propInventory[[#This Row],[myid]]="","",[3]DCBase!G272)</f>
        <v>2.159627</v>
      </c>
      <c r="H278" s="66">
        <f>IF(propInventory[[#This Row],[myid]]="","",352.98/([3]DCBase!I272+273.15)*(1-0.0000225577*[3]DCBase!H272)^5.25578)</f>
        <v>1.2102102734912141</v>
      </c>
      <c r="I278" s="56">
        <f>IF(propInventory[[#This Row],[myid]]="","",[3]DCBase!K272)</f>
        <v>2.7946140000000002</v>
      </c>
      <c r="J278" s="67">
        <f>IF(propInventory[[#This Row],[myid]]="","",[3]DCBase!L272)</f>
        <v>3.05</v>
      </c>
      <c r="K278" s="66">
        <f>IF(propInventory[[#This Row],[myid]]="","",352.98/([3]DCBase!N272+273.15)*(1-0.0000225577*[3]DCBase!M272)^5.25578)</f>
        <v>1.2102102734912141</v>
      </c>
      <c r="O278" s="69"/>
      <c r="P278" s="69"/>
      <c r="Q278" s="69"/>
      <c r="R278" s="69"/>
    </row>
    <row r="279" spans="1:18" ht="15">
      <c r="A279" s="84">
        <f>VLOOKUP(propInventory[[#This Row],[Prop Name]],[2]!propInventory3[[Prop Name]:[Instock?]],10,FALSE)</f>
        <v>1</v>
      </c>
      <c r="B279" s="84">
        <f>IF([3]DCBase!$A273="","",[3]DCBase!$A273)</f>
        <v>276</v>
      </c>
      <c r="C279" s="80" t="str">
        <f>IF(propInventory[[#This Row],[myid]]="","",IF([3]DCBase!R273=0,[3]DCBase!D273&amp;"x"&amp;[3]DCBase!E273&amp;" "&amp;[3]DCBase!C273,[3]DCBase!D273&amp;"x"&amp;[3]DCBase!E273&amp;" "&amp;[3]DCBase!C273&amp;" "&amp;[3]DCBase!S273&amp;"mm"))</f>
        <v>5.2x5.2 GrpCamSpeed</v>
      </c>
      <c r="D279" s="65">
        <f>IF(propInventory[[#This Row],[myid]]="","",[3]DCBase!D273)</f>
        <v>5.2</v>
      </c>
      <c r="E279" s="65">
        <f>IF(propInventory[[#This Row],[myid]]="","",[3]DCBase!E273)</f>
        <v>5.2</v>
      </c>
      <c r="F279" s="66">
        <f>IF(propInventory[[#This Row],[myid]]="","",[3]DCBase!F273)</f>
        <v>0</v>
      </c>
      <c r="G279" s="66">
        <f>IF(propInventory[[#This Row],[myid]]="","",[3]DCBase!G273)</f>
        <v>0</v>
      </c>
      <c r="H279" s="66">
        <f>IF(propInventory[[#This Row],[myid]]="","",352.98/([3]DCBase!I273+273.15)*(1-0.0000225577*[3]DCBase!H273)^5.25578)</f>
        <v>1.1483774423504391</v>
      </c>
      <c r="I279" s="56">
        <f>IF(propInventory[[#This Row],[myid]]="","",[3]DCBase!K273)</f>
        <v>2.3761600000000001E-2</v>
      </c>
      <c r="J279" s="67">
        <f>IF(propInventory[[#This Row],[myid]]="","",[3]DCBase!L273)</f>
        <v>3</v>
      </c>
      <c r="K279" s="66">
        <f>IF(propInventory[[#This Row],[myid]]="","",352.98/([3]DCBase!N273+273.15)*(1-0.0000225577*[3]DCBase!M273)^5.25578)</f>
        <v>1.1483774423504391</v>
      </c>
      <c r="O279" s="69"/>
      <c r="P279" s="69"/>
      <c r="Q279" s="69"/>
      <c r="R279" s="69"/>
    </row>
    <row r="280" spans="1:18" ht="15">
      <c r="A280" s="84">
        <f>VLOOKUP(propInventory[[#This Row],[Prop Name]],[2]!propInventory3[[Prop Name]:[Instock?]],10,FALSE)</f>
        <v>0</v>
      </c>
      <c r="B280" s="84">
        <f>IF([3]DCBase!$A274="","",[3]DCBase!$A274)</f>
        <v>277</v>
      </c>
      <c r="C280" s="80" t="str">
        <f>IF(propInventory[[#This Row],[myid]]="","",IF([3]DCBase!R274=0,[3]DCBase!D274&amp;"x"&amp;[3]DCBase!E274&amp;" "&amp;[3]DCBase!C274,[3]DCBase!D274&amp;"x"&amp;[3]DCBase!E274&amp;" "&amp;[3]DCBase!C274&amp;" "&amp;[3]DCBase!S274&amp;"mm"))</f>
        <v>9.5x7.5 parkzone T-28</v>
      </c>
      <c r="D280" s="65">
        <f>IF(propInventory[[#This Row],[myid]]="","",[3]DCBase!D274)</f>
        <v>9.5</v>
      </c>
      <c r="E280" s="65">
        <f>IF(propInventory[[#This Row],[myid]]="","",[3]DCBase!E274)</f>
        <v>7.5</v>
      </c>
      <c r="F280" s="66">
        <f>IF(propInventory[[#This Row],[myid]]="","",[3]DCBase!F274)</f>
        <v>0</v>
      </c>
      <c r="G280" s="66">
        <f>IF(propInventory[[#This Row],[myid]]="","",[3]DCBase!G274)</f>
        <v>0</v>
      </c>
      <c r="H280" s="66">
        <f>IF(propInventory[[#This Row],[myid]]="","",352.98/([3]DCBase!I274+273.15)*(1-0.0000225577*[3]DCBase!H274)^5.25578)</f>
        <v>1.1636831664737817</v>
      </c>
      <c r="I280" s="56">
        <f>IF(propInventory[[#This Row],[myid]]="","",[3]DCBase!K274)</f>
        <v>0.21</v>
      </c>
      <c r="J280" s="67">
        <f>IF(propInventory[[#This Row],[myid]]="","",[3]DCBase!L274)</f>
        <v>3.2</v>
      </c>
      <c r="K280" s="66">
        <f>IF(propInventory[[#This Row],[myid]]="","",352.98/([3]DCBase!N274+273.15)*(1-0.0000225577*[3]DCBase!M274)^5.25578)</f>
        <v>1.1636831664737817</v>
      </c>
      <c r="O280" s="69"/>
      <c r="P280" s="69"/>
      <c r="Q280" s="69"/>
      <c r="R280" s="69"/>
    </row>
    <row r="281" spans="1:18" ht="15">
      <c r="A281" s="84">
        <f>VLOOKUP(propInventory[[#This Row],[Prop Name]],[2]!propInventory3[[Prop Name]:[Instock?]],10,FALSE)</f>
        <v>0</v>
      </c>
      <c r="B281" s="84">
        <f>IF([3]DCBase!$A275="","",[3]DCBase!$A275)</f>
        <v>278</v>
      </c>
      <c r="C281" s="80" t="str">
        <f>IF(propInventory[[#This Row],[myid]]="","",IF([3]DCBase!R275=0,[3]DCBase!D275&amp;"x"&amp;[3]DCBase!E275&amp;" "&amp;[3]DCBase!C275,[3]DCBase!D275&amp;"x"&amp;[3]DCBase!E275&amp;" "&amp;[3]DCBase!C275&amp;" "&amp;[3]DCBase!S275&amp;"mm"))</f>
        <v>20x13 RFM 48mm</v>
      </c>
      <c r="D281" s="65">
        <f>IF(propInventory[[#This Row],[myid]]="","",[3]DCBase!D275)</f>
        <v>20</v>
      </c>
      <c r="E281" s="65">
        <f>IF(propInventory[[#This Row],[myid]]="","",[3]DCBase!E275)</f>
        <v>13</v>
      </c>
      <c r="F281" s="66">
        <f>IF(propInventory[[#This Row],[myid]]="","",[3]DCBase!F275)</f>
        <v>0</v>
      </c>
      <c r="G281" s="66">
        <f>IF(propInventory[[#This Row],[myid]]="","",[3]DCBase!G275)</f>
        <v>0</v>
      </c>
      <c r="H281" s="66">
        <f>IF(propInventory[[#This Row],[myid]]="","",352.98/([3]DCBase!I275+273.15)*(1-0.0000225577*[3]DCBase!H275)^5.25578)</f>
        <v>1.220968625325449</v>
      </c>
      <c r="I281" s="56">
        <f>IF(propInventory[[#This Row],[myid]]="","",[3]DCBase!K275)</f>
        <v>8.7872547670000003</v>
      </c>
      <c r="J281" s="67">
        <f>IF(propInventory[[#This Row],[myid]]="","",[3]DCBase!L275)</f>
        <v>3</v>
      </c>
      <c r="K281" s="66">
        <f>IF(propInventory[[#This Row],[myid]]="","",352.98/([3]DCBase!N275+273.15)*(1-0.0000225577*[3]DCBase!M275)^5.25578)</f>
        <v>1.1814273550371019</v>
      </c>
      <c r="O281" s="69"/>
      <c r="P281" s="69"/>
      <c r="Q281" s="69"/>
      <c r="R281" s="69"/>
    </row>
    <row r="282" spans="1:18" ht="15">
      <c r="A282" s="84">
        <f>VLOOKUP(propInventory[[#This Row],[Prop Name]],[2]!propInventory3[[Prop Name]:[Instock?]],10,FALSE)</f>
        <v>0</v>
      </c>
      <c r="B282" s="84">
        <f>IF([3]DCBase!$A276="","",[3]DCBase!$A276)</f>
        <v>279</v>
      </c>
      <c r="C282" s="80" t="str">
        <f>IF(propInventory[[#This Row],[myid]]="","",IF([3]DCBase!R276=0,[3]DCBase!D276&amp;"x"&amp;[3]DCBase!E276&amp;" "&amp;[3]DCBase!C276,[3]DCBase!D276&amp;"x"&amp;[3]DCBase!E276&amp;" "&amp;[3]DCBase!C276&amp;" "&amp;[3]DCBase!S276&amp;"mm"))</f>
        <v>5.1x4.9 Zagi Carbon</v>
      </c>
      <c r="D282" s="65">
        <f>IF(propInventory[[#This Row],[myid]]="","",[3]DCBase!D276)</f>
        <v>5.0999999999999996</v>
      </c>
      <c r="E282" s="65">
        <f>IF(propInventory[[#This Row],[myid]]="","",[3]DCBase!E276)</f>
        <v>4.9000000000000004</v>
      </c>
      <c r="F282" s="66">
        <f>IF(propInventory[[#This Row],[myid]]="","",[3]DCBase!F276)</f>
        <v>1.1211370000000001</v>
      </c>
      <c r="G282" s="66">
        <f>IF(propInventory[[#This Row],[myid]]="","",[3]DCBase!G276)</f>
        <v>2.0829059999999999</v>
      </c>
      <c r="H282" s="66">
        <f>IF(propInventory[[#This Row],[myid]]="","",352.98/([3]DCBase!I276+273.15)*(1-0.0000225577*[3]DCBase!H276)^5.25578)</f>
        <v>1.1758151638376082</v>
      </c>
      <c r="I282" s="56">
        <f>IF(propInventory[[#This Row],[myid]]="","",[3]DCBase!K276)</f>
        <v>9.7234999999999995E-3</v>
      </c>
      <c r="J282" s="67">
        <f>IF(propInventory[[#This Row],[myid]]="","",[3]DCBase!L276)</f>
        <v>3.2950979999999999</v>
      </c>
      <c r="K282" s="66">
        <f>IF(propInventory[[#This Row],[myid]]="","",352.98/([3]DCBase!N276+273.15)*(1-0.0000225577*[3]DCBase!M276)^5.25578)</f>
        <v>1.1678475869184985</v>
      </c>
      <c r="O282" s="69"/>
      <c r="P282" s="69"/>
      <c r="Q282" s="69"/>
      <c r="R282" s="69"/>
    </row>
    <row r="283" spans="1:18" ht="15">
      <c r="A283" s="84">
        <f>VLOOKUP(propInventory[[#This Row],[Prop Name]],[2]!propInventory3[[Prop Name]:[Instock?]],10,FALSE)</f>
        <v>0</v>
      </c>
      <c r="B283" s="84">
        <f>IF([3]DCBase!$A277="","",[3]DCBase!$A277)</f>
        <v>280</v>
      </c>
      <c r="C283" s="80" t="str">
        <f>IF(propInventory[[#This Row],[myid]]="","",IF([3]DCBase!R277=0,[3]DCBase!D277&amp;"x"&amp;[3]DCBase!E277&amp;" "&amp;[3]DCBase!C277,[3]DCBase!D277&amp;"x"&amp;[3]DCBase!E277&amp;" "&amp;[3]DCBase!C277&amp;" "&amp;[3]DCBase!S277&amp;"mm"))</f>
        <v>6x2 APC C-2</v>
      </c>
      <c r="D283" s="65">
        <f>IF(propInventory[[#This Row],[myid]]="","",[3]DCBase!D277)</f>
        <v>6</v>
      </c>
      <c r="E283" s="65">
        <f>IF(propInventory[[#This Row],[myid]]="","",[3]DCBase!E277)</f>
        <v>2</v>
      </c>
      <c r="F283" s="66">
        <f>IF(propInventory[[#This Row],[myid]]="","",[3]DCBase!F277)</f>
        <v>1.075604</v>
      </c>
      <c r="G283" s="66">
        <f>IF(propInventory[[#This Row],[myid]]="","",[3]DCBase!G277)</f>
        <v>2</v>
      </c>
      <c r="H283" s="66">
        <f>IF(propInventory[[#This Row],[myid]]="","",352.98/([3]DCBase!I277+273.15)*(1-0.0000225577*[3]DCBase!H277)^5.25578)</f>
        <v>1.1743060884663978</v>
      </c>
      <c r="I283" s="56">
        <f>IF(propInventory[[#This Row],[myid]]="","",[3]DCBase!K277)</f>
        <v>1.20687E-2</v>
      </c>
      <c r="J283" s="67">
        <f>IF(propInventory[[#This Row],[myid]]="","",[3]DCBase!L277)</f>
        <v>3</v>
      </c>
      <c r="K283" s="66">
        <f>IF(propInventory[[#This Row],[myid]]="","",352.98/([3]DCBase!N277+273.15)*(1-0.0000225577*[3]DCBase!M277)^5.25578)</f>
        <v>1.1743060884663978</v>
      </c>
      <c r="O283" s="69"/>
      <c r="P283" s="69"/>
      <c r="Q283" s="69"/>
      <c r="R283" s="69"/>
    </row>
    <row r="284" spans="1:18" ht="15">
      <c r="A284" s="84">
        <f>VLOOKUP(propInventory[[#This Row],[Prop Name]],[2]!propInventory3[[Prop Name]:[Instock?]],10,FALSE)</f>
        <v>0</v>
      </c>
      <c r="B284" s="84">
        <f>IF([3]DCBase!$A278="","",[3]DCBase!$A278)</f>
        <v>281</v>
      </c>
      <c r="C284" s="80" t="str">
        <f>IF(propInventory[[#This Row],[myid]]="","",IF([3]DCBase!R278=0,[3]DCBase!D278&amp;"x"&amp;[3]DCBase!E278&amp;" "&amp;[3]DCBase!C278,[3]DCBase!D278&amp;"x"&amp;[3]DCBase!E278&amp;" "&amp;[3]DCBase!C278&amp;" "&amp;[3]DCBase!S278&amp;"mm"))</f>
        <v>10x6 Graupner CAM SlimProp</v>
      </c>
      <c r="D284" s="65">
        <f>IF(propInventory[[#This Row],[myid]]="","",[3]DCBase!D278)</f>
        <v>10</v>
      </c>
      <c r="E284" s="65">
        <f>IF(propInventory[[#This Row],[myid]]="","",[3]DCBase!E278)</f>
        <v>6</v>
      </c>
      <c r="F284" s="66">
        <f>IF(propInventory[[#This Row],[myid]]="","",[3]DCBase!F278)</f>
        <v>0</v>
      </c>
      <c r="G284" s="66">
        <f>IF(propInventory[[#This Row],[myid]]="","",[3]DCBase!G278)</f>
        <v>0</v>
      </c>
      <c r="H284" s="66">
        <f>IF(propInventory[[#This Row],[myid]]="","",352.98/([3]DCBase!I278+273.15)*(1-0.0000225577*[3]DCBase!H278)^5.25578)</f>
        <v>1.2770095816279272</v>
      </c>
      <c r="I284" s="56">
        <f>IF(propInventory[[#This Row],[myid]]="","",[3]DCBase!K278)</f>
        <v>0.31579940000000001</v>
      </c>
      <c r="J284" s="67">
        <f>IF(propInventory[[#This Row],[myid]]="","",[3]DCBase!L278)</f>
        <v>3</v>
      </c>
      <c r="K284" s="66">
        <f>IF(propInventory[[#This Row],[myid]]="","",352.98/([3]DCBase!N278+273.15)*(1-0.0000225577*[3]DCBase!M278)^5.25578)</f>
        <v>1.189886294462454</v>
      </c>
      <c r="O284" s="69"/>
      <c r="P284" s="69"/>
      <c r="Q284" s="69"/>
      <c r="R284" s="69"/>
    </row>
    <row r="285" spans="1:18" ht="15">
      <c r="A285" s="84">
        <f>VLOOKUP(propInventory[[#This Row],[Prop Name]],[2]!propInventory3[[Prop Name]:[Instock?]],10,FALSE)</f>
        <v>0</v>
      </c>
      <c r="B285" s="84">
        <f>IF([3]DCBase!$A279="","",[3]DCBase!$A279)</f>
        <v>283</v>
      </c>
      <c r="C285" s="80" t="str">
        <f>IF(propInventory[[#This Row],[myid]]="","",IF([3]DCBase!R279=0,[3]DCBase!D279&amp;"x"&amp;[3]DCBase!E279&amp;" "&amp;[3]DCBase!C279,[3]DCBase!D279&amp;"x"&amp;[3]DCBase!E279&amp;" "&amp;[3]DCBase!C279&amp;" "&amp;[3]DCBase!S279&amp;"mm"))</f>
        <v>22x12 Mejzlik Carbon WE</v>
      </c>
      <c r="D285" s="65">
        <f>IF(propInventory[[#This Row],[myid]]="","",[3]DCBase!D279)</f>
        <v>22</v>
      </c>
      <c r="E285" s="65">
        <f>IF(propInventory[[#This Row],[myid]]="","",[3]DCBase!E279)</f>
        <v>12</v>
      </c>
      <c r="F285" s="66">
        <f>IF(propInventory[[#This Row],[myid]]="","",[3]DCBase!F279)</f>
        <v>0</v>
      </c>
      <c r="G285" s="66">
        <f>IF(propInventory[[#This Row],[myid]]="","",[3]DCBase!G279)</f>
        <v>0</v>
      </c>
      <c r="H285" s="66">
        <f>IF(propInventory[[#This Row],[myid]]="","",352.98/([3]DCBase!I279+273.15)*(1-0.0000225577*[3]DCBase!H279)^5.25578)</f>
        <v>1.2249869859448206</v>
      </c>
      <c r="I285" s="56">
        <f>IF(propInventory[[#This Row],[myid]]="","",[3]DCBase!K279)</f>
        <v>8.9448450000000008</v>
      </c>
      <c r="J285" s="67">
        <f>IF(propInventory[[#This Row],[myid]]="","",[3]DCBase!L279)</f>
        <v>3.0997189999999999</v>
      </c>
      <c r="K285" s="66">
        <f>IF(propInventory[[#This Row],[myid]]="","",352.98/([3]DCBase!N279+273.15)*(1-0.0000225577*[3]DCBase!M279)^5.25578)</f>
        <v>1.2249869859448206</v>
      </c>
      <c r="O285" s="69"/>
      <c r="P285" s="69"/>
      <c r="Q285" s="69"/>
      <c r="R285" s="69"/>
    </row>
    <row r="286" spans="1:18" ht="15">
      <c r="A286" s="84">
        <f>VLOOKUP(propInventory[[#This Row],[Prop Name]],[2]!propInventory3[[Prop Name]:[Instock?]],10,FALSE)</f>
        <v>0</v>
      </c>
      <c r="B286" s="84">
        <f>IF([3]DCBase!$A280="","",[3]DCBase!$A280)</f>
        <v>284</v>
      </c>
      <c r="C286" s="80" t="str">
        <f>IF(propInventory[[#This Row],[myid]]="","",IF([3]DCBase!R280=0,[3]DCBase!D280&amp;"x"&amp;[3]DCBase!E280&amp;" "&amp;[3]DCBase!C280,[3]DCBase!D280&amp;"x"&amp;[3]DCBase!E280&amp;" "&amp;[3]DCBase!C280&amp;" "&amp;[3]DCBase!S280&amp;"mm"))</f>
        <v>22x12 Mejzlik Carbon</v>
      </c>
      <c r="D286" s="65">
        <f>IF(propInventory[[#This Row],[myid]]="","",[3]DCBase!D280)</f>
        <v>22</v>
      </c>
      <c r="E286" s="65">
        <f>IF(propInventory[[#This Row],[myid]]="","",[3]DCBase!E280)</f>
        <v>12</v>
      </c>
      <c r="F286" s="66">
        <f>IF(propInventory[[#This Row],[myid]]="","",[3]DCBase!F280)</f>
        <v>0</v>
      </c>
      <c r="G286" s="66">
        <f>IF(propInventory[[#This Row],[myid]]="","",[3]DCBase!G280)</f>
        <v>0</v>
      </c>
      <c r="H286" s="66">
        <f>IF(propInventory[[#This Row],[myid]]="","",352.98/([3]DCBase!I280+273.15)*(1-0.0000225577*[3]DCBase!H280)^5.25578)</f>
        <v>1.2249869859448206</v>
      </c>
      <c r="I286" s="56">
        <f>IF(propInventory[[#This Row],[myid]]="","",[3]DCBase!K280)</f>
        <v>7.6069969999999998</v>
      </c>
      <c r="J286" s="67">
        <f>IF(propInventory[[#This Row],[myid]]="","",[3]DCBase!L280)</f>
        <v>3.0790280000000001</v>
      </c>
      <c r="K286" s="66">
        <f>IF(propInventory[[#This Row],[myid]]="","",352.98/([3]DCBase!N280+273.15)*(1-0.0000225577*[3]DCBase!M280)^5.25578)</f>
        <v>1.2249869859448206</v>
      </c>
      <c r="O286" s="69"/>
      <c r="P286" s="69"/>
      <c r="Q286" s="69"/>
      <c r="R286" s="69"/>
    </row>
    <row r="287" spans="1:18" ht="15">
      <c r="A287" s="84">
        <f>VLOOKUP(propInventory[[#This Row],[Prop Name]],[2]!propInventory3[[Prop Name]:[Instock?]],10,FALSE)</f>
        <v>0</v>
      </c>
      <c r="B287" s="84">
        <f>IF([3]DCBase!$A281="","",[3]DCBase!$A281)</f>
        <v>285</v>
      </c>
      <c r="C287" s="80" t="str">
        <f>IF(propInventory[[#This Row],[myid]]="","",IF([3]DCBase!R281=0,[3]DCBase!D281&amp;"x"&amp;[3]DCBase!E281&amp;" "&amp;[3]DCBase!C281,[3]DCBase!D281&amp;"x"&amp;[3]DCBase!E281&amp;" "&amp;[3]DCBase!C281&amp;" "&amp;[3]DCBase!S281&amp;"mm"))</f>
        <v>6x4 Cox Gray</v>
      </c>
      <c r="D287" s="65">
        <f>IF(propInventory[[#This Row],[myid]]="","",[3]DCBase!D281)</f>
        <v>6</v>
      </c>
      <c r="E287" s="65">
        <f>IF(propInventory[[#This Row],[myid]]="","",[3]DCBase!E281)</f>
        <v>4</v>
      </c>
      <c r="F287" s="66">
        <f>IF(propInventory[[#This Row],[myid]]="","",[3]DCBase!F281)</f>
        <v>0</v>
      </c>
      <c r="G287" s="66">
        <f>IF(propInventory[[#This Row],[myid]]="","",[3]DCBase!G281)</f>
        <v>0</v>
      </c>
      <c r="H287" s="66">
        <f>IF(propInventory[[#This Row],[myid]]="","",352.98/([3]DCBase!I281+273.15)*(1-0.0000225577*[3]DCBase!H281)^5.25578)</f>
        <v>1.2922570016474466</v>
      </c>
      <c r="I287" s="56">
        <f>IF(propInventory[[#This Row],[myid]]="","",[3]DCBase!K281)</f>
        <v>2.5639499999999999E-2</v>
      </c>
      <c r="J287" s="67">
        <f>IF(propInventory[[#This Row],[myid]]="","",[3]DCBase!L281)</f>
        <v>3</v>
      </c>
      <c r="K287" s="66">
        <f>IF(propInventory[[#This Row],[myid]]="","",352.98/([3]DCBase!N281+273.15)*(1-0.0000225577*[3]DCBase!M281)^5.25578)</f>
        <v>1.1636831664737817</v>
      </c>
      <c r="O287" s="69"/>
      <c r="P287" s="69"/>
      <c r="Q287" s="69"/>
      <c r="R287" s="69"/>
    </row>
    <row r="288" spans="1:18" ht="15">
      <c r="A288" s="84">
        <f>VLOOKUP(propInventory[[#This Row],[Prop Name]],[2]!propInventory3[[Prop Name]:[Instock?]],10,FALSE)</f>
        <v>0</v>
      </c>
      <c r="B288" s="84">
        <f>IF([3]DCBase!$A282="","",[3]DCBase!$A282)</f>
        <v>286</v>
      </c>
      <c r="C288" s="80" t="str">
        <f>IF(propInventory[[#This Row],[myid]]="","",IF([3]DCBase!R282=0,[3]DCBase!D282&amp;"x"&amp;[3]DCBase!E282&amp;" "&amp;[3]DCBase!C282,[3]DCBase!D282&amp;"x"&amp;[3]DCBase!E282&amp;" "&amp;[3]DCBase!C282&amp;" "&amp;[3]DCBase!S282&amp;"mm"))</f>
        <v>6x5.5 APC E V2</v>
      </c>
      <c r="D288" s="65">
        <f>IF(propInventory[[#This Row],[myid]]="","",[3]DCBase!D282)</f>
        <v>6</v>
      </c>
      <c r="E288" s="65">
        <f>IF(propInventory[[#This Row],[myid]]="","",[3]DCBase!E282)</f>
        <v>5.5</v>
      </c>
      <c r="F288" s="66">
        <f>IF(propInventory[[#This Row],[myid]]="","",[3]DCBase!F282)</f>
        <v>1.6921299999999999</v>
      </c>
      <c r="G288" s="66">
        <f>IF(propInventory[[#This Row],[myid]]="","",[3]DCBase!G282)</f>
        <v>2.121302</v>
      </c>
      <c r="H288" s="66">
        <f>IF(propInventory[[#This Row],[myid]]="","",352.98/([3]DCBase!I282+273.15)*(1-0.0000225577*[3]DCBase!H282)^5.25578)</f>
        <v>1.1758151638376082</v>
      </c>
      <c r="I288" s="56">
        <f>IF(propInventory[[#This Row],[myid]]="","",[3]DCBase!K282)</f>
        <v>3.3547686E-2</v>
      </c>
      <c r="J288" s="67">
        <f>IF(propInventory[[#This Row],[myid]]="","",[3]DCBase!L282)</f>
        <v>3</v>
      </c>
      <c r="K288" s="66">
        <f>IF(propInventory[[#This Row],[myid]]="","",352.98/([3]DCBase!N282+273.15)*(1-0.0000225577*[3]DCBase!M282)^5.25578)</f>
        <v>1.1636831664737817</v>
      </c>
      <c r="O288" s="69"/>
      <c r="P288" s="69"/>
      <c r="Q288" s="69"/>
      <c r="R288" s="69"/>
    </row>
    <row r="289" spans="1:18" ht="15">
      <c r="A289" s="84">
        <f>VLOOKUP(propInventory[[#This Row],[Prop Name]],[2]!propInventory3[[Prop Name]:[Instock?]],10,FALSE)</f>
        <v>0</v>
      </c>
      <c r="B289" s="84">
        <f>IF([3]DCBase!$A283="","",[3]DCBase!$A283)</f>
        <v>287</v>
      </c>
      <c r="C289" s="80" t="str">
        <f>IF(propInventory[[#This Row],[myid]]="","",IF([3]DCBase!R283=0,[3]DCBase!D283&amp;"x"&amp;[3]DCBase!E283&amp;" "&amp;[3]DCBase!C283,[3]DCBase!D283&amp;"x"&amp;[3]DCBase!E283&amp;" "&amp;[3]DCBase!C283&amp;" "&amp;[3]DCBase!S283&amp;"mm"))</f>
        <v>14x7 EM E-Prop (Metts)</v>
      </c>
      <c r="D289" s="65">
        <f>IF(propInventory[[#This Row],[myid]]="","",[3]DCBase!D283)</f>
        <v>14</v>
      </c>
      <c r="E289" s="65">
        <f>IF(propInventory[[#This Row],[myid]]="","",[3]DCBase!E283)</f>
        <v>7</v>
      </c>
      <c r="F289" s="66">
        <f>IF(propInventory[[#This Row],[myid]]="","",[3]DCBase!F283)</f>
        <v>36.990519999999997</v>
      </c>
      <c r="G289" s="66">
        <f>IF(propInventory[[#This Row],[myid]]="","",[3]DCBase!G283)</f>
        <v>2.120762</v>
      </c>
      <c r="H289" s="66">
        <f>IF(propInventory[[#This Row],[myid]]="","",352.98/([3]DCBase!I283+273.15)*(1-0.0000225577*[3]DCBase!H283)^5.25578)</f>
        <v>1.2249869859448206</v>
      </c>
      <c r="I289" s="56">
        <f>IF(propInventory[[#This Row],[myid]]="","",[3]DCBase!K283)</f>
        <v>1.3972739999999999</v>
      </c>
      <c r="J289" s="67">
        <f>IF(propInventory[[#This Row],[myid]]="","",[3]DCBase!L283)</f>
        <v>2.9155639999999998</v>
      </c>
      <c r="K289" s="66">
        <f>IF(propInventory[[#This Row],[myid]]="","",352.98/([3]DCBase!N283+273.15)*(1-0.0000225577*[3]DCBase!M283)^5.25578)</f>
        <v>1.2249869859448206</v>
      </c>
      <c r="O289" s="69"/>
      <c r="P289" s="69"/>
      <c r="Q289" s="69"/>
      <c r="R289" s="69"/>
    </row>
    <row r="290" spans="1:18" ht="15">
      <c r="A290" s="84">
        <f>VLOOKUP(propInventory[[#This Row],[Prop Name]],[2]!propInventory3[[Prop Name]:[Instock?]],10,FALSE)</f>
        <v>0</v>
      </c>
      <c r="B290" s="84">
        <f>IF([3]DCBase!$A284="","",[3]DCBase!$A284)</f>
        <v>288</v>
      </c>
      <c r="C290" s="80" t="str">
        <f>IF(propInventory[[#This Row],[myid]]="","",IF([3]DCBase!R284=0,[3]DCBase!D284&amp;"x"&amp;[3]DCBase!E284&amp;" "&amp;[3]DCBase!C284,[3]DCBase!D284&amp;"x"&amp;[3]DCBase!E284&amp;" "&amp;[3]DCBase!C284&amp;" "&amp;[3]DCBase!S284&amp;"mm"))</f>
        <v>14x8 EM E-Prop (Metts)</v>
      </c>
      <c r="D290" s="65">
        <f>IF(propInventory[[#This Row],[myid]]="","",[3]DCBase!D284)</f>
        <v>14</v>
      </c>
      <c r="E290" s="65">
        <f>IF(propInventory[[#This Row],[myid]]="","",[3]DCBase!E284)</f>
        <v>8</v>
      </c>
      <c r="F290" s="66">
        <f>IF(propInventory[[#This Row],[myid]]="","",[3]DCBase!F284)</f>
        <v>43.283619999999999</v>
      </c>
      <c r="G290" s="66">
        <f>IF(propInventory[[#This Row],[myid]]="","",[3]DCBase!G284)</f>
        <v>2.0834060000000001</v>
      </c>
      <c r="H290" s="66">
        <f>IF(propInventory[[#This Row],[myid]]="","",352.98/([3]DCBase!I284+273.15)*(1-0.0000225577*[3]DCBase!H284)^5.25578)</f>
        <v>1.2249869859448206</v>
      </c>
      <c r="I290" s="56">
        <f>IF(propInventory[[#This Row],[myid]]="","",[3]DCBase!K284)</f>
        <v>0.94241710000000001</v>
      </c>
      <c r="J290" s="67">
        <f>IF(propInventory[[#This Row],[myid]]="","",[3]DCBase!L284)</f>
        <v>3.2184870000000001</v>
      </c>
      <c r="K290" s="66">
        <f>IF(propInventory[[#This Row],[myid]]="","",352.98/([3]DCBase!N284+273.15)*(1-0.0000225577*[3]DCBase!M284)^5.25578)</f>
        <v>1.2249869859448206</v>
      </c>
      <c r="O290" s="69"/>
      <c r="P290" s="69"/>
      <c r="Q290" s="69"/>
      <c r="R290" s="69"/>
    </row>
    <row r="291" spans="1:18" ht="15">
      <c r="A291" s="84">
        <f>VLOOKUP(propInventory[[#This Row],[Prop Name]],[2]!propInventory3[[Prop Name]:[Instock?]],10,FALSE)</f>
        <v>0</v>
      </c>
      <c r="B291" s="84">
        <f>IF([3]DCBase!$A285="","",[3]DCBase!$A285)</f>
        <v>289</v>
      </c>
      <c r="C291" s="80" t="str">
        <f>IF(propInventory[[#This Row],[myid]]="","",IF([3]DCBase!R285=0,[3]DCBase!D285&amp;"x"&amp;[3]DCBase!E285&amp;" "&amp;[3]DCBase!C285,[3]DCBase!D285&amp;"x"&amp;[3]DCBase!E285&amp;" "&amp;[3]DCBase!C285&amp;" "&amp;[3]DCBase!S285&amp;"mm"))</f>
        <v>15x7 EM E-Prop (Metts)</v>
      </c>
      <c r="D291" s="65">
        <f>IF(propInventory[[#This Row],[myid]]="","",[3]DCBase!D285)</f>
        <v>15</v>
      </c>
      <c r="E291" s="65">
        <f>IF(propInventory[[#This Row],[myid]]="","",[3]DCBase!E285)</f>
        <v>7</v>
      </c>
      <c r="F291" s="66">
        <f>IF(propInventory[[#This Row],[myid]]="","",[3]DCBase!F285)</f>
        <v>50.622160000000001</v>
      </c>
      <c r="G291" s="66">
        <f>IF(propInventory[[#This Row],[myid]]="","",[3]DCBase!G285)</f>
        <v>2.1268899999999999</v>
      </c>
      <c r="H291" s="66">
        <f>IF(propInventory[[#This Row],[myid]]="","",352.98/([3]DCBase!I285+273.15)*(1-0.0000225577*[3]DCBase!H285)^5.25578)</f>
        <v>1.2249869859448206</v>
      </c>
      <c r="I291" s="56">
        <f>IF(propInventory[[#This Row],[myid]]="","",[3]DCBase!K285)</f>
        <v>1.204537</v>
      </c>
      <c r="J291" s="67">
        <f>IF(propInventory[[#This Row],[myid]]="","",[3]DCBase!L285)</f>
        <v>3.0289380000000001</v>
      </c>
      <c r="K291" s="66">
        <f>IF(propInventory[[#This Row],[myid]]="","",352.98/([3]DCBase!N285+273.15)*(1-0.0000225577*[3]DCBase!M285)^5.25578)</f>
        <v>1.2249869859448206</v>
      </c>
      <c r="O291" s="69"/>
      <c r="P291" s="69"/>
      <c r="Q291" s="69"/>
      <c r="R291" s="69"/>
    </row>
    <row r="292" spans="1:18" ht="15">
      <c r="A292" s="84">
        <f>VLOOKUP(propInventory[[#This Row],[Prop Name]],[2]!propInventory3[[Prop Name]:[Instock?]],10,FALSE)</f>
        <v>0</v>
      </c>
      <c r="B292" s="84">
        <f>IF([3]DCBase!$A286="","",[3]DCBase!$A286)</f>
        <v>290</v>
      </c>
      <c r="C292" s="80" t="str">
        <f>IF(propInventory[[#This Row],[myid]]="","",IF([3]DCBase!R286=0,[3]DCBase!D286&amp;"x"&amp;[3]DCBase!E286&amp;" "&amp;[3]DCBase!C286,[3]DCBase!D286&amp;"x"&amp;[3]DCBase!E286&amp;" "&amp;[3]DCBase!C286&amp;" "&amp;[3]DCBase!S286&amp;"mm"))</f>
        <v>15x8 EM E-Prop (Metts)</v>
      </c>
      <c r="D292" s="65">
        <f>IF(propInventory[[#This Row],[myid]]="","",[3]DCBase!D286)</f>
        <v>15</v>
      </c>
      <c r="E292" s="65">
        <f>IF(propInventory[[#This Row],[myid]]="","",[3]DCBase!E286)</f>
        <v>8</v>
      </c>
      <c r="F292" s="66">
        <f>IF(propInventory[[#This Row],[myid]]="","",[3]DCBase!F286)</f>
        <v>69.812619999999995</v>
      </c>
      <c r="G292" s="66">
        <f>IF(propInventory[[#This Row],[myid]]="","",[3]DCBase!G286)</f>
        <v>1.982189</v>
      </c>
      <c r="H292" s="66">
        <f>IF(propInventory[[#This Row],[myid]]="","",352.98/([3]DCBase!I286+273.15)*(1-0.0000225577*[3]DCBase!H286)^5.25578)</f>
        <v>1.2249869859448206</v>
      </c>
      <c r="I292" s="56">
        <f>IF(propInventory[[#This Row],[myid]]="","",[3]DCBase!K286)</f>
        <v>1.9578040000000001</v>
      </c>
      <c r="J292" s="67">
        <f>IF(propInventory[[#This Row],[myid]]="","",[3]DCBase!L286)</f>
        <v>2.86</v>
      </c>
      <c r="K292" s="66">
        <f>IF(propInventory[[#This Row],[myid]]="","",352.98/([3]DCBase!N286+273.15)*(1-0.0000225577*[3]DCBase!M286)^5.25578)</f>
        <v>1.2249869859448206</v>
      </c>
      <c r="O292" s="69"/>
      <c r="P292" s="69"/>
      <c r="Q292" s="69"/>
      <c r="R292" s="69"/>
    </row>
    <row r="293" spans="1:18" ht="15">
      <c r="A293" s="84">
        <f>VLOOKUP(propInventory[[#This Row],[Prop Name]],[2]!propInventory3[[Prop Name]:[Instock?]],10,FALSE)</f>
        <v>0</v>
      </c>
      <c r="B293" s="84">
        <f>IF([3]DCBase!$A287="","",[3]DCBase!$A287)</f>
        <v>291</v>
      </c>
      <c r="C293" s="80" t="str">
        <f>IF(propInventory[[#This Row],[myid]]="","",IF([3]DCBase!R287=0,[3]DCBase!D287&amp;"x"&amp;[3]DCBase!E287&amp;" "&amp;[3]DCBase!C287,[3]DCBase!D287&amp;"x"&amp;[3]DCBase!E287&amp;" "&amp;[3]DCBase!C287&amp;" "&amp;[3]DCBase!S287&amp;"mm"))</f>
        <v>16x7 EM E-Prop (Metts)</v>
      </c>
      <c r="D293" s="65">
        <f>IF(propInventory[[#This Row],[myid]]="","",[3]DCBase!D287)</f>
        <v>16</v>
      </c>
      <c r="E293" s="65">
        <f>IF(propInventory[[#This Row],[myid]]="","",[3]DCBase!E287)</f>
        <v>7</v>
      </c>
      <c r="F293" s="66">
        <f>IF(propInventory[[#This Row],[myid]]="","",[3]DCBase!F287)</f>
        <v>61.423189999999998</v>
      </c>
      <c r="G293" s="66">
        <f>IF(propInventory[[#This Row],[myid]]="","",[3]DCBase!G287)</f>
        <v>2.1203509999999999</v>
      </c>
      <c r="H293" s="66">
        <f>IF(propInventory[[#This Row],[myid]]="","",352.98/([3]DCBase!I287+273.15)*(1-0.0000225577*[3]DCBase!H287)^5.25578)</f>
        <v>1.2249869859448206</v>
      </c>
      <c r="I293" s="56">
        <f>IF(propInventory[[#This Row],[myid]]="","",[3]DCBase!K287)</f>
        <v>1.798724</v>
      </c>
      <c r="J293" s="67">
        <f>IF(propInventory[[#This Row],[myid]]="","",[3]DCBase!L287)</f>
        <v>2.9729999999999999</v>
      </c>
      <c r="K293" s="66">
        <f>IF(propInventory[[#This Row],[myid]]="","",352.98/([3]DCBase!N287+273.15)*(1-0.0000225577*[3]DCBase!M287)^5.25578)</f>
        <v>1.2249869859448206</v>
      </c>
      <c r="O293" s="69"/>
      <c r="P293" s="69"/>
      <c r="Q293" s="69"/>
      <c r="R293" s="69"/>
    </row>
    <row r="294" spans="1:18" ht="15">
      <c r="A294" s="84">
        <f>VLOOKUP(propInventory[[#This Row],[Prop Name]],[2]!propInventory3[[Prop Name]:[Instock?]],10,FALSE)</f>
        <v>0</v>
      </c>
      <c r="B294" s="84">
        <f>IF([3]DCBase!$A288="","",[3]DCBase!$A288)</f>
        <v>292</v>
      </c>
      <c r="C294" s="80" t="str">
        <f>IF(propInventory[[#This Row],[myid]]="","",IF([3]DCBase!R288=0,[3]DCBase!D288&amp;"x"&amp;[3]DCBase!E288&amp;" "&amp;[3]DCBase!C288,[3]DCBase!D288&amp;"x"&amp;[3]DCBase!E288&amp;" "&amp;[3]DCBase!C288&amp;" "&amp;[3]DCBase!S288&amp;"mm"))</f>
        <v>16x8 EM E-Prop (Metts)</v>
      </c>
      <c r="D294" s="65">
        <f>IF(propInventory[[#This Row],[myid]]="","",[3]DCBase!D288)</f>
        <v>16</v>
      </c>
      <c r="E294" s="65">
        <f>IF(propInventory[[#This Row],[myid]]="","",[3]DCBase!E288)</f>
        <v>8</v>
      </c>
      <c r="F294" s="66">
        <f>IF(propInventory[[#This Row],[myid]]="","",[3]DCBase!F288)</f>
        <v>77.930220000000006</v>
      </c>
      <c r="G294" s="66">
        <f>IF(propInventory[[#This Row],[myid]]="","",[3]DCBase!G288)</f>
        <v>2.0726819999999999</v>
      </c>
      <c r="H294" s="66">
        <f>IF(propInventory[[#This Row],[myid]]="","",352.98/([3]DCBase!I288+273.15)*(1-0.0000225577*[3]DCBase!H288)^5.25578)</f>
        <v>1.2249869859448206</v>
      </c>
      <c r="I294" s="56">
        <f>IF(propInventory[[#This Row],[myid]]="","",[3]DCBase!K288)</f>
        <v>1.9304779999999999</v>
      </c>
      <c r="J294" s="67">
        <f>IF(propInventory[[#This Row],[myid]]="","",[3]DCBase!L288)</f>
        <v>3.0169999999999999</v>
      </c>
      <c r="K294" s="66">
        <f>IF(propInventory[[#This Row],[myid]]="","",352.98/([3]DCBase!N288+273.15)*(1-0.0000225577*[3]DCBase!M288)^5.25578)</f>
        <v>1.2249869859448206</v>
      </c>
      <c r="O294" s="69"/>
      <c r="P294" s="69"/>
      <c r="Q294" s="69"/>
      <c r="R294" s="69"/>
    </row>
    <row r="295" spans="1:18" ht="15">
      <c r="A295" s="84">
        <f>VLOOKUP(propInventory[[#This Row],[Prop Name]],[2]!propInventory3[[Prop Name]:[Instock?]],10,FALSE)</f>
        <v>0</v>
      </c>
      <c r="B295" s="84">
        <f>IF([3]DCBase!$A289="","",[3]DCBase!$A289)</f>
        <v>293</v>
      </c>
      <c r="C295" s="80" t="str">
        <f>IF(propInventory[[#This Row],[myid]]="","",IF([3]DCBase!R289=0,[3]DCBase!D289&amp;"x"&amp;[3]DCBase!E289&amp;" "&amp;[3]DCBase!C289,[3]DCBase!D289&amp;"x"&amp;[3]DCBase!E289&amp;" "&amp;[3]DCBase!C289&amp;" "&amp;[3]DCBase!S289&amp;"mm"))</f>
        <v>17x8 EM E-Prop (Metts)</v>
      </c>
      <c r="D295" s="65">
        <f>IF(propInventory[[#This Row],[myid]]="","",[3]DCBase!D289)</f>
        <v>17</v>
      </c>
      <c r="E295" s="65">
        <f>IF(propInventory[[#This Row],[myid]]="","",[3]DCBase!E289)</f>
        <v>8</v>
      </c>
      <c r="F295" s="66">
        <f>IF(propInventory[[#This Row],[myid]]="","",[3]DCBase!F289)</f>
        <v>85.074449999999999</v>
      </c>
      <c r="G295" s="66">
        <f>IF(propInventory[[#This Row],[myid]]="","",[3]DCBase!G289)</f>
        <v>2.1200839999999999</v>
      </c>
      <c r="H295" s="66">
        <f>IF(propInventory[[#This Row],[myid]]="","",352.98/([3]DCBase!I289+273.15)*(1-0.0000225577*[3]DCBase!H289)^5.25578)</f>
        <v>1.2249869859448206</v>
      </c>
      <c r="I295" s="56">
        <f>IF(propInventory[[#This Row],[myid]]="","",[3]DCBase!K289)</f>
        <v>2.8141639999999999</v>
      </c>
      <c r="J295" s="67">
        <f>IF(propInventory[[#This Row],[myid]]="","",[3]DCBase!L289)</f>
        <v>2.95</v>
      </c>
      <c r="K295" s="66">
        <f>IF(propInventory[[#This Row],[myid]]="","",352.98/([3]DCBase!N289+273.15)*(1-0.0000225577*[3]DCBase!M289)^5.25578)</f>
        <v>1.2249869859448206</v>
      </c>
      <c r="O295" s="69"/>
      <c r="P295" s="69"/>
      <c r="Q295" s="69"/>
      <c r="R295" s="69"/>
    </row>
    <row r="296" spans="1:18" ht="15">
      <c r="A296" s="84">
        <f>VLOOKUP(propInventory[[#This Row],[Prop Name]],[2]!propInventory3[[Prop Name]:[Instock?]],10,FALSE)</f>
        <v>0</v>
      </c>
      <c r="B296" s="84">
        <f>IF([3]DCBase!$A290="","",[3]DCBase!$A290)</f>
        <v>294</v>
      </c>
      <c r="C296" s="80" t="str">
        <f>IF(propInventory[[#This Row],[myid]]="","",IF([3]DCBase!R290=0,[3]DCBase!D290&amp;"x"&amp;[3]DCBase!E290&amp;" "&amp;[3]DCBase!C290,[3]DCBase!D290&amp;"x"&amp;[3]DCBase!E290&amp;" "&amp;[3]DCBase!C290&amp;" "&amp;[3]DCBase!S290&amp;"mm"))</f>
        <v>18x8 EM E-Prop (Metts)</v>
      </c>
      <c r="D296" s="65">
        <f>IF(propInventory[[#This Row],[myid]]="","",[3]DCBase!D290)</f>
        <v>18</v>
      </c>
      <c r="E296" s="65">
        <f>IF(propInventory[[#This Row],[myid]]="","",[3]DCBase!E290)</f>
        <v>8</v>
      </c>
      <c r="F296" s="66">
        <f>IF(propInventory[[#This Row],[myid]]="","",[3]DCBase!F290)</f>
        <v>106.6294</v>
      </c>
      <c r="G296" s="66">
        <f>IF(propInventory[[#This Row],[myid]]="","",[3]DCBase!G290)</f>
        <v>2.10107</v>
      </c>
      <c r="H296" s="66">
        <f>IF(propInventory[[#This Row],[myid]]="","",352.98/([3]DCBase!I290+273.15)*(1-0.0000225577*[3]DCBase!H290)^5.25578)</f>
        <v>1.2249869859448206</v>
      </c>
      <c r="I296" s="56">
        <f>IF(propInventory[[#This Row],[myid]]="","",[3]DCBase!K290)</f>
        <v>3.0049700000000001</v>
      </c>
      <c r="J296" s="67">
        <f>IF(propInventory[[#This Row],[myid]]="","",[3]DCBase!L290)</f>
        <v>2.99</v>
      </c>
      <c r="K296" s="66">
        <f>IF(propInventory[[#This Row],[myid]]="","",352.98/([3]DCBase!N290+273.15)*(1-0.0000225577*[3]DCBase!M290)^5.25578)</f>
        <v>1.2249869859448206</v>
      </c>
      <c r="O296" s="69"/>
      <c r="P296" s="69"/>
      <c r="Q296" s="69"/>
      <c r="R296" s="69"/>
    </row>
    <row r="297" spans="1:18" ht="15">
      <c r="A297" s="84">
        <f>VLOOKUP(propInventory[[#This Row],[Prop Name]],[2]!propInventory3[[Prop Name]:[Instock?]],10,FALSE)</f>
        <v>0</v>
      </c>
      <c r="B297" s="84">
        <f>IF([3]DCBase!$A291="","",[3]DCBase!$A291)</f>
        <v>295</v>
      </c>
      <c r="C297" s="80" t="str">
        <f>IF(propInventory[[#This Row],[myid]]="","",IF([3]DCBase!R291=0,[3]DCBase!D291&amp;"x"&amp;[3]DCBase!E291&amp;" "&amp;[3]DCBase!C291,[3]DCBase!D291&amp;"x"&amp;[3]DCBase!E291&amp;" "&amp;[3]DCBase!C291&amp;" "&amp;[3]DCBase!S291&amp;"mm"))</f>
        <v>18x10 EM E-Prop (Metts)</v>
      </c>
      <c r="D297" s="65">
        <f>IF(propInventory[[#This Row],[myid]]="","",[3]DCBase!D291)</f>
        <v>18</v>
      </c>
      <c r="E297" s="65">
        <f>IF(propInventory[[#This Row],[myid]]="","",[3]DCBase!E291)</f>
        <v>10</v>
      </c>
      <c r="F297" s="66">
        <f>IF(propInventory[[#This Row],[myid]]="","",[3]DCBase!F291)</f>
        <v>139.5711</v>
      </c>
      <c r="G297" s="66">
        <f>IF(propInventory[[#This Row],[myid]]="","",[3]DCBase!G291)</f>
        <v>2.0242610000000001</v>
      </c>
      <c r="H297" s="66">
        <f>IF(propInventory[[#This Row],[myid]]="","",352.98/([3]DCBase!I291+273.15)*(1-0.0000225577*[3]DCBase!H291)^5.25578)</f>
        <v>1.2249869859448206</v>
      </c>
      <c r="I297" s="56">
        <f>IF(propInventory[[#This Row],[myid]]="","",[3]DCBase!K291)</f>
        <v>5.1717209999999998</v>
      </c>
      <c r="J297" s="67">
        <f>IF(propInventory[[#This Row],[myid]]="","",[3]DCBase!L291)</f>
        <v>2.81</v>
      </c>
      <c r="K297" s="66">
        <f>IF(propInventory[[#This Row],[myid]]="","",352.98/([3]DCBase!N291+273.15)*(1-0.0000225577*[3]DCBase!M291)^5.25578)</f>
        <v>1.2249869859448206</v>
      </c>
      <c r="O297" s="69"/>
      <c r="P297" s="69"/>
      <c r="Q297" s="69"/>
      <c r="R297" s="69"/>
    </row>
    <row r="298" spans="1:18" ht="15">
      <c r="A298" s="84">
        <f>VLOOKUP(propInventory[[#This Row],[Prop Name]],[2]!propInventory3[[Prop Name]:[Instock?]],10,FALSE)</f>
        <v>0</v>
      </c>
      <c r="B298" s="84">
        <f>IF([3]DCBase!$A292="","",[3]DCBase!$A292)</f>
        <v>296</v>
      </c>
      <c r="C298" s="80" t="str">
        <f>IF(propInventory[[#This Row],[myid]]="","",IF([3]DCBase!R292=0,[3]DCBase!D292&amp;"x"&amp;[3]DCBase!E292&amp;" "&amp;[3]DCBase!C292,[3]DCBase!D292&amp;"x"&amp;[3]DCBase!E292&amp;" "&amp;[3]DCBase!C292&amp;" "&amp;[3]DCBase!S292&amp;"mm"))</f>
        <v>19x8 EM E-Prop (Metts)</v>
      </c>
      <c r="D298" s="65">
        <f>IF(propInventory[[#This Row],[myid]]="","",[3]DCBase!D292)</f>
        <v>19</v>
      </c>
      <c r="E298" s="65">
        <f>IF(propInventory[[#This Row],[myid]]="","",[3]DCBase!E292)</f>
        <v>8</v>
      </c>
      <c r="F298" s="66">
        <f>IF(propInventory[[#This Row],[myid]]="","",[3]DCBase!F292)</f>
        <v>118.6998</v>
      </c>
      <c r="G298" s="66">
        <f>IF(propInventory[[#This Row],[myid]]="","",[3]DCBase!G292)</f>
        <v>2.1525639999999999</v>
      </c>
      <c r="H298" s="66">
        <f>IF(propInventory[[#This Row],[myid]]="","",352.98/([3]DCBase!I292+273.15)*(1-0.0000225577*[3]DCBase!H292)^5.25578)</f>
        <v>1.2249869859448206</v>
      </c>
      <c r="I298" s="56">
        <f>IF(propInventory[[#This Row],[myid]]="","",[3]DCBase!K292)</f>
        <v>3.2935430000000001</v>
      </c>
      <c r="J298" s="67">
        <f>IF(propInventory[[#This Row],[myid]]="","",[3]DCBase!L292)</f>
        <v>3.09</v>
      </c>
      <c r="K298" s="66">
        <f>IF(propInventory[[#This Row],[myid]]="","",352.98/([3]DCBase!N292+273.15)*(1-0.0000225577*[3]DCBase!M292)^5.25578)</f>
        <v>1.2249869859448206</v>
      </c>
      <c r="O298" s="69"/>
      <c r="P298" s="69"/>
      <c r="Q298" s="69"/>
      <c r="R298" s="69"/>
    </row>
    <row r="299" spans="1:18" ht="15">
      <c r="A299" s="84">
        <f>VLOOKUP(propInventory[[#This Row],[Prop Name]],[2]!propInventory3[[Prop Name]:[Instock?]],10,FALSE)</f>
        <v>0</v>
      </c>
      <c r="B299" s="84">
        <f>IF([3]DCBase!$A293="","",[3]DCBase!$A293)</f>
        <v>297</v>
      </c>
      <c r="C299" s="80" t="str">
        <f>IF(propInventory[[#This Row],[myid]]="","",IF([3]DCBase!R293=0,[3]DCBase!D293&amp;"x"&amp;[3]DCBase!E293&amp;" "&amp;[3]DCBase!C293,[3]DCBase!D293&amp;"x"&amp;[3]DCBase!E293&amp;" "&amp;[3]DCBase!C293&amp;" "&amp;[3]DCBase!S293&amp;"mm"))</f>
        <v>19x9 EM E-Prop (Metts)</v>
      </c>
      <c r="D299" s="65">
        <f>IF(propInventory[[#This Row],[myid]]="","",[3]DCBase!D293)</f>
        <v>19</v>
      </c>
      <c r="E299" s="65">
        <f>IF(propInventory[[#This Row],[myid]]="","",[3]DCBase!E293)</f>
        <v>9</v>
      </c>
      <c r="F299" s="66">
        <f>IF(propInventory[[#This Row],[myid]]="","",[3]DCBase!F293)</f>
        <v>141.30879999999999</v>
      </c>
      <c r="G299" s="66">
        <f>IF(propInventory[[#This Row],[myid]]="","",[3]DCBase!G293)</f>
        <v>2.0762649999999998</v>
      </c>
      <c r="H299" s="66">
        <f>IF(propInventory[[#This Row],[myid]]="","",352.98/([3]DCBase!I293+273.15)*(1-0.0000225577*[3]DCBase!H293)^5.25578)</f>
        <v>1.2249869859448206</v>
      </c>
      <c r="I299" s="56">
        <f>IF(propInventory[[#This Row],[myid]]="","",[3]DCBase!K293)</f>
        <v>3.878145</v>
      </c>
      <c r="J299" s="67">
        <f>IF(propInventory[[#This Row],[myid]]="","",[3]DCBase!L293)</f>
        <v>3.03</v>
      </c>
      <c r="K299" s="66">
        <f>IF(propInventory[[#This Row],[myid]]="","",352.98/([3]DCBase!N293+273.15)*(1-0.0000225577*[3]DCBase!M293)^5.25578)</f>
        <v>1.2249869859448206</v>
      </c>
      <c r="O299" s="69"/>
      <c r="P299" s="69"/>
      <c r="Q299" s="69"/>
      <c r="R299" s="69"/>
    </row>
    <row r="300" spans="1:18" ht="15">
      <c r="A300" s="84">
        <f>VLOOKUP(propInventory[[#This Row],[Prop Name]],[2]!propInventory3[[Prop Name]:[Instock?]],10,FALSE)</f>
        <v>0</v>
      </c>
      <c r="B300" s="84">
        <f>IF([3]DCBase!$A294="","",[3]DCBase!$A294)</f>
        <v>298</v>
      </c>
      <c r="C300" s="80" t="str">
        <f>IF(propInventory[[#This Row],[myid]]="","",IF([3]DCBase!R294=0,[3]DCBase!D294&amp;"x"&amp;[3]DCBase!E294&amp;" "&amp;[3]DCBase!C294,[3]DCBase!D294&amp;"x"&amp;[3]DCBase!E294&amp;" "&amp;[3]DCBase!C294&amp;" "&amp;[3]DCBase!S294&amp;"mm"))</f>
        <v>20x8 EM E-Prop (Metts)</v>
      </c>
      <c r="D300" s="65">
        <f>IF(propInventory[[#This Row],[myid]]="","",[3]DCBase!D294)</f>
        <v>20</v>
      </c>
      <c r="E300" s="65">
        <f>IF(propInventory[[#This Row],[myid]]="","",[3]DCBase!E294)</f>
        <v>8</v>
      </c>
      <c r="F300" s="66">
        <f>IF(propInventory[[#This Row],[myid]]="","",[3]DCBase!F294)</f>
        <v>157.5361</v>
      </c>
      <c r="G300" s="66">
        <f>IF(propInventory[[#This Row],[myid]]="","",[3]DCBase!G294)</f>
        <v>2.111885</v>
      </c>
      <c r="H300" s="66">
        <f>IF(propInventory[[#This Row],[myid]]="","",352.98/([3]DCBase!I294+273.15)*(1-0.0000225577*[3]DCBase!H294)^5.25578)</f>
        <v>1.2249869859448206</v>
      </c>
      <c r="I300" s="56">
        <f>IF(propInventory[[#This Row],[myid]]="","",[3]DCBase!K294)</f>
        <v>4.2048940000000004</v>
      </c>
      <c r="J300" s="67">
        <f>IF(propInventory[[#This Row],[myid]]="","",[3]DCBase!L294)</f>
        <v>3.07</v>
      </c>
      <c r="K300" s="66">
        <f>IF(propInventory[[#This Row],[myid]]="","",352.98/([3]DCBase!N294+273.15)*(1-0.0000225577*[3]DCBase!M294)^5.25578)</f>
        <v>1.2249869859448206</v>
      </c>
      <c r="O300" s="69"/>
      <c r="P300" s="69"/>
      <c r="Q300" s="69"/>
      <c r="R300" s="69"/>
    </row>
    <row r="301" spans="1:18" ht="15">
      <c r="A301" s="84">
        <f>VLOOKUP(propInventory[[#This Row],[Prop Name]],[2]!propInventory3[[Prop Name]:[Instock?]],10,FALSE)</f>
        <v>0</v>
      </c>
      <c r="B301" s="84">
        <f>IF([3]DCBase!$A295="","",[3]DCBase!$A295)</f>
        <v>299</v>
      </c>
      <c r="C301" s="80" t="str">
        <f>IF(propInventory[[#This Row],[myid]]="","",IF([3]DCBase!R295=0,[3]DCBase!D295&amp;"x"&amp;[3]DCBase!E295&amp;" "&amp;[3]DCBase!C295,[3]DCBase!D295&amp;"x"&amp;[3]DCBase!E295&amp;" "&amp;[3]DCBase!C295&amp;" "&amp;[3]DCBase!S295&amp;"mm"))</f>
        <v>20x10 EM E-Prop (Metts)</v>
      </c>
      <c r="D301" s="65">
        <f>IF(propInventory[[#This Row],[myid]]="","",[3]DCBase!D295)</f>
        <v>20</v>
      </c>
      <c r="E301" s="65">
        <f>IF(propInventory[[#This Row],[myid]]="","",[3]DCBase!E295)</f>
        <v>10</v>
      </c>
      <c r="F301" s="66">
        <f>IF(propInventory[[#This Row],[myid]]="","",[3]DCBase!F295)</f>
        <v>186.62299999999999</v>
      </c>
      <c r="G301" s="66">
        <f>IF(propInventory[[#This Row],[myid]]="","",[3]DCBase!G295)</f>
        <v>2.0760040000000002</v>
      </c>
      <c r="H301" s="66">
        <f>IF(propInventory[[#This Row],[myid]]="","",352.98/([3]DCBase!I295+273.15)*(1-0.0000225577*[3]DCBase!H295)^5.25578)</f>
        <v>1.2249869859448206</v>
      </c>
      <c r="I301" s="56">
        <f>IF(propInventory[[#This Row],[myid]]="","",[3]DCBase!K295)</f>
        <v>4.95634</v>
      </c>
      <c r="J301" s="67">
        <f>IF(propInventory[[#This Row],[myid]]="","",[3]DCBase!L295)</f>
        <v>3.1</v>
      </c>
      <c r="K301" s="66">
        <f>IF(propInventory[[#This Row],[myid]]="","",352.98/([3]DCBase!N295+273.15)*(1-0.0000225577*[3]DCBase!M295)^5.25578)</f>
        <v>1.2249869859448206</v>
      </c>
      <c r="O301" s="69"/>
      <c r="P301" s="69"/>
      <c r="Q301" s="69"/>
      <c r="R301" s="69"/>
    </row>
    <row r="302" spans="1:18" ht="15">
      <c r="A302" s="84">
        <f>VLOOKUP(propInventory[[#This Row],[Prop Name]],[2]!propInventory3[[Prop Name]:[Instock?]],10,FALSE)</f>
        <v>0</v>
      </c>
      <c r="B302" s="84">
        <f>IF([3]DCBase!$A296="","",[3]DCBase!$A296)</f>
        <v>300</v>
      </c>
      <c r="C302" s="80" t="str">
        <f>IF(propInventory[[#This Row],[myid]]="","",IF([3]DCBase!R296=0,[3]DCBase!D296&amp;"x"&amp;[3]DCBase!E296&amp;" "&amp;[3]DCBase!C296,[3]DCBase!D296&amp;"x"&amp;[3]DCBase!E296&amp;" "&amp;[3]DCBase!C296&amp;" "&amp;[3]DCBase!S296&amp;"mm"))</f>
        <v>21x10 EM E-Prop (Metts)</v>
      </c>
      <c r="D302" s="65">
        <f>IF(propInventory[[#This Row],[myid]]="","",[3]DCBase!D296)</f>
        <v>21</v>
      </c>
      <c r="E302" s="65">
        <f>IF(propInventory[[#This Row],[myid]]="","",[3]DCBase!E296)</f>
        <v>10</v>
      </c>
      <c r="F302" s="66">
        <f>IF(propInventory[[#This Row],[myid]]="","",[3]DCBase!F296)</f>
        <v>209.30439999999999</v>
      </c>
      <c r="G302" s="66">
        <f>IF(propInventory[[#This Row],[myid]]="","",[3]DCBase!G296)</f>
        <v>2.1223450000000001</v>
      </c>
      <c r="H302" s="66">
        <f>IF(propInventory[[#This Row],[myid]]="","",352.98/([3]DCBase!I296+273.15)*(1-0.0000225577*[3]DCBase!H296)^5.25578)</f>
        <v>1.2249869859448206</v>
      </c>
      <c r="I302" s="56">
        <f>IF(propInventory[[#This Row],[myid]]="","",[3]DCBase!K296)</f>
        <v>6.4512749999999999</v>
      </c>
      <c r="J302" s="67">
        <f>IF(propInventory[[#This Row],[myid]]="","",[3]DCBase!L296)</f>
        <v>3.04</v>
      </c>
      <c r="K302" s="66">
        <f>IF(propInventory[[#This Row],[myid]]="","",352.98/([3]DCBase!N296+273.15)*(1-0.0000225577*[3]DCBase!M296)^5.25578)</f>
        <v>1.2249869859448206</v>
      </c>
      <c r="O302" s="69"/>
      <c r="P302" s="69"/>
      <c r="Q302" s="69"/>
      <c r="R302" s="69"/>
    </row>
    <row r="303" spans="1:18" ht="15">
      <c r="A303" s="84">
        <f>VLOOKUP(propInventory[[#This Row],[Prop Name]],[2]!propInventory3[[Prop Name]:[Instock?]],10,FALSE)</f>
        <v>0</v>
      </c>
      <c r="B303" s="84">
        <f>IF([3]DCBase!$A297="","",[3]DCBase!$A297)</f>
        <v>301</v>
      </c>
      <c r="C303" s="80" t="str">
        <f>IF(propInventory[[#This Row],[myid]]="","",IF([3]DCBase!R297=0,[3]DCBase!D297&amp;"x"&amp;[3]DCBase!E297&amp;" "&amp;[3]DCBase!C297,[3]DCBase!D297&amp;"x"&amp;[3]DCBase!E297&amp;" "&amp;[3]DCBase!C297&amp;" "&amp;[3]DCBase!S297&amp;"mm"))</f>
        <v>22x10 EM E-Prop (Metts)</v>
      </c>
      <c r="D303" s="65">
        <f>IF(propInventory[[#This Row],[myid]]="","",[3]DCBase!D297)</f>
        <v>22</v>
      </c>
      <c r="E303" s="65">
        <f>IF(propInventory[[#This Row],[myid]]="","",[3]DCBase!E297)</f>
        <v>10</v>
      </c>
      <c r="F303" s="66">
        <f>IF(propInventory[[#This Row],[myid]]="","",[3]DCBase!F297)</f>
        <v>268.42290000000003</v>
      </c>
      <c r="G303" s="66">
        <f>IF(propInventory[[#This Row],[myid]]="","",[3]DCBase!G297)</f>
        <v>2.1013220000000001</v>
      </c>
      <c r="H303" s="66">
        <f>IF(propInventory[[#This Row],[myid]]="","",352.98/([3]DCBase!I297+273.15)*(1-0.0000225577*[3]DCBase!H297)^5.25578)</f>
        <v>1.2249869859448206</v>
      </c>
      <c r="I303" s="56">
        <f>IF(propInventory[[#This Row],[myid]]="","",[3]DCBase!K297)</f>
        <v>7.098846</v>
      </c>
      <c r="J303" s="67">
        <f>IF(propInventory[[#This Row],[myid]]="","",[3]DCBase!L297)</f>
        <v>3.17</v>
      </c>
      <c r="K303" s="66">
        <f>IF(propInventory[[#This Row],[myid]]="","",352.98/([3]DCBase!N297+273.15)*(1-0.0000225577*[3]DCBase!M297)^5.25578)</f>
        <v>1.2249869859448206</v>
      </c>
      <c r="O303" s="69"/>
      <c r="P303" s="69"/>
      <c r="Q303" s="69"/>
      <c r="R303" s="69"/>
    </row>
    <row r="304" spans="1:18" ht="15">
      <c r="A304" s="84">
        <f>VLOOKUP(propInventory[[#This Row],[Prop Name]],[2]!propInventory3[[Prop Name]:[Instock?]],10,FALSE)</f>
        <v>0</v>
      </c>
      <c r="B304" s="84">
        <f>IF([3]DCBase!$A298="","",[3]DCBase!$A298)</f>
        <v>302</v>
      </c>
      <c r="C304" s="80" t="str">
        <f>IF(propInventory[[#This Row],[myid]]="","",IF([3]DCBase!R298=0,[3]DCBase!D298&amp;"x"&amp;[3]DCBase!E298&amp;" "&amp;[3]DCBase!C298,[3]DCBase!D298&amp;"x"&amp;[3]DCBase!E298&amp;" "&amp;[3]DCBase!C298&amp;" "&amp;[3]DCBase!S298&amp;"mm"))</f>
        <v>23x8 EM E-Prop (Metts)</v>
      </c>
      <c r="D304" s="65">
        <f>IF(propInventory[[#This Row],[myid]]="","",[3]DCBase!D298)</f>
        <v>23</v>
      </c>
      <c r="E304" s="65">
        <f>IF(propInventory[[#This Row],[myid]]="","",[3]DCBase!E298)</f>
        <v>8</v>
      </c>
      <c r="F304" s="66">
        <f>IF(propInventory[[#This Row],[myid]]="","",[3]DCBase!F298)</f>
        <v>281.7346</v>
      </c>
      <c r="G304" s="66">
        <f>IF(propInventory[[#This Row],[myid]]="","",[3]DCBase!G298)</f>
        <v>2.0688029999999999</v>
      </c>
      <c r="H304" s="66">
        <f>IF(propInventory[[#This Row],[myid]]="","",352.98/([3]DCBase!I298+273.15)*(1-0.0000225577*[3]DCBase!H298)^5.25578)</f>
        <v>1.2249869859448206</v>
      </c>
      <c r="I304" s="56">
        <f>IF(propInventory[[#This Row],[myid]]="","",[3]DCBase!K298)</f>
        <v>8.1594619999999995</v>
      </c>
      <c r="J304" s="67">
        <f>IF(propInventory[[#This Row],[myid]]="","",[3]DCBase!L298)</f>
        <v>3.05</v>
      </c>
      <c r="K304" s="66">
        <f>IF(propInventory[[#This Row],[myid]]="","",352.98/([3]DCBase!N298+273.15)*(1-0.0000225577*[3]DCBase!M298)^5.25578)</f>
        <v>1.2249869859448206</v>
      </c>
      <c r="O304" s="69"/>
      <c r="P304" s="69"/>
      <c r="Q304" s="69"/>
      <c r="R304" s="69"/>
    </row>
    <row r="305" spans="1:18" ht="15">
      <c r="A305" s="84">
        <f>VLOOKUP(propInventory[[#This Row],[Prop Name]],[2]!propInventory3[[Prop Name]:[Instock?]],10,FALSE)</f>
        <v>0</v>
      </c>
      <c r="B305" s="84">
        <f>IF([3]DCBase!$A299="","",[3]DCBase!$A299)</f>
        <v>303</v>
      </c>
      <c r="C305" s="80" t="str">
        <f>IF(propInventory[[#This Row],[myid]]="","",IF([3]DCBase!R299=0,[3]DCBase!D299&amp;"x"&amp;[3]DCBase!E299&amp;" "&amp;[3]DCBase!C299,[3]DCBase!D299&amp;"x"&amp;[3]DCBase!E299&amp;" "&amp;[3]DCBase!C299&amp;" "&amp;[3]DCBase!S299&amp;"mm"))</f>
        <v>23x10 EM E-Prop (Metts)</v>
      </c>
      <c r="D305" s="65">
        <f>IF(propInventory[[#This Row],[myid]]="","",[3]DCBase!D299)</f>
        <v>23</v>
      </c>
      <c r="E305" s="65">
        <f>IF(propInventory[[#This Row],[myid]]="","",[3]DCBase!E299)</f>
        <v>10</v>
      </c>
      <c r="F305" s="66">
        <f>IF(propInventory[[#This Row],[myid]]="","",[3]DCBase!F299)</f>
        <v>289.14850000000001</v>
      </c>
      <c r="G305" s="66">
        <f>IF(propInventory[[#This Row],[myid]]="","",[3]DCBase!G299)</f>
        <v>2.107497</v>
      </c>
      <c r="H305" s="66">
        <f>IF(propInventory[[#This Row],[myid]]="","",352.98/([3]DCBase!I299+273.15)*(1-0.0000225577*[3]DCBase!H299)^5.25578)</f>
        <v>1.2249869859448206</v>
      </c>
      <c r="I305" s="56">
        <f>IF(propInventory[[#This Row],[myid]]="","",[3]DCBase!K299)</f>
        <v>9.1652070000000005</v>
      </c>
      <c r="J305" s="67">
        <f>IF(propInventory[[#This Row],[myid]]="","",[3]DCBase!L299)</f>
        <v>3.07</v>
      </c>
      <c r="K305" s="66">
        <f>IF(propInventory[[#This Row],[myid]]="","",352.98/([3]DCBase!N299+273.15)*(1-0.0000225577*[3]DCBase!M299)^5.25578)</f>
        <v>1.2249869859448206</v>
      </c>
      <c r="O305" s="69"/>
      <c r="P305" s="69"/>
      <c r="Q305" s="69"/>
      <c r="R305" s="69"/>
    </row>
    <row r="306" spans="1:18" ht="15">
      <c r="A306" s="84">
        <f>VLOOKUP(propInventory[[#This Row],[Prop Name]],[2]!propInventory3[[Prop Name]:[Instock?]],10,FALSE)</f>
        <v>0</v>
      </c>
      <c r="B306" s="84">
        <f>IF([3]DCBase!$A300="","",[3]DCBase!$A300)</f>
        <v>304</v>
      </c>
      <c r="C306" s="80" t="str">
        <f>IF(propInventory[[#This Row],[myid]]="","",IF([3]DCBase!R300=0,[3]DCBase!D300&amp;"x"&amp;[3]DCBase!E300&amp;" "&amp;[3]DCBase!C300,[3]DCBase!D300&amp;"x"&amp;[3]DCBase!E300&amp;" "&amp;[3]DCBase!C300&amp;" "&amp;[3]DCBase!S300&amp;"mm"))</f>
        <v>24x10 EM E-Prop (Metts)</v>
      </c>
      <c r="D306" s="65">
        <f>IF(propInventory[[#This Row],[myid]]="","",[3]DCBase!D300)</f>
        <v>24</v>
      </c>
      <c r="E306" s="65">
        <f>IF(propInventory[[#This Row],[myid]]="","",[3]DCBase!E300)</f>
        <v>10</v>
      </c>
      <c r="F306" s="66">
        <f>IF(propInventory[[#This Row],[myid]]="","",[3]DCBase!F300)</f>
        <v>332.48559999999998</v>
      </c>
      <c r="G306" s="66">
        <f>IF(propInventory[[#This Row],[myid]]="","",[3]DCBase!G300)</f>
        <v>2.1112929999999999</v>
      </c>
      <c r="H306" s="66">
        <f>IF(propInventory[[#This Row],[myid]]="","",352.98/([3]DCBase!I300+273.15)*(1-0.0000225577*[3]DCBase!H300)^5.25578)</f>
        <v>1.2249869859448206</v>
      </c>
      <c r="I306" s="56">
        <f>IF(propInventory[[#This Row],[myid]]="","",[3]DCBase!K300)</f>
        <v>10.636990000000001</v>
      </c>
      <c r="J306" s="67">
        <f>IF(propInventory[[#This Row],[myid]]="","",[3]DCBase!L300)</f>
        <v>3.0649999999999999</v>
      </c>
      <c r="K306" s="66">
        <f>IF(propInventory[[#This Row],[myid]]="","",352.98/([3]DCBase!N300+273.15)*(1-0.0000225577*[3]DCBase!M300)^5.25578)</f>
        <v>1.2249869859448206</v>
      </c>
      <c r="O306" s="69"/>
      <c r="P306" s="69"/>
      <c r="Q306" s="69"/>
      <c r="R306" s="69"/>
    </row>
    <row r="307" spans="1:18" ht="15">
      <c r="A307" s="84">
        <f>VLOOKUP(propInventory[[#This Row],[Prop Name]],[2]!propInventory3[[Prop Name]:[Instock?]],10,FALSE)</f>
        <v>0</v>
      </c>
      <c r="B307" s="84">
        <f>IF([3]DCBase!$A301="","",[3]DCBase!$A301)</f>
        <v>305</v>
      </c>
      <c r="C307" s="80" t="str">
        <f>IF(propInventory[[#This Row],[myid]]="","",IF([3]DCBase!R301=0,[3]DCBase!D301&amp;"x"&amp;[3]DCBase!E301&amp;" "&amp;[3]DCBase!C301,[3]DCBase!D301&amp;"x"&amp;[3]DCBase!E301&amp;" "&amp;[3]DCBase!C301&amp;" "&amp;[3]DCBase!S301&amp;"mm"))</f>
        <v>18x8 Graupner Holz</v>
      </c>
      <c r="D307" s="65">
        <f>IF(propInventory[[#This Row],[myid]]="","",[3]DCBase!D301)</f>
        <v>18</v>
      </c>
      <c r="E307" s="65">
        <f>IF(propInventory[[#This Row],[myid]]="","",[3]DCBase!E301)</f>
        <v>8</v>
      </c>
      <c r="F307" s="66">
        <f>IF(propInventory[[#This Row],[myid]]="","",[3]DCBase!F301)</f>
        <v>149.90280000000001</v>
      </c>
      <c r="G307" s="66">
        <f>IF(propInventory[[#This Row],[myid]]="","",[3]DCBase!G301)</f>
        <v>2.0408140000000001</v>
      </c>
      <c r="H307" s="66">
        <f>IF(propInventory[[#This Row],[myid]]="","",352.98/([3]DCBase!I301+273.15)*(1-0.0000225577*[3]DCBase!H301)^5.25578)</f>
        <v>1.2249869859448206</v>
      </c>
      <c r="I307" s="56">
        <f>IF(propInventory[[#This Row],[myid]]="","",[3]DCBase!K301)</f>
        <v>3.8804310000000002</v>
      </c>
      <c r="J307" s="67">
        <f>IF(propInventory[[#This Row],[myid]]="","",[3]DCBase!L301)</f>
        <v>3.048</v>
      </c>
      <c r="K307" s="66">
        <f>IF(propInventory[[#This Row],[myid]]="","",352.98/([3]DCBase!N301+273.15)*(1-0.0000225577*[3]DCBase!M301)^5.25578)</f>
        <v>1.2249869859448206</v>
      </c>
      <c r="O307" s="69"/>
      <c r="P307" s="69"/>
      <c r="Q307" s="69"/>
      <c r="R307" s="69"/>
    </row>
    <row r="308" spans="1:18" ht="15">
      <c r="A308" s="84">
        <f>VLOOKUP(propInventory[[#This Row],[Prop Name]],[2]!propInventory3[[Prop Name]:[Instock?]],10,FALSE)</f>
        <v>0</v>
      </c>
      <c r="B308" s="84">
        <f>IF([3]DCBase!$A302="","",[3]DCBase!$A302)</f>
        <v>306</v>
      </c>
      <c r="C308" s="80" t="str">
        <f>IF(propInventory[[#This Row],[myid]]="","",IF([3]DCBase!R302=0,[3]DCBase!D302&amp;"x"&amp;[3]DCBase!E302&amp;" "&amp;[3]DCBase!C302,[3]DCBase!D302&amp;"x"&amp;[3]DCBase!E302&amp;" "&amp;[3]DCBase!C302&amp;" "&amp;[3]DCBase!S302&amp;"mm"))</f>
        <v>18x10 CFK-KD</v>
      </c>
      <c r="D308" s="65">
        <f>IF(propInventory[[#This Row],[myid]]="","",[3]DCBase!D302)</f>
        <v>18</v>
      </c>
      <c r="E308" s="65">
        <f>IF(propInventory[[#This Row],[myid]]="","",[3]DCBase!E302)</f>
        <v>10</v>
      </c>
      <c r="F308" s="66">
        <f>IF(propInventory[[#This Row],[myid]]="","",[3]DCBase!F302)</f>
        <v>160.3622</v>
      </c>
      <c r="G308" s="66">
        <f>IF(propInventory[[#This Row],[myid]]="","",[3]DCBase!G302)</f>
        <v>2.0410780000000002</v>
      </c>
      <c r="H308" s="66">
        <f>IF(propInventory[[#This Row],[myid]]="","",352.98/([3]DCBase!I302+273.15)*(1-0.0000225577*[3]DCBase!H302)^5.25578)</f>
        <v>1.2249869859448206</v>
      </c>
      <c r="I308" s="56">
        <f>IF(propInventory[[#This Row],[myid]]="","",[3]DCBase!K302)</f>
        <v>5.1632660000000001</v>
      </c>
      <c r="J308" s="67">
        <f>IF(propInventory[[#This Row],[myid]]="","",[3]DCBase!L302)</f>
        <v>2.96</v>
      </c>
      <c r="K308" s="66">
        <f>IF(propInventory[[#This Row],[myid]]="","",352.98/([3]DCBase!N302+273.15)*(1-0.0000225577*[3]DCBase!M302)^5.25578)</f>
        <v>1.2249869859448206</v>
      </c>
      <c r="O308" s="69"/>
      <c r="P308" s="69"/>
      <c r="Q308" s="69"/>
      <c r="R308" s="69"/>
    </row>
    <row r="309" spans="1:18" ht="15">
      <c r="A309" s="84">
        <f>VLOOKUP(propInventory[[#This Row],[Prop Name]],[2]!propInventory3[[Prop Name]:[Instock?]],10,FALSE)</f>
        <v>0</v>
      </c>
      <c r="B309" s="84">
        <f>IF([3]DCBase!$A303="","",[3]DCBase!$A303)</f>
        <v>307</v>
      </c>
      <c r="C309" s="80" t="str">
        <f>IF(propInventory[[#This Row],[myid]]="","",IF([3]DCBase!R303=0,[3]DCBase!D303&amp;"x"&amp;[3]DCBase!E303&amp;" "&amp;[3]DCBase!C303,[3]DCBase!D303&amp;"x"&amp;[3]DCBase!E303&amp;" "&amp;[3]DCBase!C303&amp;" "&amp;[3]DCBase!S303&amp;"mm"))</f>
        <v>17x8 Maro Holz</v>
      </c>
      <c r="D309" s="65">
        <f>IF(propInventory[[#This Row],[myid]]="","",[3]DCBase!D303)</f>
        <v>17</v>
      </c>
      <c r="E309" s="65">
        <f>IF(propInventory[[#This Row],[myid]]="","",[3]DCBase!E303)</f>
        <v>8</v>
      </c>
      <c r="F309" s="66">
        <f>IF(propInventory[[#This Row],[myid]]="","",[3]DCBase!F303)</f>
        <v>93.762609999999995</v>
      </c>
      <c r="G309" s="66">
        <f>IF(propInventory[[#This Row],[myid]]="","",[3]DCBase!G303)</f>
        <v>2.01146</v>
      </c>
      <c r="H309" s="66">
        <f>IF(propInventory[[#This Row],[myid]]="","",352.98/([3]DCBase!I303+273.15)*(1-0.0000225577*[3]DCBase!H303)^5.25578)</f>
        <v>1.2249869859448206</v>
      </c>
      <c r="I309" s="56">
        <f>IF(propInventory[[#This Row],[myid]]="","",[3]DCBase!K303)</f>
        <v>2.9317090000000001</v>
      </c>
      <c r="J309" s="67">
        <f>IF(propInventory[[#This Row],[myid]]="","",[3]DCBase!L303)</f>
        <v>2.85</v>
      </c>
      <c r="K309" s="66">
        <f>IF(propInventory[[#This Row],[myid]]="","",352.98/([3]DCBase!N303+273.15)*(1-0.0000225577*[3]DCBase!M303)^5.25578)</f>
        <v>1.2249869859448206</v>
      </c>
      <c r="O309" s="69"/>
      <c r="P309" s="69"/>
      <c r="Q309" s="69"/>
      <c r="R309" s="69"/>
    </row>
    <row r="310" spans="1:18" ht="15">
      <c r="A310" s="84">
        <f>VLOOKUP(propInventory[[#This Row],[Prop Name]],[2]!propInventory3[[Prop Name]:[Instock?]],10,FALSE)</f>
        <v>0</v>
      </c>
      <c r="B310" s="84">
        <f>IF([3]DCBase!$A304="","",[3]DCBase!$A304)</f>
        <v>308</v>
      </c>
      <c r="C310" s="80" t="str">
        <f>IF(propInventory[[#This Row],[myid]]="","",IF([3]DCBase!R304=0,[3]DCBase!D304&amp;"x"&amp;[3]DCBase!E304&amp;" "&amp;[3]DCBase!C304,[3]DCBase!D304&amp;"x"&amp;[3]DCBase!E304&amp;" "&amp;[3]DCBase!C304&amp;" "&amp;[3]DCBase!S304&amp;"mm"))</f>
        <v>17x10 Menz-S</v>
      </c>
      <c r="D310" s="65">
        <f>IF(propInventory[[#This Row],[myid]]="","",[3]DCBase!D304)</f>
        <v>17</v>
      </c>
      <c r="E310" s="65">
        <f>IF(propInventory[[#This Row],[myid]]="","",[3]DCBase!E304)</f>
        <v>10</v>
      </c>
      <c r="F310" s="66">
        <f>IF(propInventory[[#This Row],[myid]]="","",[3]DCBase!F304)</f>
        <v>128.1138</v>
      </c>
      <c r="G310" s="66">
        <f>IF(propInventory[[#This Row],[myid]]="","",[3]DCBase!G304)</f>
        <v>2.045725</v>
      </c>
      <c r="H310" s="66">
        <f>IF(propInventory[[#This Row],[myid]]="","",352.98/([3]DCBase!I304+273.15)*(1-0.0000225577*[3]DCBase!H304)^5.25578)</f>
        <v>1.2249869859448206</v>
      </c>
      <c r="I310" s="56">
        <f>IF(propInventory[[#This Row],[myid]]="","",[3]DCBase!K304)</f>
        <v>4.370698</v>
      </c>
      <c r="J310" s="67">
        <f>IF(propInventory[[#This Row],[myid]]="","",[3]DCBase!L304)</f>
        <v>2.93</v>
      </c>
      <c r="K310" s="66">
        <f>IF(propInventory[[#This Row],[myid]]="","",352.98/([3]DCBase!N304+273.15)*(1-0.0000225577*[3]DCBase!M304)^5.25578)</f>
        <v>1.2249869859448206</v>
      </c>
      <c r="O310" s="69"/>
      <c r="P310" s="69"/>
      <c r="Q310" s="69"/>
      <c r="R310" s="69"/>
    </row>
    <row r="311" spans="1:18" ht="15">
      <c r="A311" s="84">
        <f>VLOOKUP(propInventory[[#This Row],[Prop Name]],[2]!propInventory3[[Prop Name]:[Instock?]],10,FALSE)</f>
        <v>0</v>
      </c>
      <c r="B311" s="84">
        <f>IF([3]DCBase!$A305="","",[3]DCBase!$A305)</f>
        <v>309</v>
      </c>
      <c r="C311" s="80" t="str">
        <f>IF(propInventory[[#This Row],[myid]]="","",IF([3]DCBase!R305=0,[3]DCBase!D305&amp;"x"&amp;[3]DCBase!E305&amp;" "&amp;[3]DCBase!C305,[3]DCBase!D305&amp;"x"&amp;[3]DCBase!E305&amp;" "&amp;[3]DCBase!C305&amp;" "&amp;[3]DCBase!S305&amp;"mm"))</f>
        <v>17x12 Menz-S</v>
      </c>
      <c r="D311" s="65">
        <f>IF(propInventory[[#This Row],[myid]]="","",[3]DCBase!D305)</f>
        <v>17</v>
      </c>
      <c r="E311" s="65">
        <f>IF(propInventory[[#This Row],[myid]]="","",[3]DCBase!E305)</f>
        <v>12</v>
      </c>
      <c r="F311" s="66">
        <f>IF(propInventory[[#This Row],[myid]]="","",[3]DCBase!F305)</f>
        <v>146.5744</v>
      </c>
      <c r="G311" s="66">
        <f>IF(propInventory[[#This Row],[myid]]="","",[3]DCBase!G305)</f>
        <v>2.014529</v>
      </c>
      <c r="H311" s="66">
        <f>IF(propInventory[[#This Row],[myid]]="","",352.98/([3]DCBase!I305+273.15)*(1-0.0000225577*[3]DCBase!H305)^5.25578)</f>
        <v>1.2249869859448206</v>
      </c>
      <c r="I311" s="56">
        <f>IF(propInventory[[#This Row],[myid]]="","",[3]DCBase!K305)</f>
        <v>5.1568839999999998</v>
      </c>
      <c r="J311" s="67">
        <f>IF(propInventory[[#This Row],[myid]]="","",[3]DCBase!L305)</f>
        <v>2.92</v>
      </c>
      <c r="K311" s="66">
        <f>IF(propInventory[[#This Row],[myid]]="","",352.98/([3]DCBase!N305+273.15)*(1-0.0000225577*[3]DCBase!M305)^5.25578)</f>
        <v>1.2249869859448206</v>
      </c>
      <c r="O311" s="69"/>
      <c r="P311" s="69"/>
      <c r="Q311" s="69"/>
      <c r="R311" s="69"/>
    </row>
    <row r="312" spans="1:18" ht="15">
      <c r="A312" s="84">
        <f>VLOOKUP(propInventory[[#This Row],[Prop Name]],[2]!propInventory3[[Prop Name]:[Instock?]],10,FALSE)</f>
        <v>0</v>
      </c>
      <c r="B312" s="84">
        <f>IF([3]DCBase!$A306="","",[3]DCBase!$A306)</f>
        <v>310</v>
      </c>
      <c r="C312" s="80" t="str">
        <f>IF(propInventory[[#This Row],[myid]]="","",IF([3]DCBase!R306=0,[3]DCBase!D306&amp;"x"&amp;[3]DCBase!E306&amp;" "&amp;[3]DCBase!C306,[3]DCBase!D306&amp;"x"&amp;[3]DCBase!E306&amp;" "&amp;[3]DCBase!C306&amp;" "&amp;[3]DCBase!S306&amp;"mm"))</f>
        <v>15x8 Dymond E</v>
      </c>
      <c r="D312" s="65">
        <f>IF(propInventory[[#This Row],[myid]]="","",[3]DCBase!D306)</f>
        <v>15</v>
      </c>
      <c r="E312" s="65">
        <f>IF(propInventory[[#This Row],[myid]]="","",[3]DCBase!E306)</f>
        <v>8</v>
      </c>
      <c r="F312" s="66">
        <f>IF(propInventory[[#This Row],[myid]]="","",[3]DCBase!F306)</f>
        <v>58.126480000000001</v>
      </c>
      <c r="G312" s="66">
        <f>IF(propInventory[[#This Row],[myid]]="","",[3]DCBase!G306)</f>
        <v>2.1134029999999999</v>
      </c>
      <c r="H312" s="66">
        <f>IF(propInventory[[#This Row],[myid]]="","",352.98/([3]DCBase!I306+273.15)*(1-0.0000225577*[3]DCBase!H306)^5.25578)</f>
        <v>1.2249869859448206</v>
      </c>
      <c r="I312" s="56">
        <f>IF(propInventory[[#This Row],[myid]]="","",[3]DCBase!K306)</f>
        <v>1.8077859999999999</v>
      </c>
      <c r="J312" s="67">
        <f>IF(propInventory[[#This Row],[myid]]="","",[3]DCBase!L306)</f>
        <v>3.02</v>
      </c>
      <c r="K312" s="66">
        <f>IF(propInventory[[#This Row],[myid]]="","",352.98/([3]DCBase!N306+273.15)*(1-0.0000225577*[3]DCBase!M306)^5.25578)</f>
        <v>1.2249869859448206</v>
      </c>
      <c r="O312" s="69"/>
      <c r="P312" s="69"/>
      <c r="Q312" s="69"/>
      <c r="R312" s="69"/>
    </row>
    <row r="313" spans="1:18" ht="15">
      <c r="A313" s="84">
        <f>VLOOKUP(propInventory[[#This Row],[Prop Name]],[2]!propInventory3[[Prop Name]:[Instock?]],10,FALSE)</f>
        <v>0</v>
      </c>
      <c r="B313" s="84">
        <f>IF([3]DCBase!$A307="","",[3]DCBase!$A307)</f>
        <v>311</v>
      </c>
      <c r="C313" s="80" t="str">
        <f>IF(propInventory[[#This Row],[myid]]="","",IF([3]DCBase!R307=0,[3]DCBase!D307&amp;"x"&amp;[3]DCBase!E307&amp;" "&amp;[3]DCBase!C307,[3]DCBase!D307&amp;"x"&amp;[3]DCBase!E307&amp;" "&amp;[3]DCBase!C307&amp;" "&amp;[3]DCBase!S307&amp;"mm"))</f>
        <v>10x6 Dymond E</v>
      </c>
      <c r="D313" s="65">
        <f>IF(propInventory[[#This Row],[myid]]="","",[3]DCBase!D307)</f>
        <v>10</v>
      </c>
      <c r="E313" s="65">
        <f>IF(propInventory[[#This Row],[myid]]="","",[3]DCBase!E307)</f>
        <v>6</v>
      </c>
      <c r="F313" s="66">
        <f>IF(propInventory[[#This Row],[myid]]="","",[3]DCBase!F307)</f>
        <v>12.905849999999999</v>
      </c>
      <c r="G313" s="66">
        <f>IF(propInventory[[#This Row],[myid]]="","",[3]DCBase!G307)</f>
        <v>2.0735359999999998</v>
      </c>
      <c r="H313" s="66">
        <f>IF(propInventory[[#This Row],[myid]]="","",352.98/([3]DCBase!I307+273.15)*(1-0.0000225577*[3]DCBase!H307)^5.25578)</f>
        <v>1.2249869859448206</v>
      </c>
      <c r="I313" s="56">
        <f>IF(propInventory[[#This Row],[myid]]="","",[3]DCBase!K307)</f>
        <v>0.55432009999999998</v>
      </c>
      <c r="J313" s="67">
        <f>IF(propInventory[[#This Row],[myid]]="","",[3]DCBase!L307)</f>
        <v>2.74</v>
      </c>
      <c r="K313" s="66">
        <f>IF(propInventory[[#This Row],[myid]]="","",352.98/([3]DCBase!N307+273.15)*(1-0.0000225577*[3]DCBase!M307)^5.25578)</f>
        <v>1.2249869859448206</v>
      </c>
      <c r="O313" s="69"/>
      <c r="P313" s="69"/>
      <c r="Q313" s="69"/>
      <c r="R313" s="69"/>
    </row>
    <row r="314" spans="1:18" ht="15">
      <c r="A314" s="84">
        <f>VLOOKUP(propInventory[[#This Row],[Prop Name]],[2]!propInventory3[[Prop Name]:[Instock?]],10,FALSE)</f>
        <v>0</v>
      </c>
      <c r="B314" s="84">
        <f>IF([3]DCBase!$A308="","",[3]DCBase!$A308)</f>
        <v>312</v>
      </c>
      <c r="C314" s="80" t="str">
        <f>IF(propInventory[[#This Row],[myid]]="","",IF([3]DCBase!R308=0,[3]DCBase!D308&amp;"x"&amp;[3]DCBase!E308&amp;" "&amp;[3]DCBase!C308,[3]DCBase!D308&amp;"x"&amp;[3]DCBase!E308&amp;" "&amp;[3]DCBase!C308&amp;" "&amp;[3]DCBase!S308&amp;"mm"))</f>
        <v>14x8 Aero-Cam PP</v>
      </c>
      <c r="D314" s="65">
        <f>IF(propInventory[[#This Row],[myid]]="","",[3]DCBase!D308)</f>
        <v>14</v>
      </c>
      <c r="E314" s="65">
        <f>IF(propInventory[[#This Row],[myid]]="","",[3]DCBase!E308)</f>
        <v>8</v>
      </c>
      <c r="F314" s="66">
        <f>IF(propInventory[[#This Row],[myid]]="","",[3]DCBase!F308)</f>
        <v>31.229410000000001</v>
      </c>
      <c r="G314" s="66">
        <f>IF(propInventory[[#This Row],[myid]]="","",[3]DCBase!G308)</f>
        <v>2.2617620000000001</v>
      </c>
      <c r="H314" s="66">
        <f>IF(propInventory[[#This Row],[myid]]="","",352.98/([3]DCBase!I308+273.15)*(1-0.0000225577*[3]DCBase!H308)^5.25578)</f>
        <v>1.2249869859448206</v>
      </c>
      <c r="I314" s="56">
        <f>IF(propInventory[[#This Row],[myid]]="","",[3]DCBase!K308)</f>
        <v>1.676112</v>
      </c>
      <c r="J314" s="67">
        <f>IF(propInventory[[#This Row],[myid]]="","",[3]DCBase!L308)</f>
        <v>2.8</v>
      </c>
      <c r="K314" s="66">
        <f>IF(propInventory[[#This Row],[myid]]="","",352.98/([3]DCBase!N308+273.15)*(1-0.0000225577*[3]DCBase!M308)^5.25578)</f>
        <v>1.2249869859448206</v>
      </c>
      <c r="O314" s="69"/>
      <c r="P314" s="69"/>
      <c r="Q314" s="69"/>
      <c r="R314" s="69"/>
    </row>
    <row r="315" spans="1:18" ht="15">
      <c r="A315" s="84">
        <f>VLOOKUP(propInventory[[#This Row],[Prop Name]],[2]!propInventory3[[Prop Name]:[Instock?]],10,FALSE)</f>
        <v>0</v>
      </c>
      <c r="B315" s="84">
        <f>IF([3]DCBase!$A309="","",[3]DCBase!$A309)</f>
        <v>313</v>
      </c>
      <c r="C315" s="80" t="str">
        <f>IF(propInventory[[#This Row],[myid]]="","",IF([3]DCBase!R309=0,[3]DCBase!D309&amp;"x"&amp;[3]DCBase!E309&amp;" "&amp;[3]DCBase!C309,[3]DCBase!D309&amp;"x"&amp;[3]DCBase!E309&amp;" "&amp;[3]DCBase!C309&amp;" "&amp;[3]DCBase!S309&amp;"mm"))</f>
        <v>9x6 Parkzone P51 BL</v>
      </c>
      <c r="D315" s="65">
        <f>IF(propInventory[[#This Row],[myid]]="","",[3]DCBase!D309)</f>
        <v>9</v>
      </c>
      <c r="E315" s="65">
        <f>IF(propInventory[[#This Row],[myid]]="","",[3]DCBase!E309)</f>
        <v>6</v>
      </c>
      <c r="F315" s="66">
        <f>IF(propInventory[[#This Row],[myid]]="","",[3]DCBase!F309)</f>
        <v>0</v>
      </c>
      <c r="G315" s="66">
        <f>IF(propInventory[[#This Row],[myid]]="","",[3]DCBase!G309)</f>
        <v>0</v>
      </c>
      <c r="H315" s="66">
        <f>IF(propInventory[[#This Row],[myid]]="","",352.98/([3]DCBase!I309+273.15)*(1-0.0000225577*[3]DCBase!H309)^5.25578)</f>
        <v>1.1100444641234759</v>
      </c>
      <c r="I315" s="56">
        <f>IF(propInventory[[#This Row],[myid]]="","",[3]DCBase!K309)</f>
        <v>9.6209100000000006E-2</v>
      </c>
      <c r="J315" s="67">
        <f>IF(propInventory[[#This Row],[myid]]="","",[3]DCBase!L309)</f>
        <v>3</v>
      </c>
      <c r="K315" s="66">
        <f>IF(propInventory[[#This Row],[myid]]="","",352.98/([3]DCBase!N309+273.15)*(1-0.0000225577*[3]DCBase!M309)^5.25578)</f>
        <v>1.1100444641234759</v>
      </c>
      <c r="O315" s="69"/>
      <c r="P315" s="69"/>
      <c r="Q315" s="69"/>
      <c r="R315" s="69"/>
    </row>
    <row r="316" spans="1:18" ht="15">
      <c r="A316" s="84">
        <f>VLOOKUP(propInventory[[#This Row],[Prop Name]],[2]!propInventory3[[Prop Name]:[Instock?]],10,FALSE)</f>
        <v>0</v>
      </c>
      <c r="B316" s="84">
        <f>IF([3]DCBase!$A310="","",[3]DCBase!$A310)</f>
        <v>314</v>
      </c>
      <c r="C316" s="80" t="str">
        <f>IF(propInventory[[#This Row],[myid]]="","",IF([3]DCBase!R310=0,[3]DCBase!D310&amp;"x"&amp;[3]DCBase!E310&amp;" "&amp;[3]DCBase!C310,[3]DCBase!D310&amp;"x"&amp;[3]DCBase!E310&amp;" "&amp;[3]DCBase!C310&amp;" "&amp;[3]DCBase!S310&amp;"mm"))</f>
        <v>6x3 Master Airscrew</v>
      </c>
      <c r="D316" s="65">
        <f>IF(propInventory[[#This Row],[myid]]="","",[3]DCBase!D310)</f>
        <v>6</v>
      </c>
      <c r="E316" s="65">
        <f>IF(propInventory[[#This Row],[myid]]="","",[3]DCBase!E310)</f>
        <v>3</v>
      </c>
      <c r="F316" s="66">
        <f>IF(propInventory[[#This Row],[myid]]="","",[3]DCBase!F310)</f>
        <v>0</v>
      </c>
      <c r="G316" s="66">
        <f>IF(propInventory[[#This Row],[myid]]="","",[3]DCBase!G310)</f>
        <v>0</v>
      </c>
      <c r="H316" s="66">
        <f>IF(propInventory[[#This Row],[myid]]="","",352.98/([3]DCBase!I310+273.15)*(1-0.0000225577*[3]DCBase!H310)^5.25578)</f>
        <v>1.1301748475379398</v>
      </c>
      <c r="I316" s="56">
        <f>IF(propInventory[[#This Row],[myid]]="","",[3]DCBase!K310)</f>
        <v>1.75061E-2</v>
      </c>
      <c r="J316" s="67">
        <f>IF(propInventory[[#This Row],[myid]]="","",[3]DCBase!L310)</f>
        <v>3</v>
      </c>
      <c r="K316" s="66">
        <f>IF(propInventory[[#This Row],[myid]]="","",352.98/([3]DCBase!N310+273.15)*(1-0.0000225577*[3]DCBase!M310)^5.25578)</f>
        <v>1.1301748475379398</v>
      </c>
      <c r="O316" s="69"/>
      <c r="P316" s="69"/>
      <c r="Q316" s="69"/>
      <c r="R316" s="69"/>
    </row>
    <row r="317" spans="1:18" ht="15">
      <c r="A317" s="84">
        <f>VLOOKUP(propInventory[[#This Row],[Prop Name]],[2]!propInventory3[[Prop Name]:[Instock?]],10,FALSE)</f>
        <v>0</v>
      </c>
      <c r="B317" s="84">
        <f>IF([3]DCBase!$A311="","",[3]DCBase!$A311)</f>
        <v>315</v>
      </c>
      <c r="C317" s="80" t="str">
        <f>IF(propInventory[[#This Row],[myid]]="","",IF([3]DCBase!R311=0,[3]DCBase!D311&amp;"x"&amp;[3]DCBase!E311&amp;" "&amp;[3]DCBase!C311,[3]DCBase!D311&amp;"x"&amp;[3]DCBase!E311&amp;" "&amp;[3]DCBase!C311&amp;" "&amp;[3]DCBase!S311&amp;"mm"))</f>
        <v>10x5 EM E-Prop (Metts)</v>
      </c>
      <c r="D317" s="65">
        <f>IF(propInventory[[#This Row],[myid]]="","",[3]DCBase!D311)</f>
        <v>10</v>
      </c>
      <c r="E317" s="65">
        <f>IF(propInventory[[#This Row],[myid]]="","",[3]DCBase!E311)</f>
        <v>5</v>
      </c>
      <c r="F317" s="66">
        <f>IF(propInventory[[#This Row],[myid]]="","",[3]DCBase!F311)</f>
        <v>10.464169999999999</v>
      </c>
      <c r="G317" s="66">
        <f>IF(propInventory[[#This Row],[myid]]="","",[3]DCBase!G311)</f>
        <v>2.1038950000000001</v>
      </c>
      <c r="H317" s="66">
        <f>IF(propInventory[[#This Row],[myid]]="","",352.98/([3]DCBase!I311+273.15)*(1-0.0000225577*[3]DCBase!H311)^5.25578)</f>
        <v>1.2249869859448206</v>
      </c>
      <c r="I317" s="56">
        <f>IF(propInventory[[#This Row],[myid]]="","",[3]DCBase!K311)</f>
        <v>0.23163130000000001</v>
      </c>
      <c r="J317" s="67">
        <f>IF(propInventory[[#This Row],[myid]]="","",[3]DCBase!L311)</f>
        <v>2.9901759999999999</v>
      </c>
      <c r="K317" s="66">
        <f>IF(propInventory[[#This Row],[myid]]="","",352.98/([3]DCBase!N311+273.15)*(1-0.0000225577*[3]DCBase!M311)^5.25578)</f>
        <v>1.2249869859448206</v>
      </c>
      <c r="O317" s="69"/>
      <c r="P317" s="69"/>
      <c r="Q317" s="69"/>
      <c r="R317" s="69"/>
    </row>
    <row r="318" spans="1:18" ht="15">
      <c r="A318" s="84">
        <f>VLOOKUP(propInventory[[#This Row],[Prop Name]],[2]!propInventory3[[Prop Name]:[Instock?]],10,FALSE)</f>
        <v>0</v>
      </c>
      <c r="B318" s="84">
        <f>IF([3]DCBase!$A312="","",[3]DCBase!$A312)</f>
        <v>316</v>
      </c>
      <c r="C318" s="80" t="str">
        <f>IF(propInventory[[#This Row],[myid]]="","",IF([3]DCBase!R312=0,[3]DCBase!D312&amp;"x"&amp;[3]DCBase!E312&amp;" "&amp;[3]DCBase!C312,[3]DCBase!D312&amp;"x"&amp;[3]DCBase!E312&amp;" "&amp;[3]DCBase!C312&amp;" "&amp;[3]DCBase!S312&amp;"mm"))</f>
        <v>11x5 EM E-Prop (Metts)</v>
      </c>
      <c r="D318" s="65">
        <f>IF(propInventory[[#This Row],[myid]]="","",[3]DCBase!D312)</f>
        <v>11</v>
      </c>
      <c r="E318" s="65">
        <f>IF(propInventory[[#This Row],[myid]]="","",[3]DCBase!E312)</f>
        <v>5</v>
      </c>
      <c r="F318" s="66">
        <f>IF(propInventory[[#This Row],[myid]]="","",[3]DCBase!F312)</f>
        <v>9.27928</v>
      </c>
      <c r="G318" s="66">
        <f>IF(propInventory[[#This Row],[myid]]="","",[3]DCBase!G312)</f>
        <v>2.2761089999999999</v>
      </c>
      <c r="H318" s="66">
        <f>IF(propInventory[[#This Row],[myid]]="","",352.98/([3]DCBase!I312+273.15)*(1-0.0000225577*[3]DCBase!H312)^5.25578)</f>
        <v>1.2249869859448206</v>
      </c>
      <c r="I318" s="56">
        <f>IF(propInventory[[#This Row],[myid]]="","",[3]DCBase!K312)</f>
        <v>0.27562429999999999</v>
      </c>
      <c r="J318" s="67">
        <f>IF(propInventory[[#This Row],[myid]]="","",[3]DCBase!L312)</f>
        <v>3.0295489999999998</v>
      </c>
      <c r="K318" s="66">
        <f>IF(propInventory[[#This Row],[myid]]="","",352.98/([3]DCBase!N312+273.15)*(1-0.0000225577*[3]DCBase!M312)^5.25578)</f>
        <v>1.2249869859448206</v>
      </c>
      <c r="O318" s="69"/>
      <c r="P318" s="69"/>
      <c r="Q318" s="69"/>
      <c r="R318" s="69"/>
    </row>
    <row r="319" spans="1:18" ht="15">
      <c r="A319" s="84">
        <f>VLOOKUP(propInventory[[#This Row],[Prop Name]],[2]!propInventory3[[Prop Name]:[Instock?]],10,FALSE)</f>
        <v>0</v>
      </c>
      <c r="B319" s="84">
        <f>IF([3]DCBase!$A313="","",[3]DCBase!$A313)</f>
        <v>317</v>
      </c>
      <c r="C319" s="80" t="str">
        <f>IF(propInventory[[#This Row],[myid]]="","",IF([3]DCBase!R313=0,[3]DCBase!D313&amp;"x"&amp;[3]DCBase!E313&amp;" "&amp;[3]DCBase!C313,[3]DCBase!D313&amp;"x"&amp;[3]DCBase!E313&amp;" "&amp;[3]DCBase!C313&amp;" "&amp;[3]DCBase!S313&amp;"mm"))</f>
        <v>12x7 EM E-Prop (Metts)</v>
      </c>
      <c r="D319" s="65">
        <f>IF(propInventory[[#This Row],[myid]]="","",[3]DCBase!D313)</f>
        <v>12</v>
      </c>
      <c r="E319" s="65">
        <f>IF(propInventory[[#This Row],[myid]]="","",[3]DCBase!E313)</f>
        <v>7</v>
      </c>
      <c r="F319" s="66">
        <f>IF(propInventory[[#This Row],[myid]]="","",[3]DCBase!F313)</f>
        <v>32.190190000000001</v>
      </c>
      <c r="G319" s="66">
        <f>IF(propInventory[[#This Row],[myid]]="","",[3]DCBase!G313)</f>
        <v>1.9387129999999999</v>
      </c>
      <c r="H319" s="66">
        <f>IF(propInventory[[#This Row],[myid]]="","",352.98/([3]DCBase!I313+273.15)*(1-0.0000225577*[3]DCBase!H313)^5.25578)</f>
        <v>1.2249869859448206</v>
      </c>
      <c r="I319" s="56">
        <f>IF(propInventory[[#This Row],[myid]]="","",[3]DCBase!K313)</f>
        <v>0.30612929999999999</v>
      </c>
      <c r="J319" s="67">
        <f>IF(propInventory[[#This Row],[myid]]="","",[3]DCBase!L313)</f>
        <v>3.2692809999999999</v>
      </c>
      <c r="K319" s="66">
        <f>IF(propInventory[[#This Row],[myid]]="","",352.98/([3]DCBase!N313+273.15)*(1-0.0000225577*[3]DCBase!M313)^5.25578)</f>
        <v>1.2249869859448206</v>
      </c>
      <c r="O319" s="69"/>
      <c r="P319" s="69"/>
      <c r="Q319" s="69"/>
      <c r="R319" s="69"/>
    </row>
    <row r="320" spans="1:18" ht="15">
      <c r="A320" s="84">
        <f>VLOOKUP(propInventory[[#This Row],[Prop Name]],[2]!propInventory3[[Prop Name]:[Instock?]],10,FALSE)</f>
        <v>0</v>
      </c>
      <c r="B320" s="84">
        <f>IF([3]DCBase!$A314="","",[3]DCBase!$A314)</f>
        <v>318</v>
      </c>
      <c r="C320" s="80" t="str">
        <f>IF(propInventory[[#This Row],[myid]]="","",IF([3]DCBase!R314=0,[3]DCBase!D314&amp;"x"&amp;[3]DCBase!E314&amp;" "&amp;[3]DCBase!C314,[3]DCBase!D314&amp;"x"&amp;[3]DCBase!E314&amp;" "&amp;[3]DCBase!C314&amp;" "&amp;[3]DCBase!S314&amp;"mm"))</f>
        <v>18x10 PP-RC E 3Blatt</v>
      </c>
      <c r="D320" s="65">
        <f>IF(propInventory[[#This Row],[myid]]="","",[3]DCBase!D314)</f>
        <v>18</v>
      </c>
      <c r="E320" s="65">
        <f>IF(propInventory[[#This Row],[myid]]="","",[3]DCBase!E314)</f>
        <v>10</v>
      </c>
      <c r="F320" s="66">
        <f>IF(propInventory[[#This Row],[myid]]="","",[3]DCBase!F314)</f>
        <v>242.54</v>
      </c>
      <c r="G320" s="66">
        <f>IF(propInventory[[#This Row],[myid]]="","",[3]DCBase!G314)</f>
        <v>1.97793</v>
      </c>
      <c r="H320" s="66">
        <f>IF(propInventory[[#This Row],[myid]]="","",352.98/([3]DCBase!I314+273.15)*(1-0.0000225577*[3]DCBase!H314)^5.25578)</f>
        <v>1.2249869859448206</v>
      </c>
      <c r="I320" s="56">
        <f>IF(propInventory[[#This Row],[myid]]="","",[3]DCBase!K314)</f>
        <v>8.1936160000000005</v>
      </c>
      <c r="J320" s="67">
        <f>IF(propInventory[[#This Row],[myid]]="","",[3]DCBase!L314)</f>
        <v>2.9330029999999998</v>
      </c>
      <c r="K320" s="66">
        <f>IF(propInventory[[#This Row],[myid]]="","",352.98/([3]DCBase!N314+273.15)*(1-0.0000225577*[3]DCBase!M314)^5.25578)</f>
        <v>1.2249869859448206</v>
      </c>
      <c r="O320" s="69"/>
      <c r="P320" s="69"/>
      <c r="Q320" s="69"/>
      <c r="R320" s="69"/>
    </row>
    <row r="321" spans="1:18" ht="15">
      <c r="A321" s="84">
        <f>VLOOKUP(propInventory[[#This Row],[Prop Name]],[2]!propInventory3[[Prop Name]:[Instock?]],10,FALSE)</f>
        <v>0</v>
      </c>
      <c r="B321" s="84">
        <f>IF([3]DCBase!$A315="","",[3]DCBase!$A315)</f>
        <v>320</v>
      </c>
      <c r="C321" s="80" t="str">
        <f>IF(propInventory[[#This Row],[myid]]="","",IF([3]DCBase!R315=0,[3]DCBase!D315&amp;"x"&amp;[3]DCBase!E315&amp;" "&amp;[3]DCBase!C315,[3]DCBase!D315&amp;"x"&amp;[3]DCBase!E315&amp;" "&amp;[3]DCBase!C315&amp;" "&amp;[3]DCBase!S315&amp;"mm"))</f>
        <v>13x7 EM E-Prop (Metts)</v>
      </c>
      <c r="D321" s="65">
        <f>IF(propInventory[[#This Row],[myid]]="","",[3]DCBase!D315)</f>
        <v>13</v>
      </c>
      <c r="E321" s="65">
        <f>IF(propInventory[[#This Row],[myid]]="","",[3]DCBase!E315)</f>
        <v>7</v>
      </c>
      <c r="F321" s="66">
        <f>IF(propInventory[[#This Row],[myid]]="","",[3]DCBase!F315)</f>
        <v>29.186019999999999</v>
      </c>
      <c r="G321" s="66">
        <f>IF(propInventory[[#This Row],[myid]]="","",[3]DCBase!G315)</f>
        <v>2.1634549999999999</v>
      </c>
      <c r="H321" s="66">
        <f>IF(propInventory[[#This Row],[myid]]="","",352.98/([3]DCBase!I315+273.15)*(1-0.0000225577*[3]DCBase!H315)^5.25578)</f>
        <v>1.2249869859448206</v>
      </c>
      <c r="I321" s="56">
        <f>IF(propInventory[[#This Row],[myid]]="","",[3]DCBase!K315)</f>
        <v>0.67468349999999999</v>
      </c>
      <c r="J321" s="67">
        <f>IF(propInventory[[#This Row],[myid]]="","",[3]DCBase!L315)</f>
        <v>3.0979239999999999</v>
      </c>
      <c r="K321" s="66">
        <f>IF(propInventory[[#This Row],[myid]]="","",352.98/([3]DCBase!N315+273.15)*(1-0.0000225577*[3]DCBase!M315)^5.25578)</f>
        <v>1.2249869859448206</v>
      </c>
      <c r="O321" s="69"/>
      <c r="P321" s="69"/>
      <c r="Q321" s="69"/>
      <c r="R321" s="69"/>
    </row>
    <row r="322" spans="1:18" ht="15">
      <c r="A322" s="84">
        <f>VLOOKUP(propInventory[[#This Row],[Prop Name]],[2]!propInventory3[[Prop Name]:[Instock?]],10,FALSE)</f>
        <v>0</v>
      </c>
      <c r="B322" s="84">
        <f>IF([3]DCBase!$A316="","",[3]DCBase!$A316)</f>
        <v>321</v>
      </c>
      <c r="C322" s="80" t="str">
        <f>IF(propInventory[[#This Row],[myid]]="","",IF([3]DCBase!R316=0,[3]DCBase!D316&amp;"x"&amp;[3]DCBase!E316&amp;" "&amp;[3]DCBase!C316,[3]DCBase!D316&amp;"x"&amp;[3]DCBase!E316&amp;" "&amp;[3]DCBase!C316&amp;" "&amp;[3]DCBase!S316&amp;"mm"))</f>
        <v>6x4 EMP</v>
      </c>
      <c r="D322" s="65">
        <f>IF(propInventory[[#This Row],[myid]]="","",[3]DCBase!D316)</f>
        <v>6</v>
      </c>
      <c r="E322" s="65">
        <f>IF(propInventory[[#This Row],[myid]]="","",[3]DCBase!E316)</f>
        <v>4</v>
      </c>
      <c r="F322" s="66">
        <f>IF(propInventory[[#This Row],[myid]]="","",[3]DCBase!F316)</f>
        <v>2.28437</v>
      </c>
      <c r="G322" s="66">
        <f>IF(propInventory[[#This Row],[myid]]="","",[3]DCBase!G316)</f>
        <v>2.0470329999999999</v>
      </c>
      <c r="H322" s="66">
        <f>IF(propInventory[[#This Row],[myid]]="","",352.98/([3]DCBase!I316+273.15)*(1-0.0000225577*[3]DCBase!H316)^5.25578)</f>
        <v>1.1568015475836819</v>
      </c>
      <c r="I322" s="56">
        <f>IF(propInventory[[#This Row],[myid]]="","",[3]DCBase!K316)</f>
        <v>2.4381300000000002E-2</v>
      </c>
      <c r="J322" s="67">
        <f>IF(propInventory[[#This Row],[myid]]="","",[3]DCBase!L316)</f>
        <v>3.1917230000000001</v>
      </c>
      <c r="K322" s="66">
        <f>IF(propInventory[[#This Row],[myid]]="","",352.98/([3]DCBase!N316+273.15)*(1-0.0000225577*[3]DCBase!M316)^5.25578)</f>
        <v>1.1568015475836819</v>
      </c>
      <c r="O322" s="69"/>
      <c r="P322" s="69"/>
      <c r="Q322" s="69"/>
      <c r="R322" s="69"/>
    </row>
    <row r="323" spans="1:18" ht="15">
      <c r="A323" s="84">
        <f>VLOOKUP(propInventory[[#This Row],[Prop Name]],[2]!propInventory3[[Prop Name]:[Instock?]],10,FALSE)</f>
        <v>0</v>
      </c>
      <c r="B323" s="84">
        <f>IF([3]DCBase!$A317="","",[3]DCBase!$A317)</f>
        <v>323</v>
      </c>
      <c r="C323" s="80" t="str">
        <f>IF(propInventory[[#This Row],[myid]]="","",IF([3]DCBase!R317=0,[3]DCBase!D317&amp;"x"&amp;[3]DCBase!E317&amp;" "&amp;[3]DCBase!C317,[3]DCBase!D317&amp;"x"&amp;[3]DCBase!E317&amp;" "&amp;[3]DCBase!C317&amp;" "&amp;[3]DCBase!S317&amp;"mm"))</f>
        <v>7x7 APC Sport</v>
      </c>
      <c r="D323" s="65">
        <f>IF(propInventory[[#This Row],[myid]]="","",[3]DCBase!D317)</f>
        <v>7</v>
      </c>
      <c r="E323" s="65">
        <f>IF(propInventory[[#This Row],[myid]]="","",[3]DCBase!E317)</f>
        <v>7</v>
      </c>
      <c r="F323" s="66">
        <f>IF(propInventory[[#This Row],[myid]]="","",[3]DCBase!F317)</f>
        <v>3.7780559999999999</v>
      </c>
      <c r="G323" s="66">
        <f>IF(propInventory[[#This Row],[myid]]="","",[3]DCBase!G317)</f>
        <v>2.0594540000000001</v>
      </c>
      <c r="H323" s="66">
        <f>IF(propInventory[[#This Row],[myid]]="","",352.98/([3]DCBase!I317+273.15)*(1-0.0000225577*[3]DCBase!H317)^5.25578)</f>
        <v>1.1678475869184985</v>
      </c>
      <c r="I323" s="56">
        <f>IF(propInventory[[#This Row],[myid]]="","",[3]DCBase!K317)</f>
        <v>6.6210599999999994E-2</v>
      </c>
      <c r="J323" s="67">
        <f>IF(propInventory[[#This Row],[myid]]="","",[3]DCBase!L317)</f>
        <v>3.188958</v>
      </c>
      <c r="K323" s="66">
        <f>IF(propInventory[[#This Row],[myid]]="","",352.98/([3]DCBase!N317+273.15)*(1-0.0000225577*[3]DCBase!M317)^5.25578)</f>
        <v>1.1678475869184985</v>
      </c>
      <c r="O323" s="69"/>
      <c r="P323" s="69"/>
      <c r="Q323" s="69"/>
      <c r="R323" s="69"/>
    </row>
    <row r="324" spans="1:18" ht="15">
      <c r="A324" s="84">
        <f>VLOOKUP(propInventory[[#This Row],[Prop Name]],[2]!propInventory3[[Prop Name]:[Instock?]],10,FALSE)</f>
        <v>0</v>
      </c>
      <c r="B324" s="84">
        <f>IF([3]DCBase!$A318="","",[3]DCBase!$A318)</f>
        <v>324</v>
      </c>
      <c r="C324" s="80" t="str">
        <f>IF(propInventory[[#This Row],[myid]]="","",IF([3]DCBase!R318=0,[3]DCBase!D318&amp;"x"&amp;[3]DCBase!E318&amp;" "&amp;[3]DCBase!C318,[3]DCBase!D318&amp;"x"&amp;[3]DCBase!E318&amp;" "&amp;[3]DCBase!C318&amp;" "&amp;[3]DCBase!S318&amp;"mm"))</f>
        <v>4.1x4.1 EMP</v>
      </c>
      <c r="D324" s="65">
        <f>IF(propInventory[[#This Row],[myid]]="","",[3]DCBase!D318)</f>
        <v>4.0999999999999996</v>
      </c>
      <c r="E324" s="65">
        <f>IF(propInventory[[#This Row],[myid]]="","",[3]DCBase!E318)</f>
        <v>4.0999999999999996</v>
      </c>
      <c r="F324" s="66">
        <f>IF(propInventory[[#This Row],[myid]]="","",[3]DCBase!F318)</f>
        <v>0.62178319999999998</v>
      </c>
      <c r="G324" s="66">
        <f>IF(propInventory[[#This Row],[myid]]="","",[3]DCBase!G318)</f>
        <v>2.027698</v>
      </c>
      <c r="H324" s="66">
        <f>IF(propInventory[[#This Row],[myid]]="","",352.98/([3]DCBase!I318+273.15)*(1-0.0000225577*[3]DCBase!H318)^5.25578)</f>
        <v>1.1678475869184985</v>
      </c>
      <c r="I324" s="56">
        <f>IF(propInventory[[#This Row],[myid]]="","",[3]DCBase!K318)</f>
        <v>2.3410299999999998E-2</v>
      </c>
      <c r="J324" s="67">
        <f>IF(propInventory[[#This Row],[myid]]="","",[3]DCBase!L318)</f>
        <v>2.79521</v>
      </c>
      <c r="K324" s="66">
        <f>IF(propInventory[[#This Row],[myid]]="","",352.98/([3]DCBase!N318+273.15)*(1-0.0000225577*[3]DCBase!M318)^5.25578)</f>
        <v>1.1678475869184985</v>
      </c>
      <c r="O324" s="69"/>
      <c r="P324" s="69"/>
      <c r="Q324" s="69"/>
      <c r="R324" s="69"/>
    </row>
    <row r="325" spans="1:18" ht="15">
      <c r="A325" s="84">
        <f>VLOOKUP(propInventory[[#This Row],[Prop Name]],[2]!propInventory3[[Prop Name]:[Instock?]],10,FALSE)</f>
        <v>0</v>
      </c>
      <c r="B325" s="84">
        <f>IF([3]DCBase!$A319="","",[3]DCBase!$A319)</f>
        <v>325</v>
      </c>
      <c r="C325" s="80" t="str">
        <f>IF(propInventory[[#This Row],[myid]]="","",IF([3]DCBase!R319=0,[3]DCBase!D319&amp;"x"&amp;[3]DCBase!E319&amp;" "&amp;[3]DCBase!C319,[3]DCBase!D319&amp;"x"&amp;[3]DCBase!E319&amp;" "&amp;[3]DCBase!C319&amp;" "&amp;[3]DCBase!S319&amp;"mm"))</f>
        <v>5x5 EMP</v>
      </c>
      <c r="D325" s="65">
        <f>IF(propInventory[[#This Row],[myid]]="","",[3]DCBase!D319)</f>
        <v>5</v>
      </c>
      <c r="E325" s="65">
        <f>IF(propInventory[[#This Row],[myid]]="","",[3]DCBase!E319)</f>
        <v>5</v>
      </c>
      <c r="F325" s="66">
        <f>IF(propInventory[[#This Row],[myid]]="","",[3]DCBase!F319)</f>
        <v>1.492316</v>
      </c>
      <c r="G325" s="66">
        <f>IF(propInventory[[#This Row],[myid]]="","",[3]DCBase!G319)</f>
        <v>2.009039</v>
      </c>
      <c r="H325" s="66">
        <f>IF(propInventory[[#This Row],[myid]]="","",352.98/([3]DCBase!I319+273.15)*(1-0.0000225577*[3]DCBase!H319)^5.25578)</f>
        <v>1.1678475869184985</v>
      </c>
      <c r="I325" s="56">
        <f>IF(propInventory[[#This Row],[myid]]="","",[3]DCBase!K319)</f>
        <v>2.1927200000000001E-2</v>
      </c>
      <c r="J325" s="67">
        <f>IF(propInventory[[#This Row],[myid]]="","",[3]DCBase!L319)</f>
        <v>3.0653069999999998</v>
      </c>
      <c r="K325" s="66">
        <f>IF(propInventory[[#This Row],[myid]]="","",352.98/([3]DCBase!N319+273.15)*(1-0.0000225577*[3]DCBase!M319)^5.25578)</f>
        <v>1.1678475869184985</v>
      </c>
      <c r="O325" s="69"/>
      <c r="P325" s="69"/>
      <c r="Q325" s="69"/>
      <c r="R325" s="69"/>
    </row>
    <row r="326" spans="1:18" ht="15">
      <c r="A326" s="84">
        <f>VLOOKUP(propInventory[[#This Row],[Prop Name]],[2]!propInventory3[[Prop Name]:[Instock?]],10,FALSE)</f>
        <v>0</v>
      </c>
      <c r="B326" s="84">
        <f>IF([3]DCBase!$A320="","",[3]DCBase!$A320)</f>
        <v>326</v>
      </c>
      <c r="C326" s="80" t="str">
        <f>IF(propInventory[[#This Row],[myid]]="","",IF([3]DCBase!R320=0,[3]DCBase!D320&amp;"x"&amp;[3]DCBase!E320&amp;" "&amp;[3]DCBase!C320,[3]DCBase!D320&amp;"x"&amp;[3]DCBase!E320&amp;" "&amp;[3]DCBase!C320&amp;" "&amp;[3]DCBase!S320&amp;"mm"))</f>
        <v>5x5 Maxx</v>
      </c>
      <c r="D326" s="65">
        <f>IF(propInventory[[#This Row],[myid]]="","",[3]DCBase!D320)</f>
        <v>5</v>
      </c>
      <c r="E326" s="65">
        <f>IF(propInventory[[#This Row],[myid]]="","",[3]DCBase!E320)</f>
        <v>5</v>
      </c>
      <c r="F326" s="66">
        <f>IF(propInventory[[#This Row],[myid]]="","",[3]DCBase!F320)</f>
        <v>1.3278909999999999</v>
      </c>
      <c r="G326" s="66">
        <f>IF(propInventory[[#This Row],[myid]]="","",[3]DCBase!G320)</f>
        <v>2.0445890000000002</v>
      </c>
      <c r="H326" s="66">
        <f>IF(propInventory[[#This Row],[myid]]="","",352.98/([3]DCBase!I320+273.15)*(1-0.0000225577*[3]DCBase!H320)^5.25578)</f>
        <v>1.1678475869184985</v>
      </c>
      <c r="I326" s="56">
        <f>IF(propInventory[[#This Row],[myid]]="","",[3]DCBase!K320)</f>
        <v>2.2076999999999999E-2</v>
      </c>
      <c r="J326" s="67">
        <f>IF(propInventory[[#This Row],[myid]]="","",[3]DCBase!L320)</f>
        <v>3.0906899999999999</v>
      </c>
      <c r="K326" s="66">
        <f>IF(propInventory[[#This Row],[myid]]="","",352.98/([3]DCBase!N320+273.15)*(1-0.0000225577*[3]DCBase!M320)^5.25578)</f>
        <v>1.1678475869184985</v>
      </c>
      <c r="O326" s="69"/>
      <c r="P326" s="69"/>
      <c r="Q326" s="69"/>
      <c r="R326" s="69"/>
    </row>
    <row r="327" spans="1:18" ht="15">
      <c r="A327" s="84">
        <f>VLOOKUP(propInventory[[#This Row],[Prop Name]],[2]!propInventory3[[Prop Name]:[Instock?]],10,FALSE)</f>
        <v>0</v>
      </c>
      <c r="B327" s="84">
        <f>IF([3]DCBase!$A321="","",[3]DCBase!$A321)</f>
        <v>327</v>
      </c>
      <c r="C327" s="80" t="str">
        <f>IF(propInventory[[#This Row],[myid]]="","",IF([3]DCBase!R321=0,[3]DCBase!D321&amp;"x"&amp;[3]DCBase!E321&amp;" "&amp;[3]DCBase!C321,[3]DCBase!D321&amp;"x"&amp;[3]DCBase!E321&amp;" "&amp;[3]DCBase!C321&amp;" "&amp;[3]DCBase!S321&amp;"mm"))</f>
        <v>6x5 EMP</v>
      </c>
      <c r="D327" s="65">
        <f>IF(propInventory[[#This Row],[myid]]="","",[3]DCBase!D321)</f>
        <v>6</v>
      </c>
      <c r="E327" s="65">
        <f>IF(propInventory[[#This Row],[myid]]="","",[3]DCBase!E321)</f>
        <v>5</v>
      </c>
      <c r="F327" s="66">
        <f>IF(propInventory[[#This Row],[myid]]="","",[3]DCBase!F321)</f>
        <v>1.093629</v>
      </c>
      <c r="G327" s="66">
        <f>IF(propInventory[[#This Row],[myid]]="","",[3]DCBase!G321)</f>
        <v>2.2468870000000001</v>
      </c>
      <c r="H327" s="66">
        <f>IF(propInventory[[#This Row],[myid]]="","",352.98/([3]DCBase!I321+273.15)*(1-0.0000225577*[3]DCBase!H321)^5.25578)</f>
        <v>1.1678475869184985</v>
      </c>
      <c r="I327" s="56">
        <f>IF(propInventory[[#This Row],[myid]]="","",[3]DCBase!K321)</f>
        <v>2.28779E-2</v>
      </c>
      <c r="J327" s="67">
        <f>IF(propInventory[[#This Row],[myid]]="","",[3]DCBase!L321)</f>
        <v>3.1002510000000001</v>
      </c>
      <c r="K327" s="66">
        <f>IF(propInventory[[#This Row],[myid]]="","",352.98/([3]DCBase!N321+273.15)*(1-0.0000225577*[3]DCBase!M321)^5.25578)</f>
        <v>1.1678475869184985</v>
      </c>
      <c r="O327" s="69"/>
      <c r="P327" s="69"/>
      <c r="Q327" s="69"/>
      <c r="R327" s="69"/>
    </row>
    <row r="328" spans="1:18" ht="15">
      <c r="A328" s="84">
        <f>VLOOKUP(propInventory[[#This Row],[Prop Name]],[2]!propInventory3[[Prop Name]:[Instock?]],10,FALSE)</f>
        <v>0</v>
      </c>
      <c r="B328" s="84">
        <f>IF([3]DCBase!$A322="","",[3]DCBase!$A322)</f>
        <v>328</v>
      </c>
      <c r="C328" s="80" t="str">
        <f>IF(propInventory[[#This Row],[myid]]="","",IF([3]DCBase!R322=0,[3]DCBase!D322&amp;"x"&amp;[3]DCBase!E322&amp;" "&amp;[3]DCBase!C322,[3]DCBase!D322&amp;"x"&amp;[3]DCBase!E322&amp;" "&amp;[3]DCBase!C322&amp;" "&amp;[3]DCBase!S322&amp;"mm"))</f>
        <v>19x10 PP-RC E</v>
      </c>
      <c r="D328" s="65">
        <f>IF(propInventory[[#This Row],[myid]]="","",[3]DCBase!D322)</f>
        <v>19</v>
      </c>
      <c r="E328" s="65">
        <f>IF(propInventory[[#This Row],[myid]]="","",[3]DCBase!E322)</f>
        <v>10</v>
      </c>
      <c r="F328" s="66">
        <f>IF(propInventory[[#This Row],[myid]]="","",[3]DCBase!F322)</f>
        <v>184.08369999999999</v>
      </c>
      <c r="G328" s="66">
        <f>IF(propInventory[[#This Row],[myid]]="","",[3]DCBase!G322)</f>
        <v>2.066586</v>
      </c>
      <c r="H328" s="66">
        <f>IF(propInventory[[#This Row],[myid]]="","",352.98/([3]DCBase!I322+273.15)*(1-0.0000225577*[3]DCBase!H322)^5.25578)</f>
        <v>1.2249869859448206</v>
      </c>
      <c r="I328" s="56">
        <f>IF(propInventory[[#This Row],[myid]]="","",[3]DCBase!K322)</f>
        <v>4.0756769999999998</v>
      </c>
      <c r="J328" s="67">
        <f>IF(propInventory[[#This Row],[myid]]="","",[3]DCBase!L322)</f>
        <v>3.2716240000000001</v>
      </c>
      <c r="K328" s="66">
        <f>IF(propInventory[[#This Row],[myid]]="","",352.98/([3]DCBase!N322+273.15)*(1-0.0000225577*[3]DCBase!M322)^5.25578)</f>
        <v>1.2249869859448206</v>
      </c>
      <c r="O328" s="69"/>
      <c r="P328" s="69"/>
      <c r="Q328" s="69"/>
      <c r="R328" s="69"/>
    </row>
    <row r="329" spans="1:18" ht="15">
      <c r="A329" s="84">
        <f>VLOOKUP(propInventory[[#This Row],[Prop Name]],[2]!propInventory3[[Prop Name]:[Instock?]],10,FALSE)</f>
        <v>0</v>
      </c>
      <c r="B329" s="84">
        <f>IF([3]DCBase!$A323="","",[3]DCBase!$A323)</f>
        <v>329</v>
      </c>
      <c r="C329" s="80" t="str">
        <f>IF(propInventory[[#This Row],[myid]]="","",IF([3]DCBase!R323=0,[3]DCBase!D323&amp;"x"&amp;[3]DCBase!E323&amp;" "&amp;[3]DCBase!C323,[3]DCBase!D323&amp;"x"&amp;[3]DCBase!E323&amp;" "&amp;[3]DCBase!C323&amp;" "&amp;[3]DCBase!S323&amp;"mm"))</f>
        <v>7x3.8 APC WSF</v>
      </c>
      <c r="D329" s="65">
        <f>IF(propInventory[[#This Row],[myid]]="","",[3]DCBase!D323)</f>
        <v>7</v>
      </c>
      <c r="E329" s="65">
        <f>IF(propInventory[[#This Row],[myid]]="","",[3]DCBase!E323)</f>
        <v>3.8</v>
      </c>
      <c r="F329" s="66">
        <f>IF(propInventory[[#This Row],[myid]]="","",[3]DCBase!F323)</f>
        <v>3.2158380000000002</v>
      </c>
      <c r="G329" s="66">
        <f>IF(propInventory[[#This Row],[myid]]="","",[3]DCBase!G323)</f>
        <v>2.2303709999999999</v>
      </c>
      <c r="H329" s="66">
        <f>IF(propInventory[[#This Row],[myid]]="","",352.98/([3]DCBase!I323+273.15)*(1-0.0000225577*[3]DCBase!H323)^5.25578)</f>
        <v>1.1678475869184985</v>
      </c>
      <c r="I329" s="56">
        <f>IF(propInventory[[#This Row],[myid]]="","",[3]DCBase!K323)</f>
        <v>3.4843600000000002E-2</v>
      </c>
      <c r="J329" s="67">
        <f>IF(propInventory[[#This Row],[myid]]="","",[3]DCBase!L323)</f>
        <v>3.4327770000000002</v>
      </c>
      <c r="K329" s="66">
        <f>IF(propInventory[[#This Row],[myid]]="","",352.98/([3]DCBase!N323+273.15)*(1-0.0000225577*[3]DCBase!M323)^5.25578)</f>
        <v>1.1678475869184985</v>
      </c>
      <c r="O329" s="69"/>
      <c r="P329" s="69"/>
      <c r="Q329" s="69"/>
      <c r="R329" s="69"/>
    </row>
    <row r="330" spans="1:18" ht="15">
      <c r="A330" s="84">
        <f>VLOOKUP(propInventory[[#This Row],[Prop Name]],[2]!propInventory3[[Prop Name]:[Instock?]],10,FALSE)</f>
        <v>0</v>
      </c>
      <c r="B330" s="84">
        <f>IF([3]DCBase!$A324="","",[3]DCBase!$A324)</f>
        <v>331</v>
      </c>
      <c r="C330" s="80" t="str">
        <f>IF(propInventory[[#This Row],[myid]]="","",IF([3]DCBase!R324=0,[3]DCBase!D324&amp;"x"&amp;[3]DCBase!E324&amp;" "&amp;[3]DCBase!C324,[3]DCBase!D324&amp;"x"&amp;[3]DCBase!E324&amp;" "&amp;[3]DCBase!C324&amp;" "&amp;[3]DCBase!S324&amp;"mm"))</f>
        <v>7x3 Master Airscrew GF/3</v>
      </c>
      <c r="D330" s="65">
        <f>IF(propInventory[[#This Row],[myid]]="","",[3]DCBase!D324)</f>
        <v>7</v>
      </c>
      <c r="E330" s="65">
        <f>IF(propInventory[[#This Row],[myid]]="","",[3]DCBase!E324)</f>
        <v>3</v>
      </c>
      <c r="F330" s="66">
        <f>IF(propInventory[[#This Row],[myid]]="","",[3]DCBase!F324)</f>
        <v>2.1890130000000001</v>
      </c>
      <c r="G330" s="66">
        <f>IF(propInventory[[#This Row],[myid]]="","",[3]DCBase!G324)</f>
        <v>2.1175799999999998</v>
      </c>
      <c r="H330" s="66">
        <f>IF(propInventory[[#This Row],[myid]]="","",352.98/([3]DCBase!I324+273.15)*(1-0.0000225577*[3]DCBase!H324)^5.25578)</f>
        <v>1.1678475869184985</v>
      </c>
      <c r="I330" s="56">
        <f>IF(propInventory[[#This Row],[myid]]="","",[3]DCBase!K324)</f>
        <v>2.9214299999999999E-2</v>
      </c>
      <c r="J330" s="67">
        <f>IF(propInventory[[#This Row],[myid]]="","",[3]DCBase!L324)</f>
        <v>3.1278160000000002</v>
      </c>
      <c r="K330" s="66">
        <f>IF(propInventory[[#This Row],[myid]]="","",352.98/([3]DCBase!N324+273.15)*(1-0.0000225577*[3]DCBase!M324)^5.25578)</f>
        <v>1.1678475869184985</v>
      </c>
      <c r="O330" s="69"/>
      <c r="P330" s="69"/>
      <c r="Q330" s="69"/>
      <c r="R330" s="69"/>
    </row>
    <row r="331" spans="1:18" ht="15">
      <c r="A331" s="84">
        <f>VLOOKUP(propInventory[[#This Row],[Prop Name]],[2]!propInventory3[[Prop Name]:[Instock?]],10,FALSE)</f>
        <v>0</v>
      </c>
      <c r="B331" s="84">
        <f>IF([3]DCBase!$A325="","",[3]DCBase!$A325)</f>
        <v>332</v>
      </c>
      <c r="C331" s="80" t="str">
        <f>IF(propInventory[[#This Row],[myid]]="","",IF([3]DCBase!R325=0,[3]DCBase!D325&amp;"x"&amp;[3]DCBase!E325&amp;" "&amp;[3]DCBase!C325,[3]DCBase!D325&amp;"x"&amp;[3]DCBase!E325&amp;" "&amp;[3]DCBase!C325&amp;" "&amp;[3]DCBase!S325&amp;"mm"))</f>
        <v>10x8 GWS HD</v>
      </c>
      <c r="D331" s="65">
        <f>IF(propInventory[[#This Row],[myid]]="","",[3]DCBase!D325)</f>
        <v>10</v>
      </c>
      <c r="E331" s="65">
        <f>IF(propInventory[[#This Row],[myid]]="","",[3]DCBase!E325)</f>
        <v>8</v>
      </c>
      <c r="F331" s="66">
        <f>IF(propInventory[[#This Row],[myid]]="","",[3]DCBase!F325)</f>
        <v>14.942830000000001</v>
      </c>
      <c r="G331" s="66">
        <f>IF(propInventory[[#This Row],[myid]]="","",[3]DCBase!G325)</f>
        <v>2.0868540000000002</v>
      </c>
      <c r="H331" s="66">
        <f>IF(propInventory[[#This Row],[myid]]="","",352.98/([3]DCBase!I325+273.15)*(1-0.0000225577*[3]DCBase!H325)^5.25578)</f>
        <v>1.1678475869184985</v>
      </c>
      <c r="I331" s="56">
        <f>IF(propInventory[[#This Row],[myid]]="","",[3]DCBase!K325)</f>
        <v>0.31248680000000001</v>
      </c>
      <c r="J331" s="67">
        <f>IF(propInventory[[#This Row],[myid]]="","",[3]DCBase!L325)</f>
        <v>3</v>
      </c>
      <c r="K331" s="66">
        <f>IF(propInventory[[#This Row],[myid]]="","",352.98/([3]DCBase!N325+273.15)*(1-0.0000225577*[3]DCBase!M325)^5.25578)</f>
        <v>1.1678475869184985</v>
      </c>
      <c r="O331" s="69"/>
      <c r="P331" s="69"/>
      <c r="Q331" s="69"/>
      <c r="R331" s="69"/>
    </row>
    <row r="332" spans="1:18" ht="15">
      <c r="A332" s="84">
        <f>VLOOKUP(propInventory[[#This Row],[Prop Name]],[2]!propInventory3[[Prop Name]:[Instock?]],10,FALSE)</f>
        <v>0</v>
      </c>
      <c r="B332" s="84">
        <f>IF([3]DCBase!$A326="","",[3]DCBase!$A326)</f>
        <v>333</v>
      </c>
      <c r="C332" s="80" t="str">
        <f>IF(propInventory[[#This Row],[myid]]="","",IF([3]DCBase!R326=0,[3]DCBase!D326&amp;"x"&amp;[3]DCBase!E326&amp;" "&amp;[3]DCBase!C326,[3]DCBase!D326&amp;"x"&amp;[3]DCBase!E326&amp;" "&amp;[3]DCBase!C326&amp;" "&amp;[3]DCBase!S326&amp;"mm"))</f>
        <v>7x4.5 EMP</v>
      </c>
      <c r="D332" s="65">
        <f>IF(propInventory[[#This Row],[myid]]="","",[3]DCBase!D326)</f>
        <v>7</v>
      </c>
      <c r="E332" s="65">
        <f>IF(propInventory[[#This Row],[myid]]="","",[3]DCBase!E326)</f>
        <v>4.5</v>
      </c>
      <c r="F332" s="66">
        <f>IF(propInventory[[#This Row],[myid]]="","",[3]DCBase!F326)</f>
        <v>5.7669459999999999</v>
      </c>
      <c r="G332" s="66">
        <f>IF(propInventory[[#This Row],[myid]]="","",[3]DCBase!G326)</f>
        <v>2.0284650000000002</v>
      </c>
      <c r="H332" s="66">
        <f>IF(propInventory[[#This Row],[myid]]="","",352.98/([3]DCBase!I326+273.15)*(1-0.0000225577*[3]DCBase!H326)^5.25578)</f>
        <v>1.1678475869184985</v>
      </c>
      <c r="I332" s="56">
        <f>IF(propInventory[[#This Row],[myid]]="","",[3]DCBase!K326)</f>
        <v>0.1550947</v>
      </c>
      <c r="J332" s="67">
        <f>IF(propInventory[[#This Row],[myid]]="","",[3]DCBase!L326)</f>
        <v>3.0042529999999998</v>
      </c>
      <c r="K332" s="66">
        <f>IF(propInventory[[#This Row],[myid]]="","",352.98/([3]DCBase!N326+273.15)*(1-0.0000225577*[3]DCBase!M326)^5.25578)</f>
        <v>1.1678475869184985</v>
      </c>
      <c r="O332" s="69"/>
      <c r="P332" s="69"/>
      <c r="Q332" s="69"/>
      <c r="R332" s="69"/>
    </row>
    <row r="333" spans="1:18" ht="15">
      <c r="A333" s="84">
        <f>VLOOKUP(propInventory[[#This Row],[Prop Name]],[2]!propInventory3[[Prop Name]:[Instock?]],10,FALSE)</f>
        <v>0</v>
      </c>
      <c r="B333" s="84">
        <f>IF([3]DCBase!$A327="","",[3]DCBase!$A327)</f>
        <v>334</v>
      </c>
      <c r="C333" s="80" t="str">
        <f>IF(propInventory[[#This Row],[myid]]="","",IF([3]DCBase!R327=0,[3]DCBase!D327&amp;"x"&amp;[3]DCBase!E327&amp;" "&amp;[3]DCBase!C327,[3]DCBase!D327&amp;"x"&amp;[3]DCBase!E327&amp;" "&amp;[3]DCBase!C327&amp;" "&amp;[3]DCBase!S327&amp;"mm"))</f>
        <v>18x8 APC E</v>
      </c>
      <c r="D333" s="65">
        <f>IF(propInventory[[#This Row],[myid]]="","",[3]DCBase!D327)</f>
        <v>18</v>
      </c>
      <c r="E333" s="65">
        <f>IF(propInventory[[#This Row],[myid]]="","",[3]DCBase!E327)</f>
        <v>8</v>
      </c>
      <c r="F333" s="66">
        <f>IF(propInventory[[#This Row],[myid]]="","",[3]DCBase!F327)</f>
        <v>0</v>
      </c>
      <c r="G333" s="66">
        <f>IF(propInventory[[#This Row],[myid]]="","",[3]DCBase!G327)</f>
        <v>0</v>
      </c>
      <c r="H333" s="66">
        <f>IF(propInventory[[#This Row],[myid]]="","",352.98/([3]DCBase!I327+273.15)*(1-0.0000225577*[3]DCBase!H327)^5.25578)</f>
        <v>1.1177619547171069</v>
      </c>
      <c r="I333" s="56">
        <f>IF(propInventory[[#This Row],[myid]]="","",[3]DCBase!K327)</f>
        <v>3.6129600000000002</v>
      </c>
      <c r="J333" s="67">
        <f>IF(propInventory[[#This Row],[myid]]="","",[3]DCBase!L327)</f>
        <v>3</v>
      </c>
      <c r="K333" s="66">
        <f>IF(propInventory[[#This Row],[myid]]="","",352.98/([3]DCBase!N327+273.15)*(1-0.0000225577*[3]DCBase!M327)^5.25578)</f>
        <v>1.1293992473221786</v>
      </c>
      <c r="O333" s="69"/>
      <c r="P333" s="69"/>
      <c r="Q333" s="69"/>
      <c r="R333" s="69"/>
    </row>
    <row r="334" spans="1:18" ht="15">
      <c r="A334" s="84">
        <f>VLOOKUP(propInventory[[#This Row],[Prop Name]],[2]!propInventory3[[Prop Name]:[Instock?]],10,FALSE)</f>
        <v>1</v>
      </c>
      <c r="B334" s="84">
        <f>IF([3]DCBase!$A328="","",[3]DCBase!$A328)</f>
        <v>335</v>
      </c>
      <c r="C334" s="80" t="str">
        <f>IF(propInventory[[#This Row],[myid]]="","",IF([3]DCBase!R328=0,[3]DCBase!D328&amp;"x"&amp;[3]DCBase!E328&amp;" "&amp;[3]DCBase!C328,[3]DCBase!D328&amp;"x"&amp;[3]DCBase!E328&amp;" "&amp;[3]DCBase!C328&amp;" "&amp;[3]DCBase!S328&amp;"mm"))</f>
        <v>4x3 GrpCamSpeed</v>
      </c>
      <c r="D334" s="65">
        <f>IF(propInventory[[#This Row],[myid]]="","",[3]DCBase!D328)</f>
        <v>4</v>
      </c>
      <c r="E334" s="65">
        <f>IF(propInventory[[#This Row],[myid]]="","",[3]DCBase!E328)</f>
        <v>3</v>
      </c>
      <c r="F334" s="66">
        <f>IF(propInventory[[#This Row],[myid]]="","",[3]DCBase!F328)</f>
        <v>0.42750949999999999</v>
      </c>
      <c r="G334" s="66">
        <f>IF(propInventory[[#This Row],[myid]]="","",[3]DCBase!G328)</f>
        <v>2.0805500000000001</v>
      </c>
      <c r="H334" s="66">
        <f>IF(propInventory[[#This Row],[myid]]="","",352.98/([3]DCBase!I328+273.15)*(1-0.0000225577*[3]DCBase!H328)^5.25578)</f>
        <v>1.1678475869184985</v>
      </c>
      <c r="I334" s="56">
        <f>IF(propInventory[[#This Row],[myid]]="","",[3]DCBase!K328)</f>
        <v>1.5327199999999999E-2</v>
      </c>
      <c r="J334" s="67">
        <f>IF(propInventory[[#This Row],[myid]]="","",[3]DCBase!L328)</f>
        <v>2.9502229999999998</v>
      </c>
      <c r="K334" s="66">
        <f>IF(propInventory[[#This Row],[myid]]="","",352.98/([3]DCBase!N328+273.15)*(1-0.0000225577*[3]DCBase!M328)^5.25578)</f>
        <v>1.1678475869184985</v>
      </c>
      <c r="O334" s="69"/>
      <c r="P334" s="69"/>
      <c r="Q334" s="69"/>
      <c r="R334" s="69"/>
    </row>
    <row r="335" spans="1:18" ht="15">
      <c r="A335" s="84">
        <f>VLOOKUP(propInventory[[#This Row],[Prop Name]],[2]!propInventory3[[Prop Name]:[Instock?]],10,FALSE)</f>
        <v>0</v>
      </c>
      <c r="B335" s="84">
        <f>IF([3]DCBase!$A329="","",[3]DCBase!$A329)</f>
        <v>336</v>
      </c>
      <c r="C335" s="80" t="str">
        <f>IF(propInventory[[#This Row],[myid]]="","",IF([3]DCBase!R329=0,[3]DCBase!D329&amp;"x"&amp;[3]DCBase!E329&amp;" "&amp;[3]DCBase!C329,[3]DCBase!D329&amp;"x"&amp;[3]DCBase!E329&amp;" "&amp;[3]DCBase!C329&amp;" "&amp;[3]DCBase!S329&amp;"mm"))</f>
        <v>12x6 GWS HD</v>
      </c>
      <c r="D335" s="65">
        <f>IF(propInventory[[#This Row],[myid]]="","",[3]DCBase!D329)</f>
        <v>12</v>
      </c>
      <c r="E335" s="65">
        <f>IF(propInventory[[#This Row],[myid]]="","",[3]DCBase!E329)</f>
        <v>6</v>
      </c>
      <c r="F335" s="66">
        <f>IF(propInventory[[#This Row],[myid]]="","",[3]DCBase!F329)</f>
        <v>24.483809999999998</v>
      </c>
      <c r="G335" s="66">
        <f>IF(propInventory[[#This Row],[myid]]="","",[3]DCBase!G329)</f>
        <v>2.0492750000000002</v>
      </c>
      <c r="H335" s="66">
        <f>IF(propInventory[[#This Row],[myid]]="","",352.98/([3]DCBase!I329+273.15)*(1-0.0000225577*[3]DCBase!H329)^5.25578)</f>
        <v>1.1758151638376082</v>
      </c>
      <c r="I335" s="56">
        <f>IF(propInventory[[#This Row],[myid]]="","",[3]DCBase!K329)</f>
        <v>0.47451729999999998</v>
      </c>
      <c r="J335" s="67">
        <f>IF(propInventory[[#This Row],[myid]]="","",[3]DCBase!L329)</f>
        <v>3</v>
      </c>
      <c r="K335" s="66">
        <f>IF(propInventory[[#This Row],[myid]]="","",352.98/([3]DCBase!N329+273.15)*(1-0.0000225577*[3]DCBase!M329)^5.25578)</f>
        <v>1.1952155100729527</v>
      </c>
      <c r="O335" s="69"/>
      <c r="P335" s="69"/>
      <c r="Q335" s="69"/>
      <c r="R335" s="69"/>
    </row>
    <row r="336" spans="1:18" ht="15">
      <c r="A336" s="84">
        <f>VLOOKUP(propInventory[[#This Row],[Prop Name]],[2]!propInventory3[[Prop Name]:[Instock?]],10,FALSE)</f>
        <v>0</v>
      </c>
      <c r="B336" s="84">
        <f>IF([3]DCBase!$A330="","",[3]DCBase!$A330)</f>
        <v>337</v>
      </c>
      <c r="C336" s="80" t="str">
        <f>IF(propInventory[[#This Row],[myid]]="","",IF([3]DCBase!R330=0,[3]DCBase!D330&amp;"x"&amp;[3]DCBase!E330&amp;" "&amp;[3]DCBase!C330,[3]DCBase!D330&amp;"x"&amp;[3]DCBase!E330&amp;" "&amp;[3]DCBase!C330&amp;" "&amp;[3]DCBase!S330&amp;"mm"))</f>
        <v>13x6 XOAR PJA sport</v>
      </c>
      <c r="D336" s="65">
        <f>IF(propInventory[[#This Row],[myid]]="","",[3]DCBase!D330)</f>
        <v>13</v>
      </c>
      <c r="E336" s="65">
        <f>IF(propInventory[[#This Row],[myid]]="","",[3]DCBase!E330)</f>
        <v>6</v>
      </c>
      <c r="F336" s="66">
        <f>IF(propInventory[[#This Row],[myid]]="","",[3]DCBase!F330)</f>
        <v>0</v>
      </c>
      <c r="G336" s="66">
        <f>IF(propInventory[[#This Row],[myid]]="","",[3]DCBase!G330)</f>
        <v>0</v>
      </c>
      <c r="H336" s="66">
        <f>IF(propInventory[[#This Row],[myid]]="","",352.98/([3]DCBase!I330+273.15)*(1-0.0000225577*[3]DCBase!H330)^5.25578)</f>
        <v>1.1854280084565474</v>
      </c>
      <c r="I336" s="56">
        <f>IF(propInventory[[#This Row],[myid]]="","",[3]DCBase!K330)</f>
        <v>0.73299999999999998</v>
      </c>
      <c r="J336" s="67">
        <f>IF(propInventory[[#This Row],[myid]]="","",[3]DCBase!L330)</f>
        <v>3</v>
      </c>
      <c r="K336" s="66">
        <f>IF(propInventory[[#This Row],[myid]]="","",352.98/([3]DCBase!N330+273.15)*(1-0.0000225577*[3]DCBase!M330)^5.25578)</f>
        <v>1.1838754823938542</v>
      </c>
      <c r="O336" s="69"/>
      <c r="P336" s="69"/>
      <c r="Q336" s="69"/>
      <c r="R336" s="69"/>
    </row>
    <row r="337" spans="1:18" ht="15">
      <c r="A337" s="84">
        <f>VLOOKUP(propInventory[[#This Row],[Prop Name]],[2]!propInventory3[[Prop Name]:[Instock?]],10,FALSE)</f>
        <v>0</v>
      </c>
      <c r="B337" s="84">
        <f>IF([3]DCBase!$A331="","",[3]DCBase!$A331)</f>
        <v>338</v>
      </c>
      <c r="C337" s="80" t="str">
        <f>IF(propInventory[[#This Row],[myid]]="","",IF([3]DCBase!R331=0,[3]DCBase!D331&amp;"x"&amp;[3]DCBase!E331&amp;" "&amp;[3]DCBase!C331,[3]DCBase!D331&amp;"x"&amp;[3]DCBase!E331&amp;" "&amp;[3]DCBase!C331&amp;" "&amp;[3]DCBase!S331&amp;"mm"))</f>
        <v>13x7 XOAR PJA sport</v>
      </c>
      <c r="D337" s="65">
        <f>IF(propInventory[[#This Row],[myid]]="","",[3]DCBase!D331)</f>
        <v>13</v>
      </c>
      <c r="E337" s="65">
        <f>IF(propInventory[[#This Row],[myid]]="","",[3]DCBase!E331)</f>
        <v>7</v>
      </c>
      <c r="F337" s="66">
        <f>IF(propInventory[[#This Row],[myid]]="","",[3]DCBase!F331)</f>
        <v>0</v>
      </c>
      <c r="G337" s="66">
        <f>IF(propInventory[[#This Row],[myid]]="","",[3]DCBase!G331)</f>
        <v>0</v>
      </c>
      <c r="H337" s="66">
        <f>IF(propInventory[[#This Row],[myid]]="","",352.98/([3]DCBase!I331+273.15)*(1-0.0000225577*[3]DCBase!H331)^5.25578)</f>
        <v>1.1854280084565474</v>
      </c>
      <c r="I337" s="56">
        <f>IF(propInventory[[#This Row],[myid]]="","",[3]DCBase!K331)</f>
        <v>0.86750000000000005</v>
      </c>
      <c r="J337" s="67">
        <f>IF(propInventory[[#This Row],[myid]]="","",[3]DCBase!L331)</f>
        <v>3</v>
      </c>
      <c r="K337" s="66">
        <f>IF(propInventory[[#This Row],[myid]]="","",352.98/([3]DCBase!N331+273.15)*(1-0.0000225577*[3]DCBase!M331)^5.25578)</f>
        <v>1.1838754823938542</v>
      </c>
      <c r="O337" s="69"/>
      <c r="P337" s="69"/>
      <c r="Q337" s="69"/>
      <c r="R337" s="69"/>
    </row>
    <row r="338" spans="1:18" ht="15">
      <c r="A338" s="84">
        <f>VLOOKUP(propInventory[[#This Row],[Prop Name]],[2]!propInventory3[[Prop Name]:[Instock?]],10,FALSE)</f>
        <v>0</v>
      </c>
      <c r="B338" s="84">
        <f>IF([3]DCBase!$A332="","",[3]DCBase!$A332)</f>
        <v>339</v>
      </c>
      <c r="C338" s="80" t="str">
        <f>IF(propInventory[[#This Row],[myid]]="","",IF([3]DCBase!R332=0,[3]DCBase!D332&amp;"x"&amp;[3]DCBase!E332&amp;" "&amp;[3]DCBase!C332,[3]DCBase!D332&amp;"x"&amp;[3]DCBase!E332&amp;" "&amp;[3]DCBase!C332&amp;" "&amp;[3]DCBase!S332&amp;"mm"))</f>
        <v>13x6 Master Airscrew Beachwood</v>
      </c>
      <c r="D338" s="65">
        <f>IF(propInventory[[#This Row],[myid]]="","",[3]DCBase!D332)</f>
        <v>13</v>
      </c>
      <c r="E338" s="65">
        <f>IF(propInventory[[#This Row],[myid]]="","",[3]DCBase!E332)</f>
        <v>6</v>
      </c>
      <c r="F338" s="66">
        <f>IF(propInventory[[#This Row],[myid]]="","",[3]DCBase!F332)</f>
        <v>0</v>
      </c>
      <c r="G338" s="66">
        <f>IF(propInventory[[#This Row],[myid]]="","",[3]DCBase!G332)</f>
        <v>0</v>
      </c>
      <c r="H338" s="66">
        <f>IF(propInventory[[#This Row],[myid]]="","",352.98/([3]DCBase!I332+273.15)*(1-0.0000225577*[3]DCBase!H332)^5.25578)</f>
        <v>1.1854280084565474</v>
      </c>
      <c r="I338" s="56">
        <f>IF(propInventory[[#This Row],[myid]]="","",[3]DCBase!K332)</f>
        <v>0.89990000000000003</v>
      </c>
      <c r="J338" s="67">
        <f>IF(propInventory[[#This Row],[myid]]="","",[3]DCBase!L332)</f>
        <v>3</v>
      </c>
      <c r="K338" s="66">
        <f>IF(propInventory[[#This Row],[myid]]="","",352.98/([3]DCBase!N332+273.15)*(1-0.0000225577*[3]DCBase!M332)^5.25578)</f>
        <v>1.1838754823938542</v>
      </c>
      <c r="O338" s="69"/>
      <c r="P338" s="69"/>
      <c r="Q338" s="69"/>
      <c r="R338" s="69"/>
    </row>
    <row r="339" spans="1:18" ht="15">
      <c r="A339" s="84">
        <f>VLOOKUP(propInventory[[#This Row],[Prop Name]],[2]!propInventory3[[Prop Name]:[Instock?]],10,FALSE)</f>
        <v>0</v>
      </c>
      <c r="B339" s="84">
        <f>IF([3]DCBase!$A333="","",[3]DCBase!$A333)</f>
        <v>340</v>
      </c>
      <c r="C339" s="80" t="str">
        <f>IF(propInventory[[#This Row],[myid]]="","",IF([3]DCBase!R333=0,[3]DCBase!D333&amp;"x"&amp;[3]DCBase!E333&amp;" "&amp;[3]DCBase!C333,[3]DCBase!D333&amp;"x"&amp;[3]DCBase!E333&amp;" "&amp;[3]DCBase!C333&amp;" "&amp;[3]DCBase!S333&amp;"mm"))</f>
        <v>7x3.8 APC SF</v>
      </c>
      <c r="D339" s="65">
        <f>IF(propInventory[[#This Row],[myid]]="","",[3]DCBase!D333)</f>
        <v>7</v>
      </c>
      <c r="E339" s="65">
        <f>IF(propInventory[[#This Row],[myid]]="","",[3]DCBase!E333)</f>
        <v>3.8</v>
      </c>
      <c r="F339" s="66">
        <f>IF(propInventory[[#This Row],[myid]]="","",[3]DCBase!F333)</f>
        <v>3.2158380000000002</v>
      </c>
      <c r="G339" s="66">
        <f>IF(propInventory[[#This Row],[myid]]="","",[3]DCBase!G333)</f>
        <v>2.2303709999999999</v>
      </c>
      <c r="H339" s="66">
        <f>IF(propInventory[[#This Row],[myid]]="","",352.98/([3]DCBase!I333+273.15)*(1-0.0000225577*[3]DCBase!H333)^5.25578)</f>
        <v>1.1678475869184985</v>
      </c>
      <c r="I339" s="56">
        <f>IF(propInventory[[#This Row],[myid]]="","",[3]DCBase!K333)</f>
        <v>3.4843600000000002E-2</v>
      </c>
      <c r="J339" s="67">
        <f>IF(propInventory[[#This Row],[myid]]="","",[3]DCBase!L333)</f>
        <v>3.4327770000000002</v>
      </c>
      <c r="K339" s="66">
        <f>IF(propInventory[[#This Row],[myid]]="","",352.98/([3]DCBase!N333+273.15)*(1-0.0000225577*[3]DCBase!M333)^5.25578)</f>
        <v>1.1678475869184985</v>
      </c>
      <c r="O339" s="69"/>
      <c r="P339" s="69"/>
      <c r="Q339" s="69"/>
      <c r="R339" s="69"/>
    </row>
    <row r="340" spans="1:18" ht="15">
      <c r="A340" s="84">
        <f>VLOOKUP(propInventory[[#This Row],[Prop Name]],[2]!propInventory3[[Prop Name]:[Instock?]],10,FALSE)</f>
        <v>0</v>
      </c>
      <c r="B340" s="84">
        <f>IF([3]DCBase!$A334="","",[3]DCBase!$A334)</f>
        <v>341</v>
      </c>
      <c r="C340" s="80" t="str">
        <f>IF(propInventory[[#This Row],[myid]]="","",IF([3]DCBase!R334=0,[3]DCBase!D334&amp;"x"&amp;[3]DCBase!E334&amp;" "&amp;[3]DCBase!C334,[3]DCBase!D334&amp;"x"&amp;[3]DCBase!E334&amp;" "&amp;[3]DCBase!C334&amp;" "&amp;[3]DCBase!S334&amp;"mm"))</f>
        <v>12.5x6 AeroCAM 42mm</v>
      </c>
      <c r="D340" s="65">
        <f>IF(propInventory[[#This Row],[myid]]="","",[3]DCBase!D334)</f>
        <v>12.5</v>
      </c>
      <c r="E340" s="65">
        <f>IF(propInventory[[#This Row],[myid]]="","",[3]DCBase!E334)</f>
        <v>6</v>
      </c>
      <c r="F340" s="66">
        <f>IF(propInventory[[#This Row],[myid]]="","",[3]DCBase!F334)</f>
        <v>24.564599999999999</v>
      </c>
      <c r="G340" s="66">
        <f>IF(propInventory[[#This Row],[myid]]="","",[3]DCBase!G334)</f>
        <v>2.0991550000000001</v>
      </c>
      <c r="H340" s="66">
        <f>IF(propInventory[[#This Row],[myid]]="","",352.98/([3]DCBase!I334+273.15)*(1-0.0000225577*[3]DCBase!H334)^5.25578)</f>
        <v>1.2249869859448206</v>
      </c>
      <c r="I340" s="56">
        <f>IF(propInventory[[#This Row],[myid]]="","",[3]DCBase!K334)</f>
        <v>0.51199629999999996</v>
      </c>
      <c r="J340" s="67">
        <f>IF(propInventory[[#This Row],[myid]]="","",[3]DCBase!L334)</f>
        <v>3</v>
      </c>
      <c r="K340" s="66">
        <f>IF(propInventory[[#This Row],[myid]]="","",352.98/([3]DCBase!N334+273.15)*(1-0.0000225577*[3]DCBase!M334)^5.25578)</f>
        <v>1.2249869859448206</v>
      </c>
      <c r="O340" s="69"/>
      <c r="P340" s="69"/>
      <c r="Q340" s="69"/>
      <c r="R340" s="69"/>
    </row>
    <row r="341" spans="1:18" ht="15">
      <c r="A341" s="84">
        <f>VLOOKUP(propInventory[[#This Row],[Prop Name]],[2]!propInventory3[[Prop Name]:[Instock?]],10,FALSE)</f>
        <v>0</v>
      </c>
      <c r="B341" s="84">
        <f>IF([3]DCBase!$A335="","",[3]DCBase!$A335)</f>
        <v>342</v>
      </c>
      <c r="C341" s="80" t="str">
        <f>IF(propInventory[[#This Row],[myid]]="","",IF([3]DCBase!R335=0,[3]DCBase!D335&amp;"x"&amp;[3]DCBase!E335&amp;" "&amp;[3]DCBase!C335,[3]DCBase!D335&amp;"x"&amp;[3]DCBase!E335&amp;" "&amp;[3]DCBase!C335&amp;" "&amp;[3]DCBase!S335&amp;"mm"))</f>
        <v>8x6 Graupner CAM</v>
      </c>
      <c r="D341" s="65">
        <f>IF(propInventory[[#This Row],[myid]]="","",[3]DCBase!D335)</f>
        <v>8</v>
      </c>
      <c r="E341" s="65">
        <f>IF(propInventory[[#This Row],[myid]]="","",[3]DCBase!E335)</f>
        <v>6</v>
      </c>
      <c r="F341" s="66">
        <f>IF(propInventory[[#This Row],[myid]]="","",[3]DCBase!F335)</f>
        <v>4.7392799999999999</v>
      </c>
      <c r="G341" s="66">
        <f>IF(propInventory[[#This Row],[myid]]="","",[3]DCBase!G335)</f>
        <v>2.0761189999999998</v>
      </c>
      <c r="H341" s="66">
        <f>IF(propInventory[[#This Row],[myid]]="","",352.98/([3]DCBase!I335+273.15)*(1-0.0000225577*[3]DCBase!H335)^5.25578)</f>
        <v>1.2249869859448206</v>
      </c>
      <c r="I341" s="56">
        <f>IF(propInventory[[#This Row],[myid]]="","",[3]DCBase!K335)</f>
        <v>0.1162675</v>
      </c>
      <c r="J341" s="67">
        <f>IF(propInventory[[#This Row],[myid]]="","",[3]DCBase!L335)</f>
        <v>3</v>
      </c>
      <c r="K341" s="66">
        <f>IF(propInventory[[#This Row],[myid]]="","",352.98/([3]DCBase!N335+273.15)*(1-0.0000225577*[3]DCBase!M335)^5.25578)</f>
        <v>1.2249869859448206</v>
      </c>
      <c r="O341" s="69"/>
      <c r="P341" s="69"/>
      <c r="Q341" s="69"/>
      <c r="R341" s="69"/>
    </row>
    <row r="342" spans="1:18" ht="15">
      <c r="A342" s="84">
        <f>VLOOKUP(propInventory[[#This Row],[Prop Name]],[2]!propInventory3[[Prop Name]:[Instock?]],10,FALSE)</f>
        <v>0</v>
      </c>
      <c r="B342" s="84">
        <f>IF([3]DCBase!$A336="","",[3]DCBase!$A336)</f>
        <v>343</v>
      </c>
      <c r="C342" s="80" t="str">
        <f>IF(propInventory[[#This Row],[myid]]="","",IF([3]DCBase!R336=0,[3]DCBase!D336&amp;"x"&amp;[3]DCBase!E336&amp;" "&amp;[3]DCBase!C336,[3]DCBase!D336&amp;"x"&amp;[3]DCBase!E336&amp;" "&amp;[3]DCBase!C336&amp;" "&amp;[3]DCBase!S336&amp;"mm"))</f>
        <v>9x4 Graupner CAM</v>
      </c>
      <c r="D342" s="65">
        <f>IF(propInventory[[#This Row],[myid]]="","",[3]DCBase!D336)</f>
        <v>9</v>
      </c>
      <c r="E342" s="65">
        <f>IF(propInventory[[#This Row],[myid]]="","",[3]DCBase!E336)</f>
        <v>4</v>
      </c>
      <c r="F342" s="66">
        <f>IF(propInventory[[#This Row],[myid]]="","",[3]DCBase!F336)</f>
        <v>10.421620000000001</v>
      </c>
      <c r="G342" s="66">
        <f>IF(propInventory[[#This Row],[myid]]="","",[3]DCBase!G336)</f>
        <v>1.8620479999999999</v>
      </c>
      <c r="H342" s="66">
        <f>IF(propInventory[[#This Row],[myid]]="","",352.98/([3]DCBase!I336+273.15)*(1-0.0000225577*[3]DCBase!H336)^5.25578)</f>
        <v>1.2249869859448206</v>
      </c>
      <c r="I342" s="56">
        <f>IF(propInventory[[#This Row],[myid]]="","",[3]DCBase!K336)</f>
        <v>9.1514200000000004E-2</v>
      </c>
      <c r="J342" s="67">
        <f>IF(propInventory[[#This Row],[myid]]="","",[3]DCBase!L336)</f>
        <v>3</v>
      </c>
      <c r="K342" s="66">
        <f>IF(propInventory[[#This Row],[myid]]="","",352.98/([3]DCBase!N336+273.15)*(1-0.0000225577*[3]DCBase!M336)^5.25578)</f>
        <v>1.2249869859448206</v>
      </c>
      <c r="O342" s="69"/>
      <c r="P342" s="69"/>
      <c r="Q342" s="69"/>
      <c r="R342" s="69"/>
    </row>
    <row r="343" spans="1:18" ht="15">
      <c r="A343" s="84">
        <f>VLOOKUP(propInventory[[#This Row],[Prop Name]],[2]!propInventory3[[Prop Name]:[Instock?]],10,FALSE)</f>
        <v>0</v>
      </c>
      <c r="B343" s="84">
        <f>IF([3]DCBase!$A337="","",[3]DCBase!$A337)</f>
        <v>344</v>
      </c>
      <c r="C343" s="80" t="str">
        <f>IF(propInventory[[#This Row],[myid]]="","",IF([3]DCBase!R337=0,[3]DCBase!D337&amp;"x"&amp;[3]DCBase!E337&amp;" "&amp;[3]DCBase!C337,[3]DCBase!D337&amp;"x"&amp;[3]DCBase!E337&amp;" "&amp;[3]DCBase!C337&amp;" "&amp;[3]DCBase!S337&amp;"mm"))</f>
        <v>9x7 AeroCAM 42mm</v>
      </c>
      <c r="D343" s="65">
        <f>IF(propInventory[[#This Row],[myid]]="","",[3]DCBase!D337)</f>
        <v>9</v>
      </c>
      <c r="E343" s="65">
        <f>IF(propInventory[[#This Row],[myid]]="","",[3]DCBase!E337)</f>
        <v>7</v>
      </c>
      <c r="F343" s="66">
        <f>IF(propInventory[[#This Row],[myid]]="","",[3]DCBase!F337)</f>
        <v>7.6750629999999997</v>
      </c>
      <c r="G343" s="66">
        <f>IF(propInventory[[#This Row],[myid]]="","",[3]DCBase!G337)</f>
        <v>2.0981030000000001</v>
      </c>
      <c r="H343" s="66">
        <f>IF(propInventory[[#This Row],[myid]]="","",352.98/([3]DCBase!I337+273.15)*(1-0.0000225577*[3]DCBase!H337)^5.25578)</f>
        <v>1.2249869859448206</v>
      </c>
      <c r="I343" s="56">
        <f>IF(propInventory[[#This Row],[myid]]="","",[3]DCBase!K337)</f>
        <v>0.24281820000000001</v>
      </c>
      <c r="J343" s="67">
        <f>IF(propInventory[[#This Row],[myid]]="","",[3]DCBase!L337)</f>
        <v>3</v>
      </c>
      <c r="K343" s="66">
        <f>IF(propInventory[[#This Row],[myid]]="","",352.98/([3]DCBase!N337+273.15)*(1-0.0000225577*[3]DCBase!M337)^5.25578)</f>
        <v>1.2249869859448206</v>
      </c>
      <c r="O343" s="69"/>
      <c r="P343" s="69"/>
      <c r="Q343" s="69"/>
      <c r="R343" s="69"/>
    </row>
    <row r="344" spans="1:18" ht="15">
      <c r="A344" s="84">
        <f>VLOOKUP(propInventory[[#This Row],[Prop Name]],[2]!propInventory3[[Prop Name]:[Instock?]],10,FALSE)</f>
        <v>0</v>
      </c>
      <c r="B344" s="84">
        <f>IF([3]DCBase!$A338="","",[3]DCBase!$A338)</f>
        <v>345</v>
      </c>
      <c r="C344" s="80" t="str">
        <f>IF(propInventory[[#This Row],[myid]]="","",IF([3]DCBase!R338=0,[3]DCBase!D338&amp;"x"&amp;[3]DCBase!E338&amp;" "&amp;[3]DCBase!C338,[3]DCBase!D338&amp;"x"&amp;[3]DCBase!E338&amp;" "&amp;[3]DCBase!C338&amp;" "&amp;[3]DCBase!S338&amp;"mm"))</f>
        <v>10x6 Graupner CAM</v>
      </c>
      <c r="D344" s="65">
        <f>IF(propInventory[[#This Row],[myid]]="","",[3]DCBase!D338)</f>
        <v>10</v>
      </c>
      <c r="E344" s="65">
        <f>IF(propInventory[[#This Row],[myid]]="","",[3]DCBase!E338)</f>
        <v>6</v>
      </c>
      <c r="F344" s="66">
        <f>IF(propInventory[[#This Row],[myid]]="","",[3]DCBase!F338)</f>
        <v>13.421749999999999</v>
      </c>
      <c r="G344" s="66">
        <f>IF(propInventory[[#This Row],[myid]]="","",[3]DCBase!G338)</f>
        <v>2.0329769999999998</v>
      </c>
      <c r="H344" s="66">
        <f>IF(propInventory[[#This Row],[myid]]="","",352.98/([3]DCBase!I338+273.15)*(1-0.0000225577*[3]DCBase!H338)^5.25578)</f>
        <v>1.2249869859448206</v>
      </c>
      <c r="I344" s="56">
        <f>IF(propInventory[[#This Row],[myid]]="","",[3]DCBase!K338)</f>
        <v>0.226906</v>
      </c>
      <c r="J344" s="67">
        <f>IF(propInventory[[#This Row],[myid]]="","",[3]DCBase!L338)</f>
        <v>3</v>
      </c>
      <c r="K344" s="66">
        <f>IF(propInventory[[#This Row],[myid]]="","",352.98/([3]DCBase!N338+273.15)*(1-0.0000225577*[3]DCBase!M338)^5.25578)</f>
        <v>1.2249869859448206</v>
      </c>
      <c r="O344" s="69"/>
      <c r="P344" s="69"/>
      <c r="Q344" s="69"/>
      <c r="R344" s="69"/>
    </row>
    <row r="345" spans="1:18" ht="15">
      <c r="A345" s="84">
        <f>VLOOKUP(propInventory[[#This Row],[Prop Name]],[2]!propInventory3[[Prop Name]:[Instock?]],10,FALSE)</f>
        <v>0</v>
      </c>
      <c r="B345" s="84">
        <f>IF([3]DCBase!$A339="","",[3]DCBase!$A339)</f>
        <v>346</v>
      </c>
      <c r="C345" s="80" t="str">
        <f>IF(propInventory[[#This Row],[myid]]="","",IF([3]DCBase!R339=0,[3]DCBase!D339&amp;"x"&amp;[3]DCBase!E339&amp;" "&amp;[3]DCBase!C339,[3]DCBase!D339&amp;"x"&amp;[3]DCBase!E339&amp;" "&amp;[3]DCBase!C339&amp;" "&amp;[3]DCBase!S339&amp;"mm"))</f>
        <v>11x6 Graupner CAM</v>
      </c>
      <c r="D345" s="65">
        <f>IF(propInventory[[#This Row],[myid]]="","",[3]DCBase!D339)</f>
        <v>11</v>
      </c>
      <c r="E345" s="65">
        <f>IF(propInventory[[#This Row],[myid]]="","",[3]DCBase!E339)</f>
        <v>6</v>
      </c>
      <c r="F345" s="66">
        <f>IF(propInventory[[#This Row],[myid]]="","",[3]DCBase!F339)</f>
        <v>18.49896</v>
      </c>
      <c r="G345" s="66">
        <f>IF(propInventory[[#This Row],[myid]]="","",[3]DCBase!G339)</f>
        <v>2.049112</v>
      </c>
      <c r="H345" s="66">
        <f>IF(propInventory[[#This Row],[myid]]="","",352.98/([3]DCBase!I339+273.15)*(1-0.0000225577*[3]DCBase!H339)^5.25578)</f>
        <v>1.2249869859448206</v>
      </c>
      <c r="I345" s="56">
        <f>IF(propInventory[[#This Row],[myid]]="","",[3]DCBase!K339)</f>
        <v>0.36379699999999998</v>
      </c>
      <c r="J345" s="67">
        <f>IF(propInventory[[#This Row],[myid]]="","",[3]DCBase!L339)</f>
        <v>3</v>
      </c>
      <c r="K345" s="66">
        <f>IF(propInventory[[#This Row],[myid]]="","",352.98/([3]DCBase!N339+273.15)*(1-0.0000225577*[3]DCBase!M339)^5.25578)</f>
        <v>1.2249869859448206</v>
      </c>
      <c r="O345" s="69"/>
      <c r="P345" s="69"/>
      <c r="Q345" s="69"/>
      <c r="R345" s="69"/>
    </row>
    <row r="346" spans="1:18" ht="15">
      <c r="A346" s="84">
        <f>VLOOKUP(propInventory[[#This Row],[Prop Name]],[2]!propInventory3[[Prop Name]:[Instock?]],10,FALSE)</f>
        <v>0</v>
      </c>
      <c r="B346" s="84">
        <f>IF([3]DCBase!$A340="","",[3]DCBase!$A340)</f>
        <v>347</v>
      </c>
      <c r="C346" s="80" t="str">
        <f>IF(propInventory[[#This Row],[myid]]="","",IF([3]DCBase!R340=0,[3]DCBase!D340&amp;"x"&amp;[3]DCBase!E340&amp;" "&amp;[3]DCBase!C340,[3]DCBase!D340&amp;"x"&amp;[3]DCBase!E340&amp;" "&amp;[3]DCBase!C340&amp;" "&amp;[3]DCBase!S340&amp;"mm"))</f>
        <v>10x8 Graupner CAM</v>
      </c>
      <c r="D346" s="65">
        <f>IF(propInventory[[#This Row],[myid]]="","",[3]DCBase!D340)</f>
        <v>10</v>
      </c>
      <c r="E346" s="65">
        <f>IF(propInventory[[#This Row],[myid]]="","",[3]DCBase!E340)</f>
        <v>8</v>
      </c>
      <c r="F346" s="66">
        <f>IF(propInventory[[#This Row],[myid]]="","",[3]DCBase!F340)</f>
        <v>17.469149999999999</v>
      </c>
      <c r="G346" s="66">
        <f>IF(propInventory[[#This Row],[myid]]="","",[3]DCBase!G340)</f>
        <v>1.947381</v>
      </c>
      <c r="H346" s="66">
        <f>IF(propInventory[[#This Row],[myid]]="","",352.98/([3]DCBase!I340+273.15)*(1-0.0000225577*[3]DCBase!H340)^5.25578)</f>
        <v>1.2249869859448206</v>
      </c>
      <c r="I346" s="56">
        <f>IF(propInventory[[#This Row],[myid]]="","",[3]DCBase!K340)</f>
        <v>0.32660309999999998</v>
      </c>
      <c r="J346" s="67">
        <f>IF(propInventory[[#This Row],[myid]]="","",[3]DCBase!L340)</f>
        <v>3</v>
      </c>
      <c r="K346" s="66">
        <f>IF(propInventory[[#This Row],[myid]]="","",352.98/([3]DCBase!N340+273.15)*(1-0.0000225577*[3]DCBase!M340)^5.25578)</f>
        <v>1.2249869859448206</v>
      </c>
      <c r="O346" s="69"/>
      <c r="P346" s="69"/>
      <c r="Q346" s="69"/>
      <c r="R346" s="69"/>
    </row>
    <row r="347" spans="1:18" ht="15">
      <c r="A347" s="84">
        <f>VLOOKUP(propInventory[[#This Row],[Prop Name]],[2]!propInventory3[[Prop Name]:[Instock?]],10,FALSE)</f>
        <v>0</v>
      </c>
      <c r="B347" s="84">
        <f>IF([3]DCBase!$A341="","",[3]DCBase!$A341)</f>
        <v>348</v>
      </c>
      <c r="C347" s="80" t="str">
        <f>IF(propInventory[[#This Row],[myid]]="","",IF([3]DCBase!R341=0,[3]DCBase!D341&amp;"x"&amp;[3]DCBase!E341&amp;" "&amp;[3]DCBase!C341,[3]DCBase!D341&amp;"x"&amp;[3]DCBase!E341&amp;" "&amp;[3]DCBase!C341&amp;" "&amp;[3]DCBase!S341&amp;"mm"))</f>
        <v>11x8 Graupner CAM</v>
      </c>
      <c r="D347" s="65">
        <f>IF(propInventory[[#This Row],[myid]]="","",[3]DCBase!D341)</f>
        <v>11</v>
      </c>
      <c r="E347" s="65">
        <f>IF(propInventory[[#This Row],[myid]]="","",[3]DCBase!E341)</f>
        <v>8</v>
      </c>
      <c r="F347" s="66">
        <f>IF(propInventory[[#This Row],[myid]]="","",[3]DCBase!F341)</f>
        <v>18.346779999999999</v>
      </c>
      <c r="G347" s="66">
        <f>IF(propInventory[[#This Row],[myid]]="","",[3]DCBase!G341)</f>
        <v>2.11612</v>
      </c>
      <c r="H347" s="66">
        <f>IF(propInventory[[#This Row],[myid]]="","",352.98/([3]DCBase!I341+273.15)*(1-0.0000225577*[3]DCBase!H341)^5.25578)</f>
        <v>1.2249869859448206</v>
      </c>
      <c r="I347" s="56">
        <f>IF(propInventory[[#This Row],[myid]]="","",[3]DCBase!K341)</f>
        <v>0.48640990000000001</v>
      </c>
      <c r="J347" s="67">
        <f>IF(propInventory[[#This Row],[myid]]="","",[3]DCBase!L341)</f>
        <v>3</v>
      </c>
      <c r="K347" s="66">
        <f>IF(propInventory[[#This Row],[myid]]="","",352.98/([3]DCBase!N341+273.15)*(1-0.0000225577*[3]DCBase!M341)^5.25578)</f>
        <v>1.2249869859448206</v>
      </c>
      <c r="O347" s="69"/>
      <c r="P347" s="69"/>
      <c r="Q347" s="69"/>
      <c r="R347" s="69"/>
    </row>
    <row r="348" spans="1:18" ht="15">
      <c r="A348" s="84">
        <f>VLOOKUP(propInventory[[#This Row],[Prop Name]],[2]!propInventory3[[Prop Name]:[Instock?]],10,FALSE)</f>
        <v>0</v>
      </c>
      <c r="B348" s="84">
        <f>IF([3]DCBase!$A342="","",[3]DCBase!$A342)</f>
        <v>349</v>
      </c>
      <c r="C348" s="80" t="str">
        <f>IF(propInventory[[#This Row],[myid]]="","",IF([3]DCBase!R342=0,[3]DCBase!D342&amp;"x"&amp;[3]DCBase!E342&amp;" "&amp;[3]DCBase!C342,[3]DCBase!D342&amp;"x"&amp;[3]DCBase!E342&amp;" "&amp;[3]DCBase!C342&amp;" "&amp;[3]DCBase!S342&amp;"mm"))</f>
        <v>12x6 Graupner CAM</v>
      </c>
      <c r="D348" s="65">
        <f>IF(propInventory[[#This Row],[myid]]="","",[3]DCBase!D342)</f>
        <v>12</v>
      </c>
      <c r="E348" s="65">
        <f>IF(propInventory[[#This Row],[myid]]="","",[3]DCBase!E342)</f>
        <v>6</v>
      </c>
      <c r="F348" s="66">
        <f>IF(propInventory[[#This Row],[myid]]="","",[3]DCBase!F342)</f>
        <v>23.28614</v>
      </c>
      <c r="G348" s="66">
        <f>IF(propInventory[[#This Row],[myid]]="","",[3]DCBase!G342)</f>
        <v>2.0486460000000002</v>
      </c>
      <c r="H348" s="66">
        <f>IF(propInventory[[#This Row],[myid]]="","",352.98/([3]DCBase!I342+273.15)*(1-0.0000225577*[3]DCBase!H342)^5.25578)</f>
        <v>1.2249869859448206</v>
      </c>
      <c r="I348" s="56">
        <f>IF(propInventory[[#This Row],[myid]]="","",[3]DCBase!K342)</f>
        <v>0.38688479999999997</v>
      </c>
      <c r="J348" s="67">
        <f>IF(propInventory[[#This Row],[myid]]="","",[3]DCBase!L342)</f>
        <v>3</v>
      </c>
      <c r="K348" s="66">
        <f>IF(propInventory[[#This Row],[myid]]="","",352.98/([3]DCBase!N342+273.15)*(1-0.0000225577*[3]DCBase!M342)^5.25578)</f>
        <v>1.2249869859448206</v>
      </c>
      <c r="O348" s="69"/>
      <c r="P348" s="69"/>
      <c r="Q348" s="69"/>
      <c r="R348" s="69"/>
    </row>
    <row r="349" spans="1:18" ht="15">
      <c r="A349" s="84">
        <f>VLOOKUP(propInventory[[#This Row],[Prop Name]],[2]!propInventory3[[Prop Name]:[Instock?]],10,FALSE)</f>
        <v>0</v>
      </c>
      <c r="B349" s="84">
        <f>IF([3]DCBase!$A343="","",[3]DCBase!$A343)</f>
        <v>350</v>
      </c>
      <c r="C349" s="80" t="str">
        <f>IF(propInventory[[#This Row],[myid]]="","",IF([3]DCBase!R343=0,[3]DCBase!D343&amp;"x"&amp;[3]DCBase!E343&amp;" "&amp;[3]DCBase!C343,[3]DCBase!D343&amp;"x"&amp;[3]DCBase!E343&amp;" "&amp;[3]DCBase!C343&amp;" "&amp;[3]DCBase!S343&amp;"mm"))</f>
        <v>4.5x4.5 EMP</v>
      </c>
      <c r="D349" s="65">
        <f>IF(propInventory[[#This Row],[myid]]="","",[3]DCBase!D343)</f>
        <v>4.5</v>
      </c>
      <c r="E349" s="65">
        <f>IF(propInventory[[#This Row],[myid]]="","",[3]DCBase!E343)</f>
        <v>4.5</v>
      </c>
      <c r="F349" s="66">
        <f>IF(propInventory[[#This Row],[myid]]="","",[3]DCBase!F343)</f>
        <v>0.86344880000000002</v>
      </c>
      <c r="G349" s="66">
        <f>IF(propInventory[[#This Row],[myid]]="","",[3]DCBase!G343)</f>
        <v>2.0742219999999998</v>
      </c>
      <c r="H349" s="66">
        <f>IF(propInventory[[#This Row],[myid]]="","",352.98/([3]DCBase!I343+273.15)*(1-0.0000225577*[3]DCBase!H343)^5.25578)</f>
        <v>1.1678475869184985</v>
      </c>
      <c r="I349" s="56">
        <f>IF(propInventory[[#This Row],[myid]]="","",[3]DCBase!K343)</f>
        <v>2.2922999999999999E-2</v>
      </c>
      <c r="J349" s="67">
        <f>IF(propInventory[[#This Row],[myid]]="","",[3]DCBase!L343)</f>
        <v>2.881316</v>
      </c>
      <c r="K349" s="66">
        <f>IF(propInventory[[#This Row],[myid]]="","",352.98/([3]DCBase!N343+273.15)*(1-0.0000225577*[3]DCBase!M343)^5.25578)</f>
        <v>1.1678475869184985</v>
      </c>
      <c r="O349" s="69"/>
      <c r="P349" s="69"/>
      <c r="Q349" s="69"/>
      <c r="R349" s="69"/>
    </row>
    <row r="350" spans="1:18" ht="15">
      <c r="A350" s="84">
        <f>VLOOKUP(propInventory[[#This Row],[Prop Name]],[2]!propInventory3[[Prop Name]:[Instock?]],10,FALSE)</f>
        <v>0</v>
      </c>
      <c r="B350" s="84">
        <f>IF([3]DCBase!$A344="","",[3]DCBase!$A344)</f>
        <v>351</v>
      </c>
      <c r="C350" s="80" t="str">
        <f>IF(propInventory[[#This Row],[myid]]="","",IF([3]DCBase!R344=0,[3]DCBase!D344&amp;"x"&amp;[3]DCBase!E344&amp;" "&amp;[3]DCBase!C344,[3]DCBase!D344&amp;"x"&amp;[3]DCBase!E344&amp;" "&amp;[3]DCBase!C344&amp;" "&amp;[3]DCBase!S344&amp;"mm"))</f>
        <v>6x3 GWS HD 3-blade</v>
      </c>
      <c r="D350" s="65">
        <f>IF(propInventory[[#This Row],[myid]]="","",[3]DCBase!D344)</f>
        <v>6</v>
      </c>
      <c r="E350" s="65">
        <f>IF(propInventory[[#This Row],[myid]]="","",[3]DCBase!E344)</f>
        <v>3</v>
      </c>
      <c r="F350" s="66">
        <f>IF(propInventory[[#This Row],[myid]]="","",[3]DCBase!F344)</f>
        <v>1.532708</v>
      </c>
      <c r="G350" s="66">
        <f>IF(propInventory[[#This Row],[myid]]="","",[3]DCBase!G344)</f>
        <v>2.0740609999999999</v>
      </c>
      <c r="H350" s="66">
        <f>IF(propInventory[[#This Row],[myid]]="","",352.98/([3]DCBase!I344+273.15)*(1-0.0000225577*[3]DCBase!H344)^5.25578)</f>
        <v>1.1678475869184985</v>
      </c>
      <c r="I350" s="56">
        <f>IF(propInventory[[#This Row],[myid]]="","",[3]DCBase!K344)</f>
        <v>2.6053300000000001E-2</v>
      </c>
      <c r="J350" s="67">
        <f>IF(propInventory[[#This Row],[myid]]="","",[3]DCBase!L344)</f>
        <v>2.9852439999999998</v>
      </c>
      <c r="K350" s="66">
        <f>IF(propInventory[[#This Row],[myid]]="","",352.98/([3]DCBase!N344+273.15)*(1-0.0000225577*[3]DCBase!M344)^5.25578)</f>
        <v>1.1678475869184985</v>
      </c>
      <c r="O350" s="69"/>
      <c r="P350" s="69"/>
      <c r="Q350" s="69"/>
      <c r="R350" s="69"/>
    </row>
    <row r="351" spans="1:18" ht="15">
      <c r="A351" s="84">
        <f>VLOOKUP(propInventory[[#This Row],[Prop Name]],[2]!propInventory3[[Prop Name]:[Instock?]],10,FALSE)</f>
        <v>0</v>
      </c>
      <c r="B351" s="84">
        <f>IF([3]DCBase!$A345="","",[3]DCBase!$A345)</f>
        <v>352</v>
      </c>
      <c r="C351" s="80" t="str">
        <f>IF(propInventory[[#This Row],[myid]]="","",IF([3]DCBase!R345=0,[3]DCBase!D345&amp;"x"&amp;[3]DCBase!E345&amp;" "&amp;[3]DCBase!C345,[3]DCBase!D345&amp;"x"&amp;[3]DCBase!E345&amp;" "&amp;[3]DCBase!C345&amp;" "&amp;[3]DCBase!S345&amp;"mm"))</f>
        <v>7x3.5 GWS HD 3-blade</v>
      </c>
      <c r="D351" s="65">
        <f>IF(propInventory[[#This Row],[myid]]="","",[3]DCBase!D345)</f>
        <v>7</v>
      </c>
      <c r="E351" s="65">
        <f>IF(propInventory[[#This Row],[myid]]="","",[3]DCBase!E345)</f>
        <v>3.5</v>
      </c>
      <c r="F351" s="66">
        <f>IF(propInventory[[#This Row],[myid]]="","",[3]DCBase!F345)</f>
        <v>1.7920780000000001</v>
      </c>
      <c r="G351" s="66">
        <f>IF(propInventory[[#This Row],[myid]]="","",[3]DCBase!G345)</f>
        <v>2.2198560000000001</v>
      </c>
      <c r="H351" s="66">
        <f>IF(propInventory[[#This Row],[myid]]="","",352.98/([3]DCBase!I345+273.15)*(1-0.0000225577*[3]DCBase!H345)^5.25578)</f>
        <v>1.1678475869184985</v>
      </c>
      <c r="I351" s="56">
        <f>IF(propInventory[[#This Row],[myid]]="","",[3]DCBase!K345)</f>
        <v>1.7792200000000001E-2</v>
      </c>
      <c r="J351" s="67">
        <f>IF(propInventory[[#This Row],[myid]]="","",[3]DCBase!L345)</f>
        <v>3.368668</v>
      </c>
      <c r="K351" s="66">
        <f>IF(propInventory[[#This Row],[myid]]="","",352.98/([3]DCBase!N345+273.15)*(1-0.0000225577*[3]DCBase!M345)^5.25578)</f>
        <v>1.1678475869184985</v>
      </c>
      <c r="O351" s="69"/>
      <c r="P351" s="69"/>
      <c r="Q351" s="69"/>
      <c r="R351" s="69"/>
    </row>
    <row r="352" spans="1:18" ht="15">
      <c r="A352" s="84">
        <f>VLOOKUP(propInventory[[#This Row],[Prop Name]],[2]!propInventory3[[Prop Name]:[Instock?]],10,FALSE)</f>
        <v>0</v>
      </c>
      <c r="B352" s="84">
        <f>IF([3]DCBase!$A346="","",[3]DCBase!$A346)</f>
        <v>353</v>
      </c>
      <c r="C352" s="80" t="str">
        <f>IF(propInventory[[#This Row],[myid]]="","",IF([3]DCBase!R346=0,[3]DCBase!D346&amp;"x"&amp;[3]DCBase!E346&amp;" "&amp;[3]DCBase!C346,[3]DCBase!D346&amp;"x"&amp;[3]DCBase!E346&amp;" "&amp;[3]DCBase!C346&amp;" "&amp;[3]DCBase!S346&amp;"mm"))</f>
        <v>2.2x3.69 XFAN56</v>
      </c>
      <c r="D352" s="65">
        <f>IF(propInventory[[#This Row],[myid]]="","",[3]DCBase!D346)</f>
        <v>2.2000000000000002</v>
      </c>
      <c r="E352" s="65">
        <f>IF(propInventory[[#This Row],[myid]]="","",[3]DCBase!E346)</f>
        <v>3.69</v>
      </c>
      <c r="F352" s="66">
        <f>IF(propInventory[[#This Row],[myid]]="","",[3]DCBase!F346)</f>
        <v>0</v>
      </c>
      <c r="G352" s="66">
        <f>IF(propInventory[[#This Row],[myid]]="","",[3]DCBase!G346)</f>
        <v>0</v>
      </c>
      <c r="H352" s="66">
        <f>IF(propInventory[[#This Row],[myid]]="","",352.98/([3]DCBase!I346+273.15)*(1-0.0000225577*[3]DCBase!H346)^5.25578)</f>
        <v>1.1494512392748997</v>
      </c>
      <c r="I352" s="56">
        <f>IF(propInventory[[#This Row],[myid]]="","",[3]DCBase!K346)</f>
        <v>2.8492000000000001E-3</v>
      </c>
      <c r="J352" s="67">
        <f>IF(propInventory[[#This Row],[myid]]="","",[3]DCBase!L346)</f>
        <v>3</v>
      </c>
      <c r="K352" s="66">
        <f>IF(propInventory[[#This Row],[myid]]="","",352.98/([3]DCBase!N346+273.15)*(1-0.0000225577*[3]DCBase!M346)^5.25578)</f>
        <v>1.1494512392748997</v>
      </c>
      <c r="O352" s="69"/>
      <c r="P352" s="69"/>
      <c r="Q352" s="69"/>
      <c r="R352" s="69"/>
    </row>
    <row r="353" spans="1:18" ht="15">
      <c r="A353" s="84">
        <f>VLOOKUP(propInventory[[#This Row],[Prop Name]],[2]!propInventory3[[Prop Name]:[Instock?]],10,FALSE)</f>
        <v>0</v>
      </c>
      <c r="B353" s="84">
        <f>IF([3]DCBase!$A347="","",[3]DCBase!$A347)</f>
        <v>354</v>
      </c>
      <c r="C353" s="80" t="str">
        <f>IF(propInventory[[#This Row],[myid]]="","",IF([3]DCBase!R347=0,[3]DCBase!D347&amp;"x"&amp;[3]DCBase!E347&amp;" "&amp;[3]DCBase!C347,[3]DCBase!D347&amp;"x"&amp;[3]DCBase!E347&amp;" "&amp;[3]DCBase!C347&amp;" "&amp;[3]DCBase!S347&amp;"mm"))</f>
        <v>6x4 Master Airscrew Electric only 3-blade</v>
      </c>
      <c r="D353" s="65">
        <f>IF(propInventory[[#This Row],[myid]]="","",[3]DCBase!D347)</f>
        <v>6</v>
      </c>
      <c r="E353" s="65">
        <f>IF(propInventory[[#This Row],[myid]]="","",[3]DCBase!E347)</f>
        <v>4</v>
      </c>
      <c r="F353" s="66">
        <f>IF(propInventory[[#This Row],[myid]]="","",[3]DCBase!F347)</f>
        <v>1.340368</v>
      </c>
      <c r="G353" s="66">
        <f>IF(propInventory[[#This Row],[myid]]="","",[3]DCBase!G347)</f>
        <v>2.2028919999999999</v>
      </c>
      <c r="H353" s="66">
        <f>IF(propInventory[[#This Row],[myid]]="","",352.98/([3]DCBase!I347+273.15)*(1-0.0000225577*[3]DCBase!H347)^5.25578)</f>
        <v>1.1678475869184985</v>
      </c>
      <c r="I353" s="56">
        <f>IF(propInventory[[#This Row],[myid]]="","",[3]DCBase!K347)</f>
        <v>6.5660200000000002E-2</v>
      </c>
      <c r="J353" s="67">
        <f>IF(propInventory[[#This Row],[myid]]="","",[3]DCBase!L347)</f>
        <v>2.8894950000000001</v>
      </c>
      <c r="K353" s="66">
        <f>IF(propInventory[[#This Row],[myid]]="","",352.98/([3]DCBase!N347+273.15)*(1-0.0000225577*[3]DCBase!M347)^5.25578)</f>
        <v>1.1678475869184985</v>
      </c>
      <c r="O353" s="69"/>
      <c r="P353" s="69"/>
      <c r="Q353" s="69"/>
      <c r="R353" s="69"/>
    </row>
    <row r="354" spans="1:18" ht="15">
      <c r="A354" s="84">
        <f>VLOOKUP(propInventory[[#This Row],[Prop Name]],[2]!propInventory3[[Prop Name]:[Instock?]],10,FALSE)</f>
        <v>0</v>
      </c>
      <c r="B354" s="84">
        <f>IF([3]DCBase!$A348="","",[3]DCBase!$A348)</f>
        <v>355</v>
      </c>
      <c r="C354" s="80" t="str">
        <f>IF(propInventory[[#This Row],[myid]]="","",IF([3]DCBase!R348=0,[3]DCBase!D348&amp;"x"&amp;[3]DCBase!E348&amp;" "&amp;[3]DCBase!C348,[3]DCBase!D348&amp;"x"&amp;[3]DCBase!E348&amp;" "&amp;[3]DCBase!C348&amp;" "&amp;[3]DCBase!S348&amp;"mm"))</f>
        <v>7x4 Master Airscrew Electric only 3-blade</v>
      </c>
      <c r="D354" s="65">
        <f>IF(propInventory[[#This Row],[myid]]="","",[3]DCBase!D348)</f>
        <v>7</v>
      </c>
      <c r="E354" s="65">
        <f>IF(propInventory[[#This Row],[myid]]="","",[3]DCBase!E348)</f>
        <v>4</v>
      </c>
      <c r="F354" s="66">
        <f>IF(propInventory[[#This Row],[myid]]="","",[3]DCBase!F348)</f>
        <v>3.9233030000000002</v>
      </c>
      <c r="G354" s="66">
        <f>IF(propInventory[[#This Row],[myid]]="","",[3]DCBase!G348)</f>
        <v>2</v>
      </c>
      <c r="H354" s="66">
        <f>IF(propInventory[[#This Row],[myid]]="","",352.98/([3]DCBase!I348+273.15)*(1-0.0000225577*[3]DCBase!H348)^5.25578)</f>
        <v>1.1678475869184985</v>
      </c>
      <c r="I354" s="56">
        <f>IF(propInventory[[#This Row],[myid]]="","",[3]DCBase!K348)</f>
        <v>9.4308199999999995E-2</v>
      </c>
      <c r="J354" s="67">
        <f>IF(propInventory[[#This Row],[myid]]="","",[3]DCBase!L348)</f>
        <v>2.9466990000000002</v>
      </c>
      <c r="K354" s="66">
        <f>IF(propInventory[[#This Row],[myid]]="","",352.98/([3]DCBase!N348+273.15)*(1-0.0000225577*[3]DCBase!M348)^5.25578)</f>
        <v>1.1678475869184985</v>
      </c>
      <c r="O354" s="69"/>
      <c r="P354" s="69"/>
      <c r="Q354" s="69"/>
      <c r="R354" s="69"/>
    </row>
    <row r="355" spans="1:18" ht="15">
      <c r="A355" s="84">
        <f>VLOOKUP(propInventory[[#This Row],[Prop Name]],[2]!propInventory3[[Prop Name]:[Instock?]],10,FALSE)</f>
        <v>0</v>
      </c>
      <c r="B355" s="84">
        <f>IF([3]DCBase!$A349="","",[3]DCBase!$A349)</f>
        <v>356</v>
      </c>
      <c r="C355" s="80" t="str">
        <f>IF(propInventory[[#This Row],[myid]]="","",IF([3]DCBase!R349=0,[3]DCBase!D349&amp;"x"&amp;[3]DCBase!E349&amp;" "&amp;[3]DCBase!C349,[3]DCBase!D349&amp;"x"&amp;[3]DCBase!E349&amp;" "&amp;[3]DCBase!C349&amp;" "&amp;[3]DCBase!S349&amp;"mm"))</f>
        <v>6.7x3.5 Graupner Slowfly</v>
      </c>
      <c r="D355" s="65">
        <f>IF(propInventory[[#This Row],[myid]]="","",[3]DCBase!D349)</f>
        <v>6.7</v>
      </c>
      <c r="E355" s="65">
        <f>IF(propInventory[[#This Row],[myid]]="","",[3]DCBase!E349)</f>
        <v>3.5</v>
      </c>
      <c r="F355" s="66">
        <f>IF(propInventory[[#This Row],[myid]]="","",[3]DCBase!F349)</f>
        <v>2.996537</v>
      </c>
      <c r="G355" s="66">
        <f>IF(propInventory[[#This Row],[myid]]="","",[3]DCBase!G349)</f>
        <v>2</v>
      </c>
      <c r="H355" s="66">
        <f>IF(propInventory[[#This Row],[myid]]="","",352.98/([3]DCBase!I349+273.15)*(1-0.0000225577*[3]DCBase!H349)^5.25578)</f>
        <v>1.189886294462454</v>
      </c>
      <c r="I355" s="56">
        <f>IF(propInventory[[#This Row],[myid]]="","",[3]DCBase!K349)</f>
        <v>3.2341200000000001E-2</v>
      </c>
      <c r="J355" s="67">
        <f>IF(propInventory[[#This Row],[myid]]="","",[3]DCBase!L349)</f>
        <v>3.082023</v>
      </c>
      <c r="K355" s="66">
        <f>IF(propInventory[[#This Row],[myid]]="","",352.98/([3]DCBase!N349+273.15)*(1-0.0000225577*[3]DCBase!M349)^5.25578)</f>
        <v>1.189886294462454</v>
      </c>
      <c r="O355" s="69"/>
      <c r="P355" s="69"/>
      <c r="Q355" s="69"/>
      <c r="R355" s="69"/>
    </row>
    <row r="356" spans="1:18" ht="15">
      <c r="A356" s="84">
        <f>VLOOKUP(propInventory[[#This Row],[Prop Name]],[2]!propInventory3[[Prop Name]:[Instock?]],10,FALSE)</f>
        <v>0</v>
      </c>
      <c r="B356" s="84">
        <f>IF([3]DCBase!$A350="","",[3]DCBase!$A350)</f>
        <v>357</v>
      </c>
      <c r="C356" s="80" t="str">
        <f>IF(propInventory[[#This Row],[myid]]="","",IF([3]DCBase!R350=0,[3]DCBase!D350&amp;"x"&amp;[3]DCBase!E350&amp;" "&amp;[3]DCBase!C350,[3]DCBase!D350&amp;"x"&amp;[3]DCBase!E350&amp;" "&amp;[3]DCBase!C350&amp;" "&amp;[3]DCBase!S350&amp;"mm"))</f>
        <v>7x4 Graupner Slowfly</v>
      </c>
      <c r="D356" s="65">
        <f>IF(propInventory[[#This Row],[myid]]="","",[3]DCBase!D350)</f>
        <v>7</v>
      </c>
      <c r="E356" s="65">
        <f>IF(propInventory[[#This Row],[myid]]="","",[3]DCBase!E350)</f>
        <v>4</v>
      </c>
      <c r="F356" s="66">
        <f>IF(propInventory[[#This Row],[myid]]="","",[3]DCBase!F350)</f>
        <v>3.9485769999999998</v>
      </c>
      <c r="G356" s="66">
        <f>IF(propInventory[[#This Row],[myid]]="","",[3]DCBase!G350)</f>
        <v>2</v>
      </c>
      <c r="H356" s="66">
        <f>IF(propInventory[[#This Row],[myid]]="","",352.98/([3]DCBase!I350+273.15)*(1-0.0000225577*[3]DCBase!H350)^5.25578)</f>
        <v>1.189886294462454</v>
      </c>
      <c r="I356" s="56">
        <f>IF(propInventory[[#This Row],[myid]]="","",[3]DCBase!K350)</f>
        <v>9.4667600000000005E-2</v>
      </c>
      <c r="J356" s="67">
        <f>IF(propInventory[[#This Row],[myid]]="","",[3]DCBase!L350)</f>
        <v>2.8158430000000001</v>
      </c>
      <c r="K356" s="66">
        <f>IF(propInventory[[#This Row],[myid]]="","",352.98/([3]DCBase!N350+273.15)*(1-0.0000225577*[3]DCBase!M350)^5.25578)</f>
        <v>1.189886294462454</v>
      </c>
      <c r="O356" s="69"/>
      <c r="P356" s="69"/>
      <c r="Q356" s="69"/>
      <c r="R356" s="69"/>
    </row>
    <row r="357" spans="1:18" ht="15">
      <c r="A357" s="84">
        <f>VLOOKUP(propInventory[[#This Row],[Prop Name]],[2]!propInventory3[[Prop Name]:[Instock?]],10,FALSE)</f>
        <v>0</v>
      </c>
      <c r="B357" s="84">
        <f>IF([3]DCBase!$A351="","",[3]DCBase!$A351)</f>
        <v>358</v>
      </c>
      <c r="C357" s="80" t="str">
        <f>IF(propInventory[[#This Row],[myid]]="","",IF([3]DCBase!R351=0,[3]DCBase!D351&amp;"x"&amp;[3]DCBase!E351&amp;" "&amp;[3]DCBase!C351,[3]DCBase!D351&amp;"x"&amp;[3]DCBase!E351&amp;" "&amp;[3]DCBase!C351&amp;" "&amp;[3]DCBase!S351&amp;"mm"))</f>
        <v>6.6x3 Graupner Slim</v>
      </c>
      <c r="D357" s="65">
        <f>IF(propInventory[[#This Row],[myid]]="","",[3]DCBase!D351)</f>
        <v>6.6</v>
      </c>
      <c r="E357" s="65">
        <f>IF(propInventory[[#This Row],[myid]]="","",[3]DCBase!E351)</f>
        <v>3</v>
      </c>
      <c r="F357" s="66">
        <f>IF(propInventory[[#This Row],[myid]]="","",[3]DCBase!F351)</f>
        <v>2.259897</v>
      </c>
      <c r="G357" s="66">
        <f>IF(propInventory[[#This Row],[myid]]="","",[3]DCBase!G351)</f>
        <v>2</v>
      </c>
      <c r="H357" s="66">
        <f>IF(propInventory[[#This Row],[myid]]="","",352.98/([3]DCBase!I351+273.15)*(1-0.0000225577*[3]DCBase!H351)^5.25578)</f>
        <v>1.2249869859448206</v>
      </c>
      <c r="I357" s="56">
        <f>IF(propInventory[[#This Row],[myid]]="","",[3]DCBase!K351)</f>
        <v>2.8940799999999999E-2</v>
      </c>
      <c r="J357" s="67">
        <f>IF(propInventory[[#This Row],[myid]]="","",[3]DCBase!L351)</f>
        <v>3</v>
      </c>
      <c r="K357" s="66">
        <f>IF(propInventory[[#This Row],[myid]]="","",352.98/([3]DCBase!N351+273.15)*(1-0.0000225577*[3]DCBase!M351)^5.25578)</f>
        <v>1.189886294462454</v>
      </c>
      <c r="O357" s="69"/>
      <c r="P357" s="69"/>
      <c r="Q357" s="69"/>
      <c r="R357" s="69"/>
    </row>
    <row r="358" spans="1:18" ht="15">
      <c r="A358" s="84">
        <f>VLOOKUP(propInventory[[#This Row],[Prop Name]],[2]!propInventory3[[Prop Name]:[Instock?]],10,FALSE)</f>
        <v>0</v>
      </c>
      <c r="B358" s="84">
        <f>IF([3]DCBase!$A352="","",[3]DCBase!$A352)</f>
        <v>359</v>
      </c>
      <c r="C358" s="80" t="str">
        <f>IF(propInventory[[#This Row],[myid]]="","",IF([3]DCBase!R352=0,[3]DCBase!D352&amp;"x"&amp;[3]DCBase!E352&amp;" "&amp;[3]DCBase!C352,[3]DCBase!D352&amp;"x"&amp;[3]DCBase!E352&amp;" "&amp;[3]DCBase!C352&amp;" "&amp;[3]DCBase!S352&amp;"mm"))</f>
        <v>8x4.5 Graupner Slowfly</v>
      </c>
      <c r="D358" s="65">
        <f>IF(propInventory[[#This Row],[myid]]="","",[3]DCBase!D352)</f>
        <v>8</v>
      </c>
      <c r="E358" s="65">
        <f>IF(propInventory[[#This Row],[myid]]="","",[3]DCBase!E352)</f>
        <v>4.5</v>
      </c>
      <c r="F358" s="66">
        <f>IF(propInventory[[#This Row],[myid]]="","",[3]DCBase!F352)</f>
        <v>6.774813</v>
      </c>
      <c r="G358" s="66">
        <f>IF(propInventory[[#This Row],[myid]]="","",[3]DCBase!G352)</f>
        <v>2</v>
      </c>
      <c r="H358" s="66">
        <f>IF(propInventory[[#This Row],[myid]]="","",352.98/([3]DCBase!I352+273.15)*(1-0.0000225577*[3]DCBase!H352)^5.25578)</f>
        <v>1.189886294462454</v>
      </c>
      <c r="I358" s="56">
        <f>IF(propInventory[[#This Row],[myid]]="","",[3]DCBase!K352)</f>
        <v>0.12622269999999999</v>
      </c>
      <c r="J358" s="67">
        <f>IF(propInventory[[#This Row],[myid]]="","",[3]DCBase!L352)</f>
        <v>3</v>
      </c>
      <c r="K358" s="66">
        <f>IF(propInventory[[#This Row],[myid]]="","",352.98/([3]DCBase!N352+273.15)*(1-0.0000225577*[3]DCBase!M352)^5.25578)</f>
        <v>1.1980599938920431</v>
      </c>
      <c r="O358" s="69"/>
      <c r="P358" s="69"/>
      <c r="Q358" s="69"/>
      <c r="R358" s="69"/>
    </row>
    <row r="359" spans="1:18" ht="15">
      <c r="A359" s="84">
        <f>VLOOKUP(propInventory[[#This Row],[Prop Name]],[2]!propInventory3[[Prop Name]:[Instock?]],10,FALSE)</f>
        <v>0</v>
      </c>
      <c r="B359" s="84">
        <f>IF([3]DCBase!$A353="","",[3]DCBase!$A353)</f>
        <v>360</v>
      </c>
      <c r="C359" s="80" t="str">
        <f>IF(propInventory[[#This Row],[myid]]="","",IF([3]DCBase!R353=0,[3]DCBase!D353&amp;"x"&amp;[3]DCBase!E353&amp;" "&amp;[3]DCBase!C353,[3]DCBase!D353&amp;"x"&amp;[3]DCBase!E353&amp;" "&amp;[3]DCBase!C353&amp;" "&amp;[3]DCBase!S353&amp;"mm"))</f>
        <v>9x5 Graupner Slowfly</v>
      </c>
      <c r="D359" s="65">
        <f>IF(propInventory[[#This Row],[myid]]="","",[3]DCBase!D353)</f>
        <v>9</v>
      </c>
      <c r="E359" s="65">
        <f>IF(propInventory[[#This Row],[myid]]="","",[3]DCBase!E353)</f>
        <v>5</v>
      </c>
      <c r="F359" s="66">
        <f>IF(propInventory[[#This Row],[myid]]="","",[3]DCBase!F353)</f>
        <v>10.701879999999999</v>
      </c>
      <c r="G359" s="66">
        <f>IF(propInventory[[#This Row],[myid]]="","",[3]DCBase!G353)</f>
        <v>2</v>
      </c>
      <c r="H359" s="66">
        <f>IF(propInventory[[#This Row],[myid]]="","",352.98/([3]DCBase!I353+273.15)*(1-0.0000225577*[3]DCBase!H353)^5.25578)</f>
        <v>1.189886294462454</v>
      </c>
      <c r="I359" s="56">
        <f>IF(propInventory[[#This Row],[myid]]="","",[3]DCBase!K353)</f>
        <v>0.20504929999999999</v>
      </c>
      <c r="J359" s="67">
        <f>IF(propInventory[[#This Row],[myid]]="","",[3]DCBase!L353)</f>
        <v>3</v>
      </c>
      <c r="K359" s="66">
        <f>IF(propInventory[[#This Row],[myid]]="","",352.98/([3]DCBase!N353+273.15)*(1-0.0000225577*[3]DCBase!M353)^5.25578)</f>
        <v>1.1980599938920431</v>
      </c>
      <c r="O359" s="69"/>
      <c r="P359" s="69"/>
      <c r="Q359" s="69"/>
      <c r="R359" s="69"/>
    </row>
    <row r="360" spans="1:18" ht="15">
      <c r="A360" s="84">
        <f>VLOOKUP(propInventory[[#This Row],[Prop Name]],[2]!propInventory3[[Prop Name]:[Instock?]],10,FALSE)</f>
        <v>0</v>
      </c>
      <c r="B360" s="84">
        <f>IF([3]DCBase!$A354="","",[3]DCBase!$A354)</f>
        <v>361</v>
      </c>
      <c r="C360" s="80" t="str">
        <f>IF(propInventory[[#This Row],[myid]]="","",IF([3]DCBase!R354=0,[3]DCBase!D354&amp;"x"&amp;[3]DCBase!E354&amp;" "&amp;[3]DCBase!C354,[3]DCBase!D354&amp;"x"&amp;[3]DCBase!E354&amp;" "&amp;[3]DCBase!C354&amp;" "&amp;[3]DCBase!S354&amp;"mm"))</f>
        <v>18x9 AeroCarbon 45mm</v>
      </c>
      <c r="D360" s="65">
        <f>IF(propInventory[[#This Row],[myid]]="","",[3]DCBase!D354)</f>
        <v>18</v>
      </c>
      <c r="E360" s="65">
        <f>IF(propInventory[[#This Row],[myid]]="","",[3]DCBase!E354)</f>
        <v>9</v>
      </c>
      <c r="F360" s="66">
        <f>IF(propInventory[[#This Row],[myid]]="","",[3]DCBase!F354)</f>
        <v>95.980649999999997</v>
      </c>
      <c r="G360" s="66">
        <f>IF(propInventory[[#This Row],[myid]]="","",[3]DCBase!G354)</f>
        <v>2.1204909999999999</v>
      </c>
      <c r="H360" s="66">
        <f>IF(propInventory[[#This Row],[myid]]="","",352.98/([3]DCBase!I354+273.15)*(1-0.0000225577*[3]DCBase!H354)^5.25578)</f>
        <v>1.2019536794370358</v>
      </c>
      <c r="I360" s="56">
        <f>IF(propInventory[[#This Row],[myid]]="","",[3]DCBase!K354)</f>
        <v>3.2070820000000002</v>
      </c>
      <c r="J360" s="67">
        <f>IF(propInventory[[#This Row],[myid]]="","",[3]DCBase!L354)</f>
        <v>3</v>
      </c>
      <c r="K360" s="66">
        <f>IF(propInventory[[#This Row],[myid]]="","",352.98/([3]DCBase!N354+273.15)*(1-0.0000225577*[3]DCBase!M354)^5.25578)</f>
        <v>1.2249869859448206</v>
      </c>
      <c r="O360" s="69"/>
      <c r="P360" s="69"/>
      <c r="Q360" s="69"/>
      <c r="R360" s="69"/>
    </row>
    <row r="361" spans="1:18" ht="15">
      <c r="A361" s="84">
        <f>VLOOKUP(propInventory[[#This Row],[Prop Name]],[2]!propInventory3[[Prop Name]:[Instock?]],10,FALSE)</f>
        <v>0</v>
      </c>
      <c r="B361" s="84">
        <f>IF([3]DCBase!$A355="","",[3]DCBase!$A355)</f>
        <v>362</v>
      </c>
      <c r="C361" s="80" t="str">
        <f>IF(propInventory[[#This Row],[myid]]="","",IF([3]DCBase!R355=0,[3]DCBase!D355&amp;"x"&amp;[3]DCBase!E355&amp;" "&amp;[3]DCBase!C355,[3]DCBase!D355&amp;"x"&amp;[3]DCBase!E355&amp;" "&amp;[3]DCBase!C355&amp;" "&amp;[3]DCBase!S355&amp;"mm"))</f>
        <v>18.5x10 AeroCarbon 45mm</v>
      </c>
      <c r="D361" s="65">
        <f>IF(propInventory[[#This Row],[myid]]="","",[3]DCBase!D355)</f>
        <v>18.5</v>
      </c>
      <c r="E361" s="65">
        <f>IF(propInventory[[#This Row],[myid]]="","",[3]DCBase!E355)</f>
        <v>10</v>
      </c>
      <c r="F361" s="66">
        <f>IF(propInventory[[#This Row],[myid]]="","",[3]DCBase!F355)</f>
        <v>114.2891</v>
      </c>
      <c r="G361" s="66">
        <f>IF(propInventory[[#This Row],[myid]]="","",[3]DCBase!G355)</f>
        <v>2.0428199999999999</v>
      </c>
      <c r="H361" s="66">
        <f>IF(propInventory[[#This Row],[myid]]="","",352.98/([3]DCBase!I355+273.15)*(1-0.0000225577*[3]DCBase!H355)^5.25578)</f>
        <v>1.2019536794370358</v>
      </c>
      <c r="I361" s="56">
        <f>IF(propInventory[[#This Row],[myid]]="","",[3]DCBase!K355)</f>
        <v>3.6080230000000002</v>
      </c>
      <c r="J361" s="67">
        <f>IF(propInventory[[#This Row],[myid]]="","",[3]DCBase!L355)</f>
        <v>3</v>
      </c>
      <c r="K361" s="66">
        <f>IF(propInventory[[#This Row],[myid]]="","",352.98/([3]DCBase!N355+273.15)*(1-0.0000225577*[3]DCBase!M355)^5.25578)</f>
        <v>1.2249869859448206</v>
      </c>
      <c r="O361" s="69"/>
      <c r="P361" s="69"/>
      <c r="Q361" s="69"/>
      <c r="R361" s="69"/>
    </row>
    <row r="362" spans="1:18" ht="15">
      <c r="A362" s="84">
        <f>VLOOKUP(propInventory[[#This Row],[Prop Name]],[2]!propInventory3[[Prop Name]:[Instock?]],10,FALSE)</f>
        <v>0</v>
      </c>
      <c r="B362" s="84">
        <f>IF([3]DCBase!$A356="","",[3]DCBase!$A356)</f>
        <v>363</v>
      </c>
      <c r="C362" s="80" t="str">
        <f>IF(propInventory[[#This Row],[myid]]="","",IF([3]DCBase!R356=0,[3]DCBase!D356&amp;"x"&amp;[3]DCBase!E356&amp;" "&amp;[3]DCBase!C356,[3]DCBase!D356&amp;"x"&amp;[3]DCBase!E356&amp;" "&amp;[3]DCBase!C356&amp;" "&amp;[3]DCBase!S356&amp;"mm"))</f>
        <v>15x8 Fiala E-Holz</v>
      </c>
      <c r="D362" s="65">
        <f>IF(propInventory[[#This Row],[myid]]="","",[3]DCBase!D356)</f>
        <v>15</v>
      </c>
      <c r="E362" s="65">
        <f>IF(propInventory[[#This Row],[myid]]="","",[3]DCBase!E356)</f>
        <v>8</v>
      </c>
      <c r="F362" s="66">
        <f>IF(propInventory[[#This Row],[myid]]="","",[3]DCBase!F356)</f>
        <v>46.410330000000002</v>
      </c>
      <c r="G362" s="66">
        <f>IF(propInventory[[#This Row],[myid]]="","",[3]DCBase!G356)</f>
        <v>2.1771189999999998</v>
      </c>
      <c r="H362" s="66">
        <f>IF(propInventory[[#This Row],[myid]]="","",352.98/([3]DCBase!I356+273.15)*(1-0.0000225577*[3]DCBase!H356)^5.25578)</f>
        <v>1.2249869859448206</v>
      </c>
      <c r="I362" s="56">
        <f>IF(propInventory[[#This Row],[myid]]="","",[3]DCBase!K356)</f>
        <v>1.483374</v>
      </c>
      <c r="J362" s="67">
        <f>IF(propInventory[[#This Row],[myid]]="","",[3]DCBase!L356)</f>
        <v>3</v>
      </c>
      <c r="K362" s="66">
        <f>IF(propInventory[[#This Row],[myid]]="","",352.98/([3]DCBase!N356+273.15)*(1-0.0000225577*[3]DCBase!M356)^5.25578)</f>
        <v>1.2249869859448206</v>
      </c>
      <c r="O362" s="69"/>
      <c r="P362" s="69"/>
      <c r="Q362" s="69"/>
      <c r="R362" s="69"/>
    </row>
    <row r="363" spans="1:18" ht="15">
      <c r="A363" s="84">
        <f>VLOOKUP(propInventory[[#This Row],[Prop Name]],[2]!propInventory3[[Prop Name]:[Instock?]],10,FALSE)</f>
        <v>0</v>
      </c>
      <c r="B363" s="84">
        <f>IF([3]DCBase!$A357="","",[3]DCBase!$A357)</f>
        <v>364</v>
      </c>
      <c r="C363" s="80" t="str">
        <f>IF(propInventory[[#This Row],[myid]]="","",IF([3]DCBase!R357=0,[3]DCBase!D357&amp;"x"&amp;[3]DCBase!E357&amp;" "&amp;[3]DCBase!C357,[3]DCBase!D357&amp;"x"&amp;[3]DCBase!E357&amp;" "&amp;[3]DCBase!C357&amp;" "&amp;[3]DCBase!S357&amp;"mm"))</f>
        <v>15x10 Fiala E-Holz</v>
      </c>
      <c r="D363" s="65">
        <f>IF(propInventory[[#This Row],[myid]]="","",[3]DCBase!D357)</f>
        <v>15</v>
      </c>
      <c r="E363" s="65">
        <f>IF(propInventory[[#This Row],[myid]]="","",[3]DCBase!E357)</f>
        <v>10</v>
      </c>
      <c r="F363" s="66">
        <f>IF(propInventory[[#This Row],[myid]]="","",[3]DCBase!F357)</f>
        <v>64.525120000000001</v>
      </c>
      <c r="G363" s="66">
        <f>IF(propInventory[[#This Row],[myid]]="","",[3]DCBase!G357)</f>
        <v>2.0382410000000002</v>
      </c>
      <c r="H363" s="66">
        <f>IF(propInventory[[#This Row],[myid]]="","",352.98/([3]DCBase!I357+273.15)*(1-0.0000225577*[3]DCBase!H357)^5.25578)</f>
        <v>1.2249869859448206</v>
      </c>
      <c r="I363" s="56">
        <f>IF(propInventory[[#This Row],[myid]]="","",[3]DCBase!K357)</f>
        <v>1.21095</v>
      </c>
      <c r="J363" s="67">
        <f>IF(propInventory[[#This Row],[myid]]="","",[3]DCBase!L357)</f>
        <v>3.1447820000000002</v>
      </c>
      <c r="K363" s="66">
        <f>IF(propInventory[[#This Row],[myid]]="","",352.98/([3]DCBase!N357+273.15)*(1-0.0000225577*[3]DCBase!M357)^5.25578)</f>
        <v>1.2249869859448206</v>
      </c>
      <c r="O363" s="69"/>
      <c r="P363" s="69"/>
      <c r="Q363" s="69"/>
      <c r="R363" s="69"/>
    </row>
    <row r="364" spans="1:18" ht="15">
      <c r="A364" s="84">
        <f>VLOOKUP(propInventory[[#This Row],[Prop Name]],[2]!propInventory3[[Prop Name]:[Instock?]],10,FALSE)</f>
        <v>0</v>
      </c>
      <c r="B364" s="84">
        <f>IF([3]DCBase!$A358="","",[3]DCBase!$A358)</f>
        <v>365</v>
      </c>
      <c r="C364" s="80" t="str">
        <f>IF(propInventory[[#This Row],[myid]]="","",IF([3]DCBase!R358=0,[3]DCBase!D358&amp;"x"&amp;[3]DCBase!E358&amp;" "&amp;[3]DCBase!C358,[3]DCBase!D358&amp;"x"&amp;[3]DCBase!E358&amp;" "&amp;[3]DCBase!C358&amp;" "&amp;[3]DCBase!S358&amp;"mm"))</f>
        <v>16x8 Fiala E-Holz</v>
      </c>
      <c r="D364" s="65">
        <f>IF(propInventory[[#This Row],[myid]]="","",[3]DCBase!D358)</f>
        <v>16</v>
      </c>
      <c r="E364" s="65">
        <f>IF(propInventory[[#This Row],[myid]]="","",[3]DCBase!E358)</f>
        <v>8</v>
      </c>
      <c r="F364" s="66">
        <f>IF(propInventory[[#This Row],[myid]]="","",[3]DCBase!F358)</f>
        <v>42.307780000000001</v>
      </c>
      <c r="G364" s="66">
        <f>IF(propInventory[[#This Row],[myid]]="","",[3]DCBase!G358)</f>
        <v>2.218655</v>
      </c>
      <c r="H364" s="66">
        <f>IF(propInventory[[#This Row],[myid]]="","",352.98/([3]DCBase!I358+273.15)*(1-0.0000225577*[3]DCBase!H358)^5.25578)</f>
        <v>1.2249869859448206</v>
      </c>
      <c r="I364" s="56">
        <f>IF(propInventory[[#This Row],[myid]]="","",[3]DCBase!K358)</f>
        <v>0.68209470000000005</v>
      </c>
      <c r="J364" s="67">
        <f>IF(propInventory[[#This Row],[myid]]="","",[3]DCBase!L358)</f>
        <v>3.301218</v>
      </c>
      <c r="K364" s="66">
        <f>IF(propInventory[[#This Row],[myid]]="","",352.98/([3]DCBase!N358+273.15)*(1-0.0000225577*[3]DCBase!M358)^5.25578)</f>
        <v>1.2249869859448206</v>
      </c>
      <c r="O364" s="69"/>
      <c r="P364" s="69"/>
      <c r="Q364" s="69"/>
      <c r="R364" s="69"/>
    </row>
    <row r="365" spans="1:18" ht="15">
      <c r="A365" s="84">
        <f>VLOOKUP(propInventory[[#This Row],[Prop Name]],[2]!propInventory3[[Prop Name]:[Instock?]],10,FALSE)</f>
        <v>0</v>
      </c>
      <c r="B365" s="84">
        <f>IF([3]DCBase!$A359="","",[3]DCBase!$A359)</f>
        <v>366</v>
      </c>
      <c r="C365" s="80" t="str">
        <f>IF(propInventory[[#This Row],[myid]]="","",IF([3]DCBase!R359=0,[3]DCBase!D359&amp;"x"&amp;[3]DCBase!E359&amp;" "&amp;[3]DCBase!C359,[3]DCBase!D359&amp;"x"&amp;[3]DCBase!E359&amp;" "&amp;[3]DCBase!C359&amp;" "&amp;[3]DCBase!S359&amp;"mm"))</f>
        <v>20x18 Fiala E-Holz</v>
      </c>
      <c r="D365" s="65">
        <f>IF(propInventory[[#This Row],[myid]]="","",[3]DCBase!D359)</f>
        <v>20</v>
      </c>
      <c r="E365" s="65">
        <f>IF(propInventory[[#This Row],[myid]]="","",[3]DCBase!E359)</f>
        <v>18</v>
      </c>
      <c r="F365" s="66">
        <f>IF(propInventory[[#This Row],[myid]]="","",[3]DCBase!F359)</f>
        <v>218.04470000000001</v>
      </c>
      <c r="G365" s="66">
        <f>IF(propInventory[[#This Row],[myid]]="","",[3]DCBase!G359)</f>
        <v>2</v>
      </c>
      <c r="H365" s="66">
        <f>IF(propInventory[[#This Row],[myid]]="","",352.98/([3]DCBase!I359+273.15)*(1-0.0000225577*[3]DCBase!H359)^5.25578)</f>
        <v>1.2249869859448206</v>
      </c>
      <c r="I365" s="56">
        <f>IF(propInventory[[#This Row],[myid]]="","",[3]DCBase!K359)</f>
        <v>10.7</v>
      </c>
      <c r="J365" s="67">
        <f>IF(propInventory[[#This Row],[myid]]="","",[3]DCBase!L359)</f>
        <v>3</v>
      </c>
      <c r="K365" s="66">
        <f>IF(propInventory[[#This Row],[myid]]="","",352.98/([3]DCBase!N359+273.15)*(1-0.0000225577*[3]DCBase!M359)^5.25578)</f>
        <v>1.2249869859448206</v>
      </c>
      <c r="O365" s="69"/>
      <c r="P365" s="69"/>
      <c r="Q365" s="69"/>
      <c r="R365" s="69"/>
    </row>
    <row r="366" spans="1:18" ht="15">
      <c r="A366" s="84">
        <f>VLOOKUP(propInventory[[#This Row],[Prop Name]],[2]!propInventory3[[Prop Name]:[Instock?]],10,FALSE)</f>
        <v>0</v>
      </c>
      <c r="B366" s="84">
        <f>IF([3]DCBase!$A360="","",[3]DCBase!$A360)</f>
        <v>367</v>
      </c>
      <c r="C366" s="80" t="str">
        <f>IF(propInventory[[#This Row],[myid]]="","",IF([3]DCBase!R360=0,[3]DCBase!D360&amp;"x"&amp;[3]DCBase!E360&amp;" "&amp;[3]DCBase!C360,[3]DCBase!D360&amp;"x"&amp;[3]DCBase!E360&amp;" "&amp;[3]DCBase!C360&amp;" "&amp;[3]DCBase!S360&amp;"mm"))</f>
        <v>10.6x7.8 Parkzone 3 Blatt Bf-109</v>
      </c>
      <c r="D366" s="65">
        <f>IF(propInventory[[#This Row],[myid]]="","",[3]DCBase!D360)</f>
        <v>10.6</v>
      </c>
      <c r="E366" s="65">
        <f>IF(propInventory[[#This Row],[myid]]="","",[3]DCBase!E360)</f>
        <v>7.8</v>
      </c>
      <c r="F366" s="66">
        <f>IF(propInventory[[#This Row],[myid]]="","",[3]DCBase!F360)</f>
        <v>29.273129999999998</v>
      </c>
      <c r="G366" s="66">
        <f>IF(propInventory[[#This Row],[myid]]="","",[3]DCBase!G360)</f>
        <v>2</v>
      </c>
      <c r="H366" s="66">
        <f>IF(propInventory[[#This Row],[myid]]="","",352.98/([3]DCBase!I360+273.15)*(1-0.0000225577*[3]DCBase!H360)^5.25578)</f>
        <v>1.1621361559942307</v>
      </c>
      <c r="I366" s="56">
        <f>IF(propInventory[[#This Row],[myid]]="","",[3]DCBase!K360)</f>
        <v>0.84091059999999995</v>
      </c>
      <c r="J366" s="67">
        <f>IF(propInventory[[#This Row],[myid]]="","",[3]DCBase!L360)</f>
        <v>3</v>
      </c>
      <c r="K366" s="66">
        <f>IF(propInventory[[#This Row],[myid]]="","",352.98/([3]DCBase!N360+273.15)*(1-0.0000225577*[3]DCBase!M360)^5.25578)</f>
        <v>1.1621361559942307</v>
      </c>
      <c r="O366" s="69"/>
      <c r="P366" s="69"/>
      <c r="Q366" s="69"/>
      <c r="R366" s="69"/>
    </row>
    <row r="367" spans="1:18" ht="15">
      <c r="A367" s="84">
        <f>VLOOKUP(propInventory[[#This Row],[Prop Name]],[2]!propInventory3[[Prop Name]:[Instock?]],10,FALSE)</f>
        <v>0</v>
      </c>
      <c r="B367" s="84">
        <f>IF([3]DCBase!$A361="","",[3]DCBase!$A361)</f>
        <v>368</v>
      </c>
      <c r="C367" s="80" t="str">
        <f>IF(propInventory[[#This Row],[myid]]="","",IF([3]DCBase!R361=0,[3]DCBase!D361&amp;"x"&amp;[3]DCBase!E361&amp;" "&amp;[3]DCBase!C361,[3]DCBase!D361&amp;"x"&amp;[3]DCBase!E361&amp;" "&amp;[3]DCBase!C361&amp;" "&amp;[3]DCBase!S361&amp;"mm"))</f>
        <v>14x6 Xoar PJN Electric</v>
      </c>
      <c r="D367" s="65">
        <f>IF(propInventory[[#This Row],[myid]]="","",[3]DCBase!D361)</f>
        <v>14</v>
      </c>
      <c r="E367" s="65">
        <f>IF(propInventory[[#This Row],[myid]]="","",[3]DCBase!E361)</f>
        <v>6</v>
      </c>
      <c r="F367" s="66">
        <f>IF(propInventory[[#This Row],[myid]]="","",[3]DCBase!F361)</f>
        <v>28.365279999999998</v>
      </c>
      <c r="G367" s="66">
        <f>IF(propInventory[[#This Row],[myid]]="","",[3]DCBase!G361)</f>
        <v>2.2119939999999998</v>
      </c>
      <c r="H367" s="66">
        <f>IF(propInventory[[#This Row],[myid]]="","",352.98/([3]DCBase!I361+273.15)*(1-0.0000225577*[3]DCBase!H361)^5.25578)</f>
        <v>1.2000000000000002</v>
      </c>
      <c r="I367" s="56">
        <f>IF(propInventory[[#This Row],[myid]]="","",[3]DCBase!K361)</f>
        <v>0.43566949999999999</v>
      </c>
      <c r="J367" s="67">
        <f>IF(propInventory[[#This Row],[myid]]="","",[3]DCBase!L361)</f>
        <v>3.313672</v>
      </c>
      <c r="K367" s="66">
        <f>IF(propInventory[[#This Row],[myid]]="","",352.98/([3]DCBase!N361+273.15)*(1-0.0000225577*[3]DCBase!M361)^5.25578)</f>
        <v>1.2000000000000002</v>
      </c>
      <c r="O367" s="69"/>
      <c r="P367" s="69"/>
      <c r="Q367" s="69"/>
      <c r="R367" s="69"/>
    </row>
    <row r="368" spans="1:18" ht="15">
      <c r="A368" s="84">
        <f>VLOOKUP(propInventory[[#This Row],[Prop Name]],[2]!propInventory3[[Prop Name]:[Instock?]],10,FALSE)</f>
        <v>0</v>
      </c>
      <c r="B368" s="84">
        <f>IF([3]DCBase!$A362="","",[3]DCBase!$A362)</f>
        <v>369</v>
      </c>
      <c r="C368" s="80" t="str">
        <f>IF(propInventory[[#This Row],[myid]]="","",IF([3]DCBase!R362=0,[3]DCBase!D362&amp;"x"&amp;[3]DCBase!E362&amp;" "&amp;[3]DCBase!C362,[3]DCBase!D362&amp;"x"&amp;[3]DCBase!E362&amp;" "&amp;[3]DCBase!C362&amp;" "&amp;[3]DCBase!S362&amp;"mm"))</f>
        <v>13x6.5 Xoar PJN Electric</v>
      </c>
      <c r="D368" s="65">
        <f>IF(propInventory[[#This Row],[myid]]="","",[3]DCBase!D362)</f>
        <v>13</v>
      </c>
      <c r="E368" s="65">
        <f>IF(propInventory[[#This Row],[myid]]="","",[3]DCBase!E362)</f>
        <v>6.5</v>
      </c>
      <c r="F368" s="66">
        <f>IF(propInventory[[#This Row],[myid]]="","",[3]DCBase!F362)</f>
        <v>28.819659999999999</v>
      </c>
      <c r="G368" s="66">
        <f>IF(propInventory[[#This Row],[myid]]="","",[3]DCBase!G362)</f>
        <v>2.091348</v>
      </c>
      <c r="H368" s="66">
        <f>IF(propInventory[[#This Row],[myid]]="","",352.98/([3]DCBase!I362+273.15)*(1-0.0000225577*[3]DCBase!H362)^5.25578)</f>
        <v>1.2000000000000002</v>
      </c>
      <c r="I368" s="56">
        <f>IF(propInventory[[#This Row],[myid]]="","",[3]DCBase!K362)</f>
        <v>0.56818329999999995</v>
      </c>
      <c r="J368" s="67">
        <f>IF(propInventory[[#This Row],[myid]]="","",[3]DCBase!L362)</f>
        <v>3.0855619999999999</v>
      </c>
      <c r="K368" s="66">
        <f>IF(propInventory[[#This Row],[myid]]="","",352.98/([3]DCBase!N362+273.15)*(1-0.0000225577*[3]DCBase!M362)^5.25578)</f>
        <v>1.2000000000000002</v>
      </c>
      <c r="O368" s="69"/>
      <c r="P368" s="69"/>
      <c r="Q368" s="69"/>
      <c r="R368" s="69"/>
    </row>
    <row r="369" spans="1:18" ht="15">
      <c r="A369" s="84">
        <f>VLOOKUP(propInventory[[#This Row],[Prop Name]],[2]!propInventory3[[Prop Name]:[Instock?]],10,FALSE)</f>
        <v>0</v>
      </c>
      <c r="B369" s="84">
        <f>IF([3]DCBase!$A363="","",[3]DCBase!$A363)</f>
        <v>370</v>
      </c>
      <c r="C369" s="80" t="str">
        <f>IF(propInventory[[#This Row],[myid]]="","",IF([3]DCBase!R363=0,[3]DCBase!D363&amp;"x"&amp;[3]DCBase!E363&amp;" "&amp;[3]DCBase!C363,[3]DCBase!D363&amp;"x"&amp;[3]DCBase!E363&amp;" "&amp;[3]DCBase!C363&amp;" "&amp;[3]DCBase!S363&amp;"mm"))</f>
        <v>12x8 Xoar PJN Electric</v>
      </c>
      <c r="D369" s="65">
        <f>IF(propInventory[[#This Row],[myid]]="","",[3]DCBase!D363)</f>
        <v>12</v>
      </c>
      <c r="E369" s="65">
        <f>IF(propInventory[[#This Row],[myid]]="","",[3]DCBase!E363)</f>
        <v>8</v>
      </c>
      <c r="F369" s="66">
        <f>IF(propInventory[[#This Row],[myid]]="","",[3]DCBase!F363)</f>
        <v>30.840779999999999</v>
      </c>
      <c r="G369" s="66">
        <f>IF(propInventory[[#This Row],[myid]]="","",[3]DCBase!G363)</f>
        <v>2.0299749999999999</v>
      </c>
      <c r="H369" s="66">
        <f>IF(propInventory[[#This Row],[myid]]="","",352.98/([3]DCBase!I363+273.15)*(1-0.0000225577*[3]DCBase!H363)^5.25578)</f>
        <v>1.2000000000000002</v>
      </c>
      <c r="I369" s="56">
        <f>IF(propInventory[[#This Row],[myid]]="","",[3]DCBase!K363)</f>
        <v>0.56117450000000002</v>
      </c>
      <c r="J369" s="67">
        <f>IF(propInventory[[#This Row],[myid]]="","",[3]DCBase!L363)</f>
        <v>3.0998299999999999</v>
      </c>
      <c r="K369" s="66">
        <f>IF(propInventory[[#This Row],[myid]]="","",352.98/([3]DCBase!N363+273.15)*(1-0.0000225577*[3]DCBase!M363)^5.25578)</f>
        <v>1.2000000000000002</v>
      </c>
      <c r="O369" s="69"/>
      <c r="P369" s="69"/>
      <c r="Q369" s="69"/>
      <c r="R369" s="69"/>
    </row>
    <row r="370" spans="1:18" ht="15">
      <c r="A370" s="84">
        <f>VLOOKUP(propInventory[[#This Row],[Prop Name]],[2]!propInventory3[[Prop Name]:[Instock?]],10,FALSE)</f>
        <v>0</v>
      </c>
      <c r="B370" s="84">
        <f>IF([3]DCBase!$A364="","",[3]DCBase!$A364)</f>
        <v>371</v>
      </c>
      <c r="C370" s="80" t="str">
        <f>IF(propInventory[[#This Row],[myid]]="","",IF([3]DCBase!R364=0,[3]DCBase!D364&amp;"x"&amp;[3]DCBase!E364&amp;" "&amp;[3]DCBase!C364,[3]DCBase!D364&amp;"x"&amp;[3]DCBase!E364&amp;" "&amp;[3]DCBase!C364&amp;" "&amp;[3]DCBase!S364&amp;"mm"))</f>
        <v>7x10 APC</v>
      </c>
      <c r="D370" s="65">
        <f>IF(propInventory[[#This Row],[myid]]="","",[3]DCBase!D364)</f>
        <v>7</v>
      </c>
      <c r="E370" s="65">
        <f>IF(propInventory[[#This Row],[myid]]="","",[3]DCBase!E364)</f>
        <v>10</v>
      </c>
      <c r="F370" s="66">
        <f>IF(propInventory[[#This Row],[myid]]="","",[3]DCBase!F364)</f>
        <v>4.1812459999999998</v>
      </c>
      <c r="G370" s="66">
        <f>IF(propInventory[[#This Row],[myid]]="","",[3]DCBase!G364)</f>
        <v>2.0115729999999998</v>
      </c>
      <c r="H370" s="66">
        <f>IF(propInventory[[#This Row],[myid]]="","",352.98/([3]DCBase!I364+273.15)*(1-0.0000225577*[3]DCBase!H364)^5.25578)</f>
        <v>1.2249869859448206</v>
      </c>
      <c r="I370" s="56">
        <f>IF(propInventory[[#This Row],[myid]]="","",[3]DCBase!K364)</f>
        <v>9.5586500000000005E-2</v>
      </c>
      <c r="J370" s="67">
        <f>IF(propInventory[[#This Row],[myid]]="","",[3]DCBase!L364)</f>
        <v>3</v>
      </c>
      <c r="K370" s="66">
        <f>IF(propInventory[[#This Row],[myid]]="","",352.98/([3]DCBase!N364+273.15)*(1-0.0000225577*[3]DCBase!M364)^5.25578)</f>
        <v>1.2249869859448206</v>
      </c>
      <c r="O370" s="69"/>
      <c r="P370" s="69"/>
      <c r="Q370" s="69"/>
      <c r="R370" s="69"/>
    </row>
    <row r="371" spans="1:18" ht="15">
      <c r="A371" s="84">
        <f>VLOOKUP(propInventory[[#This Row],[Prop Name]],[2]!propInventory3[[Prop Name]:[Instock?]],10,FALSE)</f>
        <v>0</v>
      </c>
      <c r="B371" s="84">
        <f>IF([3]DCBase!$A365="","",[3]DCBase!$A365)</f>
        <v>372</v>
      </c>
      <c r="C371" s="80" t="str">
        <f>IF(propInventory[[#This Row],[myid]]="","",IF([3]DCBase!R365=0,[3]DCBase!D365&amp;"x"&amp;[3]DCBase!E365&amp;" "&amp;[3]DCBase!C365,[3]DCBase!D365&amp;"x"&amp;[3]DCBase!E365&amp;" "&amp;[3]DCBase!C365&amp;" "&amp;[3]DCBase!S365&amp;"mm"))</f>
        <v>16x10 Fiala E-Holz</v>
      </c>
      <c r="D371" s="65">
        <f>IF(propInventory[[#This Row],[myid]]="","",[3]DCBase!D365)</f>
        <v>16</v>
      </c>
      <c r="E371" s="65">
        <f>IF(propInventory[[#This Row],[myid]]="","",[3]DCBase!E365)</f>
        <v>10</v>
      </c>
      <c r="F371" s="66">
        <f>IF(propInventory[[#This Row],[myid]]="","",[3]DCBase!F365)</f>
        <v>80.614050000000006</v>
      </c>
      <c r="G371" s="66">
        <f>IF(propInventory[[#This Row],[myid]]="","",[3]DCBase!G365)</f>
        <v>2.0625580000000001</v>
      </c>
      <c r="H371" s="66">
        <f>IF(propInventory[[#This Row],[myid]]="","",352.98/([3]DCBase!I365+273.15)*(1-0.0000225577*[3]DCBase!H365)^5.25578)</f>
        <v>1.2249869859448206</v>
      </c>
      <c r="I371" s="56">
        <f>IF(propInventory[[#This Row],[myid]]="","",[3]DCBase!K365)</f>
        <v>1.015066</v>
      </c>
      <c r="J371" s="67">
        <f>IF(propInventory[[#This Row],[myid]]="","",[3]DCBase!L365)</f>
        <v>3.4316550000000001</v>
      </c>
      <c r="K371" s="66">
        <f>IF(propInventory[[#This Row],[myid]]="","",352.98/([3]DCBase!N365+273.15)*(1-0.0000225577*[3]DCBase!M365)^5.25578)</f>
        <v>1.2249869859448206</v>
      </c>
      <c r="O371" s="69"/>
      <c r="P371" s="69"/>
      <c r="Q371" s="69"/>
      <c r="R371" s="69"/>
    </row>
    <row r="372" spans="1:18" ht="15">
      <c r="A372" s="84">
        <f>VLOOKUP(propInventory[[#This Row],[Prop Name]],[2]!propInventory3[[Prop Name]:[Instock?]],10,FALSE)</f>
        <v>1</v>
      </c>
      <c r="B372" s="84">
        <f>IF([3]DCBase!$A366="","",[3]DCBase!$A366)</f>
        <v>373</v>
      </c>
      <c r="C372" s="80" t="str">
        <f>IF(propInventory[[#This Row],[myid]]="","",IF([3]DCBase!R366=0,[3]DCBase!D366&amp;"x"&amp;[3]DCBase!E366&amp;" "&amp;[3]DCBase!C366,[3]DCBase!D366&amp;"x"&amp;[3]DCBase!E366&amp;" "&amp;[3]DCBase!C366&amp;" "&amp;[3]DCBase!S366&amp;"mm"))</f>
        <v>4.2x4 APC E</v>
      </c>
      <c r="D372" s="65">
        <f>IF(propInventory[[#This Row],[myid]]="","",[3]DCBase!D366)</f>
        <v>4.2</v>
      </c>
      <c r="E372" s="65">
        <f>IF(propInventory[[#This Row],[myid]]="","",[3]DCBase!E366)</f>
        <v>4</v>
      </c>
      <c r="F372" s="66">
        <f>IF(propInventory[[#This Row],[myid]]="","",[3]DCBase!F366)</f>
        <v>0.50279439999999997</v>
      </c>
      <c r="G372" s="66">
        <f>IF(propInventory[[#This Row],[myid]]="","",[3]DCBase!G366)</f>
        <v>2.045547</v>
      </c>
      <c r="H372" s="66">
        <f>IF(propInventory[[#This Row],[myid]]="","",352.98/([3]DCBase!I366+273.15)*(1-0.0000225577*[3]DCBase!H366)^5.25578)</f>
        <v>1.1678475869184985</v>
      </c>
      <c r="I372" s="56">
        <f>IF(propInventory[[#This Row],[myid]]="","",[3]DCBase!K366)</f>
        <v>9.7908000000000005E-3</v>
      </c>
      <c r="J372" s="67">
        <f>IF(propInventory[[#This Row],[myid]]="","",[3]DCBase!L366)</f>
        <v>3.0261909999999999</v>
      </c>
      <c r="K372" s="66">
        <f>IF(propInventory[[#This Row],[myid]]="","",352.98/([3]DCBase!N366+273.15)*(1-0.0000225577*[3]DCBase!M366)^5.25578)</f>
        <v>1.1678475869184985</v>
      </c>
      <c r="O372" s="69"/>
      <c r="P372" s="69"/>
      <c r="Q372" s="69"/>
      <c r="R372" s="69"/>
    </row>
    <row r="373" spans="1:18" ht="15">
      <c r="A373" s="84">
        <f>VLOOKUP(propInventory[[#This Row],[Prop Name]],[2]!propInventory3[[Prop Name]:[Instock?]],10,FALSE)</f>
        <v>0</v>
      </c>
      <c r="B373" s="84">
        <f>IF([3]DCBase!$A367="","",[3]DCBase!$A367)</f>
        <v>374</v>
      </c>
      <c r="C373" s="80" t="str">
        <f>IF(propInventory[[#This Row],[myid]]="","",IF([3]DCBase!R367=0,[3]DCBase!D367&amp;"x"&amp;[3]DCBase!E367&amp;" "&amp;[3]DCBase!C367,[3]DCBase!D367&amp;"x"&amp;[3]DCBase!E367&amp;" "&amp;[3]DCBase!C367&amp;" "&amp;[3]DCBase!S367&amp;"mm"))</f>
        <v>28x28 Fiala Holz E Prop</v>
      </c>
      <c r="D373" s="65">
        <f>IF(propInventory[[#This Row],[myid]]="","",[3]DCBase!D367)</f>
        <v>28</v>
      </c>
      <c r="E373" s="65">
        <f>IF(propInventory[[#This Row],[myid]]="","",[3]DCBase!E367)</f>
        <v>28</v>
      </c>
      <c r="F373" s="66">
        <f>IF(propInventory[[#This Row],[myid]]="","",[3]DCBase!F367)</f>
        <v>850.45450000000005</v>
      </c>
      <c r="G373" s="66">
        <f>IF(propInventory[[#This Row],[myid]]="","",[3]DCBase!G367)</f>
        <v>2</v>
      </c>
      <c r="H373" s="66">
        <f>IF(propInventory[[#This Row],[myid]]="","",352.98/([3]DCBase!I367+273.15)*(1-0.0000225577*[3]DCBase!H367)^5.25578)</f>
        <v>1.1208711650296406</v>
      </c>
      <c r="I373" s="56">
        <f>IF(propInventory[[#This Row],[myid]]="","",[3]DCBase!K367)</f>
        <v>36.443150000000003</v>
      </c>
      <c r="J373" s="67">
        <f>IF(propInventory[[#This Row],[myid]]="","",[3]DCBase!L367)</f>
        <v>3</v>
      </c>
      <c r="K373" s="66">
        <f>IF(propInventory[[#This Row],[myid]]="","",352.98/([3]DCBase!N367+273.15)*(1-0.0000225577*[3]DCBase!M367)^5.25578)</f>
        <v>1.1208711650296406</v>
      </c>
      <c r="O373" s="69"/>
      <c r="P373" s="69"/>
      <c r="Q373" s="69"/>
      <c r="R373" s="69"/>
    </row>
    <row r="374" spans="1:18" ht="15">
      <c r="A374" s="84">
        <f>VLOOKUP(propInventory[[#This Row],[Prop Name]],[2]!propInventory3[[Prop Name]:[Instock?]],10,FALSE)</f>
        <v>0</v>
      </c>
      <c r="B374" s="84">
        <f>IF([3]DCBase!$A368="","",[3]DCBase!$A368)</f>
        <v>375</v>
      </c>
      <c r="C374" s="80" t="str">
        <f>IF(propInventory[[#This Row],[myid]]="","",IF([3]DCBase!R368=0,[3]DCBase!D368&amp;"x"&amp;[3]DCBase!E368&amp;" "&amp;[3]DCBase!C368,[3]DCBase!D368&amp;"x"&amp;[3]DCBase!E368&amp;" "&amp;[3]DCBase!C368&amp;" "&amp;[3]DCBase!S368&amp;"mm"))</f>
        <v>28x14 Fiala Holz E Prop</v>
      </c>
      <c r="D374" s="65">
        <f>IF(propInventory[[#This Row],[myid]]="","",[3]DCBase!D368)</f>
        <v>28</v>
      </c>
      <c r="E374" s="65">
        <f>IF(propInventory[[#This Row],[myid]]="","",[3]DCBase!E368)</f>
        <v>14</v>
      </c>
      <c r="F374" s="66">
        <f>IF(propInventory[[#This Row],[myid]]="","",[3]DCBase!F368)</f>
        <v>691.89779999999996</v>
      </c>
      <c r="G374" s="66">
        <f>IF(propInventory[[#This Row],[myid]]="","",[3]DCBase!G368)</f>
        <v>2</v>
      </c>
      <c r="H374" s="66">
        <f>IF(propInventory[[#This Row],[myid]]="","",352.98/([3]DCBase!I368+273.15)*(1-0.0000225577*[3]DCBase!H368)^5.25578)</f>
        <v>1.1208711650296406</v>
      </c>
      <c r="I374" s="56">
        <f>IF(propInventory[[#This Row],[myid]]="","",[3]DCBase!K368)</f>
        <v>29.452559999999998</v>
      </c>
      <c r="J374" s="67">
        <f>IF(propInventory[[#This Row],[myid]]="","",[3]DCBase!L368)</f>
        <v>3</v>
      </c>
      <c r="K374" s="66">
        <f>IF(propInventory[[#This Row],[myid]]="","",352.98/([3]DCBase!N368+273.15)*(1-0.0000225577*[3]DCBase!M368)^5.25578)</f>
        <v>1.1208711650296406</v>
      </c>
      <c r="O374" s="69"/>
      <c r="P374" s="69"/>
      <c r="Q374" s="69"/>
      <c r="R374" s="69"/>
    </row>
    <row r="375" spans="1:18" ht="15">
      <c r="A375" s="84">
        <f>VLOOKUP(propInventory[[#This Row],[Prop Name]],[2]!propInventory3[[Prop Name]:[Instock?]],10,FALSE)</f>
        <v>0</v>
      </c>
      <c r="B375" s="84">
        <f>IF([3]DCBase!$A369="","",[3]DCBase!$A369)</f>
        <v>376</v>
      </c>
      <c r="C375" s="80" t="str">
        <f>IF(propInventory[[#This Row],[myid]]="","",IF([3]DCBase!R369=0,[3]DCBase!D369&amp;"x"&amp;[3]DCBase!E369&amp;" "&amp;[3]DCBase!C369,[3]DCBase!D369&amp;"x"&amp;[3]DCBase!E369&amp;" "&amp;[3]DCBase!C369&amp;" "&amp;[3]DCBase!S369&amp;"mm"))</f>
        <v>4.75x4.75 EMP</v>
      </c>
      <c r="D375" s="65">
        <f>IF(propInventory[[#This Row],[myid]]="","",[3]DCBase!D369)</f>
        <v>4.75</v>
      </c>
      <c r="E375" s="65">
        <f>IF(propInventory[[#This Row],[myid]]="","",[3]DCBase!E369)</f>
        <v>4.75</v>
      </c>
      <c r="F375" s="66">
        <f>IF(propInventory[[#This Row],[myid]]="","",[3]DCBase!F369)</f>
        <v>1.097302</v>
      </c>
      <c r="G375" s="66">
        <f>IF(propInventory[[#This Row],[myid]]="","",[3]DCBase!G369)</f>
        <v>2.0114350000000001</v>
      </c>
      <c r="H375" s="66">
        <f>IF(propInventory[[#This Row],[myid]]="","",352.98/([3]DCBase!I369+273.15)*(1-0.0000225577*[3]DCBase!H369)^5.25578)</f>
        <v>1.1678475869184985</v>
      </c>
      <c r="I375" s="56">
        <f>IF(propInventory[[#This Row],[myid]]="","",[3]DCBase!K369)</f>
        <v>1.79151E-2</v>
      </c>
      <c r="J375" s="67">
        <f>IF(propInventory[[#This Row],[myid]]="","",[3]DCBase!L369)</f>
        <v>3.05437</v>
      </c>
      <c r="K375" s="66">
        <f>IF(propInventory[[#This Row],[myid]]="","",352.98/([3]DCBase!N369+273.15)*(1-0.0000225577*[3]DCBase!M369)^5.25578)</f>
        <v>1.1678475869184985</v>
      </c>
      <c r="O375" s="69"/>
      <c r="P375" s="69"/>
      <c r="Q375" s="69"/>
      <c r="R375" s="69"/>
    </row>
    <row r="376" spans="1:18" ht="15">
      <c r="A376" s="84">
        <f>VLOOKUP(propInventory[[#This Row],[Prop Name]],[2]!propInventory3[[Prop Name]:[Instock?]],10,FALSE)</f>
        <v>0</v>
      </c>
      <c r="B376" s="84">
        <f>IF([3]DCBase!$A370="","",[3]DCBase!$A370)</f>
        <v>377</v>
      </c>
      <c r="C376" s="80" t="str">
        <f>IF(propInventory[[#This Row],[myid]]="","",IF([3]DCBase!R370=0,[3]DCBase!D370&amp;"x"&amp;[3]DCBase!E370&amp;" "&amp;[3]DCBase!C370,[3]DCBase!D370&amp;"x"&amp;[3]DCBase!E370&amp;" "&amp;[3]DCBase!C370&amp;" "&amp;[3]DCBase!S370&amp;"mm"))</f>
        <v>3x3 Graupner CAM</v>
      </c>
      <c r="D376" s="65">
        <f>IF(propInventory[[#This Row],[myid]]="","",[3]DCBase!D370)</f>
        <v>3</v>
      </c>
      <c r="E376" s="65">
        <f>IF(propInventory[[#This Row],[myid]]="","",[3]DCBase!E370)</f>
        <v>3</v>
      </c>
      <c r="F376" s="66">
        <f>IF(propInventory[[#This Row],[myid]]="","",[3]DCBase!F370)</f>
        <v>0.1908484</v>
      </c>
      <c r="G376" s="66">
        <f>IF(propInventory[[#This Row],[myid]]="","",[3]DCBase!G370)</f>
        <v>2.0965220000000002</v>
      </c>
      <c r="H376" s="66">
        <f>IF(propInventory[[#This Row],[myid]]="","",352.98/([3]DCBase!I370+273.15)*(1-0.0000225577*[3]DCBase!H370)^5.25578)</f>
        <v>1.1678475869184985</v>
      </c>
      <c r="I376" s="56">
        <f>IF(propInventory[[#This Row],[myid]]="","",[3]DCBase!K370)</f>
        <v>1.42842E-2</v>
      </c>
      <c r="J376" s="67">
        <f>IF(propInventory[[#This Row],[myid]]="","",[3]DCBase!L370)</f>
        <v>2.588654</v>
      </c>
      <c r="K376" s="66">
        <f>IF(propInventory[[#This Row],[myid]]="","",352.98/([3]DCBase!N370+273.15)*(1-0.0000225577*[3]DCBase!M370)^5.25578)</f>
        <v>1.1678475869184985</v>
      </c>
      <c r="O376" s="69"/>
      <c r="P376" s="69"/>
      <c r="Q376" s="69"/>
      <c r="R376" s="69"/>
    </row>
    <row r="377" spans="1:18" ht="15">
      <c r="A377" s="84">
        <f>VLOOKUP(propInventory[[#This Row],[Prop Name]],[2]!propInventory3[[Prop Name]:[Instock?]],10,FALSE)</f>
        <v>0</v>
      </c>
      <c r="B377" s="84">
        <f>IF([3]DCBase!$A371="","",[3]DCBase!$A371)</f>
        <v>378</v>
      </c>
      <c r="C377" s="80" t="str">
        <f>IF(propInventory[[#This Row],[myid]]="","",IF([3]DCBase!R371=0,[3]DCBase!D371&amp;"x"&amp;[3]DCBase!E371&amp;" "&amp;[3]DCBase!C371,[3]DCBase!D371&amp;"x"&amp;[3]DCBase!E371&amp;" "&amp;[3]DCBase!C371&amp;" "&amp;[3]DCBase!S371&amp;"mm"))</f>
        <v>2.6x3.7 GWS EDF55 fan</v>
      </c>
      <c r="D377" s="65">
        <f>IF(propInventory[[#This Row],[myid]]="","",[3]DCBase!D371)</f>
        <v>2.6</v>
      </c>
      <c r="E377" s="65">
        <f>IF(propInventory[[#This Row],[myid]]="","",[3]DCBase!E371)</f>
        <v>3.7</v>
      </c>
      <c r="F377" s="66">
        <f>IF(propInventory[[#This Row],[myid]]="","",[3]DCBase!F371)</f>
        <v>0.37509320000000002</v>
      </c>
      <c r="G377" s="66">
        <f>IF(propInventory[[#This Row],[myid]]="","",[3]DCBase!G371)</f>
        <v>1.971306</v>
      </c>
      <c r="H377" s="66">
        <f>IF(propInventory[[#This Row],[myid]]="","",352.98/([3]DCBase!I371+273.15)*(1-0.0000225577*[3]DCBase!H371)^5.25578)</f>
        <v>1.1678475869184985</v>
      </c>
      <c r="I377" s="56">
        <f>IF(propInventory[[#This Row],[myid]]="","",[3]DCBase!K371)</f>
        <v>4.1025000000000002E-3</v>
      </c>
      <c r="J377" s="67">
        <f>IF(propInventory[[#This Row],[myid]]="","",[3]DCBase!L371)</f>
        <v>3.0381399999999998</v>
      </c>
      <c r="K377" s="66">
        <f>IF(propInventory[[#This Row],[myid]]="","",352.98/([3]DCBase!N371+273.15)*(1-0.0000225577*[3]DCBase!M371)^5.25578)</f>
        <v>1.1678475869184985</v>
      </c>
      <c r="O377" s="69"/>
      <c r="P377" s="69"/>
      <c r="Q377" s="69"/>
      <c r="R377" s="69"/>
    </row>
    <row r="378" spans="1:18" ht="15">
      <c r="A378" s="84">
        <f>VLOOKUP(propInventory[[#This Row],[Prop Name]],[2]!propInventory3[[Prop Name]:[Instock?]],10,FALSE)</f>
        <v>0</v>
      </c>
      <c r="B378" s="84">
        <f>IF([3]DCBase!$A372="","",[3]DCBase!$A372)</f>
        <v>379</v>
      </c>
      <c r="C378" s="80" t="str">
        <f>IF(propInventory[[#This Row],[myid]]="","",IF([3]DCBase!R372=0,[3]DCBase!D372&amp;"x"&amp;[3]DCBase!E372&amp;" "&amp;[3]DCBase!C372,[3]DCBase!D372&amp;"x"&amp;[3]DCBase!E372&amp;" "&amp;[3]DCBase!C372&amp;" "&amp;[3]DCBase!S372&amp;"mm"))</f>
        <v>1.89x3.3 Wemotech Micro EDF 50mm fan</v>
      </c>
      <c r="D378" s="65">
        <f>IF(propInventory[[#This Row],[myid]]="","",[3]DCBase!D372)</f>
        <v>1.89</v>
      </c>
      <c r="E378" s="65">
        <f>IF(propInventory[[#This Row],[myid]]="","",[3]DCBase!E372)</f>
        <v>3.3</v>
      </c>
      <c r="F378" s="66">
        <f>IF(propInventory[[#This Row],[myid]]="","",[3]DCBase!F372)</f>
        <v>5.25288E-2</v>
      </c>
      <c r="G378" s="66">
        <f>IF(propInventory[[#This Row],[myid]]="","",[3]DCBase!G372)</f>
        <v>2.258642</v>
      </c>
      <c r="H378" s="66">
        <f>IF(propInventory[[#This Row],[myid]]="","",352.98/([3]DCBase!I372+273.15)*(1-0.0000225577*[3]DCBase!H372)^5.25578)</f>
        <v>1.1678475869184985</v>
      </c>
      <c r="I378" s="56">
        <f>IF(propInventory[[#This Row],[myid]]="","",[3]DCBase!K372)</f>
        <v>3.4867000000000001E-3</v>
      </c>
      <c r="J378" s="67">
        <f>IF(propInventory[[#This Row],[myid]]="","",[3]DCBase!L372)</f>
        <v>2.8037160000000001</v>
      </c>
      <c r="K378" s="66">
        <f>IF(propInventory[[#This Row],[myid]]="","",352.98/([3]DCBase!N372+273.15)*(1-0.0000225577*[3]DCBase!M372)^5.25578)</f>
        <v>1.1678475869184985</v>
      </c>
      <c r="O378" s="69"/>
      <c r="P378" s="69"/>
      <c r="Q378" s="69"/>
      <c r="R378" s="69"/>
    </row>
    <row r="379" spans="1:18">
      <c r="O379" s="69"/>
      <c r="P379" s="69"/>
      <c r="Q379" s="69"/>
      <c r="R379" s="69"/>
    </row>
    <row r="380" spans="1:18">
      <c r="O380" s="69"/>
      <c r="P380" s="69"/>
      <c r="Q380" s="69"/>
      <c r="R380" s="69"/>
    </row>
    <row r="381" spans="1:18">
      <c r="O381" s="69"/>
      <c r="P381" s="69"/>
      <c r="Q381" s="69"/>
      <c r="R381" s="69"/>
    </row>
    <row r="382" spans="1:18">
      <c r="O382" s="69"/>
      <c r="P382" s="69"/>
      <c r="Q382" s="69"/>
      <c r="R382" s="69"/>
    </row>
    <row r="383" spans="1:18">
      <c r="O383" s="69"/>
      <c r="P383" s="69"/>
      <c r="Q383" s="69"/>
      <c r="R383" s="69"/>
    </row>
    <row r="384" spans="1:18">
      <c r="O384" s="69"/>
      <c r="P384" s="69"/>
      <c r="Q384" s="69"/>
      <c r="R384" s="69"/>
    </row>
    <row r="385" spans="15:18">
      <c r="O385" s="69"/>
      <c r="P385" s="69"/>
      <c r="Q385" s="69"/>
      <c r="R385" s="69"/>
    </row>
    <row r="386" spans="15:18">
      <c r="O386" s="69"/>
      <c r="P386" s="69"/>
      <c r="Q386" s="69"/>
      <c r="R386" s="69"/>
    </row>
    <row r="387" spans="15:18">
      <c r="O387" s="69"/>
      <c r="P387" s="69"/>
      <c r="Q387" s="69"/>
      <c r="R387" s="69"/>
    </row>
    <row r="388" spans="15:18">
      <c r="O388" s="69"/>
      <c r="P388" s="69"/>
      <c r="Q388" s="69"/>
      <c r="R388" s="69"/>
    </row>
    <row r="389" spans="15:18">
      <c r="O389" s="69"/>
      <c r="P389" s="69"/>
      <c r="Q389" s="69"/>
      <c r="R389" s="69"/>
    </row>
    <row r="390" spans="15:18">
      <c r="O390" s="69"/>
      <c r="P390" s="69"/>
      <c r="Q390" s="69"/>
      <c r="R390" s="69"/>
    </row>
    <row r="391" spans="15:18">
      <c r="O391" s="69"/>
      <c r="P391" s="69"/>
      <c r="Q391" s="69"/>
      <c r="R391" s="69"/>
    </row>
    <row r="392" spans="15:18">
      <c r="O392" s="69"/>
      <c r="P392" s="69"/>
      <c r="Q392" s="69"/>
      <c r="R392" s="69"/>
    </row>
    <row r="393" spans="15:18">
      <c r="O393" s="69"/>
      <c r="P393" s="69"/>
      <c r="Q393" s="69"/>
      <c r="R393" s="69"/>
    </row>
    <row r="394" spans="15:18">
      <c r="O394" s="69"/>
      <c r="P394" s="69"/>
      <c r="Q394" s="69"/>
      <c r="R394" s="69"/>
    </row>
    <row r="395" spans="15:18">
      <c r="O395" s="69"/>
      <c r="P395" s="69"/>
      <c r="Q395" s="69"/>
      <c r="R395" s="69"/>
    </row>
    <row r="396" spans="15:18">
      <c r="O396" s="69"/>
      <c r="P396" s="69"/>
      <c r="Q396" s="69"/>
      <c r="R396" s="69"/>
    </row>
    <row r="397" spans="15:18">
      <c r="O397" s="69"/>
      <c r="P397" s="69"/>
      <c r="Q397" s="69"/>
      <c r="R397" s="69"/>
    </row>
    <row r="398" spans="15:18">
      <c r="O398" s="69"/>
      <c r="P398" s="69"/>
      <c r="Q398" s="69"/>
      <c r="R398" s="69"/>
    </row>
    <row r="399" spans="15:18">
      <c r="O399" s="69"/>
      <c r="P399" s="69"/>
      <c r="Q399" s="69"/>
      <c r="R399" s="69"/>
    </row>
    <row r="400" spans="15:18">
      <c r="O400" s="69"/>
      <c r="P400" s="69"/>
      <c r="Q400" s="69"/>
      <c r="R400" s="69"/>
    </row>
    <row r="401" spans="15:18">
      <c r="O401" s="69"/>
      <c r="P401" s="69"/>
      <c r="Q401" s="69"/>
      <c r="R401" s="69"/>
    </row>
    <row r="402" spans="15:18">
      <c r="O402" s="69"/>
      <c r="P402" s="69"/>
      <c r="Q402" s="69"/>
      <c r="R402" s="69"/>
    </row>
    <row r="403" spans="15:18">
      <c r="O403" s="69"/>
      <c r="P403" s="69"/>
      <c r="Q403" s="69"/>
      <c r="R403" s="69"/>
    </row>
    <row r="404" spans="15:18">
      <c r="O404" s="69"/>
      <c r="P404" s="69"/>
      <c r="Q404" s="69"/>
      <c r="R404" s="69"/>
    </row>
    <row r="405" spans="15:18">
      <c r="O405" s="69"/>
      <c r="P405" s="69"/>
      <c r="Q405" s="69"/>
      <c r="R405" s="69"/>
    </row>
    <row r="406" spans="15:18">
      <c r="O406" s="69"/>
      <c r="P406" s="69"/>
      <c r="Q406" s="69"/>
      <c r="R406" s="69"/>
    </row>
    <row r="407" spans="15:18">
      <c r="O407" s="69"/>
      <c r="P407" s="69"/>
      <c r="Q407" s="69"/>
      <c r="R407" s="69"/>
    </row>
    <row r="408" spans="15:18">
      <c r="O408" s="69"/>
      <c r="P408" s="69"/>
      <c r="Q408" s="69"/>
      <c r="R408" s="69"/>
    </row>
    <row r="409" spans="15:18">
      <c r="O409" s="69"/>
      <c r="P409" s="69"/>
      <c r="Q409" s="69"/>
      <c r="R409" s="69"/>
    </row>
    <row r="410" spans="15:18">
      <c r="O410" s="69"/>
      <c r="P410" s="69"/>
      <c r="Q410" s="69"/>
      <c r="R410" s="69"/>
    </row>
    <row r="411" spans="15:18">
      <c r="O411" s="69"/>
      <c r="P411" s="69"/>
      <c r="Q411" s="69"/>
      <c r="R411" s="69"/>
    </row>
    <row r="412" spans="15:18">
      <c r="O412" s="69"/>
      <c r="P412" s="69"/>
      <c r="Q412" s="69"/>
      <c r="R412" s="69"/>
    </row>
    <row r="413" spans="15:18">
      <c r="O413" s="69"/>
      <c r="P413" s="69"/>
      <c r="Q413" s="69"/>
      <c r="R413" s="69"/>
    </row>
    <row r="414" spans="15:18">
      <c r="O414" s="69"/>
      <c r="P414" s="69"/>
      <c r="Q414" s="69"/>
      <c r="R414" s="69"/>
    </row>
    <row r="415" spans="15:18">
      <c r="O415" s="69"/>
      <c r="P415" s="69"/>
      <c r="Q415" s="69"/>
      <c r="R415" s="69"/>
    </row>
    <row r="416" spans="15:18">
      <c r="O416" s="69"/>
      <c r="P416" s="69"/>
      <c r="Q416" s="69"/>
      <c r="R416" s="69"/>
    </row>
    <row r="417" spans="15:18">
      <c r="O417" s="69"/>
      <c r="P417" s="69"/>
      <c r="Q417" s="69"/>
      <c r="R417" s="69"/>
    </row>
    <row r="418" spans="15:18">
      <c r="O418" s="69"/>
      <c r="P418" s="69"/>
      <c r="Q418" s="69"/>
      <c r="R418" s="69"/>
    </row>
    <row r="419" spans="15:18">
      <c r="O419" s="69"/>
      <c r="P419" s="69"/>
      <c r="Q419" s="69"/>
      <c r="R419" s="69"/>
    </row>
    <row r="420" spans="15:18">
      <c r="O420" s="69"/>
      <c r="P420" s="69"/>
      <c r="Q420" s="69"/>
      <c r="R420" s="69"/>
    </row>
    <row r="421" spans="15:18">
      <c r="O421" s="69"/>
      <c r="P421" s="69"/>
      <c r="Q421" s="69"/>
      <c r="R421" s="69"/>
    </row>
    <row r="422" spans="15:18">
      <c r="O422" s="69"/>
      <c r="P422" s="69"/>
      <c r="Q422" s="69"/>
      <c r="R422" s="69"/>
    </row>
    <row r="423" spans="15:18">
      <c r="O423" s="69"/>
      <c r="P423" s="69"/>
      <c r="Q423" s="69"/>
      <c r="R423" s="69"/>
    </row>
    <row r="424" spans="15:18">
      <c r="O424" s="69"/>
      <c r="P424" s="69"/>
      <c r="Q424" s="69"/>
      <c r="R424" s="69"/>
    </row>
    <row r="425" spans="15:18">
      <c r="O425" s="69"/>
      <c r="P425" s="69"/>
      <c r="Q425" s="69"/>
      <c r="R425" s="69"/>
    </row>
    <row r="426" spans="15:18">
      <c r="O426" s="69"/>
      <c r="P426" s="69"/>
      <c r="Q426" s="69"/>
      <c r="R426" s="69"/>
    </row>
    <row r="427" spans="15:18">
      <c r="O427" s="69"/>
      <c r="P427" s="69"/>
      <c r="Q427" s="69"/>
      <c r="R427" s="69"/>
    </row>
    <row r="428" spans="15:18">
      <c r="O428" s="69"/>
      <c r="P428" s="69"/>
      <c r="Q428" s="69"/>
      <c r="R428" s="69"/>
    </row>
    <row r="429" spans="15:18">
      <c r="O429" s="69"/>
      <c r="P429" s="69"/>
      <c r="Q429" s="69"/>
      <c r="R429" s="69"/>
    </row>
    <row r="430" spans="15:18">
      <c r="O430" s="69"/>
      <c r="P430" s="69"/>
      <c r="Q430" s="69"/>
      <c r="R430" s="69"/>
    </row>
    <row r="431" spans="15:18">
      <c r="O431" s="69"/>
      <c r="P431" s="69"/>
      <c r="Q431" s="69"/>
      <c r="R431" s="69"/>
    </row>
    <row r="432" spans="15:18">
      <c r="O432" s="69"/>
      <c r="P432" s="69"/>
      <c r="Q432" s="69"/>
      <c r="R432" s="69"/>
    </row>
    <row r="433" spans="15:18">
      <c r="O433" s="69"/>
      <c r="P433" s="69"/>
      <c r="Q433" s="69"/>
      <c r="R433" s="69"/>
    </row>
    <row r="434" spans="15:18">
      <c r="O434" s="69"/>
      <c r="P434" s="69"/>
      <c r="Q434" s="69"/>
      <c r="R434" s="69"/>
    </row>
    <row r="435" spans="15:18">
      <c r="O435" s="69"/>
      <c r="P435" s="69"/>
      <c r="Q435" s="69"/>
      <c r="R435" s="69"/>
    </row>
    <row r="436" spans="15:18">
      <c r="O436" s="69"/>
      <c r="P436" s="69"/>
      <c r="Q436" s="69"/>
      <c r="R436" s="69"/>
    </row>
    <row r="437" spans="15:18">
      <c r="O437" s="69"/>
      <c r="P437" s="69"/>
      <c r="Q437" s="69"/>
      <c r="R437" s="69"/>
    </row>
    <row r="438" spans="15:18">
      <c r="O438" s="69"/>
      <c r="P438" s="69"/>
      <c r="Q438" s="69"/>
      <c r="R438" s="69"/>
    </row>
    <row r="439" spans="15:18">
      <c r="O439" s="69"/>
      <c r="P439" s="69"/>
      <c r="Q439" s="69"/>
      <c r="R439" s="69"/>
    </row>
    <row r="440" spans="15:18">
      <c r="O440" s="69"/>
      <c r="P440" s="69"/>
      <c r="Q440" s="69"/>
      <c r="R440" s="69"/>
    </row>
    <row r="441" spans="15:18">
      <c r="O441" s="69"/>
      <c r="P441" s="69"/>
      <c r="Q441" s="69"/>
      <c r="R441" s="69"/>
    </row>
    <row r="442" spans="15:18">
      <c r="O442" s="69"/>
      <c r="P442" s="69"/>
      <c r="Q442" s="69"/>
      <c r="R442" s="69"/>
    </row>
    <row r="443" spans="15:18">
      <c r="O443" s="69"/>
      <c r="P443" s="69"/>
      <c r="Q443" s="69"/>
      <c r="R443" s="69"/>
    </row>
    <row r="444" spans="15:18">
      <c r="O444" s="69"/>
      <c r="P444" s="69"/>
      <c r="Q444" s="69"/>
      <c r="R444" s="69"/>
    </row>
    <row r="445" spans="15:18">
      <c r="O445" s="69"/>
      <c r="P445" s="69"/>
      <c r="Q445" s="69"/>
      <c r="R445" s="69"/>
    </row>
    <row r="446" spans="15:18">
      <c r="O446" s="69"/>
      <c r="P446" s="69"/>
      <c r="Q446" s="69"/>
      <c r="R446" s="69"/>
    </row>
    <row r="447" spans="15:18">
      <c r="O447" s="69"/>
      <c r="P447" s="69"/>
      <c r="Q447" s="69"/>
      <c r="R447" s="69"/>
    </row>
    <row r="448" spans="15:18">
      <c r="O448" s="69"/>
      <c r="P448" s="69"/>
      <c r="Q448" s="69"/>
      <c r="R448" s="69"/>
    </row>
    <row r="449" spans="15:18">
      <c r="O449" s="69"/>
      <c r="P449" s="69"/>
      <c r="Q449" s="69"/>
      <c r="R449" s="69"/>
    </row>
    <row r="450" spans="15:18">
      <c r="O450" s="69"/>
      <c r="P450" s="69"/>
      <c r="Q450" s="69"/>
      <c r="R450" s="69"/>
    </row>
    <row r="451" spans="15:18">
      <c r="O451" s="69"/>
      <c r="P451" s="69"/>
      <c r="Q451" s="69"/>
      <c r="R451" s="69"/>
    </row>
    <row r="452" spans="15:18">
      <c r="O452" s="69"/>
      <c r="P452" s="69"/>
      <c r="Q452" s="69"/>
      <c r="R452" s="69"/>
    </row>
    <row r="453" spans="15:18">
      <c r="O453" s="69"/>
      <c r="P453" s="69"/>
      <c r="Q453" s="69"/>
      <c r="R453" s="69"/>
    </row>
    <row r="454" spans="15:18">
      <c r="O454" s="69"/>
      <c r="P454" s="69"/>
      <c r="Q454" s="69"/>
      <c r="R454" s="69"/>
    </row>
  </sheetData>
  <mergeCells count="1">
    <mergeCell ref="A1:K1"/>
  </mergeCells>
  <conditionalFormatting sqref="A7:A378">
    <cfRule type="cellIs" dxfId="11" priority="1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Tests</vt:lpstr>
      <vt:lpstr>turns</vt:lpstr>
      <vt:lpstr>Wire</vt:lpstr>
      <vt:lpstr>DCBase</vt:lpstr>
      <vt:lpstr>Tests!Print_Area</vt:lpstr>
      <vt:lpstr>turns!Print_Area</vt:lpstr>
      <vt:lpstr>proplist</vt:lpstr>
      <vt:lpstr>propnames</vt:lpstr>
      <vt:lpstr>variantlist</vt:lpstr>
      <vt:lpstr>wirelist</vt:lpstr>
      <vt:lpstr>wirenames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</dc:creator>
  <cp:lastModifiedBy>Kev</cp:lastModifiedBy>
  <cp:lastPrinted>2009-10-03T09:51:30Z</cp:lastPrinted>
  <dcterms:created xsi:type="dcterms:W3CDTF">1996-10-14T23:33:28Z</dcterms:created>
  <dcterms:modified xsi:type="dcterms:W3CDTF">2012-01-06T06:12:20Z</dcterms:modified>
</cp:coreProperties>
</file>