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3500" windowHeight="9060"/>
  </bookViews>
  <sheets>
    <sheet name="Aviones Semejantes Long-Range" sheetId="1" r:id="rId1"/>
    <sheet name="Aviones Semejantes Anfibio" sheetId="4" r:id="rId2"/>
    <sheet name="Constants" sheetId="5" r:id="rId3"/>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63" i="1" l="1"/>
  <c r="F64" i="1" l="1"/>
  <c r="F75" i="1"/>
  <c r="G75" i="1"/>
  <c r="H75" i="1"/>
  <c r="I75" i="1"/>
  <c r="J75" i="1"/>
  <c r="K75" i="1"/>
  <c r="L75" i="1"/>
  <c r="M75" i="1"/>
  <c r="N75" i="1"/>
  <c r="O75" i="1"/>
  <c r="E75" i="1"/>
  <c r="F74" i="1"/>
  <c r="F73" i="1"/>
  <c r="G73" i="1"/>
  <c r="G74" i="1" s="1"/>
  <c r="G64" i="1" s="1"/>
  <c r="H73" i="1"/>
  <c r="H74" i="1" s="1"/>
  <c r="H64" i="1" s="1"/>
  <c r="I73" i="1"/>
  <c r="I74" i="1" s="1"/>
  <c r="I64" i="1" s="1"/>
  <c r="J73" i="1"/>
  <c r="J74" i="1" s="1"/>
  <c r="J64" i="1" s="1"/>
  <c r="K73" i="1"/>
  <c r="K74" i="1" s="1"/>
  <c r="K64" i="1" s="1"/>
  <c r="L73" i="1"/>
  <c r="L74" i="1" s="1"/>
  <c r="L64" i="1" s="1"/>
  <c r="M73" i="1"/>
  <c r="M74" i="1" s="1"/>
  <c r="M64" i="1" s="1"/>
  <c r="N73" i="1"/>
  <c r="N74" i="1" s="1"/>
  <c r="N64" i="1" s="1"/>
  <c r="O73" i="1"/>
  <c r="O74" i="1" s="1"/>
  <c r="O64" i="1" s="1"/>
  <c r="E73" i="1"/>
  <c r="E74" i="1" s="1"/>
  <c r="E64" i="1" s="1"/>
  <c r="E78" i="1"/>
  <c r="F72" i="1"/>
  <c r="G72" i="1"/>
  <c r="H72" i="1"/>
  <c r="I72" i="1"/>
  <c r="J72" i="1"/>
  <c r="K72" i="1"/>
  <c r="L72" i="1"/>
  <c r="M72" i="1"/>
  <c r="N72" i="1"/>
  <c r="O72" i="1"/>
  <c r="E72" i="1"/>
  <c r="F77" i="1"/>
  <c r="G77" i="1"/>
  <c r="H77" i="1"/>
  <c r="I77" i="1"/>
  <c r="J77" i="1"/>
  <c r="K77" i="1"/>
  <c r="L77" i="1"/>
  <c r="M77" i="1"/>
  <c r="N77" i="1"/>
  <c r="O77" i="1"/>
  <c r="E77" i="1"/>
  <c r="F71" i="1"/>
  <c r="G71" i="1"/>
  <c r="H71" i="1"/>
  <c r="I71" i="1"/>
  <c r="J71" i="1"/>
  <c r="K71" i="1"/>
  <c r="L71" i="1"/>
  <c r="M71" i="1"/>
  <c r="N71" i="1"/>
  <c r="O71" i="1"/>
  <c r="E71" i="1"/>
  <c r="F165" i="1" l="1"/>
  <c r="H165" i="1"/>
  <c r="I165" i="1"/>
  <c r="J165" i="1"/>
  <c r="K165" i="1"/>
  <c r="L165" i="1"/>
  <c r="M165" i="1"/>
  <c r="N165" i="1"/>
  <c r="O165" i="1"/>
  <c r="G165" i="1"/>
  <c r="E165" i="1"/>
  <c r="M162" i="1"/>
  <c r="N162" i="1"/>
  <c r="L162" i="1"/>
  <c r="N161" i="1"/>
  <c r="L161" i="1"/>
  <c r="M161" i="1"/>
  <c r="N159" i="1"/>
  <c r="M159" i="1"/>
  <c r="O161" i="1" l="1"/>
  <c r="O160" i="1"/>
  <c r="O159" i="1"/>
  <c r="M38" i="1"/>
  <c r="M39" i="1"/>
  <c r="K159" i="1" l="1"/>
  <c r="L159" i="1"/>
  <c r="J159" i="1"/>
  <c r="H160" i="1"/>
  <c r="F159" i="1"/>
  <c r="G159" i="1"/>
  <c r="E159" i="1"/>
  <c r="M56" i="1" l="1"/>
  <c r="O56" i="1"/>
  <c r="N56" i="1"/>
  <c r="N27" i="1"/>
  <c r="M27" i="1"/>
  <c r="M23" i="1"/>
  <c r="O148" i="1" l="1"/>
  <c r="O149" i="1"/>
  <c r="O150" i="1"/>
  <c r="O142" i="1"/>
  <c r="O124" i="1"/>
  <c r="O125" i="1" s="1"/>
  <c r="O127" i="1"/>
  <c r="O119" i="1"/>
  <c r="O101" i="1"/>
  <c r="O102" i="1" s="1"/>
  <c r="O104" i="1"/>
  <c r="O107" i="1"/>
  <c r="O108" i="1"/>
  <c r="O78" i="1"/>
  <c r="O83" i="1"/>
  <c r="O55" i="1"/>
  <c r="O59" i="1"/>
  <c r="O61" i="1"/>
  <c r="O35" i="1"/>
  <c r="O36" i="1"/>
  <c r="O37" i="1"/>
  <c r="O27" i="1"/>
  <c r="O139" i="1" l="1"/>
  <c r="O116" i="1"/>
  <c r="E146" i="4"/>
  <c r="E141" i="4"/>
  <c r="E142" i="4"/>
  <c r="C9" i="5" l="1"/>
  <c r="C7" i="5"/>
  <c r="C5" i="5"/>
  <c r="C3" i="5"/>
  <c r="E161" i="1" l="1"/>
  <c r="F161" i="1"/>
  <c r="G161" i="1"/>
  <c r="H161" i="1"/>
  <c r="J161" i="1"/>
  <c r="I147" i="1"/>
  <c r="I146" i="1"/>
  <c r="I124" i="1"/>
  <c r="I103" i="1"/>
  <c r="I101" i="1"/>
  <c r="I70" i="1"/>
  <c r="I69" i="1"/>
  <c r="I67" i="1"/>
  <c r="I66" i="1"/>
  <c r="I57" i="1"/>
  <c r="K161" i="1"/>
  <c r="I27" i="1"/>
  <c r="J27" i="1"/>
  <c r="K27" i="1"/>
  <c r="L27" i="1"/>
  <c r="K32" i="1"/>
  <c r="F172" i="1" l="1"/>
  <c r="G124" i="1"/>
  <c r="J124" i="1"/>
  <c r="K124" i="1"/>
  <c r="L124" i="1"/>
  <c r="M124" i="1"/>
  <c r="N124" i="1"/>
  <c r="E124" i="1"/>
  <c r="G101" i="1"/>
  <c r="K101" i="1"/>
  <c r="L101" i="1"/>
  <c r="M101" i="1"/>
  <c r="N101" i="1"/>
  <c r="E101" i="1"/>
  <c r="G108" i="1"/>
  <c r="H108" i="1"/>
  <c r="I108" i="1"/>
  <c r="J108" i="1"/>
  <c r="K108" i="1"/>
  <c r="L108" i="1"/>
  <c r="M108" i="1"/>
  <c r="N108" i="1"/>
  <c r="E108" i="1"/>
  <c r="F108" i="1"/>
  <c r="F107" i="1"/>
  <c r="G107" i="1"/>
  <c r="H107" i="1"/>
  <c r="I107" i="1"/>
  <c r="J107" i="1"/>
  <c r="K107" i="1"/>
  <c r="L107" i="1"/>
  <c r="M107" i="1"/>
  <c r="N107" i="1"/>
  <c r="E107" i="1"/>
  <c r="F59" i="1"/>
  <c r="G59" i="1"/>
  <c r="H59" i="1"/>
  <c r="I59" i="1"/>
  <c r="J59" i="1"/>
  <c r="K59" i="1"/>
  <c r="L59" i="1"/>
  <c r="M59" i="1"/>
  <c r="N59" i="1"/>
  <c r="E59" i="1"/>
  <c r="G78" i="1" l="1"/>
  <c r="H78" i="1"/>
  <c r="I78" i="1"/>
  <c r="J78" i="1"/>
  <c r="K78" i="1"/>
  <c r="L78" i="1"/>
  <c r="M78" i="1"/>
  <c r="N78" i="1"/>
  <c r="F78" i="1"/>
  <c r="H159" i="1"/>
  <c r="I159" i="1"/>
  <c r="I161" i="1"/>
  <c r="G167" i="1" l="1"/>
  <c r="G172" i="1"/>
  <c r="E172" i="1"/>
  <c r="F167" i="1" l="1"/>
  <c r="E167" i="1"/>
  <c r="F23" i="1" l="1"/>
  <c r="G23" i="1"/>
  <c r="G38" i="1" s="1"/>
  <c r="H23" i="1"/>
  <c r="H38" i="1" s="1"/>
  <c r="I23" i="1"/>
  <c r="J23" i="1"/>
  <c r="J38" i="1" s="1"/>
  <c r="K23" i="1"/>
  <c r="K38" i="1" s="1"/>
  <c r="L23" i="1"/>
  <c r="N23" i="1"/>
  <c r="O23" i="1"/>
  <c r="E23" i="1"/>
  <c r="N150" i="1"/>
  <c r="N149" i="1"/>
  <c r="N148" i="1"/>
  <c r="N142" i="1"/>
  <c r="N139" i="1"/>
  <c r="N127" i="1"/>
  <c r="N125" i="1"/>
  <c r="N119" i="1"/>
  <c r="N116" i="1"/>
  <c r="N104" i="1"/>
  <c r="N102" i="1"/>
  <c r="N83" i="1"/>
  <c r="N61" i="1"/>
  <c r="N55" i="1"/>
  <c r="N37" i="1"/>
  <c r="N36" i="1"/>
  <c r="N35" i="1"/>
  <c r="M150" i="1"/>
  <c r="M149" i="1"/>
  <c r="M148" i="1"/>
  <c r="M142" i="1"/>
  <c r="M139" i="1"/>
  <c r="M127" i="1"/>
  <c r="M125" i="1"/>
  <c r="M119" i="1"/>
  <c r="M116" i="1"/>
  <c r="M104" i="1"/>
  <c r="M102" i="1"/>
  <c r="M83" i="1"/>
  <c r="M61" i="1"/>
  <c r="M55" i="1"/>
  <c r="M37" i="1"/>
  <c r="M36" i="1"/>
  <c r="M35" i="1"/>
  <c r="L150" i="1"/>
  <c r="L149" i="1"/>
  <c r="L148" i="1"/>
  <c r="L142" i="1"/>
  <c r="L139" i="1"/>
  <c r="L127" i="1"/>
  <c r="L125" i="1"/>
  <c r="L119" i="1"/>
  <c r="L116" i="1"/>
  <c r="L104" i="1"/>
  <c r="L102" i="1"/>
  <c r="L83" i="1"/>
  <c r="L61" i="1"/>
  <c r="L56" i="1"/>
  <c r="L55" i="1"/>
  <c r="L37" i="1"/>
  <c r="L36" i="1"/>
  <c r="L35" i="1"/>
  <c r="K150" i="1"/>
  <c r="K149" i="1"/>
  <c r="K148" i="1"/>
  <c r="K142" i="1"/>
  <c r="K139" i="1"/>
  <c r="K127" i="1"/>
  <c r="K125" i="1"/>
  <c r="K119" i="1"/>
  <c r="K116" i="1"/>
  <c r="K104" i="1"/>
  <c r="K102" i="1"/>
  <c r="K83" i="1"/>
  <c r="K61" i="1"/>
  <c r="K56" i="1"/>
  <c r="K55" i="1"/>
  <c r="K37" i="1"/>
  <c r="K36" i="1"/>
  <c r="K35" i="1"/>
  <c r="J150" i="1"/>
  <c r="J149" i="1"/>
  <c r="J148" i="1"/>
  <c r="J142" i="1"/>
  <c r="J139" i="1"/>
  <c r="J127" i="1"/>
  <c r="J125" i="1"/>
  <c r="J119" i="1"/>
  <c r="J116" i="1"/>
  <c r="J104" i="1"/>
  <c r="J102" i="1"/>
  <c r="J83" i="1"/>
  <c r="J61" i="1"/>
  <c r="J56" i="1"/>
  <c r="J55" i="1"/>
  <c r="J37" i="1"/>
  <c r="J36" i="1"/>
  <c r="J35" i="1"/>
  <c r="I150" i="1"/>
  <c r="I149" i="1"/>
  <c r="I148" i="1"/>
  <c r="I142" i="1"/>
  <c r="I139" i="1"/>
  <c r="I127" i="1"/>
  <c r="I125" i="1"/>
  <c r="I119" i="1"/>
  <c r="I116" i="1"/>
  <c r="I104" i="1"/>
  <c r="I102" i="1"/>
  <c r="I83" i="1"/>
  <c r="I61" i="1"/>
  <c r="I56" i="1"/>
  <c r="I55" i="1"/>
  <c r="I37" i="1"/>
  <c r="I36" i="1"/>
  <c r="I35" i="1"/>
  <c r="E55" i="1"/>
  <c r="H150" i="1"/>
  <c r="H149" i="1"/>
  <c r="H148" i="1"/>
  <c r="H142" i="1"/>
  <c r="H139" i="1"/>
  <c r="H127" i="1"/>
  <c r="H125" i="1"/>
  <c r="H119" i="1"/>
  <c r="H116" i="1"/>
  <c r="H104" i="1"/>
  <c r="H102" i="1"/>
  <c r="H83" i="1"/>
  <c r="H61" i="1"/>
  <c r="H56" i="1"/>
  <c r="H55" i="1"/>
  <c r="H37" i="1"/>
  <c r="H36" i="1"/>
  <c r="H35" i="1"/>
  <c r="G150" i="1"/>
  <c r="G149" i="1"/>
  <c r="G148" i="1"/>
  <c r="G142" i="1"/>
  <c r="G139" i="1"/>
  <c r="G127" i="1"/>
  <c r="G125" i="1"/>
  <c r="G119" i="1"/>
  <c r="G116" i="1"/>
  <c r="G104" i="1"/>
  <c r="G102" i="1"/>
  <c r="G83" i="1"/>
  <c r="G61" i="1"/>
  <c r="G56" i="1"/>
  <c r="G55" i="1"/>
  <c r="G37" i="1"/>
  <c r="G36" i="1"/>
  <c r="G35" i="1"/>
  <c r="N39" i="1" l="1"/>
  <c r="N38" i="1"/>
  <c r="O39" i="1"/>
  <c r="O38" i="1"/>
  <c r="O178" i="1" s="1"/>
  <c r="M178" i="1"/>
  <c r="E38" i="1"/>
  <c r="E39" i="1"/>
  <c r="I38" i="1"/>
  <c r="I178" i="1" s="1"/>
  <c r="I39" i="1"/>
  <c r="K178" i="1"/>
  <c r="F38" i="1"/>
  <c r="F39" i="1"/>
  <c r="L38" i="1"/>
  <c r="L178" i="1" s="1"/>
  <c r="L39" i="1"/>
  <c r="N178" i="1"/>
  <c r="K39" i="1"/>
  <c r="J39" i="1"/>
  <c r="J178" i="1" s="1"/>
  <c r="H39" i="1"/>
  <c r="H178" i="1" s="1"/>
  <c r="G39" i="1"/>
  <c r="G178" i="1" s="1"/>
  <c r="G135" i="4"/>
  <c r="F135" i="4"/>
  <c r="E135" i="4"/>
  <c r="G134" i="4"/>
  <c r="F134" i="4"/>
  <c r="E134" i="4"/>
  <c r="G133" i="4"/>
  <c r="F133" i="4"/>
  <c r="E133" i="4"/>
  <c r="G127" i="4"/>
  <c r="F127" i="4"/>
  <c r="E127" i="4"/>
  <c r="G124" i="4"/>
  <c r="F124" i="4"/>
  <c r="E124" i="4"/>
  <c r="G112" i="4"/>
  <c r="F112" i="4"/>
  <c r="E112" i="4"/>
  <c r="G110" i="4"/>
  <c r="F110" i="4"/>
  <c r="E110" i="4"/>
  <c r="G104" i="4"/>
  <c r="F104" i="4"/>
  <c r="E104" i="4"/>
  <c r="G101" i="4"/>
  <c r="F101" i="4"/>
  <c r="E101" i="4"/>
  <c r="G89" i="4"/>
  <c r="F89" i="4"/>
  <c r="E89" i="4"/>
  <c r="G87" i="4"/>
  <c r="F87" i="4"/>
  <c r="E87" i="4"/>
  <c r="G68" i="4"/>
  <c r="F68" i="4"/>
  <c r="E68" i="4"/>
  <c r="G51" i="4"/>
  <c r="F51" i="4"/>
  <c r="E51" i="4"/>
  <c r="G46" i="4"/>
  <c r="F46" i="4"/>
  <c r="E46" i="4"/>
  <c r="G45" i="4"/>
  <c r="F45" i="4"/>
  <c r="E45" i="4"/>
  <c r="G31" i="4"/>
  <c r="F31" i="4"/>
  <c r="E31" i="4"/>
  <c r="G30" i="4"/>
  <c r="F30" i="4"/>
  <c r="E30" i="4"/>
  <c r="G29" i="4"/>
  <c r="F29" i="4"/>
  <c r="E29" i="4"/>
  <c r="F148" i="1" l="1"/>
  <c r="F149" i="1"/>
  <c r="F150" i="1"/>
  <c r="F142" i="1"/>
  <c r="F139" i="1"/>
  <c r="F127" i="1"/>
  <c r="F125" i="1"/>
  <c r="F119" i="1"/>
  <c r="F116" i="1"/>
  <c r="F104" i="1"/>
  <c r="F102" i="1"/>
  <c r="F83" i="1"/>
  <c r="E83" i="1"/>
  <c r="F61" i="1"/>
  <c r="F56" i="1"/>
  <c r="F55" i="1"/>
  <c r="F35" i="1"/>
  <c r="F36" i="1"/>
  <c r="F37" i="1"/>
  <c r="F178" i="1" l="1"/>
  <c r="E150" i="1"/>
  <c r="E149" i="1"/>
  <c r="E148" i="1"/>
  <c r="E139" i="1"/>
  <c r="E127" i="1"/>
  <c r="E142" i="1"/>
  <c r="E104" i="1"/>
  <c r="E119" i="1"/>
  <c r="E125" i="1"/>
  <c r="E102" i="1"/>
  <c r="E116" i="1"/>
  <c r="E56" i="1"/>
  <c r="E37" i="1"/>
  <c r="E36" i="1"/>
  <c r="E35" i="1"/>
  <c r="E61" i="1"/>
  <c r="E178" i="1" l="1"/>
</calcChain>
</file>

<file path=xl/comments1.xml><?xml version="1.0" encoding="utf-8"?>
<comments xmlns="http://schemas.openxmlformats.org/spreadsheetml/2006/main">
  <authors>
    <author>Author</author>
  </authors>
  <commentList>
    <comment ref="B7" authorId="0" shapeId="0">
      <text>
        <r>
          <rPr>
            <b/>
            <sz val="9"/>
            <color indexed="81"/>
            <rFont val="Tahoma"/>
            <family val="2"/>
          </rPr>
          <t>Author:</t>
        </r>
        <r>
          <rPr>
            <sz val="9"/>
            <color indexed="81"/>
            <rFont val="Tahoma"/>
            <family val="2"/>
          </rPr>
          <t xml:space="preserve">
Distancia del punto más alto del avión al suelo.</t>
        </r>
      </text>
    </comment>
    <comment ref="B8" authorId="0" shapeId="0">
      <text>
        <r>
          <rPr>
            <b/>
            <sz val="9"/>
            <color indexed="81"/>
            <rFont val="Tahoma"/>
            <family val="2"/>
          </rPr>
          <t>Author: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Author:</t>
        </r>
        <r>
          <rPr>
            <sz val="9"/>
            <color indexed="81"/>
            <rFont val="Tahoma"/>
            <family val="2"/>
          </rPr>
          <t xml:space="preserve">
Distancia entre los extremos izquierdo y derecho del avión.</t>
        </r>
      </text>
    </comment>
    <comment ref="B12" authorId="0" shapeId="0">
      <text>
        <r>
          <rPr>
            <b/>
            <sz val="9"/>
            <color indexed="81"/>
            <rFont val="Tahoma"/>
            <family val="2"/>
          </rPr>
          <t>Author: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Author:</t>
        </r>
        <r>
          <rPr>
            <sz val="9"/>
            <color indexed="81"/>
            <rFont val="Tahoma"/>
            <family val="2"/>
          </rPr>
          <t xml:space="preserve">
Turbofán, turbohélice, eléctrico, etc.</t>
        </r>
      </text>
    </comment>
    <comment ref="E15" authorId="0" shapeId="0">
      <text>
        <r>
          <rPr>
            <b/>
            <sz val="9"/>
            <color indexed="81"/>
            <rFont val="Tahoma"/>
            <family val="2"/>
          </rPr>
          <t>Author:</t>
        </r>
        <r>
          <rPr>
            <sz val="9"/>
            <color indexed="81"/>
            <rFont val="Tahoma"/>
            <family val="2"/>
          </rPr>
          <t xml:space="preserve">
Two Spool Turbofan Engine consisting of a single front fan driven by a three stage fan turbine, 4 stage axial and one stage centrifugal high pressure compressor driven by a two stage high pressure turbine; annular combustion chamber; accessory gearbox and dual channel Full Authority Digital Electronic Control System (FADEC).</t>
        </r>
      </text>
    </comment>
    <comment ref="E16" authorId="0" shapeId="0">
      <text>
        <r>
          <rPr>
            <b/>
            <sz val="9"/>
            <color indexed="81"/>
            <rFont val="Tahoma"/>
            <family val="2"/>
          </rPr>
          <t>Author:</t>
        </r>
        <r>
          <rPr>
            <sz val="9"/>
            <color indexed="81"/>
            <rFont val="Tahoma"/>
            <family val="2"/>
          </rPr>
          <t xml:space="preserve">
Dry weight including standard equipment</t>
        </r>
      </text>
    </comment>
    <comment ref="B18" authorId="0" shapeId="0">
      <text>
        <r>
          <rPr>
            <b/>
            <sz val="9"/>
            <color indexed="81"/>
            <rFont val="Tahoma"/>
            <family val="2"/>
          </rPr>
          <t>Author: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E18" authorId="0" shapeId="0">
      <text>
        <r>
          <rPr>
            <b/>
            <sz val="9"/>
            <color indexed="81"/>
            <rFont val="Tahoma"/>
            <charset val="1"/>
          </rPr>
          <t>Author:</t>
        </r>
        <r>
          <rPr>
            <sz val="9"/>
            <color indexed="81"/>
            <rFont val="Tahoma"/>
            <charset val="1"/>
          </rPr>
          <t xml:space="preserve">
Take off --&gt; 0,394 lb/h/lbf
Cruise --&gt; 0,679 lb/h/lbf</t>
        </r>
      </text>
    </comment>
    <comment ref="F18" authorId="0" shapeId="0">
      <text>
        <r>
          <rPr>
            <b/>
            <sz val="9"/>
            <color indexed="81"/>
            <rFont val="Tahoma"/>
            <family val="2"/>
          </rPr>
          <t>Author:</t>
        </r>
        <r>
          <rPr>
            <sz val="9"/>
            <color indexed="81"/>
            <rFont val="Tahoma"/>
            <family val="2"/>
          </rPr>
          <t xml:space="preserve">
Takeoff, Sea Level, Static (Available to 87° F) ---&gt; 0,405 [lb/(lbf·h)]
Max Cruise, 40,000 ft, Mach 0.8 (ISA) ---&gt; 0,679 [lb/(lbf·h)]</t>
        </r>
      </text>
    </comment>
    <comment ref="J18" authorId="0" shapeId="0">
      <text>
        <r>
          <rPr>
            <b/>
            <sz val="9"/>
            <color indexed="81"/>
            <rFont val="Tahoma"/>
            <family val="2"/>
          </rPr>
          <t>Author:</t>
        </r>
        <r>
          <rPr>
            <sz val="9"/>
            <color indexed="81"/>
            <rFont val="Tahoma"/>
            <family val="2"/>
          </rPr>
          <t xml:space="preserve">
TO --&gt; 0,42
Cruise --&gt; 0,684</t>
        </r>
      </text>
    </comment>
    <comment ref="F21" authorId="0" shapeId="0">
      <text>
        <r>
          <rPr>
            <b/>
            <sz val="9"/>
            <color indexed="81"/>
            <rFont val="Tahoma"/>
            <charset val="1"/>
          </rPr>
          <t xml:space="preserve">Author:
</t>
        </r>
      </text>
    </comment>
    <comment ref="B23" authorId="0" shapeId="0">
      <text>
        <r>
          <rPr>
            <b/>
            <sz val="9"/>
            <color indexed="81"/>
            <rFont val="Tahoma"/>
            <family val="2"/>
          </rPr>
          <t>Author:</t>
        </r>
        <r>
          <rPr>
            <sz val="9"/>
            <color indexed="81"/>
            <rFont val="Tahoma"/>
            <family val="2"/>
          </rPr>
          <t xml:space="preserve">
En el despegue con todos los motores encendidos.</t>
        </r>
      </text>
    </comment>
    <comment ref="B26" authorId="0" shapeId="0">
      <text>
        <r>
          <rPr>
            <b/>
            <sz val="9"/>
            <color indexed="81"/>
            <rFont val="Tahoma"/>
            <charset val="1"/>
          </rPr>
          <t>Author:</t>
        </r>
        <r>
          <rPr>
            <sz val="9"/>
            <color indexed="81"/>
            <rFont val="Tahoma"/>
            <charset val="1"/>
          </rPr>
          <t xml:space="preserve">
Tambien conocido como peso máximo de taxi</t>
        </r>
      </text>
    </comment>
    <comment ref="B28" authorId="0" shapeId="0">
      <text>
        <r>
          <rPr>
            <b/>
            <sz val="9"/>
            <color indexed="81"/>
            <rFont val="Tahoma"/>
            <family val="2"/>
          </rPr>
          <t>Author:</t>
        </r>
        <r>
          <rPr>
            <sz val="9"/>
            <color indexed="81"/>
            <rFont val="Tahoma"/>
            <family val="2"/>
          </rPr>
          <t xml:space="preserve">
Mejor el peso vacío operativo OEW, pero de carecer de este dato, se puede dar otro peso vacío aclarando de cuál se trata.</t>
        </r>
      </text>
    </comment>
    <comment ref="B29" authorId="0" shapeId="0">
      <text>
        <r>
          <rPr>
            <b/>
            <sz val="9"/>
            <color indexed="81"/>
            <rFont val="Tahoma"/>
            <family val="2"/>
          </rPr>
          <t>Author: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1" authorId="0" shapeId="0">
      <text>
        <r>
          <rPr>
            <b/>
            <sz val="9"/>
            <color indexed="81"/>
            <rFont val="Tahoma"/>
            <family val="2"/>
          </rPr>
          <t>Author:</t>
        </r>
        <r>
          <rPr>
            <sz val="9"/>
            <color indexed="81"/>
            <rFont val="Tahoma"/>
            <family val="2"/>
          </rPr>
          <t xml:space="preserve">
7,306 l</t>
        </r>
      </text>
    </comment>
    <comment ref="B33" authorId="0" shapeId="0">
      <text>
        <r>
          <rPr>
            <b/>
            <sz val="9"/>
            <color indexed="81"/>
            <rFont val="Tahoma"/>
            <family val="2"/>
          </rPr>
          <t>Author: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1" authorId="0" shapeId="0">
      <text>
        <r>
          <rPr>
            <b/>
            <sz val="9"/>
            <color indexed="81"/>
            <rFont val="Tahoma"/>
            <charset val="1"/>
          </rPr>
          <t>Author:</t>
        </r>
        <r>
          <rPr>
            <sz val="9"/>
            <color indexed="81"/>
            <rFont val="Tahoma"/>
            <charset val="1"/>
          </rPr>
          <t xml:space="preserve">
3 or 4 including cabin attendant</t>
        </r>
      </text>
    </comment>
    <comment ref="F42" authorId="0" shapeId="0">
      <text>
        <r>
          <rPr>
            <b/>
            <sz val="9"/>
            <color indexed="81"/>
            <rFont val="Tahoma"/>
            <family val="2"/>
          </rPr>
          <t>Author:</t>
        </r>
        <r>
          <rPr>
            <sz val="9"/>
            <color indexed="81"/>
            <rFont val="Tahoma"/>
            <family val="2"/>
          </rPr>
          <t xml:space="preserve">
tiene dormitorio trasero</t>
        </r>
      </text>
    </comment>
    <comment ref="E45" authorId="0" shapeId="0">
      <text>
        <r>
          <rPr>
            <b/>
            <sz val="9"/>
            <color indexed="81"/>
            <rFont val="Tahoma"/>
            <family val="2"/>
          </rPr>
          <t>Author:</t>
        </r>
        <r>
          <rPr>
            <sz val="9"/>
            <color indexed="81"/>
            <rFont val="Tahoma"/>
            <family val="2"/>
          </rPr>
          <t xml:space="preserve">
Cabin length (excluding cockpit and baggage)</t>
        </r>
      </text>
    </comment>
    <comment ref="F45" authorId="0" shapeId="0">
      <text>
        <r>
          <rPr>
            <b/>
            <sz val="9"/>
            <color indexed="81"/>
            <rFont val="Tahoma"/>
            <family val="2"/>
          </rPr>
          <t>Author:</t>
        </r>
        <r>
          <rPr>
            <sz val="9"/>
            <color indexed="81"/>
            <rFont val="Tahoma"/>
            <family val="2"/>
          </rPr>
          <t xml:space="preserve">
Cabin length (excluding cockpit and baggage)</t>
        </r>
      </text>
    </comment>
    <comment ref="G45" authorId="0" shapeId="0">
      <text>
        <r>
          <rPr>
            <b/>
            <sz val="9"/>
            <color indexed="81"/>
            <rFont val="Tahoma"/>
            <family val="2"/>
          </rPr>
          <t>Author:</t>
        </r>
        <r>
          <rPr>
            <sz val="9"/>
            <color indexed="81"/>
            <rFont val="Tahoma"/>
            <family val="2"/>
          </rPr>
          <t xml:space="preserve">
Cabin length (excluding cockpit and baggage)</t>
        </r>
      </text>
    </comment>
    <comment ref="J45" authorId="0" shapeId="0">
      <text>
        <r>
          <rPr>
            <b/>
            <sz val="9"/>
            <color indexed="81"/>
            <rFont val="Tahoma"/>
            <family val="2"/>
          </rPr>
          <t>Author:</t>
        </r>
        <r>
          <rPr>
            <sz val="9"/>
            <color indexed="81"/>
            <rFont val="Tahoma"/>
            <family val="2"/>
          </rPr>
          <t xml:space="preserve">
rom cockpit divider to aft most cabin without baggage compartment. </t>
        </r>
      </text>
    </comment>
    <comment ref="K45" authorId="0" shapeId="0">
      <text>
        <r>
          <rPr>
            <b/>
            <sz val="9"/>
            <color indexed="81"/>
            <rFont val="Tahoma"/>
            <family val="2"/>
          </rPr>
          <t>Author:</t>
        </r>
        <r>
          <rPr>
            <sz val="9"/>
            <color indexed="81"/>
            <rFont val="Tahoma"/>
            <family val="2"/>
          </rPr>
          <t xml:space="preserve">
Total Interior Length: 9,83m
Cabin Length (excluding baggage): 7,87m</t>
        </r>
      </text>
    </comment>
    <comment ref="E48" authorId="0" shapeId="0">
      <text>
        <r>
          <rPr>
            <b/>
            <sz val="9"/>
            <color indexed="81"/>
            <rFont val="Tahoma"/>
            <family val="2"/>
          </rPr>
          <t>Author:</t>
        </r>
        <r>
          <rPr>
            <sz val="9"/>
            <color indexed="81"/>
            <rFont val="Tahoma"/>
            <family val="2"/>
          </rPr>
          <t xml:space="preserve">
Cabin volume (excluding cockpit and baggage)</t>
        </r>
      </text>
    </comment>
    <comment ref="F48" authorId="0" shapeId="0">
      <text>
        <r>
          <rPr>
            <b/>
            <sz val="9"/>
            <color indexed="81"/>
            <rFont val="Tahoma"/>
            <family val="2"/>
          </rPr>
          <t>Author:</t>
        </r>
        <r>
          <rPr>
            <sz val="9"/>
            <color indexed="81"/>
            <rFont val="Tahoma"/>
            <family val="2"/>
          </rPr>
          <t xml:space="preserve">
Cabin volume (excluding cockpit and baggage)</t>
        </r>
      </text>
    </comment>
    <comment ref="G48" authorId="0" shapeId="0">
      <text>
        <r>
          <rPr>
            <b/>
            <sz val="9"/>
            <color indexed="81"/>
            <rFont val="Tahoma"/>
            <family val="2"/>
          </rPr>
          <t>Author:</t>
        </r>
        <r>
          <rPr>
            <sz val="9"/>
            <color indexed="81"/>
            <rFont val="Tahoma"/>
            <family val="2"/>
          </rPr>
          <t xml:space="preserve">
Cabin volume (excluding cockpit and baggage)</t>
        </r>
      </text>
    </comment>
    <comment ref="H48" authorId="0" shapeId="0">
      <text>
        <r>
          <rPr>
            <b/>
            <sz val="9"/>
            <color indexed="81"/>
            <rFont val="Tahoma"/>
            <charset val="1"/>
          </rPr>
          <t>Author:</t>
        </r>
        <r>
          <rPr>
            <sz val="9"/>
            <color indexed="81"/>
            <rFont val="Tahoma"/>
            <charset val="1"/>
          </rPr>
          <t xml:space="preserve">
including baggagge</t>
        </r>
      </text>
    </comment>
    <comment ref="L49" authorId="0" shapeId="0">
      <text>
        <r>
          <rPr>
            <b/>
            <sz val="9"/>
            <color indexed="81"/>
            <rFont val="Tahoma"/>
            <charset val="1"/>
          </rPr>
          <t>Author:</t>
        </r>
        <r>
          <rPr>
            <sz val="9"/>
            <color indexed="81"/>
            <rFont val="Tahoma"/>
            <charset val="1"/>
          </rPr>
          <t xml:space="preserve">
1,13 internal + 3,11 external</t>
        </r>
      </text>
    </comment>
    <comment ref="O49" authorId="0" shapeId="0">
      <text>
        <r>
          <rPr>
            <b/>
            <sz val="9"/>
            <color indexed="81"/>
            <rFont val="Tahoma"/>
            <family val="2"/>
          </rPr>
          <t>Author:</t>
        </r>
        <r>
          <rPr>
            <sz val="9"/>
            <color indexed="81"/>
            <rFont val="Tahoma"/>
            <family val="2"/>
          </rPr>
          <t xml:space="preserve">
496.7 kg max</t>
        </r>
      </text>
    </comment>
    <comment ref="B50" authorId="0" shapeId="0">
      <text>
        <r>
          <rPr>
            <b/>
            <sz val="9"/>
            <color indexed="81"/>
            <rFont val="Tahoma"/>
            <family val="2"/>
          </rPr>
          <t>Author:</t>
        </r>
        <r>
          <rPr>
            <sz val="9"/>
            <color indexed="81"/>
            <rFont val="Tahoma"/>
            <family val="2"/>
          </rPr>
          <t xml:space="preserve">
Identificando los diferentes comparimentos si son varios.</t>
        </r>
      </text>
    </comment>
    <comment ref="B51" authorId="0" shapeId="0">
      <text>
        <r>
          <rPr>
            <b/>
            <sz val="9"/>
            <color indexed="81"/>
            <rFont val="Tahoma"/>
            <family val="2"/>
          </rPr>
          <t>Author: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4" authorId="0" shapeId="0">
      <text>
        <r>
          <rPr>
            <b/>
            <sz val="9"/>
            <color indexed="81"/>
            <rFont val="Tahoma"/>
            <family val="2"/>
          </rPr>
          <t>Author: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58" authorId="0" shapeId="0">
      <text>
        <r>
          <rPr>
            <b/>
            <sz val="9"/>
            <color indexed="81"/>
            <rFont val="Tahoma"/>
            <family val="2"/>
          </rPr>
          <t>Author:</t>
        </r>
        <r>
          <rPr>
            <sz val="9"/>
            <color indexed="81"/>
            <rFont val="Tahoma"/>
            <family val="2"/>
          </rPr>
          <t xml:space="preserve">
Dimensiones máximas en dirección horizontal y vertical, respectivamente, de la proyección del fuselaje sobre un plano perpendicular a su línea de referencia.</t>
        </r>
      </text>
    </comment>
    <comment ref="B59" authorId="0" shapeId="0">
      <text>
        <r>
          <rPr>
            <b/>
            <sz val="9"/>
            <color indexed="81"/>
            <rFont val="Tahoma"/>
            <family val="2"/>
          </rPr>
          <t>Author:</t>
        </r>
        <r>
          <rPr>
            <sz val="9"/>
            <color indexed="81"/>
            <rFont val="Tahoma"/>
            <family val="2"/>
          </rPr>
          <t xml:space="preserve">
El área de la anterior proyección.</t>
        </r>
      </text>
    </comment>
    <comment ref="B61" authorId="0" shapeId="0">
      <text>
        <r>
          <rPr>
            <b/>
            <sz val="9"/>
            <color indexed="81"/>
            <rFont val="Tahoma"/>
            <family val="2"/>
          </rPr>
          <t>Author:</t>
        </r>
        <r>
          <rPr>
            <sz val="9"/>
            <color indexed="81"/>
            <rFont val="Tahoma"/>
            <family val="2"/>
          </rPr>
          <t xml:space="preserve">
La esbeltez del fuselaje es la comparación de la longitud de fuselaje con el un parámetro característico de las dimensiones transversales --&gt; lambdaf=(lf/af)</t>
        </r>
      </text>
    </comment>
    <comment ref="B63" authorId="0" shapeId="0">
      <text>
        <r>
          <rPr>
            <b/>
            <sz val="9"/>
            <color indexed="81"/>
            <rFont val="Tahoma"/>
            <family val="2"/>
          </rPr>
          <t>Author:</t>
        </r>
        <r>
          <rPr>
            <sz val="9"/>
            <color indexed="81"/>
            <rFont val="Tahoma"/>
            <family val="2"/>
          </rPr>
          <t xml:space="preserve">
Alta, media, baja, etc.</t>
        </r>
      </text>
    </comment>
    <comment ref="B64" authorId="0" shapeId="0">
      <text>
        <r>
          <rPr>
            <b/>
            <sz val="9"/>
            <color indexed="81"/>
            <rFont val="Tahoma"/>
            <family val="2"/>
          </rPr>
          <t>Author:</t>
        </r>
        <r>
          <rPr>
            <sz val="9"/>
            <color indexed="81"/>
            <rFont val="Tahoma"/>
            <family val="2"/>
          </rPr>
          <t xml:space="preserve">
Definida como el cociente entre la distancia longitudinal del punto un cuarto de la cuerda media aerodinámica al morro del avión y la longitud del fuselaje.</t>
        </r>
      </text>
    </comment>
    <comment ref="B66" authorId="0" shapeId="0">
      <text>
        <r>
          <rPr>
            <b/>
            <sz val="9"/>
            <color indexed="81"/>
            <rFont val="Tahoma"/>
            <family val="2"/>
          </rPr>
          <t>Author: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7" authorId="0" shapeId="0">
      <text>
        <r>
          <rPr>
            <b/>
            <sz val="9"/>
            <color indexed="81"/>
            <rFont val="Tahoma"/>
            <family val="2"/>
          </rPr>
          <t>Author:</t>
        </r>
        <r>
          <rPr>
            <sz val="9"/>
            <color indexed="81"/>
            <rFont val="Tahoma"/>
            <family val="2"/>
          </rPr>
          <t xml:space="preserve">
Distancia entre los extremos izquierdo y derecho del ala, excluyendo los winglets de haberlos, pero incluyendo carenados de punta de ala.</t>
        </r>
      </text>
    </comment>
    <comment ref="B71" authorId="0" shapeId="0">
      <text>
        <r>
          <rPr>
            <b/>
            <sz val="9"/>
            <color indexed="81"/>
            <rFont val="Tahoma"/>
            <family val="2"/>
          </rPr>
          <t>Author:</t>
        </r>
        <r>
          <rPr>
            <sz val="9"/>
            <color indexed="81"/>
            <rFont val="Tahoma"/>
            <family val="2"/>
          </rPr>
          <t xml:space="preserve">
Cociente de Sw dividido entre b.</t>
        </r>
      </text>
    </comment>
    <comment ref="B72" authorId="0" shapeId="0">
      <text>
        <r>
          <rPr>
            <b/>
            <sz val="9"/>
            <color indexed="81"/>
            <rFont val="Tahoma"/>
            <family val="2"/>
          </rPr>
          <t>Author:</t>
        </r>
        <r>
          <rPr>
            <sz val="9"/>
            <color indexed="81"/>
            <rFont val="Tahoma"/>
            <family val="2"/>
          </rPr>
          <t xml:space="preserve">
Cociente de la integral a lo largo de la envergadura de los cuadrados de las cuerdas dividida entre Sw .</t>
        </r>
      </text>
    </comment>
    <comment ref="B74" authorId="0" shapeId="0">
      <text>
        <r>
          <rPr>
            <b/>
            <sz val="9"/>
            <color indexed="81"/>
            <rFont val="Tahoma"/>
            <family val="2"/>
          </rPr>
          <t>Author: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6" authorId="0" shapeId="0">
      <text>
        <r>
          <rPr>
            <b/>
            <sz val="9"/>
            <color indexed="81"/>
            <rFont val="Tahoma"/>
            <family val="2"/>
          </rPr>
          <t>Author:</t>
        </r>
        <r>
          <rPr>
            <sz val="9"/>
            <color indexed="81"/>
            <rFont val="Tahoma"/>
            <family val="2"/>
          </rPr>
          <t xml:space="preserve">
Distancia longitudinal del borde de ataque en la raiz, al borde de ataque en la punta [m]</t>
        </r>
      </text>
    </comment>
    <comment ref="B77" authorId="0" shapeId="0">
      <text>
        <r>
          <rPr>
            <b/>
            <sz val="9"/>
            <color indexed="81"/>
            <rFont val="Tahoma"/>
            <family val="2"/>
          </rPr>
          <t>Author:</t>
        </r>
        <r>
          <rPr>
            <sz val="9"/>
            <color indexed="81"/>
            <rFont val="Tahoma"/>
            <family val="2"/>
          </rPr>
          <t xml:space="preserve">
Cociente de b dividido entre CMG. (b^2/Sw)</t>
        </r>
      </text>
    </comment>
    <comment ref="B78" authorId="0" shapeId="0">
      <text>
        <r>
          <rPr>
            <b/>
            <sz val="9"/>
            <color indexed="81"/>
            <rFont val="Tahoma"/>
            <family val="2"/>
          </rPr>
          <t>Author:</t>
        </r>
        <r>
          <rPr>
            <sz val="9"/>
            <color indexed="81"/>
            <rFont val="Tahoma"/>
            <family val="2"/>
          </rPr>
          <t xml:space="preserve">
Cociente de ct dividido entre cr </t>
        </r>
      </text>
    </comment>
    <comment ref="B79" authorId="0" shapeId="0">
      <text>
        <r>
          <rPr>
            <b/>
            <sz val="9"/>
            <color indexed="81"/>
            <rFont val="Tahoma"/>
            <family val="2"/>
          </rPr>
          <t>Author: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80" authorId="0" shapeId="0">
      <text>
        <r>
          <rPr>
            <b/>
            <sz val="9"/>
            <color indexed="81"/>
            <rFont val="Tahoma"/>
            <family val="2"/>
          </rPr>
          <t>Author:</t>
        </r>
        <r>
          <rPr>
            <sz val="9"/>
            <color indexed="81"/>
            <rFont val="Tahoma"/>
            <family val="2"/>
          </rPr>
          <t xml:space="preserve">
Ángulo que forma la proyección de la línea de puntos un cuarto sobre un plano perpendicular al eje longitudinal del del avión con un plano horizontal.</t>
        </r>
      </text>
    </comment>
    <comment ref="B81" authorId="0" shapeId="0">
      <text>
        <r>
          <rPr>
            <b/>
            <sz val="9"/>
            <color indexed="81"/>
            <rFont val="Tahoma"/>
            <family val="2"/>
          </rPr>
          <t>Author:</t>
        </r>
        <r>
          <rPr>
            <sz val="9"/>
            <color indexed="81"/>
            <rFont val="Tahoma"/>
            <family val="2"/>
          </rPr>
          <t xml:space="preserve">
Tipo y, en su caso, denominación, p.ej., NACA 64-410.</t>
        </r>
      </text>
    </comment>
    <comment ref="A85" authorId="0" shapeId="0">
      <text>
        <r>
          <rPr>
            <b/>
            <sz val="9"/>
            <color indexed="81"/>
            <rFont val="Tahoma"/>
            <family val="2"/>
          </rPr>
          <t>Author: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5" authorId="0" shapeId="0">
      <text>
        <r>
          <rPr>
            <b/>
            <sz val="9"/>
            <color indexed="81"/>
            <rFont val="Tahoma"/>
            <family val="2"/>
          </rPr>
          <t>Author:</t>
        </r>
        <r>
          <rPr>
            <sz val="9"/>
            <color indexed="81"/>
            <rFont val="Tahoma"/>
            <family val="2"/>
          </rPr>
          <t xml:space="preserve">
Flap simple, Fowler, doble ranurado, slat, Krueger, etc</t>
        </r>
      </text>
    </comment>
    <comment ref="A92" authorId="0" shapeId="0">
      <text>
        <r>
          <rPr>
            <b/>
            <sz val="9"/>
            <color indexed="81"/>
            <rFont val="Tahoma"/>
            <family val="2"/>
          </rPr>
          <t>Author: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99" authorId="0" shapeId="0">
      <text>
        <r>
          <rPr>
            <b/>
            <sz val="9"/>
            <color indexed="81"/>
            <rFont val="Tahoma"/>
            <family val="2"/>
          </rPr>
          <t>Author:</t>
        </r>
        <r>
          <rPr>
            <sz val="9"/>
            <color indexed="81"/>
            <rFont val="Tahoma"/>
            <family val="2"/>
          </rPr>
          <t xml:space="preserve">
Con palabras o, mejor, con un esquema.</t>
        </r>
      </text>
    </comment>
    <comment ref="B100"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18" authorId="0" shapeId="0">
      <text>
        <r>
          <rPr>
            <b/>
            <sz val="9"/>
            <color indexed="81"/>
            <rFont val="Tahoma"/>
            <family val="2"/>
          </rPr>
          <t>Author: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20" authorId="0" shapeId="0">
      <text>
        <r>
          <rPr>
            <b/>
            <sz val="9"/>
            <color indexed="81"/>
            <rFont val="Tahoma"/>
            <family val="2"/>
          </rPr>
          <t>Author: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23"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24" authorId="0" shapeId="0">
      <text>
        <r>
          <rPr>
            <b/>
            <sz val="9"/>
            <color indexed="81"/>
            <rFont val="Tahoma"/>
            <family val="2"/>
          </rPr>
          <t>Author:</t>
        </r>
        <r>
          <rPr>
            <sz val="9"/>
            <color indexed="81"/>
            <rFont val="Tahoma"/>
            <family val="2"/>
          </rPr>
          <t xml:space="preserve">
La mitad de la del ala correspondiente.</t>
        </r>
      </text>
    </comment>
    <comment ref="B126" authorId="0" shapeId="0">
      <text>
        <r>
          <rPr>
            <b/>
            <sz val="9"/>
            <color indexed="81"/>
            <rFont val="Tahoma"/>
            <family val="2"/>
          </rPr>
          <t>Author:</t>
        </r>
        <r>
          <rPr>
            <sz val="9"/>
            <color indexed="81"/>
            <rFont val="Tahoma"/>
            <family val="2"/>
          </rPr>
          <t xml:space="preserve">
La mitad de la del ala correspondiente.</t>
        </r>
      </text>
    </comment>
    <comment ref="B130" authorId="0" shapeId="0">
      <text>
        <r>
          <rPr>
            <b/>
            <sz val="9"/>
            <color indexed="81"/>
            <rFont val="Tahoma"/>
            <family val="2"/>
          </rPr>
          <t>Author:</t>
        </r>
        <r>
          <rPr>
            <sz val="9"/>
            <color indexed="81"/>
            <rFont val="Tahoma"/>
            <family val="2"/>
          </rPr>
          <t xml:space="preserve">
Cociente de Sv dividido entre bv .</t>
        </r>
      </text>
    </comment>
    <comment ref="B133" authorId="0" shapeId="0">
      <text>
        <r>
          <rPr>
            <b/>
            <sz val="9"/>
            <color indexed="81"/>
            <rFont val="Tahoma"/>
            <family val="2"/>
          </rPr>
          <t>Author:</t>
        </r>
        <r>
          <rPr>
            <sz val="9"/>
            <color indexed="81"/>
            <rFont val="Tahoma"/>
            <family val="2"/>
          </rPr>
          <t xml:space="preserve">
Definido como el cociente 2bv /CMGv, para que sea el del ala correspondiente.</t>
        </r>
      </text>
    </comment>
    <comment ref="B139" authorId="0" shapeId="0">
      <text>
        <r>
          <rPr>
            <b/>
            <sz val="9"/>
            <color indexed="81"/>
            <rFont val="Tahoma"/>
            <family val="2"/>
          </rPr>
          <t>Author:</t>
        </r>
        <r>
          <rPr>
            <sz val="9"/>
            <color indexed="81"/>
            <rFont val="Tahoma"/>
            <family val="2"/>
          </rPr>
          <t xml:space="preserve">
Obsérvese que se usa b en lugar de CMA.</t>
        </r>
      </text>
    </comment>
    <comment ref="B141" authorId="0" shapeId="0">
      <text>
        <r>
          <rPr>
            <b/>
            <sz val="9"/>
            <color indexed="81"/>
            <rFont val="Tahoma"/>
            <family val="2"/>
          </rPr>
          <t>Author:</t>
        </r>
        <r>
          <rPr>
            <sz val="9"/>
            <color indexed="81"/>
            <rFont val="Tahoma"/>
            <family val="2"/>
          </rPr>
          <t xml:space="preserve">
La distancia vertical entre los extremos inferior y superior del timón.</t>
        </r>
      </text>
    </comment>
    <comment ref="B143" authorId="0" shapeId="0">
      <text>
        <r>
          <rPr>
            <b/>
            <sz val="9"/>
            <color indexed="81"/>
            <rFont val="Tahoma"/>
            <family val="2"/>
          </rPr>
          <t>Author:</t>
        </r>
        <r>
          <rPr>
            <sz val="9"/>
            <color indexed="81"/>
            <rFont val="Tahoma"/>
            <family val="2"/>
          </rPr>
          <t xml:space="preserve">
Cociente de la cuerda del timón dividida entre la cuerda del estabilizador, medidas ambas a la altura del punto medio del timón.</t>
        </r>
      </text>
    </comment>
    <comment ref="A145" authorId="0" shapeId="0">
      <text>
        <r>
          <rPr>
            <b/>
            <sz val="9"/>
            <color indexed="81"/>
            <rFont val="Tahoma"/>
            <family val="2"/>
          </rPr>
          <t>Author:</t>
        </r>
        <r>
          <rPr>
            <sz val="9"/>
            <color indexed="81"/>
            <rFont val="Tahoma"/>
            <family val="2"/>
          </rPr>
          <t xml:space="preserve">
Para el tren auxiliar se debe sustituir el subíndice p de principal por el subíndice a de auxiliar.</t>
        </r>
      </text>
    </comment>
    <comment ref="B145" authorId="0" shapeId="0">
      <text>
        <r>
          <rPr>
            <b/>
            <sz val="9"/>
            <color indexed="81"/>
            <rFont val="Tahoma"/>
            <family val="2"/>
          </rPr>
          <t>Author:</t>
        </r>
        <r>
          <rPr>
            <sz val="9"/>
            <color indexed="81"/>
            <rFont val="Tahoma"/>
            <family val="2"/>
          </rPr>
          <t xml:space="preserve">
Triciclo, retráctil, con rueda de cola, etc.</t>
        </r>
      </text>
    </comment>
    <comment ref="B146" authorId="0" shapeId="0">
      <text>
        <r>
          <rPr>
            <b/>
            <sz val="9"/>
            <color indexed="81"/>
            <rFont val="Tahoma"/>
            <family val="2"/>
          </rPr>
          <t>Author:</t>
        </r>
        <r>
          <rPr>
            <sz val="9"/>
            <color indexed="81"/>
            <rFont val="Tahoma"/>
            <family val="2"/>
          </rPr>
          <t xml:space="preserve">
Distancia entre el centro de las huellas de los trenes principales; si estos son más de dos, se tomarán los más alejados del plano de simetría del avión.</t>
        </r>
      </text>
    </comment>
    <comment ref="B147" authorId="0" shapeId="0">
      <text>
        <r>
          <rPr>
            <b/>
            <sz val="9"/>
            <color indexed="81"/>
            <rFont val="Tahoma"/>
            <family val="2"/>
          </rPr>
          <t>Author: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52" authorId="0" shapeId="0">
      <text>
        <r>
          <rPr>
            <b/>
            <sz val="9"/>
            <color indexed="81"/>
            <rFont val="Tahoma"/>
            <family val="2"/>
          </rPr>
          <t>Author:</t>
        </r>
        <r>
          <rPr>
            <sz val="9"/>
            <color indexed="81"/>
            <rFont val="Tahoma"/>
            <family val="2"/>
          </rPr>
          <t xml:space="preserve">
29 in</t>
        </r>
      </text>
    </comment>
    <comment ref="F153" authorId="0" shapeId="0">
      <text>
        <r>
          <rPr>
            <b/>
            <sz val="9"/>
            <color indexed="81"/>
            <rFont val="Tahoma"/>
            <family val="2"/>
          </rPr>
          <t>Author:</t>
        </r>
        <r>
          <rPr>
            <sz val="9"/>
            <color indexed="81"/>
            <rFont val="Tahoma"/>
            <family val="2"/>
          </rPr>
          <t xml:space="preserve">
7,7 in</t>
        </r>
      </text>
    </comment>
    <comment ref="F155" authorId="0" shapeId="0">
      <text>
        <r>
          <rPr>
            <b/>
            <sz val="9"/>
            <color indexed="81"/>
            <rFont val="Tahoma"/>
            <family val="2"/>
          </rPr>
          <t>Author:</t>
        </r>
        <r>
          <rPr>
            <sz val="9"/>
            <color indexed="81"/>
            <rFont val="Tahoma"/>
            <family val="2"/>
          </rPr>
          <t xml:space="preserve">
17,5 in</t>
        </r>
      </text>
    </comment>
    <comment ref="F156" authorId="0" shapeId="0">
      <text>
        <r>
          <rPr>
            <b/>
            <sz val="9"/>
            <color indexed="81"/>
            <rFont val="Tahoma"/>
            <family val="2"/>
          </rPr>
          <t>Author:</t>
        </r>
        <r>
          <rPr>
            <sz val="9"/>
            <color indexed="81"/>
            <rFont val="Tahoma"/>
            <family val="2"/>
          </rPr>
          <t xml:space="preserve">
5,7 in</t>
        </r>
      </text>
    </comment>
    <comment ref="B160" authorId="0" shapeId="0">
      <text>
        <r>
          <rPr>
            <b/>
            <sz val="9"/>
            <color indexed="81"/>
            <rFont val="Tahoma"/>
            <family val="2"/>
          </rPr>
          <t>Author:</t>
        </r>
        <r>
          <rPr>
            <sz val="9"/>
            <color indexed="81"/>
            <rFont val="Tahoma"/>
            <family val="2"/>
          </rPr>
          <t xml:space="preserve">
Maximum Operating Mach</t>
        </r>
      </text>
    </comment>
    <comment ref="B161" authorId="0" shapeId="0">
      <text>
        <r>
          <rPr>
            <b/>
            <sz val="9"/>
            <color indexed="81"/>
            <rFont val="Tahoma"/>
            <family val="2"/>
          </rPr>
          <t>Author:</t>
        </r>
        <r>
          <rPr>
            <sz val="9"/>
            <color indexed="81"/>
            <rFont val="Tahoma"/>
            <family val="2"/>
          </rPr>
          <t xml:space="preserve">
Indicando condiciones como régimen de crucero, altitud, etc.</t>
        </r>
      </text>
    </comment>
    <comment ref="K161" authorId="0" shapeId="0">
      <text>
        <r>
          <rPr>
            <b/>
            <sz val="9"/>
            <color indexed="81"/>
            <rFont val="Tahoma"/>
            <family val="2"/>
          </rPr>
          <t>Author:</t>
        </r>
        <r>
          <rPr>
            <sz val="9"/>
            <color indexed="81"/>
            <rFont val="Tahoma"/>
            <family val="2"/>
          </rPr>
          <t xml:space="preserve">
High speed: 893kph
Long range: 850kph</t>
        </r>
      </text>
    </comment>
    <comment ref="K162" authorId="0" shapeId="0">
      <text>
        <r>
          <rPr>
            <b/>
            <sz val="9"/>
            <color indexed="81"/>
            <rFont val="Tahoma"/>
            <family val="2"/>
          </rPr>
          <t>Author:</t>
        </r>
        <r>
          <rPr>
            <sz val="9"/>
            <color indexed="81"/>
            <rFont val="Tahoma"/>
            <family val="2"/>
          </rPr>
          <t xml:space="preserve">
High speed: 0,84
Long range: 0,80</t>
        </r>
      </text>
    </comment>
    <comment ref="B165" authorId="0" shapeId="0">
      <text>
        <r>
          <rPr>
            <b/>
            <sz val="9"/>
            <color indexed="81"/>
            <rFont val="Tahoma"/>
            <family val="2"/>
          </rPr>
          <t>Author:</t>
        </r>
        <r>
          <rPr>
            <sz val="9"/>
            <color indexed="81"/>
            <rFont val="Tahoma"/>
            <family val="2"/>
          </rPr>
          <t xml:space="preserve">
En configuraciones limpia, de despegue o aterrizaje, indicando peso y altitud, si son conocidos.</t>
        </r>
      </text>
    </comment>
    <comment ref="F165" authorId="0" shapeId="0">
      <text>
        <r>
          <rPr>
            <b/>
            <sz val="9"/>
            <color indexed="81"/>
            <rFont val="Tahoma"/>
            <family val="2"/>
          </rPr>
          <t>Author:</t>
        </r>
        <r>
          <rPr>
            <sz val="9"/>
            <color indexed="81"/>
            <rFont val="Tahoma"/>
            <family val="2"/>
          </rPr>
          <t xml:space="preserve">
Clean --&gt; 197kph
Landing conf --&gt; 158kph</t>
        </r>
      </text>
    </comment>
    <comment ref="B166" authorId="0" shapeId="0">
      <text>
        <r>
          <rPr>
            <b/>
            <sz val="9"/>
            <color indexed="81"/>
            <rFont val="Tahoma"/>
            <family val="2"/>
          </rPr>
          <t>Author:</t>
        </r>
        <r>
          <rPr>
            <sz val="9"/>
            <color indexed="81"/>
            <rFont val="Tahoma"/>
            <family val="2"/>
          </rPr>
          <t xml:space="preserve">
Velocidad de seguridad en el despegue.</t>
        </r>
      </text>
    </comment>
    <comment ref="B167" authorId="0" shapeId="0">
      <text>
        <r>
          <rPr>
            <b/>
            <sz val="9"/>
            <color indexed="81"/>
            <rFont val="Tahoma"/>
            <family val="2"/>
          </rPr>
          <t>Author:</t>
        </r>
        <r>
          <rPr>
            <sz val="9"/>
            <color indexed="81"/>
            <rFont val="Tahoma"/>
            <family val="2"/>
          </rPr>
          <t xml:space="preserve">
Velocidad de aproximación final.</t>
        </r>
      </text>
    </comment>
    <comment ref="F169" authorId="0" shapeId="0">
      <text>
        <r>
          <rPr>
            <b/>
            <sz val="9"/>
            <color indexed="81"/>
            <rFont val="Tahoma"/>
            <charset val="1"/>
          </rPr>
          <t>Author:</t>
        </r>
        <r>
          <rPr>
            <sz val="9"/>
            <color indexed="81"/>
            <rFont val="Tahoma"/>
            <charset val="1"/>
          </rPr>
          <t xml:space="preserve">
8334km Mach 0,80
8797km Mach 0,75</t>
        </r>
      </text>
    </comment>
    <comment ref="H169" authorId="0" shapeId="0">
      <text>
        <r>
          <rPr>
            <b/>
            <sz val="9"/>
            <color indexed="81"/>
            <rFont val="Tahoma"/>
            <family val="2"/>
          </rPr>
          <t>Author:</t>
        </r>
        <r>
          <rPr>
            <sz val="9"/>
            <color indexed="81"/>
            <rFont val="Tahoma"/>
            <family val="2"/>
          </rPr>
          <t xml:space="preserve">
Theoretical range with NBAA IFR Reserves,ISA, M 0.85, 8 pax/4 crew.</t>
        </r>
      </text>
    </comment>
    <comment ref="I169" authorId="0" shapeId="0">
      <text>
        <r>
          <rPr>
            <b/>
            <sz val="9"/>
            <color indexed="81"/>
            <rFont val="Tahoma"/>
            <charset val="1"/>
          </rPr>
          <t>Author:</t>
        </r>
        <r>
          <rPr>
            <sz val="9"/>
            <color indexed="81"/>
            <rFont val="Tahoma"/>
            <charset val="1"/>
          </rPr>
          <t xml:space="preserve">
(Theoretical range with NBAA IFR Reserves, ISA, M 0.85, 8 pax /3 crew. Actual range will be affected by speed, weather, selected options and other factors.)</t>
        </r>
      </text>
    </comment>
    <comment ref="J169" authorId="0" shapeId="0">
      <text>
        <r>
          <rPr>
            <b/>
            <sz val="9"/>
            <color indexed="81"/>
            <rFont val="Tahoma"/>
            <family val="2"/>
          </rPr>
          <t>Author:</t>
        </r>
        <r>
          <rPr>
            <sz val="9"/>
            <color indexed="81"/>
            <rFont val="Tahoma"/>
            <family val="2"/>
          </rPr>
          <t xml:space="preserve">
Mach 0,75   
8pax, 370km alternate</t>
        </r>
      </text>
    </comment>
    <comment ref="K169" authorId="0" shapeId="0">
      <text>
        <r>
          <rPr>
            <b/>
            <sz val="9"/>
            <color indexed="81"/>
            <rFont val="Tahoma"/>
            <family val="2"/>
          </rPr>
          <t>Author:</t>
        </r>
        <r>
          <rPr>
            <sz val="9"/>
            <color indexed="81"/>
            <rFont val="Tahoma"/>
            <family val="2"/>
          </rPr>
          <t xml:space="preserve">
Mach 0,80   4pax   2crew</t>
        </r>
      </text>
    </comment>
    <comment ref="L169" authorId="0" shapeId="0">
      <text>
        <r>
          <rPr>
            <b/>
            <sz val="9"/>
            <color indexed="81"/>
            <rFont val="Tahoma"/>
            <charset val="1"/>
          </rPr>
          <t>Author:</t>
        </r>
        <r>
          <rPr>
            <sz val="9"/>
            <color indexed="81"/>
            <rFont val="Tahoma"/>
            <charset val="1"/>
          </rPr>
          <t xml:space="preserve">
LRC, 4 pax @ 200 lb each and NBAA IFR
reserves with 200 nm alternate airport</t>
        </r>
      </text>
    </comment>
    <comment ref="M169" authorId="0" shapeId="0">
      <text>
        <r>
          <rPr>
            <b/>
            <sz val="9"/>
            <color indexed="81"/>
            <rFont val="Tahoma"/>
            <family val="2"/>
          </rPr>
          <t>Author:</t>
        </r>
        <r>
          <rPr>
            <sz val="9"/>
            <color indexed="81"/>
            <rFont val="Tahoma"/>
            <family val="2"/>
          </rPr>
          <t xml:space="preserve">
Range: LRC, 4 passengers at 200 lb/each, NBAA IFR reserves, 200 nm alternate airport, baseline aircraft</t>
        </r>
      </text>
    </comment>
    <comment ref="N169" authorId="0" shapeId="0">
      <text>
        <r>
          <rPr>
            <b/>
            <sz val="9"/>
            <color indexed="81"/>
            <rFont val="Tahoma"/>
            <family val="2"/>
          </rPr>
          <t>Author:</t>
        </r>
        <r>
          <rPr>
            <sz val="9"/>
            <color indexed="81"/>
            <rFont val="Tahoma"/>
            <family val="2"/>
          </rPr>
          <t xml:space="preserve">
Range: LRC, 6 occupants at 200 lb/each, NBAA IFR reserves, 100 nm alternate airport, baseline aircraft.</t>
        </r>
      </text>
    </comment>
    <comment ref="B174" authorId="0" shapeId="0">
      <text>
        <r>
          <rPr>
            <b/>
            <sz val="9"/>
            <color indexed="81"/>
            <rFont val="Tahoma"/>
            <family val="2"/>
          </rPr>
          <t>Author:</t>
        </r>
        <r>
          <rPr>
            <sz val="9"/>
            <color indexed="81"/>
            <rFont val="Tahoma"/>
            <family val="2"/>
          </rPr>
          <t xml:space="preserve">
Especificando condiciones como peso, altitud, etc.</t>
        </r>
      </text>
    </comment>
    <comment ref="E174" authorId="0" shapeId="0">
      <text>
        <r>
          <rPr>
            <b/>
            <sz val="9"/>
            <color indexed="81"/>
            <rFont val="Tahoma"/>
            <family val="2"/>
          </rPr>
          <t>Author:</t>
        </r>
        <r>
          <rPr>
            <sz val="9"/>
            <color indexed="81"/>
            <rFont val="Tahoma"/>
            <family val="2"/>
          </rPr>
          <t xml:space="preserve">
BFL at MTOW: SL - ISA</t>
        </r>
      </text>
    </comment>
    <comment ref="B175" authorId="0" shapeId="0">
      <text>
        <r>
          <rPr>
            <b/>
            <sz val="9"/>
            <color indexed="81"/>
            <rFont val="Tahoma"/>
            <family val="2"/>
          </rPr>
          <t>Author:</t>
        </r>
        <r>
          <rPr>
            <sz val="9"/>
            <color indexed="81"/>
            <rFont val="Tahoma"/>
            <family val="2"/>
          </rPr>
          <t xml:space="preserve">
Especificando condiciones como peso, altitud, etc.</t>
        </r>
      </text>
    </comment>
    <comment ref="E175" authorId="0" shapeId="0">
      <text>
        <r>
          <rPr>
            <b/>
            <sz val="9"/>
            <color indexed="81"/>
            <rFont val="Tahoma"/>
            <family val="2"/>
          </rPr>
          <t>Author:</t>
        </r>
        <r>
          <rPr>
            <sz val="9"/>
            <color indexed="81"/>
            <rFont val="Tahoma"/>
            <family val="2"/>
          </rPr>
          <t xml:space="preserve">
FAR 91 landing distance at typical landing weight </t>
        </r>
      </text>
    </comment>
  </commentList>
</comments>
</file>

<file path=xl/comments2.xml><?xml version="1.0" encoding="utf-8"?>
<comments xmlns="http://schemas.openxmlformats.org/spreadsheetml/2006/main">
  <authors>
    <author>Author</author>
  </authors>
  <commentList>
    <comment ref="B7" authorId="0" shapeId="0">
      <text>
        <r>
          <rPr>
            <b/>
            <sz val="9"/>
            <color indexed="81"/>
            <rFont val="Tahoma"/>
            <family val="2"/>
          </rPr>
          <t>Author:</t>
        </r>
        <r>
          <rPr>
            <sz val="9"/>
            <color indexed="81"/>
            <rFont val="Tahoma"/>
            <family val="2"/>
          </rPr>
          <t xml:space="preserve">
Distancia del punto más alto del avión al suelo.</t>
        </r>
      </text>
    </comment>
    <comment ref="B8" authorId="0" shapeId="0">
      <text>
        <r>
          <rPr>
            <b/>
            <sz val="9"/>
            <color indexed="81"/>
            <rFont val="Tahoma"/>
            <family val="2"/>
          </rPr>
          <t>Author: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Author:</t>
        </r>
        <r>
          <rPr>
            <sz val="9"/>
            <color indexed="81"/>
            <rFont val="Tahoma"/>
            <family val="2"/>
          </rPr>
          <t xml:space="preserve">
Distancia entre los extremos izquierdo y derecho del avión.</t>
        </r>
      </text>
    </comment>
    <comment ref="B12" authorId="0" shapeId="0">
      <text>
        <r>
          <rPr>
            <b/>
            <sz val="9"/>
            <color indexed="81"/>
            <rFont val="Tahoma"/>
            <family val="2"/>
          </rPr>
          <t>Author: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Author:</t>
        </r>
        <r>
          <rPr>
            <sz val="9"/>
            <color indexed="81"/>
            <rFont val="Tahoma"/>
            <family val="2"/>
          </rPr>
          <t xml:space="preserve">
Turbofán, turbohélice, eléctrico, etc.</t>
        </r>
      </text>
    </comment>
    <comment ref="E14" authorId="0" shapeId="0">
      <text>
        <r>
          <rPr>
            <b/>
            <sz val="9"/>
            <color indexed="81"/>
            <rFont val="Tahoma"/>
            <family val="2"/>
          </rPr>
          <t>Author:</t>
        </r>
        <r>
          <rPr>
            <sz val="9"/>
            <color indexed="81"/>
            <rFont val="Tahoma"/>
            <family val="2"/>
          </rPr>
          <t xml:space="preserve">
4 2.535 kW Ishikawajima-built General Electric turboprops, each driving a Sumitomo-built Hamilton Sundstrand 63E60-27 three-blade constant-speed reversible-pitch propeller</t>
        </r>
      </text>
    </comment>
    <comment ref="E15" authorId="0" shapeId="0">
      <text>
        <r>
          <rPr>
            <b/>
            <sz val="9"/>
            <color indexed="81"/>
            <rFont val="Tahoma"/>
            <charset val="1"/>
          </rPr>
          <t>Uxío:</t>
        </r>
        <r>
          <rPr>
            <sz val="9"/>
            <color indexed="81"/>
            <rFont val="Tahoma"/>
            <charset val="1"/>
          </rPr>
          <t xml:space="preserve">
Ishikawajma-built</t>
        </r>
      </text>
    </comment>
    <comment ref="E16" authorId="0" shapeId="0">
      <text>
        <r>
          <rPr>
            <b/>
            <sz val="9"/>
            <color indexed="81"/>
            <rFont val="Tahoma"/>
            <family val="2"/>
          </rPr>
          <t>Author:</t>
        </r>
        <r>
          <rPr>
            <sz val="9"/>
            <color indexed="81"/>
            <rFont val="Tahoma"/>
            <family val="2"/>
          </rPr>
          <t xml:space="preserve">
Dry weight including standard equipment</t>
        </r>
      </text>
    </comment>
    <comment ref="B18" authorId="0" shapeId="0">
      <text>
        <r>
          <rPr>
            <b/>
            <sz val="9"/>
            <color indexed="81"/>
            <rFont val="Tahoma"/>
            <family val="2"/>
          </rPr>
          <t>Author:</t>
        </r>
        <r>
          <rPr>
            <sz val="9"/>
            <color indexed="81"/>
            <rFont val="Tahoma"/>
            <family val="2"/>
          </rPr>
          <t xml:space="preserve">
Indicando las condiciones de operación; por ej. "máximo continuo a 30000 ft de altitud y Mach 0,82" o "máximo en despegue en condiciones estáticas al nivel del mar"</t>
        </r>
      </text>
    </comment>
    <comment ref="B21" authorId="0" shapeId="0">
      <text>
        <r>
          <rPr>
            <b/>
            <sz val="9"/>
            <color indexed="81"/>
            <rFont val="Tahoma"/>
            <family val="2"/>
          </rPr>
          <t>Author:</t>
        </r>
        <r>
          <rPr>
            <sz val="9"/>
            <color indexed="81"/>
            <rFont val="Tahoma"/>
            <family val="2"/>
          </rPr>
          <t xml:space="preserve">
En el despegue con todos los motores encendidos.</t>
        </r>
      </text>
    </comment>
    <comment ref="E23" authorId="0" shapeId="0">
      <text>
        <r>
          <rPr>
            <b/>
            <sz val="9"/>
            <color indexed="81"/>
            <rFont val="Tahoma"/>
            <charset val="1"/>
          </rPr>
          <t>Author:</t>
        </r>
        <r>
          <rPr>
            <sz val="9"/>
            <color indexed="81"/>
            <rFont val="Tahoma"/>
            <charset val="1"/>
          </rPr>
          <t xml:space="preserve">
43000 from sea, 45000 from land
</t>
        </r>
      </text>
    </comment>
    <comment ref="B24" authorId="0" shapeId="0">
      <text>
        <r>
          <rPr>
            <b/>
            <sz val="9"/>
            <color indexed="81"/>
            <rFont val="Tahoma"/>
            <family val="2"/>
          </rPr>
          <t>Author:</t>
        </r>
        <r>
          <rPr>
            <sz val="9"/>
            <color indexed="81"/>
            <rFont val="Tahoma"/>
            <family val="2"/>
          </rPr>
          <t xml:space="preserve">
Mejor el peso vacío operativo OEW, pero de carecer de este dato, se puede dar otro peso vacío aclarando de cuál se trata.</t>
        </r>
      </text>
    </comment>
    <comment ref="E24" authorId="0" shapeId="0">
      <text>
        <r>
          <rPr>
            <b/>
            <sz val="9"/>
            <color indexed="81"/>
            <rFont val="Tahoma"/>
            <charset val="1"/>
          </rPr>
          <t>Author:</t>
        </r>
        <r>
          <rPr>
            <sz val="9"/>
            <color indexed="81"/>
            <rFont val="Tahoma"/>
            <charset val="1"/>
          </rPr>
          <t xml:space="preserve">
Weight empty, equipped: 25630
Manufacturer's empty weight: 23300</t>
        </r>
      </text>
    </comment>
    <comment ref="B27" authorId="0" shapeId="0">
      <text>
        <r>
          <rPr>
            <b/>
            <sz val="9"/>
            <color indexed="81"/>
            <rFont val="Tahoma"/>
            <family val="2"/>
          </rPr>
          <t>Author: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E35" authorId="0" shapeId="0">
      <text>
        <r>
          <rPr>
            <b/>
            <sz val="9"/>
            <color indexed="81"/>
            <rFont val="Tahoma"/>
            <charset val="1"/>
          </rPr>
          <t>Author:</t>
        </r>
        <r>
          <rPr>
            <sz val="9"/>
            <color indexed="81"/>
            <rFont val="Tahoma"/>
            <charset val="1"/>
          </rPr>
          <t xml:space="preserve">
Crew: 3 + navigator+ radio operator+ medic in main cabin.
20 seated surivors or 12 stretchers + 1 auxiliary seat + 2 observer's seats</t>
        </r>
      </text>
    </comment>
    <comment ref="B40" authorId="0" shapeId="0">
      <text>
        <r>
          <rPr>
            <b/>
            <sz val="9"/>
            <color indexed="81"/>
            <rFont val="Tahoma"/>
            <family val="2"/>
          </rPr>
          <t>Author:</t>
        </r>
        <r>
          <rPr>
            <sz val="9"/>
            <color indexed="81"/>
            <rFont val="Tahoma"/>
            <family val="2"/>
          </rPr>
          <t xml:space="preserve">
Identificando los diferentes comparimentos si son varios.</t>
        </r>
      </text>
    </comment>
    <comment ref="B41" authorId="0" shapeId="0">
      <text>
        <r>
          <rPr>
            <b/>
            <sz val="9"/>
            <color indexed="81"/>
            <rFont val="Tahoma"/>
            <family val="2"/>
          </rPr>
          <t>Author: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44" authorId="0" shapeId="0">
      <text>
        <r>
          <rPr>
            <b/>
            <sz val="9"/>
            <color indexed="81"/>
            <rFont val="Tahoma"/>
            <family val="2"/>
          </rPr>
          <t>Author: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48" authorId="0" shapeId="0">
      <text>
        <r>
          <rPr>
            <b/>
            <sz val="9"/>
            <color indexed="81"/>
            <rFont val="Tahoma"/>
            <family val="2"/>
          </rPr>
          <t>Author:</t>
        </r>
        <r>
          <rPr>
            <sz val="9"/>
            <color indexed="81"/>
            <rFont val="Tahoma"/>
            <family val="2"/>
          </rPr>
          <t xml:space="preserve">
Dimensiones máximas en dirección horizontal y vertical, respectivamente, de la proyección del fuselaje sobre un plano perpendicular a su línea de referencia.</t>
        </r>
      </text>
    </comment>
    <comment ref="B49" authorId="0" shapeId="0">
      <text>
        <r>
          <rPr>
            <b/>
            <sz val="9"/>
            <color indexed="81"/>
            <rFont val="Tahoma"/>
            <family val="2"/>
          </rPr>
          <t>Author:</t>
        </r>
        <r>
          <rPr>
            <sz val="9"/>
            <color indexed="81"/>
            <rFont val="Tahoma"/>
            <family val="2"/>
          </rPr>
          <t xml:space="preserve">
El área de la anterior proyección.</t>
        </r>
      </text>
    </comment>
    <comment ref="B51" authorId="0" shapeId="0">
      <text>
        <r>
          <rPr>
            <b/>
            <sz val="9"/>
            <color indexed="81"/>
            <rFont val="Tahoma"/>
            <family val="2"/>
          </rPr>
          <t>Author:</t>
        </r>
        <r>
          <rPr>
            <sz val="9"/>
            <color indexed="81"/>
            <rFont val="Tahoma"/>
            <family val="2"/>
          </rPr>
          <t xml:space="preserve">
La esbeltez del fuselaje es la comparación de la longitud de fuselaje con el un parámetro característico de las dimensiones transversales --&gt; lambdaf=(lf/af)</t>
        </r>
      </text>
    </comment>
    <comment ref="B53" authorId="0" shapeId="0">
      <text>
        <r>
          <rPr>
            <b/>
            <sz val="9"/>
            <color indexed="81"/>
            <rFont val="Tahoma"/>
            <family val="2"/>
          </rPr>
          <t>Author:</t>
        </r>
        <r>
          <rPr>
            <sz val="9"/>
            <color indexed="81"/>
            <rFont val="Tahoma"/>
            <family val="2"/>
          </rPr>
          <t xml:space="preserve">
Alta, media, baja, etc.</t>
        </r>
      </text>
    </comment>
    <comment ref="B54" authorId="0" shapeId="0">
      <text>
        <r>
          <rPr>
            <b/>
            <sz val="9"/>
            <color indexed="81"/>
            <rFont val="Tahoma"/>
            <family val="2"/>
          </rPr>
          <t>Author:</t>
        </r>
        <r>
          <rPr>
            <sz val="9"/>
            <color indexed="81"/>
            <rFont val="Tahoma"/>
            <family val="2"/>
          </rPr>
          <t xml:space="preserve">
Definida como el cociente entre la distancia longitudinal del punto un cuarto de la cuerda media aerodinámica al morro del avión y la longitud del fuselaje.</t>
        </r>
      </text>
    </comment>
    <comment ref="B55" authorId="0" shapeId="0">
      <text>
        <r>
          <rPr>
            <b/>
            <sz val="9"/>
            <color indexed="81"/>
            <rFont val="Tahoma"/>
            <family val="2"/>
          </rPr>
          <t>Author: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56" authorId="0" shapeId="0">
      <text>
        <r>
          <rPr>
            <b/>
            <sz val="9"/>
            <color indexed="81"/>
            <rFont val="Tahoma"/>
            <family val="2"/>
          </rPr>
          <t>Author:</t>
        </r>
        <r>
          <rPr>
            <sz val="9"/>
            <color indexed="81"/>
            <rFont val="Tahoma"/>
            <family val="2"/>
          </rPr>
          <t xml:space="preserve">
Distancia entre los extremos izquierdo y derecho del ala, excluyendo los winglets de haberlos, pero incluyendo carenados de punta de ala.</t>
        </r>
      </text>
    </comment>
    <comment ref="B59" authorId="0" shapeId="0">
      <text>
        <r>
          <rPr>
            <b/>
            <sz val="9"/>
            <color indexed="81"/>
            <rFont val="Tahoma"/>
            <family val="2"/>
          </rPr>
          <t>Author:</t>
        </r>
        <r>
          <rPr>
            <sz val="9"/>
            <color indexed="81"/>
            <rFont val="Tahoma"/>
            <family val="2"/>
          </rPr>
          <t xml:space="preserve">
Cociente de Sw dividido entre b.</t>
        </r>
      </text>
    </comment>
    <comment ref="B60" authorId="0" shapeId="0">
      <text>
        <r>
          <rPr>
            <b/>
            <sz val="9"/>
            <color indexed="81"/>
            <rFont val="Tahoma"/>
            <family val="2"/>
          </rPr>
          <t>Author:</t>
        </r>
        <r>
          <rPr>
            <sz val="9"/>
            <color indexed="81"/>
            <rFont val="Tahoma"/>
            <family val="2"/>
          </rPr>
          <t xml:space="preserve">
Cociente de la integral a lo largo de la envergadura de los cuadrados de las cuerdas dividida entre Sw .</t>
        </r>
      </text>
    </comment>
    <comment ref="B61" authorId="0" shapeId="0">
      <text>
        <r>
          <rPr>
            <b/>
            <sz val="9"/>
            <color indexed="81"/>
            <rFont val="Tahoma"/>
            <family val="2"/>
          </rPr>
          <t>Author: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62" authorId="0" shapeId="0">
      <text>
        <r>
          <rPr>
            <b/>
            <sz val="9"/>
            <color indexed="81"/>
            <rFont val="Tahoma"/>
            <family val="2"/>
          </rPr>
          <t>Author:</t>
        </r>
        <r>
          <rPr>
            <sz val="9"/>
            <color indexed="81"/>
            <rFont val="Tahoma"/>
            <family val="2"/>
          </rPr>
          <t xml:space="preserve">
Cociente de b dividido entre CMG.</t>
        </r>
      </text>
    </comment>
    <comment ref="B63" authorId="0" shapeId="0">
      <text>
        <r>
          <rPr>
            <b/>
            <sz val="9"/>
            <color indexed="81"/>
            <rFont val="Tahoma"/>
            <family val="2"/>
          </rPr>
          <t>Author:</t>
        </r>
        <r>
          <rPr>
            <sz val="9"/>
            <color indexed="81"/>
            <rFont val="Tahoma"/>
            <family val="2"/>
          </rPr>
          <t xml:space="preserve">
Cociente de ct dividido entre cr </t>
        </r>
      </text>
    </comment>
    <comment ref="B64" authorId="0" shapeId="0">
      <text>
        <r>
          <rPr>
            <b/>
            <sz val="9"/>
            <color indexed="81"/>
            <rFont val="Tahoma"/>
            <family val="2"/>
          </rPr>
          <t>Author: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65" authorId="0" shapeId="0">
      <text>
        <r>
          <rPr>
            <b/>
            <sz val="9"/>
            <color indexed="81"/>
            <rFont val="Tahoma"/>
            <family val="2"/>
          </rPr>
          <t>Author:</t>
        </r>
        <r>
          <rPr>
            <sz val="9"/>
            <color indexed="81"/>
            <rFont val="Tahoma"/>
            <family val="2"/>
          </rPr>
          <t xml:space="preserve">
Ángulo que forma la proyección de la línea de puntos un cuarto sobre un plano perpendicular al eje longitudinal del del avión con un plano horizontal.</t>
        </r>
      </text>
    </comment>
    <comment ref="B66" authorId="0" shapeId="0">
      <text>
        <r>
          <rPr>
            <b/>
            <sz val="9"/>
            <color indexed="81"/>
            <rFont val="Tahoma"/>
            <family val="2"/>
          </rPr>
          <t>Author:</t>
        </r>
        <r>
          <rPr>
            <sz val="9"/>
            <color indexed="81"/>
            <rFont val="Tahoma"/>
            <family val="2"/>
          </rPr>
          <t xml:space="preserve">
Tipo y, en su caso, denominación, p.ej., NACA 64-410.</t>
        </r>
      </text>
    </comment>
    <comment ref="A70" authorId="0" shapeId="0">
      <text>
        <r>
          <rPr>
            <b/>
            <sz val="9"/>
            <color indexed="81"/>
            <rFont val="Tahoma"/>
            <family val="2"/>
          </rPr>
          <t>Author: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70" authorId="0" shapeId="0">
      <text>
        <r>
          <rPr>
            <b/>
            <sz val="9"/>
            <color indexed="81"/>
            <rFont val="Tahoma"/>
            <family val="2"/>
          </rPr>
          <t>Author:</t>
        </r>
        <r>
          <rPr>
            <sz val="9"/>
            <color indexed="81"/>
            <rFont val="Tahoma"/>
            <family val="2"/>
          </rPr>
          <t xml:space="preserve">
Flap simple, Fowler, doble ranurado, slat, Krueger, etc</t>
        </r>
      </text>
    </comment>
    <comment ref="A77" authorId="0" shapeId="0">
      <text>
        <r>
          <rPr>
            <b/>
            <sz val="9"/>
            <color indexed="81"/>
            <rFont val="Tahoma"/>
            <family val="2"/>
          </rPr>
          <t>Author: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84" authorId="0" shapeId="0">
      <text>
        <r>
          <rPr>
            <b/>
            <sz val="9"/>
            <color indexed="81"/>
            <rFont val="Tahoma"/>
            <family val="2"/>
          </rPr>
          <t>Author:</t>
        </r>
        <r>
          <rPr>
            <sz val="9"/>
            <color indexed="81"/>
            <rFont val="Tahoma"/>
            <family val="2"/>
          </rPr>
          <t xml:space="preserve">
Con palabras o, mejor, con un esquema.</t>
        </r>
      </text>
    </comment>
    <comment ref="B85"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03" authorId="0" shapeId="0">
      <text>
        <r>
          <rPr>
            <b/>
            <sz val="9"/>
            <color indexed="81"/>
            <rFont val="Tahoma"/>
            <family val="2"/>
          </rPr>
          <t>Author: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05" authorId="0" shapeId="0">
      <text>
        <r>
          <rPr>
            <b/>
            <sz val="9"/>
            <color indexed="81"/>
            <rFont val="Tahoma"/>
            <family val="2"/>
          </rPr>
          <t>Author: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08"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09" authorId="0" shapeId="0">
      <text>
        <r>
          <rPr>
            <b/>
            <sz val="9"/>
            <color indexed="81"/>
            <rFont val="Tahoma"/>
            <family val="2"/>
          </rPr>
          <t>Author:</t>
        </r>
        <r>
          <rPr>
            <sz val="9"/>
            <color indexed="81"/>
            <rFont val="Tahoma"/>
            <family val="2"/>
          </rPr>
          <t xml:space="preserve">
La mitad de la del ala correspondiente.</t>
        </r>
      </text>
    </comment>
    <comment ref="B111" authorId="0" shapeId="0">
      <text>
        <r>
          <rPr>
            <b/>
            <sz val="9"/>
            <color indexed="81"/>
            <rFont val="Tahoma"/>
            <family val="2"/>
          </rPr>
          <t>Author:</t>
        </r>
        <r>
          <rPr>
            <sz val="9"/>
            <color indexed="81"/>
            <rFont val="Tahoma"/>
            <family val="2"/>
          </rPr>
          <t xml:space="preserve">
La mitad de la del ala correspondiente.</t>
        </r>
      </text>
    </comment>
    <comment ref="B115" authorId="0" shapeId="0">
      <text>
        <r>
          <rPr>
            <b/>
            <sz val="9"/>
            <color indexed="81"/>
            <rFont val="Tahoma"/>
            <family val="2"/>
          </rPr>
          <t>Author:</t>
        </r>
        <r>
          <rPr>
            <sz val="9"/>
            <color indexed="81"/>
            <rFont val="Tahoma"/>
            <family val="2"/>
          </rPr>
          <t xml:space="preserve">
Cociente de Sv dividido entre bv .</t>
        </r>
      </text>
    </comment>
    <comment ref="B118" authorId="0" shapeId="0">
      <text>
        <r>
          <rPr>
            <b/>
            <sz val="9"/>
            <color indexed="81"/>
            <rFont val="Tahoma"/>
            <family val="2"/>
          </rPr>
          <t>Author:</t>
        </r>
        <r>
          <rPr>
            <sz val="9"/>
            <color indexed="81"/>
            <rFont val="Tahoma"/>
            <family val="2"/>
          </rPr>
          <t xml:space="preserve">
Definido como el cociente 2bv /CMGv, para que sea el del ala correspondiente.</t>
        </r>
      </text>
    </comment>
    <comment ref="B124" authorId="0" shapeId="0">
      <text>
        <r>
          <rPr>
            <b/>
            <sz val="9"/>
            <color indexed="81"/>
            <rFont val="Tahoma"/>
            <family val="2"/>
          </rPr>
          <t>Author:</t>
        </r>
        <r>
          <rPr>
            <sz val="9"/>
            <color indexed="81"/>
            <rFont val="Tahoma"/>
            <family val="2"/>
          </rPr>
          <t xml:space="preserve">
Obsérvese que se usa b en lugar de CMA.</t>
        </r>
      </text>
    </comment>
    <comment ref="B126" authorId="0" shapeId="0">
      <text>
        <r>
          <rPr>
            <b/>
            <sz val="9"/>
            <color indexed="81"/>
            <rFont val="Tahoma"/>
            <family val="2"/>
          </rPr>
          <t>Author:</t>
        </r>
        <r>
          <rPr>
            <sz val="9"/>
            <color indexed="81"/>
            <rFont val="Tahoma"/>
            <family val="2"/>
          </rPr>
          <t xml:space="preserve">
La distancia vertical entre los extremos inferior y superior del timón.</t>
        </r>
      </text>
    </comment>
    <comment ref="B128" authorId="0" shapeId="0">
      <text>
        <r>
          <rPr>
            <b/>
            <sz val="9"/>
            <color indexed="81"/>
            <rFont val="Tahoma"/>
            <family val="2"/>
          </rPr>
          <t>Author:</t>
        </r>
        <r>
          <rPr>
            <sz val="9"/>
            <color indexed="81"/>
            <rFont val="Tahoma"/>
            <family val="2"/>
          </rPr>
          <t xml:space="preserve">
Cociente de la cuerda del timón dividida entre la cuerda del estabilizador, medidas ambas a la altura del punto medio del timón.</t>
        </r>
      </text>
    </comment>
    <comment ref="A130" authorId="0" shapeId="0">
      <text>
        <r>
          <rPr>
            <b/>
            <sz val="9"/>
            <color indexed="81"/>
            <rFont val="Tahoma"/>
            <family val="2"/>
          </rPr>
          <t>Author:</t>
        </r>
        <r>
          <rPr>
            <sz val="9"/>
            <color indexed="81"/>
            <rFont val="Tahoma"/>
            <family val="2"/>
          </rPr>
          <t xml:space="preserve">
Para el tren auxiliar se debe sustituir el subíndice p de principal por el subíndice a de auxiliar.</t>
        </r>
      </text>
    </comment>
    <comment ref="B130" authorId="0" shapeId="0">
      <text>
        <r>
          <rPr>
            <b/>
            <sz val="9"/>
            <color indexed="81"/>
            <rFont val="Tahoma"/>
            <family val="2"/>
          </rPr>
          <t>Author:</t>
        </r>
        <r>
          <rPr>
            <sz val="9"/>
            <color indexed="81"/>
            <rFont val="Tahoma"/>
            <family val="2"/>
          </rPr>
          <t xml:space="preserve">
Triciclo, retráctil, con rueda de cola, etc.</t>
        </r>
      </text>
    </comment>
    <comment ref="B131" authorId="0" shapeId="0">
      <text>
        <r>
          <rPr>
            <b/>
            <sz val="9"/>
            <color indexed="81"/>
            <rFont val="Tahoma"/>
            <family val="2"/>
          </rPr>
          <t>Author:</t>
        </r>
        <r>
          <rPr>
            <sz val="9"/>
            <color indexed="81"/>
            <rFont val="Tahoma"/>
            <family val="2"/>
          </rPr>
          <t xml:space="preserve">
Distancia entre el centro de las huellas de los trenes principales; si estos son más de dos, se tomarán los más alejados del plano de simetría del avión.</t>
        </r>
      </text>
    </comment>
    <comment ref="B132" authorId="0" shapeId="0">
      <text>
        <r>
          <rPr>
            <b/>
            <sz val="9"/>
            <color indexed="81"/>
            <rFont val="Tahoma"/>
            <family val="2"/>
          </rPr>
          <t>Author: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B142" authorId="0" shapeId="0">
      <text>
        <r>
          <rPr>
            <b/>
            <sz val="9"/>
            <color indexed="81"/>
            <rFont val="Tahoma"/>
            <family val="2"/>
          </rPr>
          <t>Author:</t>
        </r>
        <r>
          <rPr>
            <sz val="9"/>
            <color indexed="81"/>
            <rFont val="Tahoma"/>
            <family val="2"/>
          </rPr>
          <t xml:space="preserve">
Indicando condiciones como régimen de crucero, altitud, etc.</t>
        </r>
      </text>
    </comment>
    <comment ref="B143" authorId="0" shapeId="0">
      <text>
        <r>
          <rPr>
            <b/>
            <sz val="9"/>
            <color indexed="81"/>
            <rFont val="Tahoma"/>
            <family val="2"/>
          </rPr>
          <t>Author:</t>
        </r>
        <r>
          <rPr>
            <sz val="9"/>
            <color indexed="81"/>
            <rFont val="Tahoma"/>
            <family val="2"/>
          </rPr>
          <t xml:space="preserve">
En configuraciones limpia, de despegue o aterrizaje, indicando peso y altitud, si son conocidos.</t>
        </r>
      </text>
    </comment>
    <comment ref="B144" authorId="0" shapeId="0">
      <text>
        <r>
          <rPr>
            <b/>
            <sz val="9"/>
            <color indexed="81"/>
            <rFont val="Tahoma"/>
            <family val="2"/>
          </rPr>
          <t>Author:</t>
        </r>
        <r>
          <rPr>
            <sz val="9"/>
            <color indexed="81"/>
            <rFont val="Tahoma"/>
            <family val="2"/>
          </rPr>
          <t xml:space="preserve">
Velocidad de seguridad en el despegue.</t>
        </r>
      </text>
    </comment>
    <comment ref="B145" authorId="0" shapeId="0">
      <text>
        <r>
          <rPr>
            <b/>
            <sz val="9"/>
            <color indexed="81"/>
            <rFont val="Tahoma"/>
            <family val="2"/>
          </rPr>
          <t>Author:</t>
        </r>
        <r>
          <rPr>
            <sz val="9"/>
            <color indexed="81"/>
            <rFont val="Tahoma"/>
            <family val="2"/>
          </rPr>
          <t xml:space="preserve">
Velocidad de aproximación final.</t>
        </r>
      </text>
    </comment>
    <comment ref="E146" authorId="0" shapeId="0">
      <text>
        <r>
          <rPr>
            <b/>
            <sz val="9"/>
            <color indexed="81"/>
            <rFont val="Tahoma"/>
            <charset val="1"/>
          </rPr>
          <t>Author:</t>
        </r>
        <r>
          <rPr>
            <sz val="9"/>
            <color indexed="81"/>
            <rFont val="Tahoma"/>
            <charset val="1"/>
          </rPr>
          <t xml:space="preserve">
max rate of climb
</t>
        </r>
      </text>
    </comment>
    <comment ref="B150" authorId="0" shapeId="0">
      <text>
        <r>
          <rPr>
            <b/>
            <sz val="9"/>
            <color indexed="81"/>
            <rFont val="Tahoma"/>
            <family val="2"/>
          </rPr>
          <t>Author:</t>
        </r>
        <r>
          <rPr>
            <sz val="9"/>
            <color indexed="81"/>
            <rFont val="Tahoma"/>
            <family val="2"/>
          </rPr>
          <t xml:space="preserve">
Especificando condiciones como peso, altitud, etc.</t>
        </r>
      </text>
    </comment>
    <comment ref="B151" authorId="0" shapeId="0">
      <text>
        <r>
          <rPr>
            <b/>
            <sz val="9"/>
            <color indexed="81"/>
            <rFont val="Tahoma"/>
            <family val="2"/>
          </rPr>
          <t>Author:</t>
        </r>
        <r>
          <rPr>
            <sz val="9"/>
            <color indexed="81"/>
            <rFont val="Tahoma"/>
            <family val="2"/>
          </rPr>
          <t xml:space="preserve">
Especificando condiciones como peso, altitud, etc.</t>
        </r>
      </text>
    </comment>
  </commentList>
</comments>
</file>

<file path=xl/sharedStrings.xml><?xml version="1.0" encoding="utf-8"?>
<sst xmlns="http://schemas.openxmlformats.org/spreadsheetml/2006/main" count="1108" uniqueCount="393">
  <si>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</si>
  <si>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</si>
  <si>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</si>
  <si>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</si>
  <si>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</si>
  <si>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</si>
  <si>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</si>
  <si>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</si>
  <si>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</si>
  <si>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</si>
  <si>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</si>
  <si>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</si>
  <si>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</si>
  <si>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</si>
  <si>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</si>
  <si>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</si>
  <si>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</si>
  <si>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</si>
  <si>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</si>
  <si>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</si>
  <si>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V2</t>
  </si>
  <si>
    <t>V3</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</si>
  <si>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</si>
  <si>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</si>
  <si>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</si>
  <si>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</si>
  <si>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</si>
  <si>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</si>
  <si>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</si>
  <si>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</si>
  <si>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</si>
  <si>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</si>
  <si>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</si>
  <si>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</si>
  <si>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</si>
  <si>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</si>
  <si>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</si>
  <si>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</si>
  <si>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t>Dassault Aviation</t>
  </si>
  <si>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</si>
  <si>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</si>
  <si>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</si>
  <si>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</si>
  <si>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</si>
  <si>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</si>
  <si>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</si>
  <si>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</si>
  <si>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</si>
  <si>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</si>
  <si>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</si>
  <si>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</si>
  <si>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</si>
  <si>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</si>
  <si>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</si>
  <si>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</si>
  <si>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</si>
  <si>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</si>
  <si>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</si>
  <si>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</si>
  <si>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</si>
  <si>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</si>
  <si>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</si>
  <si>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</si>
  <si>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</si>
  <si>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</si>
  <si>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</si>
  <si>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</si>
  <si>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</si>
  <si>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</si>
  <si>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</si>
  <si>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</si>
  <si>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</si>
  <si>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</si>
  <si>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</si>
  <si>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</si>
  <si>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</si>
  <si>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</si>
  <si>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</si>
  <si>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</si>
  <si>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</si>
  <si>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</si>
  <si>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</si>
  <si>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</si>
  <si>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</si>
  <si>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</si>
  <si>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</si>
  <si>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</si>
  <si>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</si>
  <si>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</si>
  <si>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</si>
  <si>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</si>
  <si>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</si>
  <si>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</si>
  <si>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</si>
  <si>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</si>
  <si>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</si>
  <si>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</si>
  <si>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</si>
  <si>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</si>
  <si>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</si>
  <si>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</si>
  <si>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</si>
  <si>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</si>
  <si>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</si>
  <si>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</si>
  <si>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</si>
  <si>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</si>
  <si>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</si>
  <si>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</si>
  <si>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</si>
  <si>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</si>
  <si>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</si>
  <si>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</si>
  <si>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</si>
  <si>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</si>
  <si>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</si>
  <si>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</si>
  <si>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</si>
  <si>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</si>
  <si>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</si>
  <si>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</si>
  <si>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</si>
  <si>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</si>
  <si>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</si>
  <si>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</si>
  <si>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</si>
  <si>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</si>
  <si>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</si>
  <si>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</si>
  <si>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</si>
  <si>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</si>
  <si>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</si>
  <si>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</si>
  <si>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</si>
  <si>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</si>
  <si>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</si>
  <si>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</si>
  <si>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</si>
  <si>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</si>
  <si>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</si>
  <si>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</si>
  <si>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</si>
  <si>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</si>
  <si>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</si>
  <si>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</si>
  <si>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</si>
  <si>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t>Díametro de Neumáticos</t>
  </si>
  <si>
    <r>
      <t>[D</t>
    </r>
    <r>
      <rPr>
        <vertAlign val="subscript"/>
        <sz val="11"/>
        <color theme="1"/>
        <rFont val="Calibri"/>
        <family val="2"/>
        <scheme val="minor"/>
      </rPr>
      <t>p</t>
    </r>
    <r>
      <rPr>
        <sz val="11"/>
        <color theme="1"/>
        <rFont val="Calibri"/>
        <family val="2"/>
        <scheme val="minor"/>
      </rPr>
      <t>]</t>
    </r>
  </si>
  <si>
    <t>Ancho Neumáticos</t>
  </si>
  <si>
    <r>
      <t>[b</t>
    </r>
    <r>
      <rPr>
        <vertAlign val="subscript"/>
        <sz val="11"/>
        <color theme="1"/>
        <rFont val="Calibri"/>
        <family val="2"/>
        <scheme val="minor"/>
      </rPr>
      <t>p</t>
    </r>
    <r>
      <rPr>
        <sz val="11"/>
        <color theme="1"/>
        <rFont val="Calibri"/>
        <family val="2"/>
        <scheme val="minor"/>
      </rPr>
      <t>]</t>
    </r>
  </si>
  <si>
    <r>
      <t>[V</t>
    </r>
    <r>
      <rPr>
        <vertAlign val="subscript"/>
        <sz val="11"/>
        <color theme="1"/>
        <rFont val="Calibri"/>
        <family val="2"/>
        <scheme val="minor"/>
      </rPr>
      <t>max</t>
    </r>
    <r>
      <rPr>
        <sz val="11"/>
        <color theme="1"/>
        <rFont val="Calibri"/>
        <family val="2"/>
        <scheme val="minor"/>
      </rPr>
      <t>]</t>
    </r>
  </si>
  <si>
    <t>Velocida Máxima</t>
  </si>
  <si>
    <t>Vel Entrada en Pérdida</t>
  </si>
  <si>
    <r>
      <t>[V</t>
    </r>
    <r>
      <rPr>
        <vertAlign val="subscript"/>
        <sz val="11"/>
        <color theme="1"/>
        <rFont val="Calibri"/>
        <family val="2"/>
        <scheme val="minor"/>
      </rPr>
      <t>stall</t>
    </r>
    <r>
      <rPr>
        <sz val="11"/>
        <color theme="1"/>
        <rFont val="Calibri"/>
        <family val="2"/>
        <scheme val="minor"/>
      </rPr>
      <t>]</t>
    </r>
  </si>
  <si>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</si>
  <si>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</si>
  <si>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</si>
  <si>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r>
      <t>[V</t>
    </r>
    <r>
      <rPr>
        <vertAlign val="subscript"/>
        <sz val="11"/>
        <color theme="1"/>
        <rFont val="Calibri"/>
        <family val="2"/>
        <scheme val="minor"/>
      </rPr>
      <t>3</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</si>
  <si>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</si>
  <si>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</si>
  <si>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</si>
  <si>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</si>
  <si>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</si>
  <si>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</si>
  <si>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</si>
  <si>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</si>
  <si>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</si>
  <si>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</si>
  <si>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</si>
  <si>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</si>
  <si>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</si>
  <si>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</si>
  <si>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</si>
  <si>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</si>
  <si>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</si>
  <si>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</si>
  <si>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</si>
  <si>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</si>
  <si>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</si>
  <si>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</si>
  <si>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</si>
  <si>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</si>
  <si>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</si>
  <si>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 Global 5000</t>
  </si>
  <si>
    <t>Bombardier</t>
  </si>
  <si>
    <t>Parte posterior fuselaje</t>
  </si>
  <si>
    <t>P&amp;W Canada</t>
  </si>
  <si>
    <t>PW307A</t>
  </si>
  <si>
    <t>Turbofan</t>
  </si>
  <si>
    <t>CATEGORÍA</t>
  </si>
  <si>
    <t>Acrónimo</t>
  </si>
  <si>
    <t>Unidades</t>
  </si>
  <si>
    <t>Dato</t>
  </si>
  <si>
    <t>Semejante 1</t>
  </si>
  <si>
    <t>Semajante 2</t>
  </si>
  <si>
    <t>Semajante 3</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</si>
  <si>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</si>
  <si>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</si>
  <si>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</si>
  <si>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</si>
  <si>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</si>
  <si>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</si>
  <si>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</si>
  <si>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</si>
  <si>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</si>
  <si>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</si>
  <si>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</si>
  <si>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</si>
  <si>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</si>
  <si>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</si>
  <si>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</si>
  <si>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</si>
  <si>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</si>
  <si>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</si>
  <si>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</si>
  <si>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</si>
  <si>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</si>
  <si>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</si>
  <si>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</si>
  <si>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</si>
  <si>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</si>
  <si>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</si>
  <si>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</si>
  <si>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</si>
  <si>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</si>
  <si>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</si>
  <si>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</si>
  <si>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r>
      <t>[c</t>
    </r>
    <r>
      <rPr>
        <vertAlign val="subscript"/>
        <sz val="11"/>
        <color theme="1"/>
        <rFont val="Calibri"/>
        <family val="2"/>
        <scheme val="minor"/>
      </rPr>
      <t>e</t>
    </r>
    <r>
      <rPr>
        <sz val="11"/>
        <color theme="1"/>
        <rFont val="Calibri"/>
        <family val="2"/>
        <scheme val="minor"/>
      </rPr>
      <t>]</t>
    </r>
  </si>
  <si>
    <t>[g/(kN·s)]</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</si>
  <si>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</si>
  <si>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</si>
  <si>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</si>
  <si>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</si>
  <si>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</si>
  <si>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t>[kN/kg]</t>
  </si>
  <si>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</si>
  <si>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</si>
  <si>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</si>
  <si>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</si>
  <si>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</si>
  <si>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</si>
  <si>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</si>
  <si>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</si>
  <si>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</si>
  <si>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</si>
  <si>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</si>
  <si>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</si>
  <si>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</si>
  <si>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</si>
  <si>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</si>
  <si>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</si>
  <si>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</si>
  <si>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</si>
  <si>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</si>
  <si>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</si>
  <si>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</si>
  <si>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</si>
  <si>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</si>
  <si>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</si>
  <si>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</si>
  <si>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Presión de Inflado</t>
  </si>
  <si>
    <r>
      <t>[p</t>
    </r>
    <r>
      <rPr>
        <vertAlign val="subscript"/>
        <sz val="11"/>
        <color theme="1"/>
        <rFont val="Calibri"/>
        <family val="2"/>
        <scheme val="minor"/>
      </rPr>
      <t>p</t>
    </r>
    <r>
      <rPr>
        <sz val="11"/>
        <color theme="1"/>
        <rFont val="Calibri"/>
        <family val="2"/>
        <scheme val="minor"/>
      </rPr>
      <t>]</t>
    </r>
  </si>
  <si>
    <t>[kPa]</t>
  </si>
  <si>
    <t>Semejante ACT 1</t>
  </si>
  <si>
    <t>Semejante ACT 3</t>
  </si>
  <si>
    <t>Semejante ACT 4</t>
  </si>
  <si>
    <t>Semejante ACT 5</t>
  </si>
  <si>
    <t>Empty Cells:</t>
  </si>
  <si>
    <t>Semejante ACT 6</t>
  </si>
  <si>
    <t>Semejante ACT 7</t>
  </si>
  <si>
    <t>Semejante ACT 8</t>
  </si>
  <si>
    <t>Semejante ACT 9</t>
  </si>
  <si>
    <t>Semejante ACT 10</t>
  </si>
  <si>
    <t>Gulfstream</t>
  </si>
  <si>
    <t>Gulfstream G280</t>
  </si>
  <si>
    <t>Global 5000</t>
  </si>
  <si>
    <t>Global 6000</t>
  </si>
  <si>
    <t>Falcon 7X</t>
  </si>
  <si>
    <t>Embraer</t>
  </si>
  <si>
    <t>Legacy 450</t>
  </si>
  <si>
    <t>Cessna</t>
  </si>
  <si>
    <t>Phenom 300</t>
  </si>
  <si>
    <t>Falcon 900LX</t>
  </si>
  <si>
    <t>Falcon 2000LXS</t>
  </si>
  <si>
    <t>Honeywell</t>
  </si>
  <si>
    <t>TFE731-60</t>
  </si>
  <si>
    <t>PW308C</t>
  </si>
  <si>
    <t>[TSFC]</t>
  </si>
  <si>
    <t>Cockpit - Gallery - Cabin - Vanity - Baggage</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</si>
  <si>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</si>
  <si>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</si>
  <si>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</si>
  <si>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</si>
  <si>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</si>
  <si>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</si>
  <si>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t>[SFC]</t>
  </si>
  <si>
    <r>
      <t>[</t>
    </r>
    <r>
      <rPr>
        <sz val="11"/>
        <color theme="1"/>
        <rFont val="Symbol"/>
        <family val="1"/>
        <charset val="2"/>
      </rPr>
      <t>h</t>
    </r>
    <r>
      <rPr>
        <vertAlign val="subscript"/>
        <sz val="11"/>
        <color theme="1"/>
        <rFont val="Calibri"/>
        <family val="2"/>
        <scheme val="minor"/>
      </rPr>
      <t>prop</t>
    </r>
    <r>
      <rPr>
        <sz val="11"/>
        <color theme="1"/>
        <rFont val="Calibri"/>
        <family val="2"/>
        <scheme val="minor"/>
      </rPr>
      <t>]</t>
    </r>
  </si>
  <si>
    <t>Rendimiento Propulsivo</t>
  </si>
  <si>
    <t>[lb/(lbf·h)]</t>
  </si>
  <si>
    <t>[lb/(shp·h)]</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</si>
  <si>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</si>
  <si>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</si>
  <si>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</si>
  <si>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</si>
  <si>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</si>
  <si>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</si>
  <si>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</si>
  <si>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</si>
  <si>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</si>
  <si>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</si>
  <si>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t>
  </si>
  <si>
    <t>Nº de Camas</t>
  </si>
  <si>
    <t>[beds]</t>
  </si>
  <si>
    <t>Rolls-Royce</t>
  </si>
  <si>
    <t>BR710A2-20</t>
  </si>
  <si>
    <t>Triciclo retractil</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</si>
  <si>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</si>
  <si>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</si>
  <si>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</si>
  <si>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</si>
  <si>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</si>
  <si>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</si>
  <si>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</si>
  <si>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</si>
  <si>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</si>
  <si>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</si>
  <si>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</si>
  <si>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</si>
  <si>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</si>
  <si>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baja</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</si>
  <si>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</si>
  <si>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</si>
  <si>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</si>
  <si>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</si>
  <si>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</si>
  <si>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</si>
  <si>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</si>
  <si>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</si>
  <si>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</si>
  <si>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</si>
  <si>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t>Challenger 350</t>
  </si>
  <si>
    <t>Supercríticos</t>
  </si>
  <si>
    <t>HTF7350</t>
  </si>
  <si>
    <t>HTF250G</t>
  </si>
  <si>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</si>
  <si>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</si>
  <si>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</si>
  <si>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</si>
  <si>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</si>
  <si>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PW535E</t>
  </si>
  <si>
    <t>HTF7500E</t>
  </si>
  <si>
    <t>CrewWeightLb</t>
  </si>
  <si>
    <t>PassengerWeightLb</t>
  </si>
  <si>
    <t>PassBaggWeightLb</t>
  </si>
  <si>
    <t>CrewBaggWeightLB</t>
  </si>
  <si>
    <t>CrewBaggWeightSI</t>
  </si>
  <si>
    <t>CrewWeightSI</t>
  </si>
  <si>
    <t>PassengerWeightSI</t>
  </si>
  <si>
    <t>PassBaggWeightSI</t>
  </si>
  <si>
    <t>ShinMaywa US-1A</t>
  </si>
  <si>
    <t>ShinMaywa</t>
  </si>
  <si>
    <t>Bajo el  ala</t>
  </si>
  <si>
    <t>Turboprop</t>
  </si>
  <si>
    <t>T64-IHI-10J</t>
  </si>
  <si>
    <t xml:space="preserve">General Electric </t>
  </si>
  <si>
    <t>Potencia del motor</t>
  </si>
  <si>
    <r>
      <t>[P</t>
    </r>
    <r>
      <rPr>
        <vertAlign val="subscript"/>
        <sz val="11"/>
        <color theme="1"/>
        <rFont val="Calibri"/>
        <family val="2"/>
        <scheme val="minor"/>
      </rPr>
      <t>eng</t>
    </r>
    <r>
      <rPr>
        <sz val="11"/>
        <color theme="1"/>
        <rFont val="Calibri"/>
        <family val="2"/>
        <scheme val="minor"/>
      </rPr>
      <t>]</t>
    </r>
  </si>
  <si>
    <t>[kW]</t>
  </si>
  <si>
    <t>lñ</t>
  </si>
  <si>
    <t>´ñ</t>
  </si>
  <si>
    <t>FL100</t>
  </si>
  <si>
    <t>Bombardier 415</t>
  </si>
  <si>
    <t>PW123AF</t>
  </si>
  <si>
    <t>Pratt &amp; Whitney</t>
  </si>
  <si>
    <t>Semejante ACT 2</t>
  </si>
  <si>
    <t>Legacy 500</t>
  </si>
  <si>
    <t>Citation X+</t>
  </si>
  <si>
    <t>AE3007C2</t>
  </si>
  <si>
    <t>Semejante ACT 11</t>
  </si>
  <si>
    <r>
      <t>[V</t>
    </r>
    <r>
      <rPr>
        <vertAlign val="subscript"/>
        <sz val="11"/>
        <color theme="1"/>
        <rFont val="Calibri"/>
        <family val="2"/>
        <scheme val="minor"/>
      </rPr>
      <t>ref</t>
    </r>
    <r>
      <rPr>
        <sz val="11"/>
        <color theme="1"/>
        <rFont val="Calibri"/>
        <family val="2"/>
        <scheme val="minor"/>
      </rPr>
      <t>]</t>
    </r>
  </si>
  <si>
    <t>[S]</t>
  </si>
  <si>
    <r>
      <t>[b</t>
    </r>
    <r>
      <rPr>
        <vertAlign val="subscript"/>
        <sz val="11"/>
        <color theme="1"/>
        <rFont val="Calibri"/>
        <family val="2"/>
        <scheme val="minor"/>
      </rPr>
      <t>1/2</t>
    </r>
    <r>
      <rPr>
        <sz val="11"/>
        <color theme="1"/>
        <rFont val="Calibri"/>
        <family val="2"/>
        <scheme val="minor"/>
      </rPr>
      <t>]</t>
    </r>
  </si>
  <si>
    <t>Semienvergadura alar real</t>
  </si>
  <si>
    <t>Posición Longitudinal del borde de ataque de la CMA</t>
  </si>
  <si>
    <r>
      <t>[l</t>
    </r>
    <r>
      <rPr>
        <vertAlign val="subscript"/>
        <sz val="11"/>
        <color theme="1"/>
        <rFont val="Calibri"/>
        <family val="2"/>
        <scheme val="minor"/>
      </rPr>
      <t>CMA</t>
    </r>
    <r>
      <rPr>
        <sz val="11"/>
        <color theme="1"/>
        <rFont val="Calibri"/>
        <family val="2"/>
        <scheme val="minor"/>
      </rPr>
      <t>]</t>
    </r>
  </si>
  <si>
    <t>Distancia horizontal de la cuerda en la raíz a la CMA</t>
  </si>
  <si>
    <r>
      <t>[b</t>
    </r>
    <r>
      <rPr>
        <vertAlign val="subscript"/>
        <sz val="11"/>
        <color theme="1"/>
        <rFont val="Calibri"/>
        <family val="2"/>
        <scheme val="minor"/>
      </rPr>
      <t>CMA</t>
    </r>
    <r>
      <rPr>
        <sz val="11"/>
        <color theme="1"/>
        <rFont val="Calibri"/>
        <family val="2"/>
        <scheme val="minor"/>
      </rPr>
      <t>]</t>
    </r>
  </si>
  <si>
    <t>Distancia de flecha en la punta del ala</t>
  </si>
  <si>
    <t>Velocidad de entrada en pérdida en aterrizaje</t>
  </si>
  <si>
    <t>Vel de entrada en pérdida en configuración limpia</t>
  </si>
  <si>
    <t>Velocidad de entrada en pérdida en despegue</t>
  </si>
  <si>
    <r>
      <t>[V</t>
    </r>
    <r>
      <rPr>
        <vertAlign val="subscript"/>
        <sz val="11"/>
        <color theme="1"/>
        <rFont val="Calibri"/>
        <family val="2"/>
        <scheme val="minor"/>
      </rPr>
      <t>stall_L</t>
    </r>
    <r>
      <rPr>
        <sz val="11"/>
        <color theme="1"/>
        <rFont val="Calibri"/>
        <family val="2"/>
        <scheme val="minor"/>
      </rPr>
      <t>]</t>
    </r>
  </si>
  <si>
    <r>
      <t>[V</t>
    </r>
    <r>
      <rPr>
        <vertAlign val="subscript"/>
        <sz val="11"/>
        <color theme="1"/>
        <rFont val="Calibri"/>
        <family val="2"/>
        <scheme val="minor"/>
      </rPr>
      <t>stall_TO</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</si>
</sst>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409]dd\-mmm\-yy;@"/>
    <numFmt numFmtId="165" formatCode="0.0000"/>
    <numFmt numFmtId="166" formatCode="0.000"/>
  </numFmts>
  <fonts count="12" x14ac:knownFonts="1">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sz val="9"/>
      <color indexed="81"/>
      <name val="Tahoma"/>
      <charset val="1"/>
    </font>
    <font>
      <b/>
      <sz val="9"/>
      <color indexed="81"/>
      <name val="Tahoma"/>
      <charset val="1"/>
    </font>
  </fonts>
  <fills count="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52">
    <xf numFmtId="0" fontId="0" fillId="0" borderId="0" xfId="0"/>
    <xf numFmtId="0" fontId="0" fillId="0" borderId="0" xfId="0" applyAlignment="1">
      <alignment wrapText="1"/>
    </xf>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15" fontId="0" fillId="0" borderId="0" xfId="0" applyNumberFormat="1" applyFill="1" applyAlignment="1">
      <alignment horizontal="center" vertical="center"/>
    </xf>
    <xf numFmtId="0" fontId="0" fillId="2" borderId="0" xfId="0" applyFill="1" applyBorder="1" applyAlignment="1">
      <alignment horizontal="left" vertical="center" wrapText="1"/>
    </xf>
    <xf numFmtId="0" fontId="0" fillId="3" borderId="0" xfId="0" applyFill="1" applyAlignment="1">
      <alignment horizontal="center" vertical="center" wrapText="1"/>
    </xf>
    <xf numFmtId="0" fontId="0" fillId="0" borderId="0" xfId="0" applyAlignment="1">
      <alignment horizontal="center" wrapText="1"/>
    </xf>
    <xf numFmtId="2" fontId="0" fillId="0" borderId="0" xfId="0" applyNumberFormat="1" applyFill="1" applyAlignment="1">
      <alignment horizontal="center" vertical="center"/>
    </xf>
    <xf numFmtId="2" fontId="0" fillId="0" borderId="0" xfId="0" applyNumberFormat="1"/>
    <xf numFmtId="0" fontId="0" fillId="2" borderId="0" xfId="0" applyFill="1" applyBorder="1" applyAlignment="1">
      <alignment wrapText="1"/>
    </xf>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2" borderId="0" xfId="0" applyFill="1" applyAlignment="1">
      <alignment horizontal="center" vertical="center" wrapText="1"/>
    </xf>
    <xf numFmtId="165" fontId="0" fillId="0" borderId="0" xfId="0" applyNumberFormat="1" applyFill="1" applyAlignment="1">
      <alignment horizontal="center" vertical="center"/>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0" fontId="0" fillId="0" borderId="0" xfId="0" applyAlignment="1">
      <alignment horizontal="center" wrapText="1"/>
    </xf>
    <xf numFmtId="0" fontId="0" fillId="0" borderId="0" xfId="0" applyAlignment="1">
      <alignment horizontal="center"/>
    </xf>
    <xf numFmtId="2" fontId="0" fillId="0" borderId="0" xfId="0" applyNumberFormat="1" applyAlignment="1">
      <alignment horizont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0" borderId="0" xfId="0" applyAlignment="1">
      <alignment horizontal="center" vertical="center"/>
    </xf>
    <xf numFmtId="0" fontId="0" fillId="8" borderId="0" xfId="0" applyFill="1" applyAlignment="1">
      <alignment horizontal="left" vertical="center" wrapText="1"/>
    </xf>
    <xf numFmtId="0" fontId="7" fillId="0" borderId="0" xfId="0" applyFont="1" applyFill="1" applyAlignment="1">
      <alignment horizontal="center" vertical="center"/>
    </xf>
    <xf numFmtId="0" fontId="0" fillId="3" borderId="0" xfId="0" applyFill="1" applyAlignment="1">
      <alignment horizontal="center" vertical="center" wrapText="1"/>
    </xf>
    <xf numFmtId="0" fontId="0" fillId="7" borderId="0" xfId="0" applyFill="1" applyAlignment="1">
      <alignment horizontal="center" vertical="center" wrapText="1"/>
    </xf>
    <xf numFmtId="0" fontId="0" fillId="3" borderId="0" xfId="0" applyFill="1" applyBorder="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0" xfId="0" applyFill="1" applyAlignment="1">
      <alignment horizontal="center" vertical="center" wrapText="1"/>
    </xf>
    <xf numFmtId="0" fontId="0" fillId="0" borderId="0" xfId="0" applyFill="1" applyAlignment="1">
      <alignment horizontal="center"/>
    </xf>
  </cellXfs>
  <cellStyles count="1">
    <cellStyle name="Normal" xfId="0" builtinId="0"/>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gif"/></Relationships>
</file>

<file path=xl/drawings/_rels/drawing2.xml.rels><?xml version="1.0" encoding="UTF-8" standalone="yes"?>
<Relationships xmlns="http://schemas.openxmlformats.org/package/2006/relationships"><Relationship Id="rId8" Type="http://schemas.openxmlformats.org/officeDocument/2006/relationships/image" Target="../media/image29.emf"/><Relationship Id="rId3" Type="http://schemas.openxmlformats.org/officeDocument/2006/relationships/image" Target="../media/image24.png"/><Relationship Id="rId7" Type="http://schemas.openxmlformats.org/officeDocument/2006/relationships/image" Target="../media/image28.emf"/><Relationship Id="rId12" Type="http://schemas.openxmlformats.org/officeDocument/2006/relationships/image" Target="../media/image33.png"/><Relationship Id="rId2" Type="http://schemas.openxmlformats.org/officeDocument/2006/relationships/image" Target="../media/image23.png"/><Relationship Id="rId1" Type="http://schemas.openxmlformats.org/officeDocument/2006/relationships/image" Target="../media/image3.png"/><Relationship Id="rId6" Type="http://schemas.openxmlformats.org/officeDocument/2006/relationships/image" Target="../media/image27.emf"/><Relationship Id="rId11" Type="http://schemas.openxmlformats.org/officeDocument/2006/relationships/image" Target="../media/image32.emf"/><Relationship Id="rId5" Type="http://schemas.openxmlformats.org/officeDocument/2006/relationships/image" Target="../media/image26.emf"/><Relationship Id="rId10" Type="http://schemas.openxmlformats.org/officeDocument/2006/relationships/image" Target="../media/image31.emf"/><Relationship Id="rId4" Type="http://schemas.openxmlformats.org/officeDocument/2006/relationships/image" Target="../media/image25.emf"/><Relationship Id="rId9" Type="http://schemas.openxmlformats.org/officeDocument/2006/relationships/image" Target="../media/image30.emf"/></Relationships>
</file>

<file path=xl/drawings/drawing1.xml><?xml version="1.0" encoding="utf-8"?>
<xdr:wsDr xmlns:xdr="http://schemas.openxmlformats.org/drawingml/2006/spreadsheetDrawing" xmlns:a="http://schemas.openxmlformats.org/drawingml/2006/main">
  <xdr:twoCellAnchor editAs="oneCell">
    <xdr:from>
      <xdr:col>11</xdr:col>
      <xdr:colOff>28575</xdr:colOff>
      <xdr:row>4</xdr:row>
      <xdr:rowOff>82667</xdr:rowOff>
    </xdr:from>
    <xdr:to>
      <xdr:col>11</xdr:col>
      <xdr:colOff>1504037</xdr:colOff>
      <xdr:row>4</xdr:row>
      <xdr:rowOff>1066800</xdr:rowOff>
    </xdr:to>
    <xdr:pic>
      <xdr:nvPicPr>
        <xdr:cNvPr id="41" name="Picture 40" descr="Image result for legacy 450">
          <a:extLst>
            <a:ext uri="{FF2B5EF4-FFF2-40B4-BE49-F238E27FC236}">
              <a16:creationId xmlns:a16="http://schemas.microsoft.com/office/drawing/2014/main" xmlns="" id="{00000000-0008-0000-0000-000029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280" t="11280" r="14939" b="14939"/>
        <a:stretch/>
      </xdr:blipFill>
      <xdr:spPr bwMode="auto">
        <a:xfrm>
          <a:off x="15470281" y="844667"/>
          <a:ext cx="1475462" cy="984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47625</xdr:colOff>
      <xdr:row>4</xdr:row>
      <xdr:rowOff>56244</xdr:rowOff>
    </xdr:from>
    <xdr:to>
      <xdr:col>4</xdr:col>
      <xdr:colOff>1482481</xdr:colOff>
      <xdr:row>4</xdr:row>
      <xdr:rowOff>1047750</xdr:rowOff>
    </xdr:to>
    <xdr:pic>
      <xdr:nvPicPr>
        <xdr:cNvPr id="3" name="Picture 2">
          <a:extLst>
            <a:ext uri="{FF2B5EF4-FFF2-40B4-BE49-F238E27FC236}">
              <a16:creationId xmlns:a16="http://schemas.microsoft.com/office/drawing/2014/main" xmlns=""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054" r="17007"/>
        <a:stretch/>
      </xdr:blipFill>
      <xdr:spPr>
        <a:xfrm>
          <a:off x="4629150" y="818244"/>
          <a:ext cx="1434856" cy="991506"/>
        </a:xfrm>
        <a:prstGeom prst="rect">
          <a:avLst/>
        </a:prstGeom>
      </xdr:spPr>
    </xdr:pic>
    <xdr:clientData/>
  </xdr:twoCellAnchor>
  <xdr:twoCellAnchor>
    <xdr:from>
      <xdr:col>1</xdr:col>
      <xdr:colOff>116411</xdr:colOff>
      <xdr:row>179</xdr:row>
      <xdr:rowOff>144262</xdr:rowOff>
    </xdr:from>
    <xdr:to>
      <xdr:col>4</xdr:col>
      <xdr:colOff>1386680</xdr:colOff>
      <xdr:row>194</xdr:row>
      <xdr:rowOff>78441</xdr:rowOff>
    </xdr:to>
    <xdr:pic>
      <xdr:nvPicPr>
        <xdr:cNvPr id="4" name="Picture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1539558" y="42603350"/>
          <a:ext cx="4643240" cy="2791679"/>
        </a:xfrm>
        <a:prstGeom prst="rect">
          <a:avLst/>
        </a:prstGeom>
      </xdr:spPr>
    </xdr:pic>
    <xdr:clientData/>
  </xdr:twoCellAnchor>
  <xdr:twoCellAnchor editAs="oneCell">
    <xdr:from>
      <xdr:col>4</xdr:col>
      <xdr:colOff>76199</xdr:colOff>
      <xdr:row>51</xdr:row>
      <xdr:rowOff>66676</xdr:rowOff>
    </xdr:from>
    <xdr:to>
      <xdr:col>4</xdr:col>
      <xdr:colOff>1467970</xdr:colOff>
      <xdr:row>51</xdr:row>
      <xdr:rowOff>1059670</xdr:rowOff>
    </xdr:to>
    <xdr:pic>
      <xdr:nvPicPr>
        <xdr:cNvPr id="5" name="Picture 4">
          <a:extLst>
            <a:ext uri="{FF2B5EF4-FFF2-40B4-BE49-F238E27FC236}">
              <a16:creationId xmlns:a16="http://schemas.microsoft.com/office/drawing/2014/main" xmlns="" id="{00000000-0008-0000-0000-000005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8050" t="8004" r="36941" b="9230"/>
        <a:stretch/>
      </xdr:blipFill>
      <xdr:spPr>
        <a:xfrm>
          <a:off x="4771464" y="12202647"/>
          <a:ext cx="1391771" cy="992994"/>
        </a:xfrm>
        <a:prstGeom prst="rect">
          <a:avLst/>
        </a:prstGeom>
      </xdr:spPr>
    </xdr:pic>
    <xdr:clientData/>
  </xdr:twoCellAnchor>
  <xdr:twoCellAnchor>
    <xdr:from>
      <xdr:col>5</xdr:col>
      <xdr:colOff>38099</xdr:colOff>
      <xdr:row>4</xdr:row>
      <xdr:rowOff>58348</xdr:rowOff>
    </xdr:from>
    <xdr:to>
      <xdr:col>5</xdr:col>
      <xdr:colOff>1485900</xdr:colOff>
      <xdr:row>4</xdr:row>
      <xdr:rowOff>1076546</xdr:rowOff>
    </xdr:to>
    <xdr:pic>
      <xdr:nvPicPr>
        <xdr:cNvPr id="7" name="Picture 6">
          <a:extLst>
            <a:ext uri="{FF2B5EF4-FFF2-40B4-BE49-F238E27FC236}">
              <a16:creationId xmlns:a16="http://schemas.microsoft.com/office/drawing/2014/main" xmlns="" id="{00000000-0008-0000-0000-000007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9252" r="11046"/>
        <a:stretch/>
      </xdr:blipFill>
      <xdr:spPr>
        <a:xfrm>
          <a:off x="6290981" y="820348"/>
          <a:ext cx="1447801" cy="1018198"/>
        </a:xfrm>
        <a:prstGeom prst="rect">
          <a:avLst/>
        </a:prstGeom>
      </xdr:spPr>
    </xdr:pic>
    <xdr:clientData/>
  </xdr:twoCellAnchor>
  <xdr:twoCellAnchor>
    <xdr:from>
      <xdr:col>6</xdr:col>
      <xdr:colOff>39781</xdr:colOff>
      <xdr:row>4</xdr:row>
      <xdr:rowOff>110453</xdr:rowOff>
    </xdr:from>
    <xdr:to>
      <xdr:col>6</xdr:col>
      <xdr:colOff>1506631</xdr:colOff>
      <xdr:row>4</xdr:row>
      <xdr:rowOff>1005638</xdr:rowOff>
    </xdr:to>
    <xdr:pic>
      <xdr:nvPicPr>
        <xdr:cNvPr id="8" name="Picture 7">
          <a:extLst>
            <a:ext uri="{FF2B5EF4-FFF2-40B4-BE49-F238E27FC236}">
              <a16:creationId xmlns:a16="http://schemas.microsoft.com/office/drawing/2014/main" xmlns="" id="{00000000-0008-0000-0000-000008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3277" r="6400"/>
        <a:stretch/>
      </xdr:blipFill>
      <xdr:spPr>
        <a:xfrm>
          <a:off x="7816663" y="872453"/>
          <a:ext cx="1466850" cy="895185"/>
        </a:xfrm>
        <a:prstGeom prst="rect">
          <a:avLst/>
        </a:prstGeom>
      </xdr:spPr>
    </xdr:pic>
    <xdr:clientData/>
  </xdr:twoCellAnchor>
  <xdr:twoCellAnchor editAs="oneCell">
    <xdr:from>
      <xdr:col>5</xdr:col>
      <xdr:colOff>49305</xdr:colOff>
      <xdr:row>51</xdr:row>
      <xdr:rowOff>133350</xdr:rowOff>
    </xdr:from>
    <xdr:to>
      <xdr:col>5</xdr:col>
      <xdr:colOff>1506916</xdr:colOff>
      <xdr:row>51</xdr:row>
      <xdr:rowOff>1019735</xdr:rowOff>
    </xdr:to>
    <xdr:pic>
      <xdr:nvPicPr>
        <xdr:cNvPr id="23" name="Picture 22">
          <a:extLst>
            <a:ext uri="{FF2B5EF4-FFF2-40B4-BE49-F238E27FC236}">
              <a16:creationId xmlns:a16="http://schemas.microsoft.com/office/drawing/2014/main" xmlns="" id="{00000000-0008-0000-0000-00001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826187" y="12269321"/>
          <a:ext cx="1457611" cy="886385"/>
        </a:xfrm>
        <a:prstGeom prst="rect">
          <a:avLst/>
        </a:prstGeom>
      </xdr:spPr>
    </xdr:pic>
    <xdr:clientData/>
  </xdr:twoCellAnchor>
  <xdr:twoCellAnchor editAs="oneCell">
    <xdr:from>
      <xdr:col>7</xdr:col>
      <xdr:colOff>28575</xdr:colOff>
      <xdr:row>4</xdr:row>
      <xdr:rowOff>55557</xdr:rowOff>
    </xdr:from>
    <xdr:to>
      <xdr:col>7</xdr:col>
      <xdr:colOff>1505523</xdr:colOff>
      <xdr:row>4</xdr:row>
      <xdr:rowOff>1084168</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8"/>
        <a:srcRect l="2799" t="2799" r="7337" b="7337"/>
        <a:stretch/>
      </xdr:blipFill>
      <xdr:spPr>
        <a:xfrm>
          <a:off x="9329457" y="817557"/>
          <a:ext cx="1476948" cy="1028611"/>
        </a:xfrm>
        <a:prstGeom prst="rect">
          <a:avLst/>
        </a:prstGeom>
      </xdr:spPr>
    </xdr:pic>
    <xdr:clientData/>
  </xdr:twoCellAnchor>
  <xdr:twoCellAnchor editAs="oneCell">
    <xdr:from>
      <xdr:col>8</xdr:col>
      <xdr:colOff>17369</xdr:colOff>
      <xdr:row>4</xdr:row>
      <xdr:rowOff>57152</xdr:rowOff>
    </xdr:from>
    <xdr:to>
      <xdr:col>8</xdr:col>
      <xdr:colOff>1503269</xdr:colOff>
      <xdr:row>4</xdr:row>
      <xdr:rowOff>1091999</xdr:rowOff>
    </xdr:to>
    <xdr:pic>
      <xdr:nvPicPr>
        <xdr:cNvPr id="20" name="Picture 19">
          <a:extLst>
            <a:ext uri="{FF2B5EF4-FFF2-40B4-BE49-F238E27FC236}">
              <a16:creationId xmlns:a16="http://schemas.microsoft.com/office/drawing/2014/main" xmlns="" id="{00000000-0008-0000-0000-000014000000}"/>
            </a:ext>
          </a:extLst>
        </xdr:cNvPr>
        <xdr:cNvPicPr>
          <a:picLocks noChangeAspect="1"/>
        </xdr:cNvPicPr>
      </xdr:nvPicPr>
      <xdr:blipFill rotWithShape="1">
        <a:blip xmlns:r="http://schemas.openxmlformats.org/officeDocument/2006/relationships" r:embed="rId9"/>
        <a:srcRect l="2067" t="2068" r="16118" b="16117"/>
        <a:stretch/>
      </xdr:blipFill>
      <xdr:spPr>
        <a:xfrm>
          <a:off x="10842251" y="819152"/>
          <a:ext cx="1485900" cy="1034847"/>
        </a:xfrm>
        <a:prstGeom prst="rect">
          <a:avLst/>
        </a:prstGeom>
      </xdr:spPr>
    </xdr:pic>
    <xdr:clientData/>
  </xdr:twoCellAnchor>
  <xdr:twoCellAnchor editAs="oneCell">
    <xdr:from>
      <xdr:col>7</xdr:col>
      <xdr:colOff>56030</xdr:colOff>
      <xdr:row>51</xdr:row>
      <xdr:rowOff>353156</xdr:rowOff>
    </xdr:from>
    <xdr:to>
      <xdr:col>7</xdr:col>
      <xdr:colOff>1465539</xdr:colOff>
      <xdr:row>51</xdr:row>
      <xdr:rowOff>896470</xdr:rowOff>
    </xdr:to>
    <xdr:pic>
      <xdr:nvPicPr>
        <xdr:cNvPr id="24" name="Picture 23" descr="http://businessaircraft.bombardier.com/sites/businessaircraft.bombardier.com/themes/custom/bba/images/aircraft/global6000/Floorplan_G6000.jpg">
          <a:extLst>
            <a:ext uri="{FF2B5EF4-FFF2-40B4-BE49-F238E27FC236}">
              <a16:creationId xmlns:a16="http://schemas.microsoft.com/office/drawing/2014/main" xmlns="" id="{00000000-0008-0000-0000-000018000000}"/>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2361" r="10701"/>
        <a:stretch/>
      </xdr:blipFill>
      <xdr:spPr bwMode="auto">
        <a:xfrm>
          <a:off x="10880912" y="12489127"/>
          <a:ext cx="1409509" cy="54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100857</xdr:colOff>
      <xdr:row>51</xdr:row>
      <xdr:rowOff>301871</xdr:rowOff>
    </xdr:from>
    <xdr:to>
      <xdr:col>8</xdr:col>
      <xdr:colOff>1472987</xdr:colOff>
      <xdr:row>51</xdr:row>
      <xdr:rowOff>930088</xdr:rowOff>
    </xdr:to>
    <xdr:pic>
      <xdr:nvPicPr>
        <xdr:cNvPr id="25" name="Picture 24" descr="http://businessaircraft.bombardier.com/sites/businessaircraft.bombardier.com/themes/custom/bba/images/aircraft/global5000/Floorplan_G5000.jpg">
          <a:extLst>
            <a:ext uri="{FF2B5EF4-FFF2-40B4-BE49-F238E27FC236}">
              <a16:creationId xmlns:a16="http://schemas.microsoft.com/office/drawing/2014/main" xmlns="" id="{00000000-0008-0000-0000-000019000000}"/>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7321" r="17124"/>
        <a:stretch/>
      </xdr:blipFill>
      <xdr:spPr bwMode="auto">
        <a:xfrm>
          <a:off x="12449739" y="12437842"/>
          <a:ext cx="1372130" cy="628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44824</xdr:colOff>
      <xdr:row>4</xdr:row>
      <xdr:rowOff>100853</xdr:rowOff>
    </xdr:from>
    <xdr:to>
      <xdr:col>9</xdr:col>
      <xdr:colOff>1501589</xdr:colOff>
      <xdr:row>4</xdr:row>
      <xdr:rowOff>1042144</xdr:rowOff>
    </xdr:to>
    <xdr:pic>
      <xdr:nvPicPr>
        <xdr:cNvPr id="22" name="Picture 21" descr="Image result for challenger 350">
          <a:extLst>
            <a:ext uri="{FF2B5EF4-FFF2-40B4-BE49-F238E27FC236}">
              <a16:creationId xmlns:a16="http://schemas.microsoft.com/office/drawing/2014/main" xmlns="" id="{00000000-0008-0000-0000-000016000000}"/>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5326" r="17748"/>
        <a:stretch/>
      </xdr:blipFill>
      <xdr:spPr bwMode="auto">
        <a:xfrm>
          <a:off x="13917706" y="862853"/>
          <a:ext cx="1456765" cy="941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67235</xdr:colOff>
      <xdr:row>51</xdr:row>
      <xdr:rowOff>261860</xdr:rowOff>
    </xdr:from>
    <xdr:to>
      <xdr:col>9</xdr:col>
      <xdr:colOff>1487658</xdr:colOff>
      <xdr:row>51</xdr:row>
      <xdr:rowOff>974912</xdr:rowOff>
    </xdr:to>
    <xdr:pic>
      <xdr:nvPicPr>
        <xdr:cNvPr id="26" name="Picture 25" descr="http://businessaircraft.bombardier.com/sites/businessaircraft.bombardier.com/themes/custom/bba/images/aircraft/challenger350/Floorplan_C350.jpg">
          <a:extLst>
            <a:ext uri="{FF2B5EF4-FFF2-40B4-BE49-F238E27FC236}">
              <a16:creationId xmlns:a16="http://schemas.microsoft.com/office/drawing/2014/main" xmlns="" id="{00000000-0008-0000-0000-00001A000000}"/>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3888" r="24053"/>
        <a:stretch/>
      </xdr:blipFill>
      <xdr:spPr bwMode="auto">
        <a:xfrm>
          <a:off x="6286500" y="12397831"/>
          <a:ext cx="1420423" cy="713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56029</xdr:colOff>
      <xdr:row>4</xdr:row>
      <xdr:rowOff>211366</xdr:rowOff>
    </xdr:from>
    <xdr:to>
      <xdr:col>10</xdr:col>
      <xdr:colOff>1490383</xdr:colOff>
      <xdr:row>4</xdr:row>
      <xdr:rowOff>1064559</xdr:rowOff>
    </xdr:to>
    <xdr:pic>
      <xdr:nvPicPr>
        <xdr:cNvPr id="31" name="Picture 30" descr="http://www.gulfstream.com/assets/images/_280/turntable/img-plane006.jpg">
          <a:extLst>
            <a:ext uri="{FF2B5EF4-FFF2-40B4-BE49-F238E27FC236}">
              <a16:creationId xmlns:a16="http://schemas.microsoft.com/office/drawing/2014/main" xmlns="" id="{00000000-0008-0000-0000-00001F000000}"/>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6456" t="16469" r="16020" b="22266"/>
        <a:stretch/>
      </xdr:blipFill>
      <xdr:spPr bwMode="auto">
        <a:xfrm>
          <a:off x="13928911" y="973366"/>
          <a:ext cx="1434354" cy="853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33618</xdr:colOff>
      <xdr:row>51</xdr:row>
      <xdr:rowOff>212911</xdr:rowOff>
    </xdr:from>
    <xdr:to>
      <xdr:col>10</xdr:col>
      <xdr:colOff>1492293</xdr:colOff>
      <xdr:row>51</xdr:row>
      <xdr:rowOff>1028047</xdr:rowOff>
    </xdr:to>
    <xdr:pic>
      <xdr:nvPicPr>
        <xdr:cNvPr id="9" name="Picture 8">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15"/>
        <a:stretch>
          <a:fillRect/>
        </a:stretch>
      </xdr:blipFill>
      <xdr:spPr>
        <a:xfrm>
          <a:off x="6252883" y="12348882"/>
          <a:ext cx="1458675" cy="815136"/>
        </a:xfrm>
        <a:prstGeom prst="rect">
          <a:avLst/>
        </a:prstGeom>
      </xdr:spPr>
    </xdr:pic>
    <xdr:clientData/>
  </xdr:twoCellAnchor>
  <xdr:twoCellAnchor editAs="oneCell">
    <xdr:from>
      <xdr:col>13</xdr:col>
      <xdr:colOff>47390</xdr:colOff>
      <xdr:row>4</xdr:row>
      <xdr:rowOff>53959</xdr:rowOff>
    </xdr:from>
    <xdr:to>
      <xdr:col>13</xdr:col>
      <xdr:colOff>1503353</xdr:colOff>
      <xdr:row>4</xdr:row>
      <xdr:rowOff>1115317</xdr:rowOff>
    </xdr:to>
    <xdr:pic>
      <xdr:nvPicPr>
        <xdr:cNvPr id="37" name="Picture 36" descr="Image result for phenom 300">
          <a:extLst>
            <a:ext uri="{FF2B5EF4-FFF2-40B4-BE49-F238E27FC236}">
              <a16:creationId xmlns:a16="http://schemas.microsoft.com/office/drawing/2014/main" xmlns="" id="{00000000-0008-0000-0000-000025000000}"/>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6270" r="8740"/>
        <a:stretch/>
      </xdr:blipFill>
      <xdr:spPr bwMode="auto">
        <a:xfrm>
          <a:off x="18512752" y="625459"/>
          <a:ext cx="1455963" cy="1061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26276</xdr:colOff>
      <xdr:row>4</xdr:row>
      <xdr:rowOff>86556</xdr:rowOff>
    </xdr:from>
    <xdr:to>
      <xdr:col>12</xdr:col>
      <xdr:colOff>1506861</xdr:colOff>
      <xdr:row>4</xdr:row>
      <xdr:rowOff>1088633</xdr:rowOff>
    </xdr:to>
    <xdr:pic>
      <xdr:nvPicPr>
        <xdr:cNvPr id="40" name="Picture 39" descr="Image result for legacy 500">
          <a:extLst>
            <a:ext uri="{FF2B5EF4-FFF2-40B4-BE49-F238E27FC236}">
              <a16:creationId xmlns:a16="http://schemas.microsoft.com/office/drawing/2014/main" xmlns="" id="{00000000-0008-0000-0000-000028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flipH="1">
          <a:off x="16961069" y="658056"/>
          <a:ext cx="1480585" cy="1002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39234</xdr:colOff>
      <xdr:row>51</xdr:row>
      <xdr:rowOff>119742</xdr:rowOff>
    </xdr:from>
    <xdr:to>
      <xdr:col>14</xdr:col>
      <xdr:colOff>1495801</xdr:colOff>
      <xdr:row>51</xdr:row>
      <xdr:rowOff>957941</xdr:rowOff>
    </xdr:to>
    <xdr:pic>
      <xdr:nvPicPr>
        <xdr:cNvPr id="6" name="Picture 5">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18"/>
        <a:stretch>
          <a:fillRect/>
        </a:stretch>
      </xdr:blipFill>
      <xdr:spPr>
        <a:xfrm>
          <a:off x="20035165" y="12186932"/>
          <a:ext cx="1456567" cy="838199"/>
        </a:xfrm>
        <a:prstGeom prst="rect">
          <a:avLst/>
        </a:prstGeom>
      </xdr:spPr>
    </xdr:pic>
    <xdr:clientData/>
  </xdr:twoCellAnchor>
  <xdr:twoCellAnchor editAs="oneCell">
    <xdr:from>
      <xdr:col>14</xdr:col>
      <xdr:colOff>20853</xdr:colOff>
      <xdr:row>4</xdr:row>
      <xdr:rowOff>142338</xdr:rowOff>
    </xdr:from>
    <xdr:to>
      <xdr:col>14</xdr:col>
      <xdr:colOff>1516466</xdr:colOff>
      <xdr:row>4</xdr:row>
      <xdr:rowOff>980870</xdr:rowOff>
    </xdr:to>
    <xdr:pic>
      <xdr:nvPicPr>
        <xdr:cNvPr id="28" name="Picture 27" descr="Image result for cessna citation longitude">
          <a:extLst>
            <a:ext uri="{FF2B5EF4-FFF2-40B4-BE49-F238E27FC236}">
              <a16:creationId xmlns:a16="http://schemas.microsoft.com/office/drawing/2014/main" xmlns="" id="{00000000-0008-0000-0000-00001C000000}"/>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1335" r="10073"/>
        <a:stretch/>
      </xdr:blipFill>
      <xdr:spPr bwMode="auto">
        <a:xfrm>
          <a:off x="20016784" y="713838"/>
          <a:ext cx="1495613" cy="83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26460</xdr:colOff>
      <xdr:row>51</xdr:row>
      <xdr:rowOff>110613</xdr:rowOff>
    </xdr:from>
    <xdr:to>
      <xdr:col>11</xdr:col>
      <xdr:colOff>1504703</xdr:colOff>
      <xdr:row>51</xdr:row>
      <xdr:rowOff>982612</xdr:rowOff>
    </xdr:to>
    <xdr:pic>
      <xdr:nvPicPr>
        <xdr:cNvPr id="27" name="Picture 26" descr="Image result for legacy 450 cabin">
          <a:extLst>
            <a:ext uri="{FF2B5EF4-FFF2-40B4-BE49-F238E27FC236}">
              <a16:creationId xmlns:a16="http://schemas.microsoft.com/office/drawing/2014/main" xmlns="" id="{00000000-0008-0000-0000-00001B000000}"/>
            </a:ext>
          </a:extLst>
        </xdr:cNvPr>
        <xdr:cNvPicPr>
          <a:picLocks noChangeAspect="1" noChangeArrowheads="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13228"/>
        <a:stretch/>
      </xdr:blipFill>
      <xdr:spPr bwMode="auto">
        <a:xfrm>
          <a:off x="15549137" y="12182782"/>
          <a:ext cx="1478243" cy="871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13416</xdr:colOff>
      <xdr:row>51</xdr:row>
      <xdr:rowOff>110009</xdr:rowOff>
    </xdr:from>
    <xdr:to>
      <xdr:col>12</xdr:col>
      <xdr:colOff>1518633</xdr:colOff>
      <xdr:row>51</xdr:row>
      <xdr:rowOff>985052</xdr:rowOff>
    </xdr:to>
    <xdr:pic>
      <xdr:nvPicPr>
        <xdr:cNvPr id="32" name="Picture 31" descr="Configuración interior de la cabina del Legacy 500"/>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2365"/>
        <a:stretch/>
      </xdr:blipFill>
      <xdr:spPr bwMode="auto">
        <a:xfrm>
          <a:off x="17083289" y="12194685"/>
          <a:ext cx="1505217" cy="875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56030</xdr:colOff>
      <xdr:row>180</xdr:row>
      <xdr:rowOff>33617</xdr:rowOff>
    </xdr:from>
    <xdr:to>
      <xdr:col>7</xdr:col>
      <xdr:colOff>1501589</xdr:colOff>
      <xdr:row>192</xdr:row>
      <xdr:rowOff>6166</xdr:rowOff>
    </xdr:to>
    <xdr:pic>
      <xdr:nvPicPr>
        <xdr:cNvPr id="29" name="Picture 28" descr="MAC Graphic"/>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922559" y="42683205"/>
          <a:ext cx="2980765" cy="2258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319612</xdr:colOff>
      <xdr:row>152</xdr:row>
      <xdr:rowOff>139700</xdr:rowOff>
    </xdr:from>
    <xdr:to>
      <xdr:col>3</xdr:col>
      <xdr:colOff>418500</xdr:colOff>
      <xdr:row>166</xdr:row>
      <xdr:rowOff>21308</xdr:rowOff>
    </xdr:to>
    <xdr:pic>
      <xdr:nvPicPr>
        <xdr:cNvPr id="3" name="Picture 2">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1"/>
        <a:stretch>
          <a:fillRect/>
        </a:stretch>
      </xdr:blipFill>
      <xdr:spPr>
        <a:xfrm>
          <a:off x="319612" y="38176200"/>
          <a:ext cx="4061288" cy="2548608"/>
        </a:xfrm>
        <a:prstGeom prst="rect">
          <a:avLst/>
        </a:prstGeom>
      </xdr:spPr>
    </xdr:pic>
    <xdr:clientData/>
  </xdr:twoCellAnchor>
  <xdr:twoCellAnchor editAs="oneCell">
    <xdr:from>
      <xdr:col>0</xdr:col>
      <xdr:colOff>0</xdr:colOff>
      <xdr:row>21</xdr:row>
      <xdr:rowOff>59531</xdr:rowOff>
    </xdr:from>
    <xdr:to>
      <xdr:col>3</xdr:col>
      <xdr:colOff>540138</xdr:colOff>
      <xdr:row>21</xdr:row>
      <xdr:rowOff>146082</xdr:rowOff>
    </xdr:to>
    <xdr:pic>
      <xdr:nvPicPr>
        <xdr:cNvPr id="6" name="Imagen 5">
          <a:extLst>
            <a:ext uri="{FF2B5EF4-FFF2-40B4-BE49-F238E27FC236}">
              <a16:creationId xmlns:a16="http://schemas.microsoft.com/office/drawing/2014/main" xmlns="" id="{00000000-0008-0000-0100-000006000000}"/>
            </a:ext>
          </a:extLst>
        </xdr:cNvPr>
        <xdr:cNvPicPr>
          <a:picLocks noChangeAspect="1"/>
        </xdr:cNvPicPr>
      </xdr:nvPicPr>
      <xdr:blipFill>
        <a:blip xmlns:r="http://schemas.openxmlformats.org/officeDocument/2006/relationships" r:embed="rId2"/>
        <a:stretch>
          <a:fillRect/>
        </a:stretch>
      </xdr:blipFill>
      <xdr:spPr>
        <a:xfrm>
          <a:off x="0" y="5366317"/>
          <a:ext cx="4494714" cy="86551"/>
        </a:xfrm>
        <a:prstGeom prst="rect">
          <a:avLst/>
        </a:prstGeom>
      </xdr:spPr>
    </xdr:pic>
    <xdr:clientData/>
  </xdr:twoCellAnchor>
  <xdr:twoCellAnchor editAs="oneCell">
    <xdr:from>
      <xdr:col>3</xdr:col>
      <xdr:colOff>605178</xdr:colOff>
      <xdr:row>21</xdr:row>
      <xdr:rowOff>51025</xdr:rowOff>
    </xdr:from>
    <xdr:to>
      <xdr:col>4</xdr:col>
      <xdr:colOff>5039043</xdr:colOff>
      <xdr:row>21</xdr:row>
      <xdr:rowOff>148802</xdr:rowOff>
    </xdr:to>
    <xdr:pic>
      <xdr:nvPicPr>
        <xdr:cNvPr id="7" name="Imagen 6">
          <a:extLst>
            <a:ext uri="{FF2B5EF4-FFF2-40B4-BE49-F238E27FC236}">
              <a16:creationId xmlns:a16="http://schemas.microsoft.com/office/drawing/2014/main" xmlns="" id="{00000000-0008-0000-0100-000007000000}"/>
            </a:ext>
          </a:extLst>
        </xdr:cNvPr>
        <xdr:cNvPicPr>
          <a:picLocks noChangeAspect="1"/>
        </xdr:cNvPicPr>
      </xdr:nvPicPr>
      <xdr:blipFill>
        <a:blip xmlns:r="http://schemas.openxmlformats.org/officeDocument/2006/relationships" r:embed="rId3"/>
        <a:stretch>
          <a:fillRect/>
        </a:stretch>
      </xdr:blipFill>
      <xdr:spPr>
        <a:xfrm>
          <a:off x="4559754" y="5357811"/>
          <a:ext cx="5063195" cy="97777"/>
        </a:xfrm>
        <a:prstGeom prst="rect">
          <a:avLst/>
        </a:prstGeom>
      </xdr:spPr>
    </xdr:pic>
    <xdr:clientData/>
  </xdr:twoCellAnchor>
  <xdr:twoCellAnchor editAs="oneCell">
    <xdr:from>
      <xdr:col>4</xdr:col>
      <xdr:colOff>153762</xdr:colOff>
      <xdr:row>167</xdr:row>
      <xdr:rowOff>110169</xdr:rowOff>
    </xdr:from>
    <xdr:to>
      <xdr:col>5</xdr:col>
      <xdr:colOff>51943</xdr:colOff>
      <xdr:row>210</xdr:row>
      <xdr:rowOff>26454</xdr:rowOff>
    </xdr:to>
    <xdr:pic>
      <xdr:nvPicPr>
        <xdr:cNvPr id="8" name="Imagen 7">
          <a:extLst>
            <a:ext uri="{FF2B5EF4-FFF2-40B4-BE49-F238E27FC236}">
              <a16:creationId xmlns:a16="http://schemas.microsoft.com/office/drawing/2014/main" xmlns="" id="{00000000-0008-0000-01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757512" y="40341955"/>
          <a:ext cx="4955502" cy="77177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154245</xdr:colOff>
      <xdr:row>210</xdr:row>
      <xdr:rowOff>95673</xdr:rowOff>
    </xdr:from>
    <xdr:to>
      <xdr:col>5</xdr:col>
      <xdr:colOff>82667</xdr:colOff>
      <xdr:row>252</xdr:row>
      <xdr:rowOff>4074</xdr:rowOff>
    </xdr:to>
    <xdr:pic>
      <xdr:nvPicPr>
        <xdr:cNvPr id="9" name="Imagen 8">
          <a:extLst>
            <a:ext uri="{FF2B5EF4-FFF2-40B4-BE49-F238E27FC236}">
              <a16:creationId xmlns:a16="http://schemas.microsoft.com/office/drawing/2014/main" xmlns="" id="{00000000-0008-0000-0100-000009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757995" y="48128887"/>
          <a:ext cx="4985743" cy="7528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94578</xdr:colOff>
      <xdr:row>251</xdr:row>
      <xdr:rowOff>163252</xdr:rowOff>
    </xdr:from>
    <xdr:to>
      <xdr:col>5</xdr:col>
      <xdr:colOff>91511</xdr:colOff>
      <xdr:row>260</xdr:row>
      <xdr:rowOff>52672</xdr:rowOff>
    </xdr:to>
    <xdr:pic>
      <xdr:nvPicPr>
        <xdr:cNvPr id="10" name="Imagen 9">
          <a:extLst>
            <a:ext uri="{FF2B5EF4-FFF2-40B4-BE49-F238E27FC236}">
              <a16:creationId xmlns:a16="http://schemas.microsoft.com/office/drawing/2014/main" xmlns="" id="{00000000-0008-0000-0100-00000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698328" y="55635038"/>
          <a:ext cx="5054254" cy="1522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113393</xdr:colOff>
      <xdr:row>152</xdr:row>
      <xdr:rowOff>107364</xdr:rowOff>
    </xdr:from>
    <xdr:to>
      <xdr:col>5</xdr:col>
      <xdr:colOff>26893</xdr:colOff>
      <xdr:row>167</xdr:row>
      <xdr:rowOff>89732</xdr:rowOff>
    </xdr:to>
    <xdr:pic>
      <xdr:nvPicPr>
        <xdr:cNvPr id="12" name="Imagen 11">
          <a:extLst>
            <a:ext uri="{FF2B5EF4-FFF2-40B4-BE49-F238E27FC236}">
              <a16:creationId xmlns:a16="http://schemas.microsoft.com/office/drawing/2014/main" xmlns="" id="{00000000-0008-0000-0100-00000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717143" y="37617721"/>
          <a:ext cx="4970821" cy="27037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1465352</xdr:colOff>
      <xdr:row>4</xdr:row>
      <xdr:rowOff>42068</xdr:rowOff>
    </xdr:from>
    <xdr:to>
      <xdr:col>4</xdr:col>
      <xdr:colOff>3979950</xdr:colOff>
      <xdr:row>4</xdr:row>
      <xdr:rowOff>1134652</xdr:rowOff>
    </xdr:to>
    <xdr:pic>
      <xdr:nvPicPr>
        <xdr:cNvPr id="13" name="Imagen 12">
          <a:extLst>
            <a:ext uri="{FF2B5EF4-FFF2-40B4-BE49-F238E27FC236}">
              <a16:creationId xmlns:a16="http://schemas.microsoft.com/office/drawing/2014/main" xmlns="" id="{00000000-0008-0000-0100-00000D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056616" y="812630"/>
          <a:ext cx="2514598" cy="1092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77384</xdr:colOff>
      <xdr:row>153</xdr:row>
      <xdr:rowOff>34281</xdr:rowOff>
    </xdr:from>
    <xdr:to>
      <xdr:col>5</xdr:col>
      <xdr:colOff>4428507</xdr:colOff>
      <xdr:row>189</xdr:row>
      <xdr:rowOff>10698</xdr:rowOff>
    </xdr:to>
    <xdr:pic>
      <xdr:nvPicPr>
        <xdr:cNvPr id="14" name="Imagen 13">
          <a:extLst>
            <a:ext uri="{FF2B5EF4-FFF2-40B4-BE49-F238E27FC236}">
              <a16:creationId xmlns:a16="http://schemas.microsoft.com/office/drawing/2014/main" xmlns="" id="{00000000-0008-0000-0100-00000E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726085" y="37552885"/>
          <a:ext cx="4351123" cy="6656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263539</xdr:colOff>
      <xdr:row>188</xdr:row>
      <xdr:rowOff>109587</xdr:rowOff>
    </xdr:from>
    <xdr:to>
      <xdr:col>5</xdr:col>
      <xdr:colOff>4465618</xdr:colOff>
      <xdr:row>223</xdr:row>
      <xdr:rowOff>8655</xdr:rowOff>
    </xdr:to>
    <xdr:pic>
      <xdr:nvPicPr>
        <xdr:cNvPr id="15" name="Imagen 14">
          <a:extLst>
            <a:ext uri="{FF2B5EF4-FFF2-40B4-BE49-F238E27FC236}">
              <a16:creationId xmlns:a16="http://schemas.microsoft.com/office/drawing/2014/main" xmlns="" id="{00000000-0008-0000-0100-00000F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912240" y="44122509"/>
          <a:ext cx="4202079" cy="6393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1311183</xdr:colOff>
      <xdr:row>4</xdr:row>
      <xdr:rowOff>62572</xdr:rowOff>
    </xdr:from>
    <xdr:to>
      <xdr:col>5</xdr:col>
      <xdr:colOff>3493381</xdr:colOff>
      <xdr:row>4</xdr:row>
      <xdr:rowOff>1120678</xdr:rowOff>
    </xdr:to>
    <xdr:pic>
      <xdr:nvPicPr>
        <xdr:cNvPr id="16" name="Imagen 15">
          <a:extLst>
            <a:ext uri="{FF2B5EF4-FFF2-40B4-BE49-F238E27FC236}">
              <a16:creationId xmlns:a16="http://schemas.microsoft.com/office/drawing/2014/main" xmlns="" id="{00000000-0008-0000-0100-000010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964610" y="833134"/>
          <a:ext cx="2182198" cy="1058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74221</xdr:colOff>
      <xdr:row>21</xdr:row>
      <xdr:rowOff>74220</xdr:rowOff>
    </xdr:from>
    <xdr:to>
      <xdr:col>5</xdr:col>
      <xdr:colOff>4502553</xdr:colOff>
      <xdr:row>21</xdr:row>
      <xdr:rowOff>155226</xdr:rowOff>
    </xdr:to>
    <xdr:pic>
      <xdr:nvPicPr>
        <xdr:cNvPr id="2" name="Imagen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2"/>
        <a:stretch>
          <a:fillRect/>
        </a:stretch>
      </xdr:blipFill>
      <xdr:spPr>
        <a:xfrm>
          <a:off x="9722922" y="5294415"/>
          <a:ext cx="4428332" cy="810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P202"/>
  <sheetViews>
    <sheetView tabSelected="1" topLeftCell="A148" zoomScale="70" zoomScaleNormal="70" workbookViewId="0">
      <selection activeCell="E164" sqref="E164"/>
    </sheetView>
  </sheetViews>
  <sheetFormatPr defaultColWidth="9.140625" defaultRowHeight="15" x14ac:dyDescent="0.25"/>
  <cols>
    <col min="1" max="1" width="21.28515625" style="36" customWidth="1"/>
    <col min="2" max="2" width="27.28515625" style="35" customWidth="1"/>
    <col min="3" max="3" width="13.28515625" style="2" customWidth="1"/>
    <col min="4" max="4" width="10" style="2" customWidth="1"/>
    <col min="5" max="5" width="23" style="2" customWidth="1"/>
    <col min="6" max="15" width="23" style="36" customWidth="1"/>
    <col min="16" max="16384" width="9.140625" style="36"/>
  </cols>
  <sheetData>
    <row r="1" spans="1:15" x14ac:dyDescent="0.25">
      <c r="A1" s="12" t="s">
        <v>189</v>
      </c>
      <c r="B1" s="13" t="s">
        <v>192</v>
      </c>
      <c r="C1" s="12" t="s">
        <v>190</v>
      </c>
      <c r="D1" s="12" t="s">
        <v>191</v>
      </c>
      <c r="E1" s="12" t="s">
        <v>263</v>
      </c>
      <c r="F1" s="12" t="s">
        <v>374</v>
      </c>
      <c r="G1" s="12" t="s">
        <v>264</v>
      </c>
      <c r="H1" s="12" t="s">
        <v>265</v>
      </c>
      <c r="I1" s="12" t="s">
        <v>266</v>
      </c>
      <c r="J1" s="12" t="s">
        <v>268</v>
      </c>
      <c r="K1" s="12" t="s">
        <v>269</v>
      </c>
      <c r="L1" s="12" t="s">
        <v>270</v>
      </c>
      <c r="M1" s="12" t="s">
        <v>271</v>
      </c>
      <c r="N1" s="12" t="s">
        <v>272</v>
      </c>
      <c r="O1" s="12" t="s">
        <v>378</v>
      </c>
    </row>
    <row r="2" spans="1:15" s="42" customFormat="1" ht="5.0999999999999996" customHeight="1" x14ac:dyDescent="0.25"/>
    <row r="3" spans="1:15" x14ac:dyDescent="0.25">
      <c r="A3" s="45" t="s">
        <v>26</v>
      </c>
      <c r="B3" s="37" t="s">
        <v>0</v>
      </c>
      <c r="C3" s="4" t="s">
        <v>34</v>
      </c>
      <c r="D3" s="4" t="s">
        <v>34</v>
      </c>
      <c r="E3" s="3" t="s">
        <v>277</v>
      </c>
      <c r="F3" s="2" t="s">
        <v>282</v>
      </c>
      <c r="G3" s="2" t="s">
        <v>283</v>
      </c>
      <c r="H3" s="2" t="s">
        <v>276</v>
      </c>
      <c r="I3" s="2" t="s">
        <v>275</v>
      </c>
      <c r="J3" s="2" t="s">
        <v>340</v>
      </c>
      <c r="K3" s="2" t="s">
        <v>274</v>
      </c>
      <c r="L3" s="2" t="s">
        <v>279</v>
      </c>
      <c r="M3" s="2" t="s">
        <v>375</v>
      </c>
      <c r="N3" s="2" t="s">
        <v>281</v>
      </c>
      <c r="O3" s="2" t="s">
        <v>376</v>
      </c>
    </row>
    <row r="4" spans="1:15" ht="15" customHeight="1" x14ac:dyDescent="0.25">
      <c r="A4" s="45"/>
      <c r="B4" s="6" t="s">
        <v>1</v>
      </c>
      <c r="C4" s="4" t="s">
        <v>34</v>
      </c>
      <c r="D4" s="4" t="s">
        <v>34</v>
      </c>
      <c r="E4" s="3" t="s">
        <v>38</v>
      </c>
      <c r="F4" s="2" t="s">
        <v>38</v>
      </c>
      <c r="G4" s="2" t="s">
        <v>38</v>
      </c>
      <c r="H4" s="2" t="s">
        <v>184</v>
      </c>
      <c r="I4" s="2" t="s">
        <v>184</v>
      </c>
      <c r="J4" s="2" t="s">
        <v>184</v>
      </c>
      <c r="K4" s="2" t="s">
        <v>273</v>
      </c>
      <c r="L4" s="2" t="s">
        <v>278</v>
      </c>
      <c r="M4" s="2" t="s">
        <v>278</v>
      </c>
      <c r="N4" s="2" t="s">
        <v>278</v>
      </c>
      <c r="O4" s="2" t="s">
        <v>280</v>
      </c>
    </row>
    <row r="5" spans="1:15" ht="90" customHeight="1" x14ac:dyDescent="0.25">
      <c r="A5" s="45"/>
      <c r="B5" s="6" t="s">
        <v>225</v>
      </c>
      <c r="C5" s="4" t="s">
        <v>34</v>
      </c>
      <c r="D5" s="4" t="s">
        <v>34</v>
      </c>
      <c r="E5" s="3"/>
      <c r="F5" s="2"/>
      <c r="G5" s="2"/>
      <c r="H5" s="2"/>
      <c r="I5" s="2"/>
      <c r="J5" s="2"/>
      <c r="K5" s="2"/>
      <c r="M5" s="2"/>
    </row>
    <row r="6" spans="1:15" x14ac:dyDescent="0.25">
      <c r="A6" s="45"/>
      <c r="B6" s="6" t="s">
        <v>2</v>
      </c>
      <c r="C6" s="4" t="s">
        <v>34</v>
      </c>
      <c r="D6" s="4" t="s">
        <v>34</v>
      </c>
      <c r="E6" s="19">
        <v>38477</v>
      </c>
      <c r="F6" s="20">
        <v>40366</v>
      </c>
      <c r="G6" s="20">
        <v>41640</v>
      </c>
      <c r="H6" s="20">
        <v>35351</v>
      </c>
      <c r="I6" s="20">
        <v>37687</v>
      </c>
      <c r="J6" s="20">
        <v>41883</v>
      </c>
      <c r="K6" s="20">
        <v>40746</v>
      </c>
      <c r="L6" s="20">
        <v>42141</v>
      </c>
      <c r="M6" s="20">
        <v>41922</v>
      </c>
      <c r="N6" s="20">
        <v>42343</v>
      </c>
      <c r="O6" s="20">
        <v>41816</v>
      </c>
    </row>
    <row r="7" spans="1:15" ht="18" x14ac:dyDescent="0.25">
      <c r="A7" s="45"/>
      <c r="B7" s="6" t="s">
        <v>3</v>
      </c>
      <c r="C7" s="4" t="s">
        <v>35</v>
      </c>
      <c r="D7" s="4" t="s">
        <v>196</v>
      </c>
      <c r="E7" s="9">
        <v>7.83</v>
      </c>
      <c r="F7" s="14">
        <v>7.55</v>
      </c>
      <c r="G7" s="14">
        <v>7.06</v>
      </c>
      <c r="H7" s="14">
        <v>7.8</v>
      </c>
      <c r="I7" s="14">
        <v>7.8</v>
      </c>
      <c r="J7" s="14">
        <v>6.2</v>
      </c>
      <c r="K7" s="14">
        <v>6.5</v>
      </c>
      <c r="L7" s="14">
        <v>6.43</v>
      </c>
      <c r="M7" s="14">
        <v>6.44</v>
      </c>
      <c r="N7" s="14">
        <v>5.0999999999999996</v>
      </c>
      <c r="O7" s="14">
        <v>5.86</v>
      </c>
    </row>
    <row r="8" spans="1:15" ht="18" x14ac:dyDescent="0.25">
      <c r="A8" s="45"/>
      <c r="B8" s="6" t="s">
        <v>4</v>
      </c>
      <c r="C8" s="4" t="s">
        <v>36</v>
      </c>
      <c r="D8" s="4" t="s">
        <v>196</v>
      </c>
      <c r="E8" s="9">
        <v>23.19</v>
      </c>
      <c r="F8" s="14">
        <v>20.23</v>
      </c>
      <c r="G8" s="14">
        <v>20.23</v>
      </c>
      <c r="H8" s="14">
        <v>30.3</v>
      </c>
      <c r="I8" s="14">
        <v>29.5</v>
      </c>
      <c r="J8" s="14">
        <v>20.92</v>
      </c>
      <c r="K8" s="14">
        <v>20.37</v>
      </c>
      <c r="L8" s="14">
        <v>19.68</v>
      </c>
      <c r="M8" s="14">
        <v>20.74</v>
      </c>
      <c r="N8" s="14">
        <v>15.64</v>
      </c>
      <c r="O8" s="14">
        <v>22.43</v>
      </c>
    </row>
    <row r="9" spans="1:15" ht="18" x14ac:dyDescent="0.25">
      <c r="A9" s="45"/>
      <c r="B9" s="6" t="s">
        <v>5</v>
      </c>
      <c r="C9" s="4" t="s">
        <v>37</v>
      </c>
      <c r="D9" s="4" t="s">
        <v>196</v>
      </c>
      <c r="E9" s="9">
        <v>26.21</v>
      </c>
      <c r="F9" s="14">
        <v>21.38</v>
      </c>
      <c r="G9" s="14">
        <v>21.38</v>
      </c>
      <c r="H9" s="14">
        <v>28.7</v>
      </c>
      <c r="I9" s="14">
        <v>28.7</v>
      </c>
      <c r="J9" s="14">
        <v>21</v>
      </c>
      <c r="K9" s="14">
        <v>19.2</v>
      </c>
      <c r="L9" s="14">
        <v>20.25</v>
      </c>
      <c r="M9" s="14">
        <v>20.25</v>
      </c>
      <c r="N9" s="14">
        <v>15.91</v>
      </c>
      <c r="O9" s="14">
        <v>21.09</v>
      </c>
    </row>
    <row r="10" spans="1:15" s="44" customFormat="1" x14ac:dyDescent="0.25"/>
    <row r="11" spans="1:15" ht="18" customHeight="1" x14ac:dyDescent="0.25">
      <c r="A11" s="43" t="s">
        <v>27</v>
      </c>
      <c r="B11" s="15" t="s">
        <v>6</v>
      </c>
      <c r="C11" s="16" t="s">
        <v>52</v>
      </c>
      <c r="D11" s="16" t="s">
        <v>34</v>
      </c>
      <c r="E11" s="2">
        <v>3</v>
      </c>
      <c r="F11" s="2">
        <v>3</v>
      </c>
      <c r="G11" s="2">
        <v>2</v>
      </c>
      <c r="H11" s="2">
        <v>2</v>
      </c>
      <c r="I11" s="2">
        <v>2</v>
      </c>
      <c r="J11" s="2">
        <v>2</v>
      </c>
      <c r="K11" s="2">
        <v>2</v>
      </c>
      <c r="L11" s="2">
        <v>2</v>
      </c>
      <c r="M11" s="2">
        <v>2</v>
      </c>
      <c r="N11" s="2">
        <v>2</v>
      </c>
      <c r="O11" s="2">
        <v>2</v>
      </c>
    </row>
    <row r="12" spans="1:15" x14ac:dyDescent="0.25">
      <c r="A12" s="43"/>
      <c r="B12" s="15" t="s">
        <v>7</v>
      </c>
      <c r="C12" s="16" t="s">
        <v>34</v>
      </c>
      <c r="D12" s="16" t="s">
        <v>34</v>
      </c>
      <c r="E12" s="2" t="s">
        <v>185</v>
      </c>
      <c r="F12" s="2" t="s">
        <v>185</v>
      </c>
      <c r="G12" s="2" t="s">
        <v>185</v>
      </c>
      <c r="H12" s="2" t="s">
        <v>185</v>
      </c>
      <c r="I12" s="2" t="s">
        <v>185</v>
      </c>
      <c r="J12" s="2" t="s">
        <v>185</v>
      </c>
      <c r="K12" s="2" t="s">
        <v>185</v>
      </c>
      <c r="L12" s="2" t="s">
        <v>185</v>
      </c>
      <c r="M12" s="2" t="s">
        <v>185</v>
      </c>
      <c r="N12" s="2" t="s">
        <v>185</v>
      </c>
      <c r="O12" s="2" t="s">
        <v>185</v>
      </c>
    </row>
    <row r="13" spans="1:15" x14ac:dyDescent="0.25">
      <c r="A13" s="43"/>
      <c r="B13" s="15" t="s">
        <v>8</v>
      </c>
      <c r="C13" s="16" t="s">
        <v>34</v>
      </c>
      <c r="D13" s="16" t="s">
        <v>34</v>
      </c>
      <c r="E13" s="2" t="s">
        <v>188</v>
      </c>
      <c r="F13" s="2" t="s">
        <v>188</v>
      </c>
      <c r="G13" s="2" t="s">
        <v>188</v>
      </c>
      <c r="H13" s="2" t="s">
        <v>188</v>
      </c>
      <c r="I13" s="2" t="s">
        <v>188</v>
      </c>
      <c r="J13" s="2" t="s">
        <v>188</v>
      </c>
      <c r="K13" s="2" t="s">
        <v>188</v>
      </c>
      <c r="L13" s="2" t="s">
        <v>188</v>
      </c>
      <c r="M13" s="2" t="s">
        <v>188</v>
      </c>
      <c r="N13" s="2" t="s">
        <v>188</v>
      </c>
      <c r="O13" s="2" t="s">
        <v>188</v>
      </c>
    </row>
    <row r="14" spans="1:15" x14ac:dyDescent="0.25">
      <c r="A14" s="43"/>
      <c r="B14" s="15" t="s">
        <v>1</v>
      </c>
      <c r="C14" s="16" t="s">
        <v>34</v>
      </c>
      <c r="D14" s="16" t="s">
        <v>34</v>
      </c>
      <c r="E14" s="2" t="s">
        <v>186</v>
      </c>
      <c r="F14" s="2" t="s">
        <v>284</v>
      </c>
      <c r="G14" s="2" t="s">
        <v>186</v>
      </c>
      <c r="H14" s="2" t="s">
        <v>313</v>
      </c>
      <c r="I14" s="2" t="s">
        <v>313</v>
      </c>
      <c r="J14" s="2" t="s">
        <v>284</v>
      </c>
      <c r="K14" s="2" t="s">
        <v>284</v>
      </c>
      <c r="L14" s="2" t="s">
        <v>284</v>
      </c>
      <c r="M14" s="2" t="s">
        <v>284</v>
      </c>
      <c r="N14" s="2" t="s">
        <v>186</v>
      </c>
      <c r="O14" s="2" t="s">
        <v>313</v>
      </c>
    </row>
    <row r="15" spans="1:15" x14ac:dyDescent="0.25">
      <c r="A15" s="43"/>
      <c r="B15" s="15" t="s">
        <v>9</v>
      </c>
      <c r="C15" s="16" t="s">
        <v>34</v>
      </c>
      <c r="D15" s="16" t="s">
        <v>34</v>
      </c>
      <c r="E15" s="2" t="s">
        <v>187</v>
      </c>
      <c r="F15" s="2" t="s">
        <v>285</v>
      </c>
      <c r="G15" s="2" t="s">
        <v>286</v>
      </c>
      <c r="H15" s="2" t="s">
        <v>314</v>
      </c>
      <c r="I15" s="2" t="s">
        <v>314</v>
      </c>
      <c r="J15" s="2" t="s">
        <v>342</v>
      </c>
      <c r="K15" s="2" t="s">
        <v>343</v>
      </c>
      <c r="L15" s="2" t="s">
        <v>350</v>
      </c>
      <c r="M15" s="2" t="s">
        <v>350</v>
      </c>
      <c r="N15" s="2" t="s">
        <v>349</v>
      </c>
      <c r="O15" s="2" t="s">
        <v>377</v>
      </c>
    </row>
    <row r="16" spans="1:15" ht="18" x14ac:dyDescent="0.25">
      <c r="A16" s="43"/>
      <c r="B16" s="15" t="s">
        <v>10</v>
      </c>
      <c r="C16" s="16" t="s">
        <v>39</v>
      </c>
      <c r="D16" s="16" t="s">
        <v>197</v>
      </c>
      <c r="E16" s="2">
        <v>551</v>
      </c>
      <c r="F16" s="2">
        <v>450.42</v>
      </c>
      <c r="G16" s="2">
        <v>623.5</v>
      </c>
      <c r="H16" s="2">
        <v>1633</v>
      </c>
      <c r="I16" s="2">
        <v>1633</v>
      </c>
      <c r="J16" s="2">
        <v>618.70000000000005</v>
      </c>
      <c r="K16" s="2"/>
      <c r="M16" s="2"/>
      <c r="N16" s="2"/>
      <c r="O16" s="2"/>
    </row>
    <row r="17" spans="1:16" ht="18" x14ac:dyDescent="0.25">
      <c r="A17" s="43"/>
      <c r="B17" s="15" t="s">
        <v>207</v>
      </c>
      <c r="C17" s="16" t="s">
        <v>206</v>
      </c>
      <c r="D17" s="16" t="s">
        <v>202</v>
      </c>
      <c r="E17" s="14">
        <v>28.478000000000002</v>
      </c>
      <c r="F17" s="14">
        <v>22.24</v>
      </c>
      <c r="G17" s="14">
        <v>31.13</v>
      </c>
      <c r="H17" s="14">
        <v>65.599999999999994</v>
      </c>
      <c r="I17" s="14">
        <v>65.599999999999994</v>
      </c>
      <c r="J17" s="14">
        <v>32.57</v>
      </c>
      <c r="K17" s="14">
        <v>33.9</v>
      </c>
      <c r="L17" s="14">
        <v>29.1</v>
      </c>
      <c r="M17" s="14">
        <v>31.3</v>
      </c>
      <c r="N17" s="14">
        <v>14.946</v>
      </c>
      <c r="O17" s="14">
        <v>31.29</v>
      </c>
    </row>
    <row r="18" spans="1:16" x14ac:dyDescent="0.25">
      <c r="A18" s="43"/>
      <c r="B18" s="15" t="s">
        <v>226</v>
      </c>
      <c r="C18" s="16" t="s">
        <v>287</v>
      </c>
      <c r="D18" s="16" t="s">
        <v>298</v>
      </c>
      <c r="E18" s="22">
        <v>0.67900000000000005</v>
      </c>
      <c r="F18" s="22">
        <v>0.66300000000000003</v>
      </c>
      <c r="G18" s="22">
        <v>0.68</v>
      </c>
      <c r="H18" s="22">
        <v>0.63</v>
      </c>
      <c r="I18" s="22">
        <v>0.63</v>
      </c>
      <c r="J18" s="22">
        <v>0.68400000000000005</v>
      </c>
      <c r="K18" s="22"/>
      <c r="L18" s="22"/>
      <c r="M18" s="22"/>
      <c r="N18" s="22"/>
      <c r="O18" s="22"/>
    </row>
    <row r="19" spans="1:16" x14ac:dyDescent="0.25">
      <c r="A19" s="43"/>
      <c r="B19" s="15" t="s">
        <v>226</v>
      </c>
      <c r="C19" s="16" t="s">
        <v>295</v>
      </c>
      <c r="D19" s="16" t="s">
        <v>299</v>
      </c>
      <c r="E19" s="14" t="s">
        <v>310</v>
      </c>
      <c r="F19" s="14" t="s">
        <v>310</v>
      </c>
      <c r="G19" s="14" t="s">
        <v>310</v>
      </c>
      <c r="H19" s="14" t="s">
        <v>310</v>
      </c>
      <c r="I19" s="14" t="s">
        <v>310</v>
      </c>
      <c r="J19" s="14" t="s">
        <v>310</v>
      </c>
      <c r="K19" s="14" t="s">
        <v>310</v>
      </c>
      <c r="L19" s="14" t="s">
        <v>310</v>
      </c>
      <c r="M19" s="14" t="s">
        <v>310</v>
      </c>
      <c r="N19" s="14" t="s">
        <v>310</v>
      </c>
      <c r="O19" s="14" t="s">
        <v>310</v>
      </c>
    </row>
    <row r="20" spans="1:16" ht="18" x14ac:dyDescent="0.25">
      <c r="A20" s="43"/>
      <c r="B20" s="15" t="s">
        <v>297</v>
      </c>
      <c r="C20" s="16" t="s">
        <v>296</v>
      </c>
      <c r="D20" s="16" t="s">
        <v>34</v>
      </c>
      <c r="E20" s="14" t="s">
        <v>310</v>
      </c>
      <c r="F20" s="14" t="s">
        <v>310</v>
      </c>
      <c r="G20" s="14" t="s">
        <v>310</v>
      </c>
      <c r="H20" s="14" t="s">
        <v>310</v>
      </c>
      <c r="I20" s="14" t="s">
        <v>310</v>
      </c>
      <c r="J20" s="14" t="s">
        <v>310</v>
      </c>
      <c r="K20" s="14" t="s">
        <v>310</v>
      </c>
      <c r="L20" s="14" t="s">
        <v>310</v>
      </c>
      <c r="M20" s="14" t="s">
        <v>310</v>
      </c>
      <c r="N20" s="14" t="s">
        <v>310</v>
      </c>
      <c r="O20" s="14" t="s">
        <v>310</v>
      </c>
    </row>
    <row r="21" spans="1:16" ht="18" x14ac:dyDescent="0.25">
      <c r="A21" s="43"/>
      <c r="B21" s="15" t="s">
        <v>198</v>
      </c>
      <c r="C21" s="16" t="s">
        <v>200</v>
      </c>
      <c r="D21" s="16" t="s">
        <v>196</v>
      </c>
      <c r="E21" s="14">
        <v>1.17</v>
      </c>
      <c r="F21" s="14">
        <v>1.077</v>
      </c>
      <c r="G21" s="14">
        <v>1.2989999999999999</v>
      </c>
      <c r="H21" s="14">
        <v>1.57</v>
      </c>
      <c r="I21" s="14">
        <v>1.5720000000000001</v>
      </c>
      <c r="J21" s="14">
        <v>1.1759999999999999</v>
      </c>
      <c r="K21" s="14"/>
      <c r="L21" s="14"/>
      <c r="M21" s="14"/>
      <c r="N21" s="14"/>
      <c r="O21" s="14"/>
    </row>
    <row r="22" spans="1:16" ht="18" x14ac:dyDescent="0.25">
      <c r="A22" s="43"/>
      <c r="B22" s="15" t="s">
        <v>199</v>
      </c>
      <c r="C22" s="16" t="s">
        <v>201</v>
      </c>
      <c r="D22" s="16" t="s">
        <v>196</v>
      </c>
      <c r="E22" s="14">
        <v>2.1850000000000001</v>
      </c>
      <c r="F22" s="14">
        <v>2.0830000000000002</v>
      </c>
      <c r="G22" s="14">
        <v>2.1840000000000002</v>
      </c>
      <c r="H22" s="14">
        <v>3.41</v>
      </c>
      <c r="I22" s="14">
        <v>3.4089999999999998</v>
      </c>
      <c r="J22" s="14">
        <v>2.347</v>
      </c>
      <c r="K22" s="14"/>
      <c r="L22" s="14"/>
      <c r="M22" s="14"/>
      <c r="N22" s="14"/>
      <c r="O22" s="14"/>
    </row>
    <row r="23" spans="1:16" ht="18" customHeight="1" x14ac:dyDescent="0.25">
      <c r="A23" s="43"/>
      <c r="B23" s="15" t="s">
        <v>229</v>
      </c>
      <c r="C23" s="16" t="s">
        <v>230</v>
      </c>
      <c r="D23" s="16" t="s">
        <v>202</v>
      </c>
      <c r="E23" s="14">
        <f>E11*E17</f>
        <v>85.433999999999997</v>
      </c>
      <c r="F23" s="14">
        <f t="shared" ref="F23:M23" si="0">F11*F17</f>
        <v>66.72</v>
      </c>
      <c r="G23" s="14">
        <f t="shared" si="0"/>
        <v>62.26</v>
      </c>
      <c r="H23" s="14">
        <f t="shared" si="0"/>
        <v>131.19999999999999</v>
      </c>
      <c r="I23" s="14">
        <f t="shared" si="0"/>
        <v>131.19999999999999</v>
      </c>
      <c r="J23" s="14">
        <f t="shared" si="0"/>
        <v>65.14</v>
      </c>
      <c r="K23" s="14">
        <f t="shared" si="0"/>
        <v>67.8</v>
      </c>
      <c r="L23" s="14">
        <f t="shared" si="0"/>
        <v>58.2</v>
      </c>
      <c r="M23" s="14">
        <f t="shared" si="0"/>
        <v>62.6</v>
      </c>
      <c r="N23" s="14">
        <f>N11*N17</f>
        <v>29.891999999999999</v>
      </c>
      <c r="O23" s="14">
        <f>O11*O17</f>
        <v>62.58</v>
      </c>
    </row>
    <row r="24" spans="1:16" s="44" customFormat="1" x14ac:dyDescent="0.25"/>
    <row r="25" spans="1:16" ht="18" customHeight="1" x14ac:dyDescent="0.25">
      <c r="A25" s="43" t="s">
        <v>28</v>
      </c>
      <c r="B25" s="15" t="s">
        <v>54</v>
      </c>
      <c r="C25" s="16" t="s">
        <v>53</v>
      </c>
      <c r="D25" s="16" t="s">
        <v>197</v>
      </c>
      <c r="E25" s="27">
        <v>31752</v>
      </c>
      <c r="F25" s="28">
        <v>22225</v>
      </c>
      <c r="G25" s="27">
        <v>19414</v>
      </c>
      <c r="H25" s="27">
        <v>45130</v>
      </c>
      <c r="I25" s="27">
        <v>41957</v>
      </c>
      <c r="J25" s="27">
        <v>18416</v>
      </c>
      <c r="K25" s="27">
        <v>17962</v>
      </c>
      <c r="L25" s="27">
        <v>16220</v>
      </c>
      <c r="M25" s="27">
        <v>17400</v>
      </c>
      <c r="N25" s="27">
        <v>8340</v>
      </c>
      <c r="O25" s="27">
        <v>16738</v>
      </c>
    </row>
    <row r="26" spans="1:16" ht="18" customHeight="1" x14ac:dyDescent="0.25">
      <c r="A26" s="43"/>
      <c r="B26" s="15" t="s">
        <v>306</v>
      </c>
      <c r="C26" s="16" t="s">
        <v>307</v>
      </c>
      <c r="D26" s="16" t="s">
        <v>197</v>
      </c>
      <c r="E26" s="27">
        <v>32659</v>
      </c>
      <c r="F26" s="28">
        <v>22317</v>
      </c>
      <c r="G26" s="27">
        <v>19505</v>
      </c>
      <c r="H26" s="27">
        <v>45245</v>
      </c>
      <c r="I26" s="27">
        <v>42071</v>
      </c>
      <c r="J26" s="27">
        <v>18484</v>
      </c>
      <c r="K26" s="27">
        <v>18030</v>
      </c>
      <c r="L26" s="27">
        <v>16279.88</v>
      </c>
      <c r="M26" s="27">
        <v>17480.099999999999</v>
      </c>
      <c r="N26" s="27">
        <v>8390</v>
      </c>
      <c r="O26" s="27">
        <v>16601</v>
      </c>
    </row>
    <row r="27" spans="1:16" ht="18" customHeight="1" x14ac:dyDescent="0.25">
      <c r="A27" s="43"/>
      <c r="B27" s="15" t="s">
        <v>335</v>
      </c>
      <c r="C27" s="16" t="s">
        <v>333</v>
      </c>
      <c r="D27" s="16" t="s">
        <v>197</v>
      </c>
      <c r="E27" s="27">
        <v>16602</v>
      </c>
      <c r="F27" s="28">
        <v>10829</v>
      </c>
      <c r="G27" s="27">
        <v>10142</v>
      </c>
      <c r="H27" s="27">
        <v>22435</v>
      </c>
      <c r="I27" s="27">
        <f>I28-I41*CONVERT(Constants!$C$4,"lbm","kg")</f>
        <v>22879.563052000001</v>
      </c>
      <c r="J27" s="27">
        <f>J28-J41*CONVERT(Constants!$C$4,"lbm","kg")</f>
        <v>11067.563052</v>
      </c>
      <c r="K27" s="27">
        <f>K28-K41*CONVERT(Constants!$C$4,"lbm","kg")</f>
        <v>10763.563052</v>
      </c>
      <c r="L27" s="27">
        <f>L28-L41*CONVERT(Constants!$C$4,"lbm","kg")</f>
        <v>10243.563052</v>
      </c>
      <c r="M27" s="27">
        <f>M28-M41*CONVERT(Constants!$C$4,"lbm","kg")</f>
        <v>10568.563052</v>
      </c>
      <c r="N27" s="27">
        <f>N28-N41*CONVERT(Constants!$C$4,"lbm","kg")</f>
        <v>5072.5630520000004</v>
      </c>
      <c r="O27" s="27">
        <f>O28-O41*CONVERT(Constants!$C$4,"lbm","kg")</f>
        <v>9849.5630519999995</v>
      </c>
    </row>
    <row r="28" spans="1:16" ht="18" customHeight="1" x14ac:dyDescent="0.25">
      <c r="A28" s="43"/>
      <c r="B28" s="15" t="s">
        <v>55</v>
      </c>
      <c r="C28" s="16" t="s">
        <v>56</v>
      </c>
      <c r="D28" s="16" t="s">
        <v>197</v>
      </c>
      <c r="E28" s="27">
        <v>15542</v>
      </c>
      <c r="F28" s="28">
        <v>11709</v>
      </c>
      <c r="G28" s="27">
        <v>10644</v>
      </c>
      <c r="H28" s="27">
        <v>23691</v>
      </c>
      <c r="I28" s="27">
        <v>23061</v>
      </c>
      <c r="J28" s="27">
        <v>11249</v>
      </c>
      <c r="K28" s="27">
        <v>10945</v>
      </c>
      <c r="L28" s="27">
        <v>10425</v>
      </c>
      <c r="M28" s="27">
        <v>10750</v>
      </c>
      <c r="N28" s="27">
        <v>5254</v>
      </c>
      <c r="O28" s="27">
        <v>10031</v>
      </c>
    </row>
    <row r="29" spans="1:16" x14ac:dyDescent="0.25">
      <c r="A29" s="43"/>
      <c r="B29" s="15" t="s">
        <v>334</v>
      </c>
      <c r="C29" s="16" t="s">
        <v>332</v>
      </c>
      <c r="D29" s="16" t="s">
        <v>197</v>
      </c>
      <c r="E29" s="27">
        <v>16602</v>
      </c>
      <c r="F29" s="28">
        <v>12134</v>
      </c>
      <c r="G29" s="27">
        <v>11227</v>
      </c>
      <c r="H29" s="27">
        <v>23841</v>
      </c>
      <c r="I29" s="27">
        <v>23070</v>
      </c>
      <c r="J29" s="27">
        <v>11249</v>
      </c>
      <c r="K29" s="27">
        <v>10954</v>
      </c>
      <c r="L29" s="27">
        <v>10425</v>
      </c>
      <c r="M29" s="27">
        <v>10750</v>
      </c>
      <c r="N29" s="27">
        <v>5254</v>
      </c>
      <c r="O29" s="27">
        <v>10031</v>
      </c>
    </row>
    <row r="30" spans="1:16" x14ac:dyDescent="0.25">
      <c r="A30" s="43"/>
      <c r="B30" s="15" t="s">
        <v>61</v>
      </c>
      <c r="C30" s="16" t="s">
        <v>57</v>
      </c>
      <c r="D30" s="16" t="s">
        <v>197</v>
      </c>
      <c r="E30" s="27">
        <v>1996</v>
      </c>
      <c r="F30" s="28">
        <v>2796</v>
      </c>
      <c r="G30" s="27">
        <v>2245</v>
      </c>
      <c r="H30" s="27">
        <v>2617</v>
      </c>
      <c r="I30" s="27">
        <v>3238</v>
      </c>
      <c r="J30" s="27">
        <v>1542</v>
      </c>
      <c r="K30" s="27">
        <v>1837</v>
      </c>
      <c r="L30" s="27">
        <v>1325</v>
      </c>
      <c r="M30" s="27">
        <v>1270</v>
      </c>
      <c r="N30" s="27">
        <v>1196</v>
      </c>
      <c r="O30" s="27">
        <v>1299</v>
      </c>
    </row>
    <row r="31" spans="1:16" ht="30" x14ac:dyDescent="0.25">
      <c r="A31" s="43"/>
      <c r="B31" s="15" t="s">
        <v>60</v>
      </c>
      <c r="C31" s="16" t="s">
        <v>59</v>
      </c>
      <c r="D31" s="16" t="s">
        <v>197</v>
      </c>
      <c r="E31" s="27">
        <v>14488</v>
      </c>
      <c r="F31" s="28">
        <v>9446</v>
      </c>
      <c r="G31" s="27">
        <v>7557</v>
      </c>
      <c r="H31" s="27">
        <v>20434</v>
      </c>
      <c r="I31" s="27">
        <v>17804</v>
      </c>
      <c r="J31" s="27">
        <v>6418</v>
      </c>
      <c r="K31" s="27">
        <v>6622</v>
      </c>
      <c r="L31" s="27">
        <v>5492</v>
      </c>
      <c r="M31" s="27">
        <v>5923</v>
      </c>
      <c r="N31" s="27">
        <v>2428</v>
      </c>
      <c r="O31" s="27">
        <v>5865</v>
      </c>
    </row>
    <row r="32" spans="1:16" x14ac:dyDescent="0.25">
      <c r="A32" s="43"/>
      <c r="B32" s="15" t="s">
        <v>308</v>
      </c>
      <c r="C32" s="16" t="s">
        <v>309</v>
      </c>
      <c r="D32" s="16" t="s">
        <v>197</v>
      </c>
      <c r="E32" s="27">
        <v>15241</v>
      </c>
      <c r="F32" s="28">
        <v>10183</v>
      </c>
      <c r="G32" s="27">
        <v>8278</v>
      </c>
      <c r="H32" s="27">
        <v>21405</v>
      </c>
      <c r="I32" s="27">
        <v>19000</v>
      </c>
      <c r="J32" s="27">
        <v>7234</v>
      </c>
      <c r="K32" s="27">
        <f>6622+454</f>
        <v>7076</v>
      </c>
      <c r="L32" s="27">
        <v>5855</v>
      </c>
      <c r="M32" s="27">
        <v>6730</v>
      </c>
      <c r="N32" s="27">
        <v>3136</v>
      </c>
      <c r="O32" s="27">
        <v>6707</v>
      </c>
      <c r="P32" s="27"/>
    </row>
    <row r="33" spans="1:15" ht="30" x14ac:dyDescent="0.25">
      <c r="A33" s="43"/>
      <c r="B33" s="15" t="s">
        <v>205</v>
      </c>
      <c r="C33" s="16" t="s">
        <v>231</v>
      </c>
      <c r="D33" s="16" t="s">
        <v>197</v>
      </c>
      <c r="E33" s="27">
        <v>18598</v>
      </c>
      <c r="F33" s="28">
        <v>14000</v>
      </c>
      <c r="G33" s="27">
        <v>13472</v>
      </c>
      <c r="H33" s="27">
        <v>26308</v>
      </c>
      <c r="I33" s="27">
        <v>26308</v>
      </c>
      <c r="J33" s="27">
        <v>12791</v>
      </c>
      <c r="K33" s="27">
        <v>12791</v>
      </c>
      <c r="L33" s="27">
        <v>11750</v>
      </c>
      <c r="M33" s="27">
        <v>12020</v>
      </c>
      <c r="N33" s="27">
        <v>6450</v>
      </c>
      <c r="O33" s="2">
        <v>11330</v>
      </c>
    </row>
    <row r="34" spans="1:15" x14ac:dyDescent="0.25">
      <c r="A34" s="43"/>
      <c r="B34" s="15" t="s">
        <v>203</v>
      </c>
      <c r="C34" s="16" t="s">
        <v>204</v>
      </c>
      <c r="D34" s="16" t="s">
        <v>197</v>
      </c>
      <c r="E34" s="27">
        <v>28304</v>
      </c>
      <c r="F34" s="28">
        <v>20185</v>
      </c>
      <c r="G34" s="27">
        <v>17827</v>
      </c>
      <c r="H34" s="27">
        <v>35652</v>
      </c>
      <c r="I34" s="27">
        <v>35652</v>
      </c>
      <c r="J34" s="27">
        <v>15490</v>
      </c>
      <c r="K34" s="27">
        <v>14832</v>
      </c>
      <c r="L34" s="27">
        <v>14750</v>
      </c>
      <c r="M34" s="27">
        <v>15660</v>
      </c>
      <c r="N34" s="27">
        <v>7730</v>
      </c>
      <c r="O34" s="27">
        <v>14515</v>
      </c>
    </row>
    <row r="35" spans="1:15" x14ac:dyDescent="0.25">
      <c r="A35" s="43"/>
      <c r="B35" s="15" t="s">
        <v>62</v>
      </c>
      <c r="C35" s="16" t="s">
        <v>58</v>
      </c>
      <c r="D35" s="16" t="s">
        <v>34</v>
      </c>
      <c r="E35" s="21">
        <f t="shared" ref="E35:N35" si="1">E29/E25</f>
        <v>0.52286470143612995</v>
      </c>
      <c r="F35" s="24">
        <f t="shared" si="1"/>
        <v>0.54596175478065245</v>
      </c>
      <c r="G35" s="21">
        <f t="shared" si="1"/>
        <v>0.57829401462861851</v>
      </c>
      <c r="H35" s="21">
        <f t="shared" si="1"/>
        <v>0.52827387547086191</v>
      </c>
      <c r="I35" s="21">
        <f t="shared" si="1"/>
        <v>0.54984865457492194</v>
      </c>
      <c r="J35" s="21">
        <f t="shared" si="1"/>
        <v>0.61082754126846217</v>
      </c>
      <c r="K35" s="21">
        <f t="shared" si="1"/>
        <v>0.60984300189288498</v>
      </c>
      <c r="L35" s="21">
        <f t="shared" si="1"/>
        <v>0.64272503082614052</v>
      </c>
      <c r="M35" s="21">
        <f t="shared" si="1"/>
        <v>0.61781609195402298</v>
      </c>
      <c r="N35" s="21">
        <f t="shared" si="1"/>
        <v>0.62997601918465229</v>
      </c>
      <c r="O35" s="21">
        <f t="shared" ref="O35" si="2">O29/O25</f>
        <v>0.59929501732584534</v>
      </c>
    </row>
    <row r="36" spans="1:15" x14ac:dyDescent="0.25">
      <c r="A36" s="43"/>
      <c r="B36" s="15" t="s">
        <v>180</v>
      </c>
      <c r="C36" s="16" t="s">
        <v>179</v>
      </c>
      <c r="D36" s="16" t="s">
        <v>34</v>
      </c>
      <c r="E36" s="21">
        <f t="shared" ref="E36:N36" si="3">E30/E25</f>
        <v>6.286218190980096E-2</v>
      </c>
      <c r="F36" s="24">
        <f t="shared" si="3"/>
        <v>0.12580427446569178</v>
      </c>
      <c r="G36" s="21">
        <f t="shared" si="3"/>
        <v>0.11563819923766354</v>
      </c>
      <c r="H36" s="21">
        <f t="shared" si="3"/>
        <v>5.7988034566807005E-2</v>
      </c>
      <c r="I36" s="21">
        <f t="shared" si="3"/>
        <v>7.7174249827204042E-2</v>
      </c>
      <c r="J36" s="21">
        <f t="shared" si="3"/>
        <v>8.3731537793223287E-2</v>
      </c>
      <c r="K36" s="21">
        <f t="shared" si="3"/>
        <v>0.10227146197528116</v>
      </c>
      <c r="L36" s="21">
        <f t="shared" si="3"/>
        <v>8.1689272503082611E-2</v>
      </c>
      <c r="M36" s="21">
        <f t="shared" si="3"/>
        <v>7.2988505747126439E-2</v>
      </c>
      <c r="N36" s="21">
        <f t="shared" si="3"/>
        <v>0.14340527577937651</v>
      </c>
      <c r="O36" s="21">
        <f t="shared" ref="O36" si="4">O30/O25</f>
        <v>7.7607838451427894E-2</v>
      </c>
    </row>
    <row r="37" spans="1:15" x14ac:dyDescent="0.25">
      <c r="A37" s="43"/>
      <c r="B37" s="15" t="s">
        <v>181</v>
      </c>
      <c r="C37" s="16" t="s">
        <v>182</v>
      </c>
      <c r="D37" s="16" t="s">
        <v>34</v>
      </c>
      <c r="E37" s="21">
        <f t="shared" ref="E37:N37" si="5">E31/E25</f>
        <v>0.45628621819098009</v>
      </c>
      <c r="F37" s="24">
        <f t="shared" si="5"/>
        <v>0.42501687289088863</v>
      </c>
      <c r="G37" s="21">
        <f t="shared" si="5"/>
        <v>0.38925517667662513</v>
      </c>
      <c r="H37" s="21">
        <f t="shared" si="5"/>
        <v>0.45278085530689122</v>
      </c>
      <c r="I37" s="21">
        <f t="shared" si="5"/>
        <v>0.42433920442357653</v>
      </c>
      <c r="J37" s="21">
        <f t="shared" si="5"/>
        <v>0.34850130321459599</v>
      </c>
      <c r="K37" s="21">
        <f t="shared" si="5"/>
        <v>0.36866718628215123</v>
      </c>
      <c r="L37" s="21">
        <f t="shared" si="5"/>
        <v>0.33859432799013561</v>
      </c>
      <c r="M37" s="21">
        <f t="shared" si="5"/>
        <v>0.34040229885057471</v>
      </c>
      <c r="N37" s="21">
        <f t="shared" si="5"/>
        <v>0.29112709832134293</v>
      </c>
      <c r="O37" s="21">
        <f t="shared" ref="O37" si="6">O31/O25</f>
        <v>0.3504002867726132</v>
      </c>
    </row>
    <row r="38" spans="1:15" ht="18" x14ac:dyDescent="0.25">
      <c r="A38" s="43"/>
      <c r="B38" s="15" t="s">
        <v>232</v>
      </c>
      <c r="C38" s="16" t="s">
        <v>233</v>
      </c>
      <c r="D38" s="16" t="s">
        <v>34</v>
      </c>
      <c r="E38" s="21">
        <f>E23*1000/(E25*Constants!$C$1)</f>
        <v>0.27437148821981711</v>
      </c>
      <c r="F38" s="21">
        <f>F23*1000/(F25*Constants!$C$1)</f>
        <v>0.30612133061816593</v>
      </c>
      <c r="G38" s="21">
        <f>G23*1000/(G25*Constants!$C$1)</f>
        <v>0.32701932327189565</v>
      </c>
      <c r="H38" s="21">
        <f>H23*1000/(H25*Constants!$C$1)</f>
        <v>0.2964475230283718</v>
      </c>
      <c r="I38" s="21">
        <f>I23*1000/(I25*Constants!$C$1)</f>
        <v>0.31886638020522007</v>
      </c>
      <c r="J38" s="21">
        <f>J23*1000/(J25*Constants!$C$1)</f>
        <v>0.36068806534199743</v>
      </c>
      <c r="K38" s="21">
        <f>K23*1000/(K25*Constants!$C$1)</f>
        <v>0.38490568555786409</v>
      </c>
      <c r="L38" s="21">
        <f>L23*1000/(L25*Constants!$C$1)</f>
        <v>0.3658907743237696</v>
      </c>
      <c r="M38" s="21">
        <f>M23*1000/(M25*Constants!$C$1)</f>
        <v>0.36686341915182935</v>
      </c>
      <c r="N38" s="21">
        <f>N23*1000/(N25*Constants!$C$1)</f>
        <v>0.36548389734216108</v>
      </c>
      <c r="O38" s="21">
        <f>O23*1000/(O25*Constants!$C$1)</f>
        <v>0.38125128813573156</v>
      </c>
    </row>
    <row r="39" spans="1:15" x14ac:dyDescent="0.25">
      <c r="A39" s="43"/>
      <c r="B39" s="15" t="s">
        <v>336</v>
      </c>
      <c r="C39" s="16" t="s">
        <v>337</v>
      </c>
      <c r="D39" s="16" t="s">
        <v>34</v>
      </c>
      <c r="E39" s="14">
        <f>E25/E23</f>
        <v>371.65531287309506</v>
      </c>
      <c r="F39" s="14">
        <f t="shared" ref="F39:L39" si="7">F25/F23</f>
        <v>333.10851318944844</v>
      </c>
      <c r="G39" s="14">
        <f t="shared" si="7"/>
        <v>311.82139415354965</v>
      </c>
      <c r="H39" s="14">
        <f t="shared" si="7"/>
        <v>343.97865853658539</v>
      </c>
      <c r="I39" s="14">
        <f t="shared" si="7"/>
        <v>319.79420731707319</v>
      </c>
      <c r="J39" s="14">
        <f t="shared" si="7"/>
        <v>282.71415412956708</v>
      </c>
      <c r="K39" s="14">
        <f t="shared" si="7"/>
        <v>264.92625368731564</v>
      </c>
      <c r="L39" s="14">
        <f t="shared" si="7"/>
        <v>278.69415807560136</v>
      </c>
      <c r="M39" s="14">
        <f>M25/M23</f>
        <v>277.9552715654952</v>
      </c>
      <c r="N39" s="14">
        <f>N25/N23</f>
        <v>279.00441589723005</v>
      </c>
      <c r="O39" s="14">
        <f>O25/O23</f>
        <v>267.46564397571109</v>
      </c>
    </row>
    <row r="40" spans="1:15" s="44" customFormat="1" x14ac:dyDescent="0.25"/>
    <row r="41" spans="1:15" s="33" customFormat="1" x14ac:dyDescent="0.25">
      <c r="A41" s="43" t="s">
        <v>164</v>
      </c>
      <c r="B41" s="15" t="s">
        <v>304</v>
      </c>
      <c r="C41" s="23" t="s">
        <v>305</v>
      </c>
      <c r="D41" s="23" t="s">
        <v>34</v>
      </c>
      <c r="E41" s="34">
        <v>2</v>
      </c>
      <c r="F41" s="34">
        <v>2</v>
      </c>
      <c r="G41" s="34">
        <v>2</v>
      </c>
      <c r="H41" s="34">
        <v>3</v>
      </c>
      <c r="I41" s="34">
        <v>2</v>
      </c>
      <c r="J41" s="34">
        <v>2</v>
      </c>
      <c r="K41" s="34">
        <v>2</v>
      </c>
      <c r="L41" s="34">
        <v>2</v>
      </c>
      <c r="M41" s="34">
        <v>2</v>
      </c>
      <c r="N41" s="34">
        <v>2</v>
      </c>
      <c r="O41" s="34">
        <v>2</v>
      </c>
    </row>
    <row r="42" spans="1:15" ht="15" customHeight="1" x14ac:dyDescent="0.25">
      <c r="A42" s="43"/>
      <c r="B42" s="15" t="s">
        <v>165</v>
      </c>
      <c r="C42" s="16" t="s">
        <v>174</v>
      </c>
      <c r="D42" s="16" t="s">
        <v>34</v>
      </c>
      <c r="E42" s="38">
        <v>12</v>
      </c>
      <c r="F42" s="38">
        <v>12</v>
      </c>
      <c r="G42" s="38">
        <v>10</v>
      </c>
      <c r="H42" s="38">
        <v>13</v>
      </c>
      <c r="I42" s="38">
        <v>13</v>
      </c>
      <c r="J42" s="38">
        <v>8</v>
      </c>
      <c r="K42" s="38">
        <v>8</v>
      </c>
      <c r="L42" s="38">
        <v>7</v>
      </c>
      <c r="M42" s="38">
        <v>8</v>
      </c>
      <c r="N42" s="38">
        <v>6</v>
      </c>
      <c r="O42" s="38">
        <v>8</v>
      </c>
    </row>
    <row r="43" spans="1:15" ht="18" x14ac:dyDescent="0.25">
      <c r="A43" s="43"/>
      <c r="B43" s="15" t="s">
        <v>166</v>
      </c>
      <c r="C43" s="16" t="s">
        <v>173</v>
      </c>
      <c r="D43" s="16" t="s">
        <v>34</v>
      </c>
      <c r="E43" s="38">
        <v>16</v>
      </c>
      <c r="F43" s="38">
        <v>14</v>
      </c>
      <c r="G43" s="38">
        <v>10</v>
      </c>
      <c r="H43" s="38">
        <v>16</v>
      </c>
      <c r="I43" s="38">
        <v>16</v>
      </c>
      <c r="J43" s="38">
        <v>10</v>
      </c>
      <c r="K43" s="38">
        <v>10</v>
      </c>
      <c r="L43" s="38">
        <v>9</v>
      </c>
      <c r="M43" s="38">
        <v>12</v>
      </c>
      <c r="N43" s="38">
        <v>9</v>
      </c>
      <c r="O43" s="38">
        <v>10</v>
      </c>
    </row>
    <row r="44" spans="1:15" x14ac:dyDescent="0.25">
      <c r="A44" s="43"/>
      <c r="B44" s="15" t="s">
        <v>311</v>
      </c>
      <c r="C44" s="16" t="s">
        <v>312</v>
      </c>
      <c r="D44" s="16" t="s">
        <v>34</v>
      </c>
      <c r="E44" s="38"/>
      <c r="F44" s="38">
        <v>5</v>
      </c>
      <c r="G44" s="38"/>
      <c r="H44" s="38"/>
      <c r="I44" s="38">
        <v>5</v>
      </c>
      <c r="J44" s="38"/>
      <c r="K44" s="38">
        <v>5</v>
      </c>
      <c r="L44" s="38"/>
      <c r="M44" s="38"/>
      <c r="N44" s="38"/>
      <c r="O44" s="38"/>
    </row>
    <row r="45" spans="1:15" ht="18" x14ac:dyDescent="0.25">
      <c r="A45" s="43"/>
      <c r="B45" s="15" t="s">
        <v>167</v>
      </c>
      <c r="C45" s="16" t="s">
        <v>172</v>
      </c>
      <c r="D45" s="16" t="s">
        <v>196</v>
      </c>
      <c r="E45" s="14">
        <v>11.91</v>
      </c>
      <c r="F45" s="14">
        <v>10.11</v>
      </c>
      <c r="G45" s="14">
        <v>7.98</v>
      </c>
      <c r="H45" s="14">
        <v>13.18</v>
      </c>
      <c r="I45" s="14">
        <v>12.41</v>
      </c>
      <c r="J45" s="14">
        <v>7.68</v>
      </c>
      <c r="K45" s="14">
        <v>7.87</v>
      </c>
      <c r="L45" s="14">
        <v>6.28</v>
      </c>
      <c r="M45" s="14">
        <v>7.35</v>
      </c>
      <c r="N45" s="14">
        <v>5.25</v>
      </c>
      <c r="O45" s="14">
        <v>7.67</v>
      </c>
    </row>
    <row r="46" spans="1:15" ht="18" x14ac:dyDescent="0.25">
      <c r="A46" s="43"/>
      <c r="B46" s="15" t="s">
        <v>168</v>
      </c>
      <c r="C46" s="16" t="s">
        <v>236</v>
      </c>
      <c r="D46" s="16" t="s">
        <v>196</v>
      </c>
      <c r="E46" s="14">
        <v>2.34</v>
      </c>
      <c r="F46" s="14">
        <v>2.34</v>
      </c>
      <c r="G46" s="14">
        <v>2.34</v>
      </c>
      <c r="H46" s="14">
        <v>2.41</v>
      </c>
      <c r="I46" s="14">
        <v>2.41</v>
      </c>
      <c r="J46" s="14">
        <v>2.19</v>
      </c>
      <c r="K46" s="14">
        <v>2.1800000000000002</v>
      </c>
      <c r="L46" s="14">
        <v>2.08</v>
      </c>
      <c r="M46" s="14">
        <v>2.08</v>
      </c>
      <c r="N46" s="14">
        <v>1.55</v>
      </c>
      <c r="O46" s="14">
        <v>1.68</v>
      </c>
    </row>
    <row r="47" spans="1:15" ht="18" x14ac:dyDescent="0.25">
      <c r="A47" s="43"/>
      <c r="B47" s="15" t="s">
        <v>169</v>
      </c>
      <c r="C47" s="16" t="s">
        <v>171</v>
      </c>
      <c r="D47" s="16" t="s">
        <v>196</v>
      </c>
      <c r="E47" s="14">
        <v>1.88</v>
      </c>
      <c r="F47" s="14">
        <v>1.88</v>
      </c>
      <c r="G47" s="14">
        <v>1.88</v>
      </c>
      <c r="H47" s="14">
        <v>1.88</v>
      </c>
      <c r="I47" s="14">
        <v>1.88</v>
      </c>
      <c r="J47" s="14">
        <v>1.83</v>
      </c>
      <c r="K47" s="14">
        <v>1.91</v>
      </c>
      <c r="L47" s="14">
        <v>1.83</v>
      </c>
      <c r="M47" s="14">
        <v>1.83</v>
      </c>
      <c r="N47" s="14">
        <v>1.5</v>
      </c>
      <c r="O47" s="14">
        <v>1.73</v>
      </c>
    </row>
    <row r="48" spans="1:15" ht="18" x14ac:dyDescent="0.25">
      <c r="A48" s="43"/>
      <c r="B48" s="15" t="s">
        <v>237</v>
      </c>
      <c r="C48" s="16" t="s">
        <v>239</v>
      </c>
      <c r="D48" s="16" t="s">
        <v>238</v>
      </c>
      <c r="E48" s="14">
        <v>44</v>
      </c>
      <c r="F48" s="14">
        <v>35.799999999999997</v>
      </c>
      <c r="G48" s="14">
        <v>29</v>
      </c>
      <c r="H48" s="14">
        <v>60.6</v>
      </c>
      <c r="I48" s="14">
        <v>53.29</v>
      </c>
      <c r="J48" s="14"/>
      <c r="K48" s="14">
        <v>26.5</v>
      </c>
      <c r="L48" s="14"/>
      <c r="M48" s="14"/>
      <c r="N48" s="14"/>
      <c r="O48" s="14"/>
    </row>
    <row r="49" spans="1:15" ht="18" x14ac:dyDescent="0.25">
      <c r="A49" s="43"/>
      <c r="B49" s="15" t="s">
        <v>302</v>
      </c>
      <c r="C49" s="16" t="s">
        <v>303</v>
      </c>
      <c r="D49" s="16" t="s">
        <v>238</v>
      </c>
      <c r="E49" s="14">
        <v>4</v>
      </c>
      <c r="F49" s="14">
        <v>3.6</v>
      </c>
      <c r="G49" s="14">
        <v>3.7</v>
      </c>
      <c r="H49" s="14">
        <v>5.52</v>
      </c>
      <c r="I49" s="14">
        <v>5.52</v>
      </c>
      <c r="J49" s="14">
        <v>3</v>
      </c>
      <c r="K49" s="14">
        <v>3.4</v>
      </c>
      <c r="L49" s="14">
        <v>4.25</v>
      </c>
      <c r="M49" s="14">
        <v>4.3890000000000002</v>
      </c>
      <c r="N49" s="14">
        <v>2.3786</v>
      </c>
      <c r="O49" s="14">
        <v>2.93</v>
      </c>
    </row>
    <row r="50" spans="1:15" ht="45" x14ac:dyDescent="0.25">
      <c r="A50" s="43"/>
      <c r="B50" s="15" t="s">
        <v>240</v>
      </c>
      <c r="C50" s="16" t="s">
        <v>34</v>
      </c>
      <c r="D50" s="16" t="s">
        <v>34</v>
      </c>
      <c r="E50" s="34" t="s">
        <v>288</v>
      </c>
      <c r="F50" s="34" t="s">
        <v>288</v>
      </c>
      <c r="G50" s="34" t="s">
        <v>288</v>
      </c>
      <c r="H50" s="34" t="s">
        <v>288</v>
      </c>
      <c r="I50" s="34" t="s">
        <v>288</v>
      </c>
      <c r="J50" s="34" t="s">
        <v>288</v>
      </c>
      <c r="K50" s="34" t="s">
        <v>288</v>
      </c>
      <c r="L50" s="34" t="s">
        <v>288</v>
      </c>
      <c r="M50" s="34" t="s">
        <v>288</v>
      </c>
      <c r="N50" s="34" t="s">
        <v>288</v>
      </c>
      <c r="O50" s="34" t="s">
        <v>288</v>
      </c>
    </row>
    <row r="51" spans="1:15" x14ac:dyDescent="0.25">
      <c r="A51" s="43"/>
      <c r="B51" s="15" t="s">
        <v>241</v>
      </c>
      <c r="C51" s="16" t="s">
        <v>34</v>
      </c>
      <c r="D51" s="16" t="s">
        <v>34</v>
      </c>
      <c r="F51" s="2"/>
      <c r="G51" s="2"/>
      <c r="H51" s="2"/>
      <c r="I51" s="2"/>
      <c r="J51" s="2"/>
      <c r="K51" s="2"/>
      <c r="L51" s="2"/>
      <c r="M51" s="2"/>
      <c r="N51" s="2"/>
      <c r="O51" s="2"/>
    </row>
    <row r="52" spans="1:15" ht="90" customHeight="1" x14ac:dyDescent="0.25">
      <c r="A52" s="43"/>
      <c r="B52" s="15" t="s">
        <v>170</v>
      </c>
      <c r="C52" s="16" t="s">
        <v>34</v>
      </c>
      <c r="D52" s="16" t="s">
        <v>34</v>
      </c>
      <c r="F52" s="2"/>
      <c r="K52" s="2"/>
      <c r="M52"/>
      <c r="N52" s="2"/>
      <c r="O52" s="2"/>
    </row>
    <row r="53" spans="1:15" s="44" customFormat="1" x14ac:dyDescent="0.25"/>
    <row r="54" spans="1:15" ht="18" x14ac:dyDescent="0.25">
      <c r="A54" s="43" t="s">
        <v>29</v>
      </c>
      <c r="B54" s="15" t="s">
        <v>41</v>
      </c>
      <c r="C54" s="16" t="s">
        <v>40</v>
      </c>
      <c r="D54" s="16" t="s">
        <v>196</v>
      </c>
      <c r="E54" s="14">
        <v>23.19</v>
      </c>
      <c r="F54" s="14">
        <v>20.23</v>
      </c>
      <c r="G54" s="14">
        <v>20.23</v>
      </c>
      <c r="H54" s="14">
        <v>30.3</v>
      </c>
      <c r="I54" s="14">
        <v>29.5</v>
      </c>
      <c r="J54" s="14">
        <v>20.9</v>
      </c>
      <c r="K54" s="14">
        <v>20.37</v>
      </c>
      <c r="L54" s="14">
        <v>19.68</v>
      </c>
      <c r="M54" s="14">
        <v>20.74</v>
      </c>
      <c r="N54" s="14">
        <v>15.64</v>
      </c>
      <c r="O54" s="14">
        <v>22.43</v>
      </c>
    </row>
    <row r="55" spans="1:15" ht="18" x14ac:dyDescent="0.25">
      <c r="A55" s="43"/>
      <c r="B55" s="17" t="s">
        <v>235</v>
      </c>
      <c r="C55" s="16" t="s">
        <v>49</v>
      </c>
      <c r="D55" s="16" t="s">
        <v>34</v>
      </c>
      <c r="E55" s="14">
        <f>E54/E67</f>
        <v>0.88477680274704318</v>
      </c>
      <c r="F55" s="14">
        <f t="shared" ref="F55" si="8">F54/F67</f>
        <v>0.94621141253507957</v>
      </c>
      <c r="G55" s="14">
        <f t="shared" ref="G55:H55" si="9">G54/G67</f>
        <v>0.94621141253507957</v>
      </c>
      <c r="H55" s="14">
        <f t="shared" si="9"/>
        <v>1.0575916230366493</v>
      </c>
      <c r="I55" s="14">
        <f t="shared" ref="I55:J55" si="10">I54/I67</f>
        <v>1.0296684118673649</v>
      </c>
      <c r="J55" s="14">
        <f t="shared" si="10"/>
        <v>0.99523809523809514</v>
      </c>
      <c r="K55" s="14">
        <f t="shared" ref="K55:M55" si="11">K54/K67</f>
        <v>1.0609375000000001</v>
      </c>
      <c r="L55" s="14">
        <f t="shared" si="11"/>
        <v>0.97185185185185186</v>
      </c>
      <c r="M55" s="14">
        <f t="shared" si="11"/>
        <v>1.0241975308641975</v>
      </c>
      <c r="N55" s="14">
        <f t="shared" ref="N55:O55" si="12">N54/N67</f>
        <v>0.98302954116907604</v>
      </c>
      <c r="O55" s="14">
        <f t="shared" si="12"/>
        <v>1.0635372214319583</v>
      </c>
    </row>
    <row r="56" spans="1:15" ht="18" x14ac:dyDescent="0.25">
      <c r="A56" s="43"/>
      <c r="B56" s="15" t="s">
        <v>215</v>
      </c>
      <c r="C56" s="16" t="s">
        <v>50</v>
      </c>
      <c r="D56" s="16" t="s">
        <v>34</v>
      </c>
      <c r="E56" s="14">
        <f t="shared" ref="E56:L56" si="13">E54/E8</f>
        <v>1</v>
      </c>
      <c r="F56" s="14">
        <f t="shared" si="13"/>
        <v>1</v>
      </c>
      <c r="G56" s="14">
        <f t="shared" si="13"/>
        <v>1</v>
      </c>
      <c r="H56" s="14">
        <f t="shared" si="13"/>
        <v>1</v>
      </c>
      <c r="I56" s="14">
        <f t="shared" si="13"/>
        <v>1</v>
      </c>
      <c r="J56" s="14">
        <f t="shared" si="13"/>
        <v>0.99904397705544923</v>
      </c>
      <c r="K56" s="14">
        <f t="shared" si="13"/>
        <v>1</v>
      </c>
      <c r="L56" s="14">
        <f t="shared" si="13"/>
        <v>1</v>
      </c>
      <c r="M56" s="14">
        <f>M54/M8</f>
        <v>1</v>
      </c>
      <c r="N56" s="14">
        <f>N54/N8</f>
        <v>1</v>
      </c>
      <c r="O56" s="14">
        <f>O54/O8</f>
        <v>1</v>
      </c>
    </row>
    <row r="57" spans="1:15" ht="18" x14ac:dyDescent="0.25">
      <c r="A57" s="43"/>
      <c r="B57" s="15" t="s">
        <v>42</v>
      </c>
      <c r="C57" s="16" t="s">
        <v>43</v>
      </c>
      <c r="D57" s="16" t="s">
        <v>196</v>
      </c>
      <c r="E57" s="14">
        <v>7.83</v>
      </c>
      <c r="F57" s="14">
        <v>2.5</v>
      </c>
      <c r="G57" s="14">
        <v>2.5</v>
      </c>
      <c r="H57" s="14">
        <v>2.69</v>
      </c>
      <c r="I57" s="14">
        <f>H57</f>
        <v>2.69</v>
      </c>
      <c r="J57" s="14"/>
      <c r="K57" s="14"/>
      <c r="L57" s="14"/>
      <c r="M57" s="14"/>
      <c r="N57" s="14"/>
      <c r="O57" s="14"/>
    </row>
    <row r="58" spans="1:15" ht="18" x14ac:dyDescent="0.25">
      <c r="A58" s="43"/>
      <c r="B58" s="15" t="s">
        <v>44</v>
      </c>
      <c r="C58" s="16" t="s">
        <v>45</v>
      </c>
      <c r="D58" s="16" t="s">
        <v>196</v>
      </c>
      <c r="E58" s="14">
        <v>2.5</v>
      </c>
      <c r="F58" s="14">
        <v>2.67</v>
      </c>
      <c r="G58" s="14">
        <v>2.5</v>
      </c>
      <c r="H58" s="14"/>
      <c r="I58" s="14"/>
      <c r="J58" s="14"/>
      <c r="K58" s="14"/>
      <c r="L58" s="14"/>
      <c r="M58" s="14"/>
      <c r="N58" s="14"/>
      <c r="O58" s="14"/>
    </row>
    <row r="59" spans="1:15" ht="18" x14ac:dyDescent="0.25">
      <c r="A59" s="43"/>
      <c r="B59" s="15" t="s">
        <v>46</v>
      </c>
      <c r="C59" s="16" t="s">
        <v>47</v>
      </c>
      <c r="D59" s="16" t="s">
        <v>208</v>
      </c>
      <c r="E59" s="14">
        <f>PI()*E57*E58/4</f>
        <v>15.374169048505051</v>
      </c>
      <c r="F59" s="14">
        <f t="shared" ref="F59:N59" si="14">PI()*F57*F58/4</f>
        <v>5.2425327406779667</v>
      </c>
      <c r="G59" s="14">
        <f t="shared" si="14"/>
        <v>4.908738521234052</v>
      </c>
      <c r="H59" s="14">
        <f t="shared" si="14"/>
        <v>0</v>
      </c>
      <c r="I59" s="14">
        <f t="shared" si="14"/>
        <v>0</v>
      </c>
      <c r="J59" s="14">
        <f t="shared" si="14"/>
        <v>0</v>
      </c>
      <c r="K59" s="14">
        <f t="shared" si="14"/>
        <v>0</v>
      </c>
      <c r="L59" s="14">
        <f t="shared" si="14"/>
        <v>0</v>
      </c>
      <c r="M59" s="14">
        <f t="shared" si="14"/>
        <v>0</v>
      </c>
      <c r="N59" s="14">
        <f t="shared" si="14"/>
        <v>0</v>
      </c>
      <c r="O59" s="14">
        <f t="shared" ref="O59" si="15">PI()*O57*O58/4</f>
        <v>0</v>
      </c>
    </row>
    <row r="60" spans="1:15" ht="30" customHeight="1" x14ac:dyDescent="0.25">
      <c r="A60" s="43"/>
      <c r="B60" s="15" t="s">
        <v>51</v>
      </c>
      <c r="C60" s="16" t="s">
        <v>48</v>
      </c>
      <c r="D60" s="16" t="s">
        <v>196</v>
      </c>
      <c r="E60" s="14"/>
      <c r="F60" s="14">
        <v>0.71</v>
      </c>
      <c r="G60" s="14"/>
      <c r="H60" s="14"/>
      <c r="I60" s="14"/>
      <c r="J60" s="14"/>
      <c r="K60" s="14"/>
      <c r="L60" s="14"/>
      <c r="M60" s="14"/>
      <c r="N60" s="14"/>
      <c r="O60" s="14"/>
    </row>
    <row r="61" spans="1:15" ht="18" customHeight="1" x14ac:dyDescent="0.25">
      <c r="A61" s="32"/>
      <c r="B61" s="15" t="s">
        <v>177</v>
      </c>
      <c r="C61" s="16" t="s">
        <v>178</v>
      </c>
      <c r="D61" s="16" t="s">
        <v>34</v>
      </c>
      <c r="E61" s="14">
        <f>E54/E57</f>
        <v>2.9616858237547894</v>
      </c>
      <c r="F61" s="14">
        <f t="shared" ref="F61" si="16">F54/F57</f>
        <v>8.0920000000000005</v>
      </c>
      <c r="G61" s="14">
        <f t="shared" ref="G61:H61" si="17">G54/G57</f>
        <v>8.0920000000000005</v>
      </c>
      <c r="H61" s="14">
        <f t="shared" si="17"/>
        <v>11.263940520446097</v>
      </c>
      <c r="I61" s="14">
        <f t="shared" ref="I61:J61" si="18">I54/I57</f>
        <v>10.966542750929369</v>
      </c>
      <c r="J61" s="14" t="e">
        <f t="shared" si="18"/>
        <v>#DIV/0!</v>
      </c>
      <c r="K61" s="14" t="e">
        <f t="shared" ref="K61:M61" si="19">K54/K57</f>
        <v>#DIV/0!</v>
      </c>
      <c r="L61" s="14" t="e">
        <f t="shared" si="19"/>
        <v>#DIV/0!</v>
      </c>
      <c r="M61" s="14" t="e">
        <f t="shared" si="19"/>
        <v>#DIV/0!</v>
      </c>
      <c r="N61" s="14" t="e">
        <f t="shared" ref="N61:O61" si="20">N54/N57</f>
        <v>#DIV/0!</v>
      </c>
      <c r="O61" s="14" t="e">
        <f t="shared" si="20"/>
        <v>#DIV/0!</v>
      </c>
    </row>
    <row r="62" spans="1:15" s="44" customFormat="1" x14ac:dyDescent="0.25"/>
    <row r="63" spans="1:15" x14ac:dyDescent="0.25">
      <c r="A63" s="43" t="s">
        <v>30</v>
      </c>
      <c r="B63" s="41" t="s">
        <v>11</v>
      </c>
      <c r="C63" s="16" t="s">
        <v>34</v>
      </c>
      <c r="D63" s="16" t="s">
        <v>34</v>
      </c>
      <c r="E63" s="2" t="s">
        <v>329</v>
      </c>
      <c r="F63" s="2" t="s">
        <v>329</v>
      </c>
      <c r="G63" s="2" t="s">
        <v>329</v>
      </c>
      <c r="H63" s="2" t="s">
        <v>329</v>
      </c>
      <c r="I63" s="2" t="s">
        <v>329</v>
      </c>
      <c r="J63" s="2" t="s">
        <v>329</v>
      </c>
      <c r="K63" s="2" t="s">
        <v>329</v>
      </c>
      <c r="L63" s="2" t="s">
        <v>329</v>
      </c>
      <c r="M63" s="2" t="s">
        <v>329</v>
      </c>
      <c r="N63" s="2" t="s">
        <v>329</v>
      </c>
      <c r="O63" s="2" t="s">
        <v>329</v>
      </c>
    </row>
    <row r="64" spans="1:15" ht="18" x14ac:dyDescent="0.25">
      <c r="A64" s="43"/>
      <c r="B64" s="41" t="s">
        <v>12</v>
      </c>
      <c r="C64" s="16" t="s">
        <v>84</v>
      </c>
      <c r="D64" s="16" t="s">
        <v>34</v>
      </c>
      <c r="E64" s="14" t="e">
        <f>E74/E54</f>
        <v>#VALUE!</v>
      </c>
      <c r="F64" s="14">
        <f t="shared" ref="F64:O64" si="21">F74/F54</f>
        <v>0.89867548829486554</v>
      </c>
      <c r="G64" s="14" t="e">
        <f t="shared" si="21"/>
        <v>#VALUE!</v>
      </c>
      <c r="H64" s="14" t="e">
        <f t="shared" si="21"/>
        <v>#VALUE!</v>
      </c>
      <c r="I64" s="14" t="e">
        <f t="shared" si="21"/>
        <v>#VALUE!</v>
      </c>
      <c r="J64" s="14" t="e">
        <f t="shared" si="21"/>
        <v>#VALUE!</v>
      </c>
      <c r="K64" s="14" t="e">
        <f t="shared" si="21"/>
        <v>#VALUE!</v>
      </c>
      <c r="L64" s="14" t="e">
        <f t="shared" si="21"/>
        <v>#VALUE!</v>
      </c>
      <c r="M64" s="14" t="e">
        <f t="shared" si="21"/>
        <v>#VALUE!</v>
      </c>
      <c r="N64" s="14" t="e">
        <f t="shared" si="21"/>
        <v>#VALUE!</v>
      </c>
      <c r="O64" s="14" t="e">
        <f t="shared" si="21"/>
        <v>#VALUE!</v>
      </c>
    </row>
    <row r="65" spans="1:15" ht="18" x14ac:dyDescent="0.25">
      <c r="A65" s="43"/>
      <c r="B65" s="41" t="s">
        <v>330</v>
      </c>
      <c r="C65" s="16" t="s">
        <v>331</v>
      </c>
      <c r="D65" s="16" t="s">
        <v>196</v>
      </c>
      <c r="E65" s="2" t="s">
        <v>310</v>
      </c>
      <c r="F65" s="14">
        <v>8.73</v>
      </c>
      <c r="G65" s="14" t="s">
        <v>310</v>
      </c>
      <c r="H65" s="14" t="s">
        <v>310</v>
      </c>
      <c r="I65" s="14" t="s">
        <v>310</v>
      </c>
      <c r="J65" s="14" t="s">
        <v>310</v>
      </c>
      <c r="K65" s="14" t="s">
        <v>310</v>
      </c>
      <c r="L65" s="14" t="s">
        <v>310</v>
      </c>
      <c r="M65" s="14" t="s">
        <v>310</v>
      </c>
      <c r="N65" s="14" t="s">
        <v>310</v>
      </c>
      <c r="O65" s="14" t="s">
        <v>310</v>
      </c>
    </row>
    <row r="66" spans="1:15" ht="18" x14ac:dyDescent="0.25">
      <c r="A66" s="43"/>
      <c r="B66" s="41" t="s">
        <v>83</v>
      </c>
      <c r="C66" s="16" t="s">
        <v>63</v>
      </c>
      <c r="D66" s="16" t="s">
        <v>208</v>
      </c>
      <c r="E66" s="2">
        <v>70.7</v>
      </c>
      <c r="F66" s="14">
        <v>49</v>
      </c>
      <c r="G66" s="14">
        <v>49.02</v>
      </c>
      <c r="H66" s="14">
        <v>94.9</v>
      </c>
      <c r="I66" s="14">
        <f>H66</f>
        <v>94.9</v>
      </c>
      <c r="J66" s="14">
        <v>48.49</v>
      </c>
      <c r="K66" s="14">
        <v>46</v>
      </c>
      <c r="L66" s="14">
        <v>44.9</v>
      </c>
      <c r="M66" s="14">
        <v>44.9</v>
      </c>
      <c r="N66" s="14">
        <v>28.47</v>
      </c>
      <c r="O66" s="14">
        <v>48.96</v>
      </c>
    </row>
    <row r="67" spans="1:15" x14ac:dyDescent="0.25">
      <c r="A67" s="43"/>
      <c r="B67" s="41" t="s">
        <v>82</v>
      </c>
      <c r="C67" s="16" t="s">
        <v>64</v>
      </c>
      <c r="D67" s="16" t="s">
        <v>196</v>
      </c>
      <c r="E67" s="2">
        <v>26.21</v>
      </c>
      <c r="F67" s="14">
        <v>21.38</v>
      </c>
      <c r="G67" s="14">
        <v>21.38</v>
      </c>
      <c r="H67" s="14">
        <v>28.65</v>
      </c>
      <c r="I67" s="14">
        <f>H67</f>
        <v>28.65</v>
      </c>
      <c r="J67" s="14">
        <v>21</v>
      </c>
      <c r="K67" s="14">
        <v>19.2</v>
      </c>
      <c r="L67" s="14">
        <v>20.25</v>
      </c>
      <c r="M67" s="14">
        <v>20.25</v>
      </c>
      <c r="N67" s="14">
        <v>15.91</v>
      </c>
      <c r="O67" s="14">
        <v>21.09</v>
      </c>
    </row>
    <row r="68" spans="1:15" ht="18" x14ac:dyDescent="0.25">
      <c r="A68" s="43"/>
      <c r="B68" s="41" t="s">
        <v>382</v>
      </c>
      <c r="C68" s="16" t="s">
        <v>381</v>
      </c>
      <c r="D68" s="16" t="s">
        <v>196</v>
      </c>
      <c r="E68" s="40">
        <v>10.94</v>
      </c>
      <c r="F68" s="14"/>
      <c r="G68" s="14"/>
      <c r="H68" s="14"/>
      <c r="I68" s="14"/>
      <c r="J68" s="14"/>
      <c r="K68" s="14"/>
      <c r="L68" s="14"/>
      <c r="M68" s="14"/>
      <c r="N68" s="14"/>
      <c r="O68" s="14"/>
    </row>
    <row r="69" spans="1:15" ht="18" x14ac:dyDescent="0.25">
      <c r="A69" s="43"/>
      <c r="B69" s="41" t="s">
        <v>65</v>
      </c>
      <c r="C69" s="16" t="s">
        <v>66</v>
      </c>
      <c r="D69" s="16" t="s">
        <v>196</v>
      </c>
      <c r="E69" s="2">
        <v>1.1000000000000001</v>
      </c>
      <c r="F69" s="14">
        <v>1.1200000000000001</v>
      </c>
      <c r="G69" s="14"/>
      <c r="H69" s="14">
        <v>1.24</v>
      </c>
      <c r="I69" s="14">
        <f>H69</f>
        <v>1.24</v>
      </c>
      <c r="J69" s="14"/>
      <c r="K69" s="14"/>
      <c r="L69" s="14"/>
      <c r="M69" s="14"/>
      <c r="N69" s="14"/>
      <c r="O69" s="14"/>
    </row>
    <row r="70" spans="1:15" ht="18" x14ac:dyDescent="0.25">
      <c r="A70" s="43"/>
      <c r="B70" s="41" t="s">
        <v>67</v>
      </c>
      <c r="C70" s="16" t="s">
        <v>68</v>
      </c>
      <c r="D70" s="16" t="s">
        <v>196</v>
      </c>
      <c r="E70" s="2">
        <v>4.92</v>
      </c>
      <c r="F70" s="14">
        <v>4.08</v>
      </c>
      <c r="G70" s="14"/>
      <c r="H70" s="14">
        <v>6.43</v>
      </c>
      <c r="I70" s="14">
        <f>H70</f>
        <v>6.43</v>
      </c>
      <c r="J70" s="14"/>
      <c r="K70" s="14"/>
      <c r="L70" s="14"/>
      <c r="M70" s="14"/>
      <c r="N70" s="14"/>
      <c r="O70" s="14"/>
    </row>
    <row r="71" spans="1:15" x14ac:dyDescent="0.25">
      <c r="A71" s="43"/>
      <c r="B71" s="41" t="s">
        <v>13</v>
      </c>
      <c r="C71" s="16" t="s">
        <v>69</v>
      </c>
      <c r="D71" s="16" t="s">
        <v>196</v>
      </c>
      <c r="E71" s="14">
        <f>E66/E67</f>
        <v>2.6974437237695534</v>
      </c>
      <c r="F71" s="14">
        <f t="shared" ref="F71:O71" si="22">F66/F67</f>
        <v>2.2918615528531339</v>
      </c>
      <c r="G71" s="14">
        <f t="shared" si="22"/>
        <v>2.292797006548176</v>
      </c>
      <c r="H71" s="14">
        <f t="shared" si="22"/>
        <v>3.3123909249563703</v>
      </c>
      <c r="I71" s="14">
        <f t="shared" si="22"/>
        <v>3.3123909249563703</v>
      </c>
      <c r="J71" s="14">
        <f t="shared" si="22"/>
        <v>2.309047619047619</v>
      </c>
      <c r="K71" s="14">
        <f t="shared" si="22"/>
        <v>2.3958333333333335</v>
      </c>
      <c r="L71" s="14">
        <f t="shared" si="22"/>
        <v>2.2172839506172837</v>
      </c>
      <c r="M71" s="14">
        <f t="shared" si="22"/>
        <v>2.2172839506172837</v>
      </c>
      <c r="N71" s="14">
        <f t="shared" si="22"/>
        <v>1.7894406033940917</v>
      </c>
      <c r="O71" s="14">
        <f t="shared" si="22"/>
        <v>2.321479374110953</v>
      </c>
    </row>
    <row r="72" spans="1:15" ht="30" customHeight="1" x14ac:dyDescent="0.25">
      <c r="A72" s="43"/>
      <c r="B72" s="41" t="s">
        <v>14</v>
      </c>
      <c r="C72" s="16" t="s">
        <v>70</v>
      </c>
      <c r="D72" s="16" t="s">
        <v>196</v>
      </c>
      <c r="E72" s="14">
        <f>E70-(2*(E70-E69)*(0.5*E70+E69)/(3*(E70+E69)))</f>
        <v>3.4139977851605758</v>
      </c>
      <c r="F72" s="14">
        <f t="shared" ref="F72:O72" si="23">F70-(2*(F70-F69)*(0.5*F70+F69)/(3*(F70+F69)))</f>
        <v>2.8808205128205131</v>
      </c>
      <c r="G72" s="14" t="e">
        <f t="shared" si="23"/>
        <v>#DIV/0!</v>
      </c>
      <c r="H72" s="14">
        <f t="shared" si="23"/>
        <v>4.4203129074315513</v>
      </c>
      <c r="I72" s="14">
        <f t="shared" si="23"/>
        <v>4.4203129074315513</v>
      </c>
      <c r="J72" s="14" t="e">
        <f t="shared" si="23"/>
        <v>#DIV/0!</v>
      </c>
      <c r="K72" s="14" t="e">
        <f t="shared" si="23"/>
        <v>#DIV/0!</v>
      </c>
      <c r="L72" s="14" t="e">
        <f t="shared" si="23"/>
        <v>#DIV/0!</v>
      </c>
      <c r="M72" s="14" t="e">
        <f t="shared" si="23"/>
        <v>#DIV/0!</v>
      </c>
      <c r="N72" s="14" t="e">
        <f t="shared" si="23"/>
        <v>#DIV/0!</v>
      </c>
      <c r="O72" s="14" t="e">
        <f t="shared" si="23"/>
        <v>#DIV/0!</v>
      </c>
    </row>
    <row r="73" spans="1:15" ht="30" customHeight="1" x14ac:dyDescent="0.25">
      <c r="A73" s="43"/>
      <c r="B73" s="41" t="s">
        <v>383</v>
      </c>
      <c r="C73" s="16" t="s">
        <v>384</v>
      </c>
      <c r="D73" s="16" t="s">
        <v>196</v>
      </c>
      <c r="E73" s="14" t="e">
        <f>E65+((E76*(E70+2*E69))/(3*(E70+E69)))</f>
        <v>#VALUE!</v>
      </c>
      <c r="F73" s="14">
        <f t="shared" ref="F73:O73" si="24">F65+((F76*(F70+2*F69))/(3*(F70+F69)))</f>
        <v>8.73</v>
      </c>
      <c r="G73" s="14" t="e">
        <f t="shared" si="24"/>
        <v>#VALUE!</v>
      </c>
      <c r="H73" s="14" t="e">
        <f t="shared" si="24"/>
        <v>#VALUE!</v>
      </c>
      <c r="I73" s="14" t="e">
        <f t="shared" si="24"/>
        <v>#VALUE!</v>
      </c>
      <c r="J73" s="14" t="e">
        <f t="shared" si="24"/>
        <v>#VALUE!</v>
      </c>
      <c r="K73" s="14" t="e">
        <f t="shared" si="24"/>
        <v>#VALUE!</v>
      </c>
      <c r="L73" s="14" t="e">
        <f t="shared" si="24"/>
        <v>#VALUE!</v>
      </c>
      <c r="M73" s="14" t="e">
        <f t="shared" si="24"/>
        <v>#VALUE!</v>
      </c>
      <c r="N73" s="14" t="e">
        <f t="shared" si="24"/>
        <v>#VALUE!</v>
      </c>
      <c r="O73" s="14" t="e">
        <f t="shared" si="24"/>
        <v>#VALUE!</v>
      </c>
    </row>
    <row r="74" spans="1:15" ht="30" x14ac:dyDescent="0.25">
      <c r="A74" s="43"/>
      <c r="B74" s="41" t="s">
        <v>75</v>
      </c>
      <c r="C74" s="16" t="s">
        <v>76</v>
      </c>
      <c r="D74" s="16" t="s">
        <v>196</v>
      </c>
      <c r="E74" s="14" t="e">
        <f>E65+E73+E72/4</f>
        <v>#VALUE!</v>
      </c>
      <c r="F74" s="14">
        <f t="shared" ref="F74:O74" si="25">F65+F73+F72/4</f>
        <v>18.180205128205131</v>
      </c>
      <c r="G74" s="14" t="e">
        <f t="shared" si="25"/>
        <v>#VALUE!</v>
      </c>
      <c r="H74" s="14" t="e">
        <f t="shared" si="25"/>
        <v>#VALUE!</v>
      </c>
      <c r="I74" s="14" t="e">
        <f t="shared" si="25"/>
        <v>#VALUE!</v>
      </c>
      <c r="J74" s="14" t="e">
        <f t="shared" si="25"/>
        <v>#VALUE!</v>
      </c>
      <c r="K74" s="14" t="e">
        <f t="shared" si="25"/>
        <v>#VALUE!</v>
      </c>
      <c r="L74" s="14" t="e">
        <f t="shared" si="25"/>
        <v>#VALUE!</v>
      </c>
      <c r="M74" s="14" t="e">
        <f t="shared" si="25"/>
        <v>#VALUE!</v>
      </c>
      <c r="N74" s="14" t="e">
        <f t="shared" si="25"/>
        <v>#VALUE!</v>
      </c>
      <c r="O74" s="14" t="e">
        <f t="shared" si="25"/>
        <v>#VALUE!</v>
      </c>
    </row>
    <row r="75" spans="1:15" ht="30" x14ac:dyDescent="0.25">
      <c r="A75" s="43"/>
      <c r="B75" s="41" t="s">
        <v>385</v>
      </c>
      <c r="C75" s="16" t="s">
        <v>386</v>
      </c>
      <c r="D75" s="16" t="s">
        <v>196</v>
      </c>
      <c r="E75" s="14">
        <f>(2*E68*(0.5*E70+E69))/(3*(E70+E69))</f>
        <v>4.3130011074197121</v>
      </c>
      <c r="F75" s="14">
        <f t="shared" ref="F75:O75" si="26">(2*F68*(0.5*F70+F69))/(3*(F70+F69))</f>
        <v>0</v>
      </c>
      <c r="G75" s="14" t="e">
        <f t="shared" si="26"/>
        <v>#DIV/0!</v>
      </c>
      <c r="H75" s="14">
        <f t="shared" si="26"/>
        <v>0</v>
      </c>
      <c r="I75" s="14">
        <f t="shared" si="26"/>
        <v>0</v>
      </c>
      <c r="J75" s="14" t="e">
        <f t="shared" si="26"/>
        <v>#DIV/0!</v>
      </c>
      <c r="K75" s="14" t="e">
        <f t="shared" si="26"/>
        <v>#DIV/0!</v>
      </c>
      <c r="L75" s="14" t="e">
        <f t="shared" si="26"/>
        <v>#DIV/0!</v>
      </c>
      <c r="M75" s="14" t="e">
        <f t="shared" si="26"/>
        <v>#DIV/0!</v>
      </c>
      <c r="N75" s="14" t="e">
        <f t="shared" si="26"/>
        <v>#DIV/0!</v>
      </c>
      <c r="O75" s="14" t="e">
        <f t="shared" si="26"/>
        <v>#DIV/0!</v>
      </c>
    </row>
    <row r="76" spans="1:15" ht="30" x14ac:dyDescent="0.25">
      <c r="A76" s="43"/>
      <c r="B76" s="41" t="s">
        <v>387</v>
      </c>
      <c r="C76" s="16" t="s">
        <v>380</v>
      </c>
      <c r="D76" s="16" t="s">
        <v>196</v>
      </c>
      <c r="E76" s="40">
        <v>7.63</v>
      </c>
      <c r="F76" s="40"/>
      <c r="G76" s="40"/>
      <c r="H76" s="40"/>
      <c r="I76" s="40"/>
      <c r="J76" s="40"/>
      <c r="K76" s="40"/>
      <c r="L76" s="40"/>
      <c r="M76" s="40"/>
      <c r="N76" s="40"/>
      <c r="O76" s="40"/>
    </row>
    <row r="77" spans="1:15" x14ac:dyDescent="0.25">
      <c r="A77" s="43"/>
      <c r="B77" s="41" t="s">
        <v>71</v>
      </c>
      <c r="C77" s="16" t="s">
        <v>74</v>
      </c>
      <c r="D77" s="16" t="s">
        <v>34</v>
      </c>
      <c r="E77" s="14">
        <f>(E67^2)/E66</f>
        <v>9.7166067892503545</v>
      </c>
      <c r="F77" s="14">
        <f t="shared" ref="F77:O77" si="27">(F67^2)/F66</f>
        <v>9.3286612244897942</v>
      </c>
      <c r="G77" s="14">
        <f t="shared" si="27"/>
        <v>9.3248551611587089</v>
      </c>
      <c r="H77" s="14">
        <f t="shared" si="27"/>
        <v>8.6493414120126424</v>
      </c>
      <c r="I77" s="14">
        <f t="shared" si="27"/>
        <v>8.6493414120126424</v>
      </c>
      <c r="J77" s="14">
        <f t="shared" si="27"/>
        <v>9.0946586925139208</v>
      </c>
      <c r="K77" s="14">
        <f t="shared" si="27"/>
        <v>8.0139130434782597</v>
      </c>
      <c r="L77" s="14">
        <f t="shared" si="27"/>
        <v>9.132795100222717</v>
      </c>
      <c r="M77" s="14">
        <f t="shared" si="27"/>
        <v>9.132795100222717</v>
      </c>
      <c r="N77" s="14">
        <f t="shared" si="27"/>
        <v>8.8910467158412381</v>
      </c>
      <c r="O77" s="14">
        <f t="shared" si="27"/>
        <v>9.0847242647058817</v>
      </c>
    </row>
    <row r="78" spans="1:15" ht="30" x14ac:dyDescent="0.25">
      <c r="A78" s="43"/>
      <c r="B78" s="41" t="s">
        <v>15</v>
      </c>
      <c r="C78" s="16" t="s">
        <v>72</v>
      </c>
      <c r="D78" s="16" t="s">
        <v>34</v>
      </c>
      <c r="E78" s="14">
        <f>E69/E70</f>
        <v>0.22357723577235775</v>
      </c>
      <c r="F78" s="14">
        <f>F69/F70</f>
        <v>0.27450980392156865</v>
      </c>
      <c r="G78" s="14" t="e">
        <f t="shared" ref="G78:N78" si="28">G69/G70</f>
        <v>#DIV/0!</v>
      </c>
      <c r="H78" s="14">
        <f t="shared" si="28"/>
        <v>0.19284603421461899</v>
      </c>
      <c r="I78" s="14">
        <f t="shared" si="28"/>
        <v>0.19284603421461899</v>
      </c>
      <c r="J78" s="14" t="e">
        <f t="shared" si="28"/>
        <v>#DIV/0!</v>
      </c>
      <c r="K78" s="14" t="e">
        <f t="shared" si="28"/>
        <v>#DIV/0!</v>
      </c>
      <c r="L78" s="14" t="e">
        <f t="shared" si="28"/>
        <v>#DIV/0!</v>
      </c>
      <c r="M78" s="14" t="e">
        <f t="shared" si="28"/>
        <v>#DIV/0!</v>
      </c>
      <c r="N78" s="14" t="e">
        <f t="shared" si="28"/>
        <v>#DIV/0!</v>
      </c>
      <c r="O78" s="14" t="e">
        <f t="shared" ref="O78" si="29">O69/O70</f>
        <v>#DIV/0!</v>
      </c>
    </row>
    <row r="79" spans="1:15" ht="16.5" x14ac:dyDescent="0.25">
      <c r="A79" s="43"/>
      <c r="B79" s="41" t="s">
        <v>16</v>
      </c>
      <c r="C79" s="16" t="s">
        <v>73</v>
      </c>
      <c r="D79" s="16" t="s">
        <v>210</v>
      </c>
      <c r="F79" s="14">
        <v>25</v>
      </c>
      <c r="G79" s="14"/>
      <c r="H79" s="14"/>
      <c r="I79" s="14"/>
      <c r="J79" s="14">
        <v>27</v>
      </c>
      <c r="K79" s="14"/>
      <c r="L79" s="14"/>
      <c r="M79" s="14"/>
      <c r="N79" s="14"/>
      <c r="O79" s="14">
        <v>37</v>
      </c>
    </row>
    <row r="80" spans="1:15" x14ac:dyDescent="0.25">
      <c r="A80" s="43"/>
      <c r="B80" s="41" t="s">
        <v>17</v>
      </c>
      <c r="C80" s="16" t="s">
        <v>77</v>
      </c>
      <c r="D80" s="16" t="s">
        <v>211</v>
      </c>
      <c r="F80" s="14">
        <v>0.5</v>
      </c>
      <c r="G80" s="14"/>
      <c r="H80" s="14"/>
      <c r="I80" s="14"/>
      <c r="J80" s="14"/>
      <c r="K80" s="14"/>
      <c r="L80" s="14"/>
      <c r="M80" s="14"/>
      <c r="N80" s="14"/>
      <c r="O80" s="14"/>
    </row>
    <row r="81" spans="1:15" x14ac:dyDescent="0.25">
      <c r="A81" s="43"/>
      <c r="B81" s="41" t="s">
        <v>18</v>
      </c>
      <c r="C81" s="16" t="s">
        <v>34</v>
      </c>
      <c r="D81" s="16" t="s">
        <v>34</v>
      </c>
      <c r="F81" s="2"/>
      <c r="G81" s="2"/>
      <c r="H81" s="2"/>
      <c r="I81" s="2"/>
      <c r="J81" s="2" t="s">
        <v>341</v>
      </c>
      <c r="K81" s="2"/>
      <c r="L81" s="2"/>
      <c r="M81" s="2"/>
      <c r="N81" s="2"/>
      <c r="O81" s="2"/>
    </row>
    <row r="82" spans="1:15" ht="30" x14ac:dyDescent="0.25">
      <c r="A82" s="43"/>
      <c r="B82" s="41" t="s">
        <v>78</v>
      </c>
      <c r="C82" s="16" t="s">
        <v>79</v>
      </c>
      <c r="D82" s="16" t="s">
        <v>34</v>
      </c>
      <c r="F82" s="2"/>
      <c r="G82" s="2"/>
      <c r="H82" s="2"/>
      <c r="I82" s="2"/>
      <c r="J82" s="2"/>
      <c r="K82" s="2"/>
      <c r="L82" s="2"/>
      <c r="M82" s="2"/>
      <c r="N82" s="2"/>
      <c r="O82" s="2"/>
    </row>
    <row r="83" spans="1:15" ht="18" x14ac:dyDescent="0.25">
      <c r="A83" s="43"/>
      <c r="B83" s="41" t="s">
        <v>80</v>
      </c>
      <c r="C83" s="16" t="s">
        <v>81</v>
      </c>
      <c r="D83" s="16" t="s">
        <v>209</v>
      </c>
      <c r="E83" s="14">
        <f t="shared" ref="E83:N83" si="30">E25/E66</f>
        <v>449.10891089108907</v>
      </c>
      <c r="F83" s="14">
        <f t="shared" si="30"/>
        <v>453.57142857142856</v>
      </c>
      <c r="G83" s="14">
        <f t="shared" si="30"/>
        <v>396.0424316605467</v>
      </c>
      <c r="H83" s="14">
        <f t="shared" si="30"/>
        <v>475.55321390937826</v>
      </c>
      <c r="I83" s="14">
        <f t="shared" si="30"/>
        <v>442.11801896733402</v>
      </c>
      <c r="J83" s="14">
        <f t="shared" si="30"/>
        <v>379.78964734996907</v>
      </c>
      <c r="K83" s="14">
        <f t="shared" si="30"/>
        <v>390.47826086956519</v>
      </c>
      <c r="L83" s="14">
        <f t="shared" si="30"/>
        <v>361.24721603563478</v>
      </c>
      <c r="M83" s="14">
        <f t="shared" si="30"/>
        <v>387.52783964365256</v>
      </c>
      <c r="N83" s="14">
        <f t="shared" si="30"/>
        <v>292.93993677555324</v>
      </c>
      <c r="O83" s="14">
        <f t="shared" ref="O83" si="31">O25/O66</f>
        <v>341.8709150326797</v>
      </c>
    </row>
    <row r="84" spans="1:15" s="44" customFormat="1" x14ac:dyDescent="0.25"/>
    <row r="85" spans="1:15" x14ac:dyDescent="0.25">
      <c r="A85" s="43" t="s">
        <v>31</v>
      </c>
      <c r="B85" s="15" t="s">
        <v>19</v>
      </c>
      <c r="C85" s="16" t="s">
        <v>34</v>
      </c>
      <c r="D85" s="16" t="s">
        <v>34</v>
      </c>
      <c r="F85" s="2"/>
      <c r="G85" s="2"/>
      <c r="H85" s="2"/>
      <c r="I85" s="2"/>
      <c r="J85" s="2"/>
      <c r="K85" s="2"/>
      <c r="L85" s="2"/>
      <c r="M85" s="2"/>
      <c r="N85" s="2"/>
    </row>
    <row r="86" spans="1:15" ht="18" x14ac:dyDescent="0.25">
      <c r="A86" s="43"/>
      <c r="B86" s="15" t="s">
        <v>106</v>
      </c>
      <c r="C86" s="16" t="s">
        <v>43</v>
      </c>
      <c r="D86" s="16" t="s">
        <v>196</v>
      </c>
      <c r="F86" s="2"/>
      <c r="G86" s="2"/>
      <c r="H86" s="2"/>
      <c r="I86" s="2"/>
      <c r="J86" s="2"/>
      <c r="K86" s="2"/>
      <c r="L86" s="2"/>
      <c r="M86" s="2"/>
      <c r="N86" s="2"/>
    </row>
    <row r="87" spans="1:15" ht="18" x14ac:dyDescent="0.25">
      <c r="A87" s="43"/>
      <c r="B87" s="15" t="s">
        <v>244</v>
      </c>
      <c r="C87" s="16" t="s">
        <v>245</v>
      </c>
      <c r="D87" s="16" t="s">
        <v>34</v>
      </c>
      <c r="F87" s="2"/>
      <c r="G87" s="2"/>
      <c r="H87" s="2"/>
      <c r="I87" s="2"/>
      <c r="J87" s="2"/>
      <c r="K87" s="2"/>
      <c r="L87" s="2"/>
      <c r="M87" s="2"/>
      <c r="N87" s="2"/>
    </row>
    <row r="88" spans="1:15" ht="45" x14ac:dyDescent="0.25">
      <c r="A88" s="43"/>
      <c r="B88" s="15" t="s">
        <v>242</v>
      </c>
      <c r="C88" s="16" t="s">
        <v>243</v>
      </c>
      <c r="D88" s="16" t="s">
        <v>196</v>
      </c>
      <c r="F88" s="2"/>
      <c r="G88" s="2"/>
      <c r="H88" s="2"/>
      <c r="I88" s="2"/>
      <c r="J88" s="2"/>
      <c r="K88" s="2"/>
      <c r="L88" s="2"/>
      <c r="M88" s="2"/>
      <c r="N88" s="2"/>
    </row>
    <row r="89" spans="1:15" ht="18" x14ac:dyDescent="0.25">
      <c r="A89" s="43"/>
      <c r="B89" s="15" t="s">
        <v>248</v>
      </c>
      <c r="C89" s="16" t="s">
        <v>246</v>
      </c>
      <c r="D89" s="16" t="s">
        <v>34</v>
      </c>
      <c r="F89" s="2"/>
      <c r="G89" s="2"/>
      <c r="H89" s="2"/>
      <c r="I89" s="2"/>
      <c r="J89" s="2"/>
      <c r="K89" s="2"/>
      <c r="L89" s="2"/>
      <c r="M89" s="2"/>
      <c r="N89" s="2"/>
    </row>
    <row r="90" spans="1:15" ht="18" x14ac:dyDescent="0.25">
      <c r="A90" s="43"/>
      <c r="B90" s="15" t="s">
        <v>249</v>
      </c>
      <c r="C90" s="16" t="s">
        <v>247</v>
      </c>
      <c r="D90" s="16" t="s">
        <v>34</v>
      </c>
      <c r="F90" s="2"/>
      <c r="G90" s="2"/>
      <c r="H90" s="2"/>
      <c r="I90" s="2"/>
      <c r="J90" s="2"/>
      <c r="K90" s="2"/>
      <c r="L90" s="2"/>
      <c r="M90" s="2"/>
      <c r="N90" s="2"/>
    </row>
    <row r="91" spans="1:15" s="44" customFormat="1" x14ac:dyDescent="0.25"/>
    <row r="92" spans="1:15" ht="18" x14ac:dyDescent="0.25">
      <c r="A92" s="43" t="s">
        <v>32</v>
      </c>
      <c r="B92" s="15" t="s">
        <v>106</v>
      </c>
      <c r="C92" s="16" t="s">
        <v>250</v>
      </c>
      <c r="D92" s="16" t="s">
        <v>196</v>
      </c>
      <c r="F92" s="2"/>
      <c r="G92" s="2"/>
      <c r="H92" s="2"/>
      <c r="I92" s="2"/>
      <c r="J92" s="2"/>
      <c r="K92" s="2"/>
      <c r="L92" s="2"/>
      <c r="M92" s="2"/>
      <c r="N92" s="2"/>
    </row>
    <row r="93" spans="1:15" ht="18" x14ac:dyDescent="0.25">
      <c r="A93" s="43"/>
      <c r="B93" s="15" t="s">
        <v>258</v>
      </c>
      <c r="C93" s="16" t="s">
        <v>251</v>
      </c>
      <c r="D93" s="16" t="s">
        <v>34</v>
      </c>
      <c r="F93" s="2"/>
      <c r="G93" s="2"/>
      <c r="H93" s="2"/>
      <c r="I93" s="2"/>
      <c r="J93" s="2"/>
      <c r="K93" s="2"/>
      <c r="L93" s="2"/>
      <c r="M93" s="2"/>
      <c r="N93" s="2"/>
    </row>
    <row r="94" spans="1:15" ht="30" x14ac:dyDescent="0.25">
      <c r="A94" s="43"/>
      <c r="B94" s="15" t="s">
        <v>259</v>
      </c>
      <c r="C94" s="16" t="s">
        <v>252</v>
      </c>
      <c r="D94" s="16" t="s">
        <v>196</v>
      </c>
      <c r="F94" s="2"/>
      <c r="G94" s="2"/>
      <c r="H94" s="2"/>
      <c r="I94" s="2"/>
      <c r="J94" s="2"/>
      <c r="K94" s="2"/>
      <c r="L94" s="2"/>
      <c r="M94" s="2"/>
      <c r="N94" s="2"/>
    </row>
    <row r="95" spans="1:15" ht="18" x14ac:dyDescent="0.25">
      <c r="A95" s="43"/>
      <c r="B95" s="15" t="s">
        <v>256</v>
      </c>
      <c r="C95" s="16" t="s">
        <v>253</v>
      </c>
      <c r="D95" s="16" t="s">
        <v>34</v>
      </c>
      <c r="F95"/>
      <c r="G95" s="2"/>
      <c r="H95" s="2"/>
      <c r="I95" s="2"/>
      <c r="J95" s="2"/>
      <c r="K95" s="2"/>
      <c r="L95" s="2"/>
      <c r="M95" s="2"/>
      <c r="N95" s="2"/>
    </row>
    <row r="96" spans="1:15" ht="18" x14ac:dyDescent="0.25">
      <c r="A96" s="43"/>
      <c r="B96" s="15" t="s">
        <v>257</v>
      </c>
      <c r="C96" s="16" t="s">
        <v>254</v>
      </c>
      <c r="D96" s="16" t="s">
        <v>34</v>
      </c>
      <c r="F96" s="2"/>
      <c r="G96" s="2"/>
      <c r="H96" s="2"/>
      <c r="I96" s="2"/>
      <c r="J96" s="2"/>
      <c r="K96" s="2"/>
      <c r="L96" s="2"/>
      <c r="M96" s="2"/>
      <c r="N96" s="2"/>
    </row>
    <row r="97" spans="1:15" ht="18" x14ac:dyDescent="0.25">
      <c r="A97" s="43"/>
      <c r="B97" s="15" t="s">
        <v>216</v>
      </c>
      <c r="C97" s="16" t="s">
        <v>255</v>
      </c>
      <c r="D97" s="16" t="s">
        <v>34</v>
      </c>
      <c r="F97" s="2"/>
      <c r="G97" s="2"/>
      <c r="H97" s="2"/>
      <c r="I97" s="2"/>
      <c r="J97" s="2"/>
      <c r="K97" s="2"/>
      <c r="L97" s="2"/>
      <c r="M97" s="2"/>
      <c r="N97" s="2"/>
    </row>
    <row r="98" spans="1:15" s="44" customFormat="1" x14ac:dyDescent="0.25"/>
    <row r="99" spans="1:15" ht="18" x14ac:dyDescent="0.25">
      <c r="A99" s="43" t="s">
        <v>104</v>
      </c>
      <c r="B99" s="15" t="s">
        <v>93</v>
      </c>
      <c r="C99" s="16" t="s">
        <v>101</v>
      </c>
      <c r="D99" s="16" t="s">
        <v>34</v>
      </c>
      <c r="F99" s="2"/>
      <c r="G99" s="2"/>
      <c r="H99" s="2"/>
      <c r="I99" s="2"/>
      <c r="J99" s="2"/>
      <c r="K99" s="2"/>
      <c r="L99" s="2"/>
      <c r="M99" s="2"/>
      <c r="N99" s="2"/>
      <c r="O99" s="2"/>
    </row>
    <row r="100" spans="1:15" ht="18" x14ac:dyDescent="0.25">
      <c r="A100" s="43"/>
      <c r="B100" s="15" t="s">
        <v>92</v>
      </c>
      <c r="C100" s="16" t="s">
        <v>100</v>
      </c>
      <c r="D100" s="16" t="s">
        <v>34</v>
      </c>
      <c r="E100" s="14"/>
      <c r="F100" s="14"/>
      <c r="G100" s="14"/>
      <c r="H100" s="14"/>
      <c r="I100" s="14"/>
      <c r="J100" s="14"/>
      <c r="K100" s="14"/>
      <c r="L100" s="14"/>
      <c r="M100" s="14"/>
      <c r="N100" s="14"/>
      <c r="O100" s="14"/>
    </row>
    <row r="101" spans="1:15" ht="18" x14ac:dyDescent="0.25">
      <c r="A101" s="43"/>
      <c r="B101" s="15" t="s">
        <v>83</v>
      </c>
      <c r="C101" s="16" t="s">
        <v>91</v>
      </c>
      <c r="D101" s="16" t="s">
        <v>208</v>
      </c>
      <c r="E101" s="14">
        <f>(E103)*(E105+E106)/2</f>
        <v>0</v>
      </c>
      <c r="F101" s="14">
        <v>13.35</v>
      </c>
      <c r="G101" s="14">
        <f t="shared" ref="G101:N101" si="32">(G103)*(G105+G106)/2</f>
        <v>0</v>
      </c>
      <c r="H101" s="14">
        <v>22.76</v>
      </c>
      <c r="I101" s="14">
        <f>H101</f>
        <v>22.76</v>
      </c>
      <c r="J101" s="14">
        <v>11.39</v>
      </c>
      <c r="K101" s="14">
        <f t="shared" si="32"/>
        <v>0</v>
      </c>
      <c r="L101" s="14">
        <f t="shared" si="32"/>
        <v>0</v>
      </c>
      <c r="M101" s="14">
        <f t="shared" si="32"/>
        <v>0</v>
      </c>
      <c r="N101" s="14">
        <f t="shared" si="32"/>
        <v>0</v>
      </c>
      <c r="O101" s="14">
        <f t="shared" ref="O101" si="33">(O103)*(O105+O106)/2</f>
        <v>0</v>
      </c>
    </row>
    <row r="102" spans="1:15" ht="18" x14ac:dyDescent="0.25">
      <c r="A102" s="43"/>
      <c r="B102" s="15" t="s">
        <v>213</v>
      </c>
      <c r="C102" s="16" t="s">
        <v>90</v>
      </c>
      <c r="D102" s="16" t="s">
        <v>34</v>
      </c>
      <c r="E102" s="14">
        <f>E101/E66</f>
        <v>0</v>
      </c>
      <c r="F102" s="14">
        <f t="shared" ref="F102" si="34">F101/F66</f>
        <v>0.27244897959183673</v>
      </c>
      <c r="G102" s="14">
        <f t="shared" ref="G102:H102" si="35">G101/G66</f>
        <v>0</v>
      </c>
      <c r="H102" s="14">
        <f t="shared" si="35"/>
        <v>0.2398314014752371</v>
      </c>
      <c r="I102" s="14">
        <f t="shared" ref="I102:J102" si="36">I101/I66</f>
        <v>0.2398314014752371</v>
      </c>
      <c r="J102" s="14">
        <f t="shared" si="36"/>
        <v>0.23489379253454321</v>
      </c>
      <c r="K102" s="14">
        <f t="shared" ref="K102:M102" si="37">K101/K66</f>
        <v>0</v>
      </c>
      <c r="L102" s="14">
        <f t="shared" si="37"/>
        <v>0</v>
      </c>
      <c r="M102" s="14">
        <f t="shared" si="37"/>
        <v>0</v>
      </c>
      <c r="N102" s="14">
        <f t="shared" ref="N102:O102" si="38">N101/N66</f>
        <v>0</v>
      </c>
      <c r="O102" s="14">
        <f t="shared" si="38"/>
        <v>0</v>
      </c>
    </row>
    <row r="103" spans="1:15" ht="18" x14ac:dyDescent="0.25">
      <c r="A103" s="43"/>
      <c r="B103" s="15" t="s">
        <v>82</v>
      </c>
      <c r="C103" s="16" t="s">
        <v>89</v>
      </c>
      <c r="D103" s="16" t="s">
        <v>196</v>
      </c>
      <c r="E103" s="14"/>
      <c r="F103" s="14">
        <v>7.74</v>
      </c>
      <c r="G103" s="14"/>
      <c r="H103" s="14">
        <v>9.68</v>
      </c>
      <c r="I103" s="14">
        <f>H103</f>
        <v>9.68</v>
      </c>
      <c r="J103" s="14"/>
      <c r="K103" s="14"/>
      <c r="L103" s="14">
        <v>7.34</v>
      </c>
      <c r="M103" s="14">
        <v>7.34</v>
      </c>
      <c r="N103" s="14"/>
      <c r="O103" s="14"/>
    </row>
    <row r="104" spans="1:15" ht="18" x14ac:dyDescent="0.25">
      <c r="A104" s="43"/>
      <c r="B104" s="15" t="s">
        <v>214</v>
      </c>
      <c r="C104" s="16" t="s">
        <v>88</v>
      </c>
      <c r="D104" s="16" t="s">
        <v>34</v>
      </c>
      <c r="E104" s="14">
        <f>E103/E67</f>
        <v>0</v>
      </c>
      <c r="F104" s="14">
        <f t="shared" ref="F104" si="39">F103/F67</f>
        <v>0.36202057998129095</v>
      </c>
      <c r="G104" s="14">
        <f t="shared" ref="G104:H104" si="40">G103/G67</f>
        <v>0</v>
      </c>
      <c r="H104" s="14">
        <f t="shared" si="40"/>
        <v>0.33787085514834209</v>
      </c>
      <c r="I104" s="14">
        <f t="shared" ref="I104:J104" si="41">I103/I67</f>
        <v>0.33787085514834209</v>
      </c>
      <c r="J104" s="14">
        <f t="shared" si="41"/>
        <v>0</v>
      </c>
      <c r="K104" s="14">
        <f t="shared" ref="K104:M104" si="42">K103/K67</f>
        <v>0</v>
      </c>
      <c r="L104" s="14">
        <f t="shared" si="42"/>
        <v>0.36246913580246914</v>
      </c>
      <c r="M104" s="14">
        <f t="shared" si="42"/>
        <v>0.36246913580246914</v>
      </c>
      <c r="N104" s="14">
        <f t="shared" ref="N104:O104" si="43">N103/N67</f>
        <v>0</v>
      </c>
      <c r="O104" s="14">
        <f t="shared" si="43"/>
        <v>0</v>
      </c>
    </row>
    <row r="105" spans="1:15" ht="18" x14ac:dyDescent="0.25">
      <c r="A105" s="43"/>
      <c r="B105" s="15" t="s">
        <v>65</v>
      </c>
      <c r="C105" s="16" t="s">
        <v>87</v>
      </c>
      <c r="D105" s="16" t="s">
        <v>196</v>
      </c>
      <c r="E105" s="14"/>
      <c r="F105" s="14">
        <v>1.25</v>
      </c>
      <c r="G105" s="14"/>
      <c r="H105" s="14"/>
      <c r="I105" s="14"/>
      <c r="J105" s="14"/>
      <c r="K105" s="14"/>
      <c r="L105" s="14"/>
      <c r="M105" s="14"/>
      <c r="N105" s="14"/>
      <c r="O105" s="14"/>
    </row>
    <row r="106" spans="1:15" ht="18" x14ac:dyDescent="0.25">
      <c r="A106" s="43"/>
      <c r="B106" s="15" t="s">
        <v>67</v>
      </c>
      <c r="C106" s="16" t="s">
        <v>86</v>
      </c>
      <c r="D106" s="16" t="s">
        <v>196</v>
      </c>
      <c r="E106" s="14"/>
      <c r="F106" s="14">
        <v>2.3199999999999998</v>
      </c>
      <c r="G106" s="14"/>
      <c r="H106" s="14"/>
      <c r="I106" s="14"/>
      <c r="J106" s="14"/>
      <c r="K106" s="14"/>
      <c r="L106" s="14"/>
      <c r="M106" s="14"/>
      <c r="N106" s="14"/>
      <c r="O106" s="14"/>
    </row>
    <row r="107" spans="1:15" ht="18" x14ac:dyDescent="0.25">
      <c r="A107" s="43"/>
      <c r="B107" s="15" t="s">
        <v>13</v>
      </c>
      <c r="C107" s="16" t="s">
        <v>85</v>
      </c>
      <c r="D107" s="16" t="s">
        <v>196</v>
      </c>
      <c r="E107" s="14">
        <f>E105+(E106-E105)/2</f>
        <v>0</v>
      </c>
      <c r="F107" s="14">
        <f t="shared" ref="F107:N107" si="44">F105+(F106-F105)/2</f>
        <v>1.7849999999999999</v>
      </c>
      <c r="G107" s="14">
        <f t="shared" si="44"/>
        <v>0</v>
      </c>
      <c r="H107" s="14">
        <f t="shared" si="44"/>
        <v>0</v>
      </c>
      <c r="I107" s="14">
        <f t="shared" si="44"/>
        <v>0</v>
      </c>
      <c r="J107" s="14">
        <f t="shared" si="44"/>
        <v>0</v>
      </c>
      <c r="K107" s="14">
        <f t="shared" si="44"/>
        <v>0</v>
      </c>
      <c r="L107" s="14">
        <f t="shared" si="44"/>
        <v>0</v>
      </c>
      <c r="M107" s="14">
        <f t="shared" si="44"/>
        <v>0</v>
      </c>
      <c r="N107" s="14">
        <f t="shared" si="44"/>
        <v>0</v>
      </c>
      <c r="O107" s="14">
        <f t="shared" ref="O107" si="45">O105+(O106-O105)/2</f>
        <v>0</v>
      </c>
    </row>
    <row r="108" spans="1:15" ht="18" x14ac:dyDescent="0.25">
      <c r="A108" s="43"/>
      <c r="B108" s="15" t="s">
        <v>14</v>
      </c>
      <c r="C108" s="16" t="s">
        <v>94</v>
      </c>
      <c r="D108" s="16" t="s">
        <v>196</v>
      </c>
      <c r="E108" s="14" t="e">
        <f t="shared" ref="E108:N108" si="46">E106-(2*(E106-E105)*(0.5*E106+E105)/(3*(E106+E105)))</f>
        <v>#DIV/0!</v>
      </c>
      <c r="F108" s="14">
        <f>F106-(2*(F106-F105)*(0.5*F106+F105)/(3*(F106+F105)))</f>
        <v>1.8384500466853406</v>
      </c>
      <c r="G108" s="14" t="e">
        <f t="shared" si="46"/>
        <v>#DIV/0!</v>
      </c>
      <c r="H108" s="14" t="e">
        <f t="shared" si="46"/>
        <v>#DIV/0!</v>
      </c>
      <c r="I108" s="14" t="e">
        <f t="shared" si="46"/>
        <v>#DIV/0!</v>
      </c>
      <c r="J108" s="14" t="e">
        <f t="shared" si="46"/>
        <v>#DIV/0!</v>
      </c>
      <c r="K108" s="14" t="e">
        <f t="shared" si="46"/>
        <v>#DIV/0!</v>
      </c>
      <c r="L108" s="14" t="e">
        <f t="shared" si="46"/>
        <v>#DIV/0!</v>
      </c>
      <c r="M108" s="14" t="e">
        <f t="shared" si="46"/>
        <v>#DIV/0!</v>
      </c>
      <c r="N108" s="14" t="e">
        <f t="shared" si="46"/>
        <v>#DIV/0!</v>
      </c>
      <c r="O108" s="14" t="e">
        <f t="shared" ref="O108" si="47">O106-(2*(O106-O105)*(0.5*O106+O105)/(3*(O106+O105)))</f>
        <v>#DIV/0!</v>
      </c>
    </row>
    <row r="109" spans="1:15" ht="30" x14ac:dyDescent="0.25">
      <c r="A109" s="43"/>
      <c r="B109" s="15" t="s">
        <v>75</v>
      </c>
      <c r="C109" s="16" t="s">
        <v>117</v>
      </c>
      <c r="D109" s="16" t="s">
        <v>196</v>
      </c>
      <c r="E109" s="14"/>
      <c r="F109" s="14"/>
      <c r="G109" s="14"/>
      <c r="H109" s="14"/>
      <c r="I109" s="14"/>
      <c r="J109" s="14"/>
      <c r="K109" s="14"/>
      <c r="L109" s="14"/>
      <c r="M109" s="14"/>
      <c r="N109" s="14"/>
      <c r="O109" s="14"/>
    </row>
    <row r="110" spans="1:15" ht="18" x14ac:dyDescent="0.25">
      <c r="A110" s="43"/>
      <c r="B110" s="15" t="s">
        <v>71</v>
      </c>
      <c r="C110" s="16" t="s">
        <v>95</v>
      </c>
      <c r="D110" s="16" t="s">
        <v>34</v>
      </c>
      <c r="E110" s="14"/>
      <c r="F110" s="14"/>
      <c r="G110" s="14"/>
      <c r="H110" s="14"/>
      <c r="I110" s="14"/>
      <c r="J110" s="14"/>
      <c r="K110" s="14"/>
      <c r="L110" s="14"/>
      <c r="M110" s="14"/>
      <c r="N110" s="14"/>
      <c r="O110" s="14"/>
    </row>
    <row r="111" spans="1:15" ht="30" x14ac:dyDescent="0.25">
      <c r="A111" s="43"/>
      <c r="B111" s="15" t="s">
        <v>15</v>
      </c>
      <c r="C111" s="16" t="s">
        <v>96</v>
      </c>
      <c r="D111" s="16" t="s">
        <v>34</v>
      </c>
      <c r="E111" s="14"/>
      <c r="F111" s="14"/>
      <c r="G111" s="14"/>
      <c r="H111" s="14"/>
      <c r="I111" s="14"/>
      <c r="J111" s="14"/>
      <c r="K111" s="14"/>
      <c r="L111" s="14"/>
      <c r="M111" s="14"/>
      <c r="N111" s="14"/>
      <c r="O111" s="14"/>
    </row>
    <row r="112" spans="1:15" ht="18" x14ac:dyDescent="0.25">
      <c r="A112" s="43"/>
      <c r="B112" s="15" t="s">
        <v>16</v>
      </c>
      <c r="C112" s="16" t="s">
        <v>97</v>
      </c>
      <c r="D112" s="16" t="s">
        <v>212</v>
      </c>
      <c r="E112" s="14"/>
      <c r="F112" s="14"/>
      <c r="G112" s="14"/>
      <c r="H112" s="14"/>
      <c r="I112" s="14"/>
      <c r="J112" s="14"/>
      <c r="K112" s="14"/>
      <c r="L112" s="14"/>
      <c r="M112" s="14"/>
      <c r="N112" s="14"/>
      <c r="O112" s="14"/>
    </row>
    <row r="113" spans="1:15" ht="18" x14ac:dyDescent="0.25">
      <c r="A113" s="43"/>
      <c r="B113" s="15" t="s">
        <v>17</v>
      </c>
      <c r="C113" s="16" t="s">
        <v>98</v>
      </c>
      <c r="D113" s="16" t="s">
        <v>212</v>
      </c>
      <c r="F113" s="2"/>
      <c r="G113" s="2"/>
      <c r="H113" s="2"/>
      <c r="I113" s="2"/>
      <c r="J113" s="2"/>
      <c r="K113" s="2"/>
      <c r="L113" s="2"/>
      <c r="M113" s="2"/>
      <c r="N113" s="2"/>
      <c r="O113" s="2"/>
    </row>
    <row r="114" spans="1:15" x14ac:dyDescent="0.25">
      <c r="A114" s="43"/>
      <c r="B114" s="15" t="s">
        <v>18</v>
      </c>
      <c r="C114" s="16" t="s">
        <v>34</v>
      </c>
      <c r="D114" s="16" t="s">
        <v>34</v>
      </c>
      <c r="F114" s="2"/>
      <c r="G114" s="2"/>
      <c r="H114" s="2"/>
      <c r="I114" s="2"/>
      <c r="J114" s="2"/>
      <c r="K114" s="2"/>
      <c r="L114" s="2"/>
      <c r="M114" s="2"/>
      <c r="N114" s="2"/>
      <c r="O114" s="2"/>
    </row>
    <row r="115" spans="1:15" ht="30" x14ac:dyDescent="0.25">
      <c r="A115" s="43"/>
      <c r="B115" s="15" t="s">
        <v>78</v>
      </c>
      <c r="C115" s="16" t="s">
        <v>99</v>
      </c>
      <c r="D115" s="16" t="s">
        <v>34</v>
      </c>
      <c r="F115" s="2"/>
      <c r="G115" s="2"/>
      <c r="H115" s="2"/>
      <c r="I115" s="2"/>
      <c r="J115" s="2"/>
      <c r="K115" s="2"/>
      <c r="L115" s="2"/>
      <c r="M115" s="2"/>
      <c r="N115" s="2"/>
      <c r="O115" s="2"/>
    </row>
    <row r="116" spans="1:15" ht="18" x14ac:dyDescent="0.25">
      <c r="A116" s="43"/>
      <c r="B116" s="15" t="s">
        <v>102</v>
      </c>
      <c r="C116" s="16" t="s">
        <v>103</v>
      </c>
      <c r="D116" s="16" t="s">
        <v>209</v>
      </c>
      <c r="E116" s="2">
        <f>E101*E100/(E66*E72)</f>
        <v>0</v>
      </c>
      <c r="F116" s="2">
        <f t="shared" ref="F116" si="48">F101*F100/(F66*F72)</f>
        <v>0</v>
      </c>
      <c r="G116" s="2" t="e">
        <f t="shared" ref="G116:H116" si="49">G101*G100/(G66*G72)</f>
        <v>#DIV/0!</v>
      </c>
      <c r="H116" s="2">
        <f t="shared" si="49"/>
        <v>0</v>
      </c>
      <c r="I116" s="2">
        <f t="shared" ref="I116:J116" si="50">I101*I100/(I66*I72)</f>
        <v>0</v>
      </c>
      <c r="J116" s="2" t="e">
        <f t="shared" si="50"/>
        <v>#DIV/0!</v>
      </c>
      <c r="K116" s="2" t="e">
        <f t="shared" ref="K116:M116" si="51">K101*K100/(K66*K72)</f>
        <v>#DIV/0!</v>
      </c>
      <c r="L116" s="2" t="e">
        <f t="shared" si="51"/>
        <v>#DIV/0!</v>
      </c>
      <c r="M116" s="2" t="e">
        <f t="shared" si="51"/>
        <v>#DIV/0!</v>
      </c>
      <c r="N116" s="2" t="e">
        <f t="shared" ref="N116:O116" si="52">N101*N100/(N66*N72)</f>
        <v>#DIV/0!</v>
      </c>
      <c r="O116" s="2" t="e">
        <f t="shared" si="52"/>
        <v>#DIV/0!</v>
      </c>
    </row>
    <row r="117" spans="1:15" s="44" customFormat="1" x14ac:dyDescent="0.25"/>
    <row r="118" spans="1:15" ht="18" x14ac:dyDescent="0.25">
      <c r="A118" s="43" t="s">
        <v>105</v>
      </c>
      <c r="B118" s="15" t="s">
        <v>106</v>
      </c>
      <c r="C118" s="16" t="s">
        <v>108</v>
      </c>
      <c r="D118" s="16" t="s">
        <v>196</v>
      </c>
      <c r="F118" s="2"/>
      <c r="G118" s="2"/>
      <c r="H118" s="2"/>
      <c r="I118" s="2"/>
      <c r="J118" s="2"/>
      <c r="K118" s="2"/>
      <c r="L118" s="2"/>
      <c r="M118" s="2"/>
      <c r="N118" s="2"/>
      <c r="O118" s="2"/>
    </row>
    <row r="119" spans="1:15" ht="18" x14ac:dyDescent="0.25">
      <c r="A119" s="43"/>
      <c r="B119" s="15" t="s">
        <v>217</v>
      </c>
      <c r="C119" s="16" t="s">
        <v>109</v>
      </c>
      <c r="D119" s="16" t="s">
        <v>34</v>
      </c>
      <c r="E119" s="2" t="e">
        <f>E118/E103</f>
        <v>#DIV/0!</v>
      </c>
      <c r="F119" s="2">
        <f t="shared" ref="F119" si="53">F118/F103</f>
        <v>0</v>
      </c>
      <c r="G119" s="2" t="e">
        <f t="shared" ref="G119:H119" si="54">G118/G103</f>
        <v>#DIV/0!</v>
      </c>
      <c r="H119" s="2">
        <f t="shared" si="54"/>
        <v>0</v>
      </c>
      <c r="I119" s="2">
        <f t="shared" ref="I119:J119" si="55">I118/I103</f>
        <v>0</v>
      </c>
      <c r="J119" s="2" t="e">
        <f t="shared" si="55"/>
        <v>#DIV/0!</v>
      </c>
      <c r="K119" s="2" t="e">
        <f t="shared" ref="K119:M119" si="56">K118/K103</f>
        <v>#DIV/0!</v>
      </c>
      <c r="L119" s="2">
        <f t="shared" si="56"/>
        <v>0</v>
      </c>
      <c r="M119" s="2">
        <f t="shared" si="56"/>
        <v>0</v>
      </c>
      <c r="N119" s="2" t="e">
        <f t="shared" ref="N119:O119" si="57">N118/N103</f>
        <v>#DIV/0!</v>
      </c>
      <c r="O119" s="2" t="e">
        <f t="shared" si="57"/>
        <v>#DIV/0!</v>
      </c>
    </row>
    <row r="120" spans="1:15" ht="18" x14ac:dyDescent="0.25">
      <c r="A120" s="43"/>
      <c r="B120" s="15" t="s">
        <v>107</v>
      </c>
      <c r="C120" s="16" t="s">
        <v>110</v>
      </c>
      <c r="D120" s="16" t="s">
        <v>34</v>
      </c>
      <c r="F120" s="2"/>
      <c r="G120" s="2"/>
      <c r="H120" s="2"/>
      <c r="I120" s="2"/>
      <c r="J120" s="2"/>
      <c r="K120" s="2"/>
      <c r="L120" s="2"/>
      <c r="M120" s="2"/>
      <c r="N120" s="2"/>
      <c r="O120" s="2"/>
    </row>
    <row r="121" spans="1:15" s="44" customFormat="1" x14ac:dyDescent="0.25"/>
    <row r="122" spans="1:15" ht="15" customHeight="1" x14ac:dyDescent="0.25">
      <c r="A122" s="43" t="s">
        <v>111</v>
      </c>
      <c r="B122" s="15" t="s">
        <v>11</v>
      </c>
      <c r="C122" s="16" t="s">
        <v>118</v>
      </c>
      <c r="D122" s="16" t="s">
        <v>196</v>
      </c>
      <c r="F122" s="2"/>
      <c r="G122" s="2"/>
      <c r="H122" s="2"/>
      <c r="I122" s="2"/>
      <c r="J122" s="2"/>
      <c r="K122" s="2"/>
      <c r="L122" s="2"/>
      <c r="M122" s="2"/>
      <c r="N122" s="2"/>
      <c r="O122" s="2"/>
    </row>
    <row r="123" spans="1:15" ht="18" x14ac:dyDescent="0.25">
      <c r="A123" s="43"/>
      <c r="B123" s="15" t="s">
        <v>12</v>
      </c>
      <c r="C123" s="16" t="s">
        <v>119</v>
      </c>
      <c r="D123" s="16" t="s">
        <v>196</v>
      </c>
      <c r="F123" s="2"/>
      <c r="G123" s="2"/>
      <c r="H123" s="2"/>
      <c r="I123" s="2"/>
      <c r="J123" s="2"/>
      <c r="K123" s="2"/>
      <c r="L123" s="2"/>
      <c r="M123" s="2"/>
      <c r="N123" s="2"/>
      <c r="O123" s="2"/>
    </row>
    <row r="124" spans="1:15" ht="18" x14ac:dyDescent="0.25">
      <c r="A124" s="43"/>
      <c r="B124" s="15" t="s">
        <v>83</v>
      </c>
      <c r="C124" s="16" t="s">
        <v>120</v>
      </c>
      <c r="D124" s="16" t="s">
        <v>208</v>
      </c>
      <c r="E124" s="2">
        <f>E126*(E128+E129)/2</f>
        <v>0</v>
      </c>
      <c r="F124" s="2">
        <v>9.82</v>
      </c>
      <c r="G124" s="2">
        <f t="shared" ref="G124:N124" si="58">G126*(G128+G129)/2</f>
        <v>0</v>
      </c>
      <c r="H124" s="2">
        <v>17.28</v>
      </c>
      <c r="I124" s="2">
        <f>H124</f>
        <v>17.28</v>
      </c>
      <c r="J124" s="2">
        <f t="shared" si="58"/>
        <v>0</v>
      </c>
      <c r="K124" s="2">
        <f t="shared" si="58"/>
        <v>0</v>
      </c>
      <c r="L124" s="2">
        <f t="shared" si="58"/>
        <v>0</v>
      </c>
      <c r="M124" s="2">
        <f t="shared" si="58"/>
        <v>0</v>
      </c>
      <c r="N124" s="2">
        <f t="shared" si="58"/>
        <v>0</v>
      </c>
      <c r="O124" s="2">
        <f t="shared" ref="O124" si="59">O126*(O128+O129)/2</f>
        <v>0</v>
      </c>
    </row>
    <row r="125" spans="1:15" ht="18" x14ac:dyDescent="0.25">
      <c r="A125" s="43"/>
      <c r="B125" s="15" t="s">
        <v>218</v>
      </c>
      <c r="C125" s="16" t="s">
        <v>121</v>
      </c>
      <c r="D125" s="16" t="s">
        <v>34</v>
      </c>
      <c r="E125" s="2">
        <f>E124/E66</f>
        <v>0</v>
      </c>
      <c r="F125" s="2">
        <f t="shared" ref="F125" si="60">F124/F66</f>
        <v>0.20040816326530614</v>
      </c>
      <c r="G125" s="2">
        <f t="shared" ref="G125:H125" si="61">G124/G66</f>
        <v>0</v>
      </c>
      <c r="H125" s="2">
        <f t="shared" si="61"/>
        <v>0.182086406743941</v>
      </c>
      <c r="I125" s="2">
        <f t="shared" ref="I125:J125" si="62">I124/I66</f>
        <v>0.182086406743941</v>
      </c>
      <c r="J125" s="2">
        <f t="shared" si="62"/>
        <v>0</v>
      </c>
      <c r="K125" s="2">
        <f t="shared" ref="K125:M125" si="63">K124/K66</f>
        <v>0</v>
      </c>
      <c r="L125" s="2">
        <f t="shared" si="63"/>
        <v>0</v>
      </c>
      <c r="M125" s="2">
        <f t="shared" si="63"/>
        <v>0</v>
      </c>
      <c r="N125" s="2">
        <f t="shared" ref="N125:O125" si="64">N124/N66</f>
        <v>0</v>
      </c>
      <c r="O125" s="2">
        <f t="shared" si="64"/>
        <v>0</v>
      </c>
    </row>
    <row r="126" spans="1:15" ht="18" x14ac:dyDescent="0.25">
      <c r="A126" s="43"/>
      <c r="B126" s="15" t="s">
        <v>82</v>
      </c>
      <c r="C126" s="16" t="s">
        <v>122</v>
      </c>
      <c r="D126" s="16" t="s">
        <v>196</v>
      </c>
      <c r="F126" s="2"/>
      <c r="G126" s="2"/>
      <c r="H126" s="2"/>
      <c r="I126" s="2"/>
      <c r="J126" s="2"/>
      <c r="K126" s="2"/>
      <c r="L126" s="2"/>
      <c r="M126" s="2"/>
      <c r="N126" s="2"/>
      <c r="O126" s="2"/>
    </row>
    <row r="127" spans="1:15" ht="18" x14ac:dyDescent="0.25">
      <c r="A127" s="43"/>
      <c r="B127" s="15" t="s">
        <v>219</v>
      </c>
      <c r="C127" s="16" t="s">
        <v>123</v>
      </c>
      <c r="D127" s="16" t="s">
        <v>34</v>
      </c>
      <c r="E127" s="2">
        <f>E126/E67</f>
        <v>0</v>
      </c>
      <c r="F127" s="2">
        <f t="shared" ref="F127" si="65">F126/F67</f>
        <v>0</v>
      </c>
      <c r="G127" s="2">
        <f t="shared" ref="G127:H127" si="66">G126/G67</f>
        <v>0</v>
      </c>
      <c r="H127" s="2">
        <f t="shared" si="66"/>
        <v>0</v>
      </c>
      <c r="I127" s="2">
        <f t="shared" ref="I127:J127" si="67">I126/I67</f>
        <v>0</v>
      </c>
      <c r="J127" s="2">
        <f t="shared" si="67"/>
        <v>0</v>
      </c>
      <c r="K127" s="2">
        <f t="shared" ref="K127:M127" si="68">K126/K67</f>
        <v>0</v>
      </c>
      <c r="L127" s="2">
        <f t="shared" si="68"/>
        <v>0</v>
      </c>
      <c r="M127" s="2">
        <f t="shared" si="68"/>
        <v>0</v>
      </c>
      <c r="N127" s="2">
        <f t="shared" ref="N127:O127" si="69">N126/N67</f>
        <v>0</v>
      </c>
      <c r="O127" s="2">
        <f t="shared" si="69"/>
        <v>0</v>
      </c>
    </row>
    <row r="128" spans="1:15" ht="18" x14ac:dyDescent="0.25">
      <c r="A128" s="43"/>
      <c r="B128" s="15" t="s">
        <v>65</v>
      </c>
      <c r="C128" s="16" t="s">
        <v>124</v>
      </c>
      <c r="D128" s="16" t="s">
        <v>196</v>
      </c>
      <c r="F128" s="2"/>
      <c r="G128" s="2"/>
      <c r="H128" s="2"/>
      <c r="I128" s="2"/>
      <c r="J128" s="2"/>
      <c r="K128" s="2"/>
      <c r="L128" s="2"/>
      <c r="M128" s="2"/>
      <c r="N128" s="2"/>
      <c r="O128" s="2"/>
    </row>
    <row r="129" spans="1:15" ht="18" x14ac:dyDescent="0.25">
      <c r="A129" s="43"/>
      <c r="B129" s="15" t="s">
        <v>67</v>
      </c>
      <c r="C129" s="16" t="s">
        <v>125</v>
      </c>
      <c r="D129" s="16" t="s">
        <v>196</v>
      </c>
      <c r="F129" s="2"/>
      <c r="G129" s="2"/>
      <c r="H129" s="2"/>
      <c r="I129" s="2"/>
      <c r="J129" s="2"/>
      <c r="K129" s="2"/>
      <c r="L129" s="2"/>
      <c r="M129" s="2"/>
      <c r="N129" s="2"/>
      <c r="O129" s="2"/>
    </row>
    <row r="130" spans="1:15" ht="18" x14ac:dyDescent="0.25">
      <c r="A130" s="43"/>
      <c r="B130" s="15" t="s">
        <v>13</v>
      </c>
      <c r="C130" s="16" t="s">
        <v>126</v>
      </c>
      <c r="D130" s="16" t="s">
        <v>196</v>
      </c>
      <c r="F130" s="2"/>
      <c r="G130" s="2"/>
      <c r="H130" s="2"/>
      <c r="I130" s="2"/>
      <c r="J130" s="2"/>
      <c r="K130" s="2"/>
      <c r="L130" s="2"/>
      <c r="M130" s="2"/>
      <c r="N130" s="2"/>
      <c r="O130" s="2"/>
    </row>
    <row r="131" spans="1:15" ht="18" x14ac:dyDescent="0.25">
      <c r="A131" s="43"/>
      <c r="B131" s="15" t="s">
        <v>14</v>
      </c>
      <c r="C131" s="16" t="s">
        <v>127</v>
      </c>
      <c r="D131" s="16" t="s">
        <v>196</v>
      </c>
      <c r="F131" s="2"/>
      <c r="G131" s="2"/>
      <c r="H131" s="2"/>
      <c r="I131" s="2"/>
      <c r="J131" s="2"/>
      <c r="K131" s="2"/>
      <c r="L131" s="2"/>
      <c r="M131" s="2"/>
      <c r="N131" s="2"/>
      <c r="O131" s="2"/>
    </row>
    <row r="132" spans="1:15" ht="30" x14ac:dyDescent="0.25">
      <c r="A132" s="43"/>
      <c r="B132" s="15" t="s">
        <v>75</v>
      </c>
      <c r="C132" s="16" t="s">
        <v>128</v>
      </c>
      <c r="D132" s="16" t="s">
        <v>196</v>
      </c>
      <c r="F132" s="2"/>
      <c r="G132" s="2"/>
      <c r="H132" s="2"/>
      <c r="I132" s="2"/>
      <c r="J132" s="2"/>
      <c r="K132" s="2"/>
      <c r="L132" s="2"/>
      <c r="M132" s="2"/>
      <c r="N132" s="2"/>
      <c r="O132" s="2"/>
    </row>
    <row r="133" spans="1:15" ht="18" x14ac:dyDescent="0.25">
      <c r="A133" s="43"/>
      <c r="B133" s="15" t="s">
        <v>71</v>
      </c>
      <c r="C133" s="16" t="s">
        <v>134</v>
      </c>
      <c r="D133" s="16" t="s">
        <v>34</v>
      </c>
      <c r="F133" s="2"/>
      <c r="G133" s="2"/>
      <c r="H133" s="2"/>
      <c r="I133" s="2"/>
      <c r="J133" s="2"/>
      <c r="K133" s="2"/>
      <c r="L133" s="2"/>
      <c r="M133" s="2"/>
      <c r="N133" s="2"/>
      <c r="O133" s="2"/>
    </row>
    <row r="134" spans="1:15" ht="30" x14ac:dyDescent="0.25">
      <c r="A134" s="43"/>
      <c r="B134" s="15" t="s">
        <v>15</v>
      </c>
      <c r="C134" s="16" t="s">
        <v>133</v>
      </c>
      <c r="D134" s="16" t="s">
        <v>34</v>
      </c>
      <c r="F134" s="2"/>
      <c r="G134" s="2"/>
      <c r="H134" s="2"/>
      <c r="I134" s="2"/>
      <c r="J134" s="2"/>
      <c r="K134" s="2"/>
      <c r="L134" s="2"/>
      <c r="M134" s="2"/>
      <c r="N134" s="2"/>
      <c r="O134" s="2"/>
    </row>
    <row r="135" spans="1:15" ht="18" x14ac:dyDescent="0.25">
      <c r="A135" s="43"/>
      <c r="B135" s="15" t="s">
        <v>16</v>
      </c>
      <c r="C135" s="16" t="s">
        <v>132</v>
      </c>
      <c r="D135" s="16" t="s">
        <v>212</v>
      </c>
      <c r="F135" s="2"/>
      <c r="G135" s="2"/>
      <c r="H135" s="2"/>
      <c r="I135" s="2"/>
      <c r="J135" s="2"/>
      <c r="K135" s="2"/>
      <c r="L135" s="2"/>
      <c r="M135" s="2"/>
      <c r="N135" s="2"/>
      <c r="O135" s="2"/>
    </row>
    <row r="136" spans="1:15" ht="18" x14ac:dyDescent="0.25">
      <c r="A136" s="43"/>
      <c r="B136" s="15" t="s">
        <v>17</v>
      </c>
      <c r="C136" s="16" t="s">
        <v>131</v>
      </c>
      <c r="D136" s="16" t="s">
        <v>212</v>
      </c>
      <c r="F136" s="2"/>
      <c r="G136" s="2"/>
      <c r="H136" s="2"/>
      <c r="I136" s="2"/>
      <c r="J136" s="2"/>
      <c r="K136" s="2"/>
      <c r="L136" s="2"/>
      <c r="M136" s="2"/>
      <c r="N136" s="2"/>
      <c r="O136" s="2"/>
    </row>
    <row r="137" spans="1:15" x14ac:dyDescent="0.25">
      <c r="A137" s="43"/>
      <c r="B137" s="15" t="s">
        <v>18</v>
      </c>
      <c r="C137" s="16" t="s">
        <v>34</v>
      </c>
      <c r="D137" s="16" t="s">
        <v>34</v>
      </c>
      <c r="F137" s="2"/>
      <c r="G137" s="2"/>
      <c r="H137" s="2"/>
      <c r="I137" s="2"/>
      <c r="J137" s="2"/>
      <c r="K137" s="2"/>
      <c r="L137" s="2"/>
      <c r="M137" s="2"/>
      <c r="N137" s="2"/>
      <c r="O137" s="2"/>
    </row>
    <row r="138" spans="1:15" ht="30" x14ac:dyDescent="0.25">
      <c r="A138" s="43"/>
      <c r="B138" s="15" t="s">
        <v>78</v>
      </c>
      <c r="C138" s="16" t="s">
        <v>130</v>
      </c>
      <c r="D138" s="16" t="s">
        <v>34</v>
      </c>
      <c r="F138" s="2"/>
      <c r="G138" s="2"/>
      <c r="H138" s="2"/>
      <c r="I138" s="2"/>
      <c r="J138" s="2"/>
      <c r="K138" s="2"/>
      <c r="L138" s="2"/>
      <c r="M138" s="2"/>
      <c r="N138" s="2"/>
      <c r="O138" s="2"/>
    </row>
    <row r="139" spans="1:15" ht="18" x14ac:dyDescent="0.25">
      <c r="A139" s="43"/>
      <c r="B139" s="15" t="s">
        <v>102</v>
      </c>
      <c r="C139" s="16" t="s">
        <v>129</v>
      </c>
      <c r="D139" s="16" t="s">
        <v>209</v>
      </c>
      <c r="E139" s="2">
        <f>E124*E123/(E66*E67)</f>
        <v>0</v>
      </c>
      <c r="F139" s="2">
        <f t="shared" ref="F139" si="70">F124*F123/(F66*F67)</f>
        <v>0</v>
      </c>
      <c r="G139" s="2">
        <f t="shared" ref="G139:H139" si="71">G124*G123/(G66*G67)</f>
        <v>0</v>
      </c>
      <c r="H139" s="2">
        <f t="shared" si="71"/>
        <v>0</v>
      </c>
      <c r="I139" s="2">
        <f t="shared" ref="I139:J139" si="72">I124*I123/(I66*I67)</f>
        <v>0</v>
      </c>
      <c r="J139" s="2">
        <f t="shared" si="72"/>
        <v>0</v>
      </c>
      <c r="K139" s="2">
        <f t="shared" ref="K139:M139" si="73">K124*K123/(K66*K67)</f>
        <v>0</v>
      </c>
      <c r="L139" s="2">
        <f t="shared" si="73"/>
        <v>0</v>
      </c>
      <c r="M139" s="2">
        <f t="shared" si="73"/>
        <v>0</v>
      </c>
      <c r="N139" s="2">
        <f t="shared" ref="N139:O139" si="74">N124*N123/(N66*N67)</f>
        <v>0</v>
      </c>
      <c r="O139" s="2">
        <f t="shared" si="74"/>
        <v>0</v>
      </c>
    </row>
    <row r="140" spans="1:15" s="44" customFormat="1" x14ac:dyDescent="0.25"/>
    <row r="141" spans="1:15" ht="18" x14ac:dyDescent="0.25">
      <c r="A141" s="43" t="s">
        <v>112</v>
      </c>
      <c r="B141" s="15" t="s">
        <v>106</v>
      </c>
      <c r="C141" s="16" t="s">
        <v>114</v>
      </c>
      <c r="D141" s="16" t="s">
        <v>196</v>
      </c>
      <c r="F141" s="2"/>
      <c r="G141" s="2"/>
      <c r="H141" s="2"/>
      <c r="I141" s="2"/>
      <c r="J141" s="2"/>
      <c r="K141" s="2"/>
      <c r="L141" s="2"/>
      <c r="M141" s="2"/>
      <c r="N141" s="2"/>
      <c r="O141" s="2"/>
    </row>
    <row r="142" spans="1:15" ht="18" x14ac:dyDescent="0.25">
      <c r="A142" s="43"/>
      <c r="B142" s="15" t="s">
        <v>224</v>
      </c>
      <c r="C142" s="16" t="s">
        <v>115</v>
      </c>
      <c r="D142" s="16" t="s">
        <v>34</v>
      </c>
      <c r="E142" s="2" t="e">
        <f>E141/E126</f>
        <v>#DIV/0!</v>
      </c>
      <c r="F142" s="2" t="e">
        <f t="shared" ref="F142" si="75">F141/F126</f>
        <v>#DIV/0!</v>
      </c>
      <c r="G142" s="2" t="e">
        <f t="shared" ref="G142:H142" si="76">G141/G126</f>
        <v>#DIV/0!</v>
      </c>
      <c r="H142" s="2" t="e">
        <f t="shared" si="76"/>
        <v>#DIV/0!</v>
      </c>
      <c r="I142" s="2" t="e">
        <f t="shared" ref="I142:J142" si="77">I141/I126</f>
        <v>#DIV/0!</v>
      </c>
      <c r="J142" s="2" t="e">
        <f t="shared" si="77"/>
        <v>#DIV/0!</v>
      </c>
      <c r="K142" s="2" t="e">
        <f t="shared" ref="K142:M142" si="78">K141/K126</f>
        <v>#DIV/0!</v>
      </c>
      <c r="L142" s="2" t="e">
        <f t="shared" si="78"/>
        <v>#DIV/0!</v>
      </c>
      <c r="M142" s="2" t="e">
        <f t="shared" si="78"/>
        <v>#DIV/0!</v>
      </c>
      <c r="N142" s="2" t="e">
        <f t="shared" ref="N142:O142" si="79">N141/N126</f>
        <v>#DIV/0!</v>
      </c>
      <c r="O142" s="2" t="e">
        <f t="shared" si="79"/>
        <v>#DIV/0!</v>
      </c>
    </row>
    <row r="143" spans="1:15" ht="18" x14ac:dyDescent="0.25">
      <c r="A143" s="43"/>
      <c r="B143" s="15" t="s">
        <v>113</v>
      </c>
      <c r="C143" s="16" t="s">
        <v>116</v>
      </c>
      <c r="D143" s="16" t="s">
        <v>34</v>
      </c>
      <c r="F143" s="2"/>
      <c r="G143" s="2"/>
      <c r="H143" s="2"/>
      <c r="I143" s="2"/>
      <c r="J143" s="2"/>
      <c r="K143" s="2"/>
      <c r="L143" s="2"/>
      <c r="M143" s="2"/>
      <c r="N143" s="2"/>
      <c r="O143" s="2"/>
    </row>
    <row r="144" spans="1:15" s="44" customFormat="1" x14ac:dyDescent="0.25"/>
    <row r="145" spans="1:15" x14ac:dyDescent="0.25">
      <c r="A145" s="43" t="s">
        <v>33</v>
      </c>
      <c r="B145" s="15" t="s">
        <v>19</v>
      </c>
      <c r="C145" s="16" t="s">
        <v>34</v>
      </c>
      <c r="D145" s="16" t="s">
        <v>34</v>
      </c>
      <c r="E145" s="2" t="s">
        <v>315</v>
      </c>
      <c r="F145" s="2" t="s">
        <v>315</v>
      </c>
      <c r="G145" s="2" t="s">
        <v>315</v>
      </c>
      <c r="H145" s="2" t="s">
        <v>315</v>
      </c>
      <c r="I145" s="2" t="s">
        <v>315</v>
      </c>
      <c r="J145" s="2" t="s">
        <v>315</v>
      </c>
      <c r="K145" s="2" t="s">
        <v>315</v>
      </c>
      <c r="L145" s="2" t="s">
        <v>315</v>
      </c>
      <c r="M145" s="2" t="s">
        <v>315</v>
      </c>
      <c r="N145" s="2" t="s">
        <v>315</v>
      </c>
      <c r="O145" s="2" t="s">
        <v>315</v>
      </c>
    </row>
    <row r="146" spans="1:15" x14ac:dyDescent="0.25">
      <c r="A146" s="43"/>
      <c r="B146" s="15" t="s">
        <v>136</v>
      </c>
      <c r="C146" s="16" t="s">
        <v>137</v>
      </c>
      <c r="D146" s="16" t="s">
        <v>196</v>
      </c>
      <c r="E146" s="14">
        <v>4.32</v>
      </c>
      <c r="F146" s="14">
        <v>4.45</v>
      </c>
      <c r="G146" s="14">
        <v>4.45</v>
      </c>
      <c r="H146" s="14">
        <v>4.0599999999999996</v>
      </c>
      <c r="I146" s="14">
        <f>H146</f>
        <v>4.0599999999999996</v>
      </c>
      <c r="J146" s="14">
        <v>3.2</v>
      </c>
      <c r="K146" s="14"/>
      <c r="L146" s="14"/>
      <c r="M146" s="14"/>
      <c r="N146" s="14"/>
      <c r="O146" s="14">
        <v>3.23</v>
      </c>
    </row>
    <row r="147" spans="1:15" x14ac:dyDescent="0.25">
      <c r="A147" s="43"/>
      <c r="B147" s="15" t="s">
        <v>135</v>
      </c>
      <c r="C147" s="16" t="s">
        <v>138</v>
      </c>
      <c r="D147" s="16" t="s">
        <v>196</v>
      </c>
      <c r="E147" s="14">
        <v>9.74</v>
      </c>
      <c r="F147" s="14">
        <v>7.9</v>
      </c>
      <c r="G147" s="14">
        <v>7.39</v>
      </c>
      <c r="H147" s="14">
        <v>12.78</v>
      </c>
      <c r="I147" s="14">
        <f>H147</f>
        <v>12.78</v>
      </c>
      <c r="J147" s="14">
        <v>8.4600000000000009</v>
      </c>
      <c r="K147" s="14"/>
      <c r="L147" s="14"/>
      <c r="M147" s="14"/>
      <c r="N147" s="14"/>
      <c r="O147" s="14">
        <v>9.11</v>
      </c>
    </row>
    <row r="148" spans="1:15" x14ac:dyDescent="0.25">
      <c r="A148" s="43"/>
      <c r="B148" s="15" t="s">
        <v>142</v>
      </c>
      <c r="C148" s="16" t="s">
        <v>139</v>
      </c>
      <c r="D148" s="16" t="s">
        <v>34</v>
      </c>
      <c r="E148" s="14">
        <f>E146/E147</f>
        <v>0.44353182751540043</v>
      </c>
      <c r="F148" s="14">
        <f t="shared" ref="F148" si="80">F146/F147</f>
        <v>0.56329113924050633</v>
      </c>
      <c r="G148" s="14">
        <f t="shared" ref="G148:H148" si="81">G146/G147</f>
        <v>0.60216508795669832</v>
      </c>
      <c r="H148" s="14">
        <f t="shared" si="81"/>
        <v>0.31768388106416273</v>
      </c>
      <c r="I148" s="14">
        <f t="shared" ref="I148:J148" si="82">I146/I147</f>
        <v>0.31768388106416273</v>
      </c>
      <c r="J148" s="14">
        <f t="shared" si="82"/>
        <v>0.37825059101654845</v>
      </c>
      <c r="K148" s="14" t="e">
        <f t="shared" ref="K148:M148" si="83">K146/K147</f>
        <v>#DIV/0!</v>
      </c>
      <c r="L148" s="14" t="e">
        <f t="shared" si="83"/>
        <v>#DIV/0!</v>
      </c>
      <c r="M148" s="14" t="e">
        <f t="shared" si="83"/>
        <v>#DIV/0!</v>
      </c>
      <c r="N148" s="14" t="e">
        <f t="shared" ref="N148:O148" si="84">N146/N147</f>
        <v>#DIV/0!</v>
      </c>
      <c r="O148" s="14">
        <f t="shared" si="84"/>
        <v>0.35455543358946218</v>
      </c>
    </row>
    <row r="149" spans="1:15" x14ac:dyDescent="0.25">
      <c r="A149" s="43"/>
      <c r="B149" s="15" t="s">
        <v>141</v>
      </c>
      <c r="C149" s="16" t="s">
        <v>140</v>
      </c>
      <c r="D149" s="16" t="s">
        <v>34</v>
      </c>
      <c r="E149" s="14">
        <f>E146/E67</f>
        <v>0.16482258679893172</v>
      </c>
      <c r="F149" s="14">
        <f t="shared" ref="F149" si="85">F146/F67</f>
        <v>0.20813844714686625</v>
      </c>
      <c r="G149" s="14">
        <f t="shared" ref="G149:H149" si="86">G146/G67</f>
        <v>0.20813844714686625</v>
      </c>
      <c r="H149" s="14">
        <f t="shared" si="86"/>
        <v>0.14171029668411866</v>
      </c>
      <c r="I149" s="14">
        <f t="shared" ref="I149:J149" si="87">I146/I67</f>
        <v>0.14171029668411866</v>
      </c>
      <c r="J149" s="14">
        <f t="shared" si="87"/>
        <v>0.15238095238095239</v>
      </c>
      <c r="K149" s="14">
        <f t="shared" ref="K149:M149" si="88">K146/K67</f>
        <v>0</v>
      </c>
      <c r="L149" s="14">
        <f t="shared" si="88"/>
        <v>0</v>
      </c>
      <c r="M149" s="14">
        <f t="shared" si="88"/>
        <v>0</v>
      </c>
      <c r="N149" s="14">
        <f t="shared" ref="N149:O149" si="89">N146/N67</f>
        <v>0</v>
      </c>
      <c r="O149" s="14">
        <f t="shared" si="89"/>
        <v>0.15315315315315314</v>
      </c>
    </row>
    <row r="150" spans="1:15" ht="18" x14ac:dyDescent="0.25">
      <c r="A150" s="43"/>
      <c r="B150" s="15" t="s">
        <v>220</v>
      </c>
      <c r="C150" s="16" t="s">
        <v>143</v>
      </c>
      <c r="D150" s="16" t="s">
        <v>34</v>
      </c>
      <c r="E150" s="14">
        <f>E147/E54</f>
        <v>0.42000862440707198</v>
      </c>
      <c r="F150" s="14">
        <f t="shared" ref="F150" si="90">F147/F54</f>
        <v>0.39050914483440435</v>
      </c>
      <c r="G150" s="14">
        <f t="shared" ref="G150:H150" si="91">G147/G54</f>
        <v>0.36529906080079089</v>
      </c>
      <c r="H150" s="14">
        <f t="shared" si="91"/>
        <v>0.42178217821782177</v>
      </c>
      <c r="I150" s="14">
        <f t="shared" ref="I150:J150" si="92">I147/I54</f>
        <v>0.43322033898305085</v>
      </c>
      <c r="J150" s="14">
        <f t="shared" si="92"/>
        <v>0.40478468899521536</v>
      </c>
      <c r="K150" s="14">
        <f t="shared" ref="K150:M150" si="93">K147/K54</f>
        <v>0</v>
      </c>
      <c r="L150" s="14">
        <f t="shared" si="93"/>
        <v>0</v>
      </c>
      <c r="M150" s="14">
        <f t="shared" si="93"/>
        <v>0</v>
      </c>
      <c r="N150" s="14">
        <f t="shared" ref="N150:O150" si="94">N147/N54</f>
        <v>0</v>
      </c>
      <c r="O150" s="14">
        <f t="shared" si="94"/>
        <v>0.40615247436469015</v>
      </c>
    </row>
    <row r="151" spans="1:15" ht="18" x14ac:dyDescent="0.25">
      <c r="A151" s="43"/>
      <c r="B151" s="15" t="s">
        <v>145</v>
      </c>
      <c r="C151" s="16" t="s">
        <v>144</v>
      </c>
      <c r="D151" s="16" t="s">
        <v>34</v>
      </c>
      <c r="E151" s="2">
        <v>2</v>
      </c>
      <c r="F151" s="2">
        <v>2</v>
      </c>
      <c r="G151" s="2">
        <v>2</v>
      </c>
      <c r="H151" s="2"/>
      <c r="I151" s="2"/>
      <c r="J151" s="2">
        <v>2</v>
      </c>
      <c r="K151" s="2"/>
      <c r="L151" s="2"/>
      <c r="M151" s="2"/>
      <c r="N151" s="2"/>
      <c r="O151" s="2"/>
    </row>
    <row r="152" spans="1:15" ht="30" x14ac:dyDescent="0.25">
      <c r="A152" s="43"/>
      <c r="B152" s="15" t="s">
        <v>316</v>
      </c>
      <c r="C152" s="16" t="s">
        <v>319</v>
      </c>
      <c r="D152" s="16" t="s">
        <v>196</v>
      </c>
      <c r="E152" s="14">
        <v>0.81299999999999994</v>
      </c>
      <c r="F152" s="14">
        <v>0.73660000000000003</v>
      </c>
      <c r="G152" s="14">
        <v>0.66</v>
      </c>
      <c r="H152" s="14"/>
      <c r="I152" s="14"/>
      <c r="J152" s="14">
        <v>0.67310000000000003</v>
      </c>
      <c r="K152" s="14"/>
      <c r="L152" s="14"/>
      <c r="M152" s="14"/>
      <c r="N152" s="14"/>
      <c r="O152" s="14"/>
    </row>
    <row r="153" spans="1:15" ht="30" x14ac:dyDescent="0.25">
      <c r="A153" s="43"/>
      <c r="B153" s="15" t="s">
        <v>317</v>
      </c>
      <c r="C153" s="16" t="s">
        <v>320</v>
      </c>
      <c r="D153" s="16" t="s">
        <v>196</v>
      </c>
      <c r="E153" s="14">
        <v>0.26669999999999999</v>
      </c>
      <c r="F153" s="14">
        <v>0.19558</v>
      </c>
      <c r="G153" s="14">
        <v>0.16764000000000001</v>
      </c>
      <c r="H153" s="14"/>
      <c r="I153" s="14"/>
      <c r="J153" s="14">
        <v>0.20319999999999999</v>
      </c>
      <c r="K153" s="14"/>
      <c r="L153" s="14"/>
      <c r="M153" s="14"/>
      <c r="N153" s="14"/>
      <c r="O153" s="14"/>
    </row>
    <row r="154" spans="1:15" ht="30" x14ac:dyDescent="0.25">
      <c r="A154" s="43"/>
      <c r="B154" s="15" t="s">
        <v>318</v>
      </c>
      <c r="C154" s="16" t="s">
        <v>321</v>
      </c>
      <c r="D154" s="16" t="s">
        <v>325</v>
      </c>
      <c r="E154" s="14"/>
      <c r="F154" s="14">
        <v>13.8</v>
      </c>
      <c r="G154" s="14">
        <v>15.1</v>
      </c>
      <c r="H154" s="14"/>
      <c r="I154" s="14"/>
      <c r="J154" s="14"/>
      <c r="K154" s="14"/>
      <c r="L154" s="14"/>
      <c r="M154" s="14"/>
      <c r="N154" s="14"/>
      <c r="O154" s="14"/>
    </row>
    <row r="155" spans="1:15" ht="30" x14ac:dyDescent="0.25">
      <c r="A155" s="43"/>
      <c r="B155" s="15" t="s">
        <v>326</v>
      </c>
      <c r="C155" s="16" t="s">
        <v>322</v>
      </c>
      <c r="D155" s="16" t="s">
        <v>196</v>
      </c>
      <c r="E155" s="14">
        <v>0.40639999999999998</v>
      </c>
      <c r="F155" s="14">
        <v>0.44450000000000001</v>
      </c>
      <c r="G155" s="14">
        <v>0.36830000000000002</v>
      </c>
      <c r="H155" s="14"/>
      <c r="I155" s="14"/>
      <c r="J155" s="14">
        <v>0.4572</v>
      </c>
      <c r="K155" s="14"/>
      <c r="L155" s="14"/>
      <c r="M155" s="14"/>
      <c r="N155" s="14"/>
      <c r="O155" s="14"/>
    </row>
    <row r="156" spans="1:15" ht="18" x14ac:dyDescent="0.25">
      <c r="A156" s="43"/>
      <c r="B156" s="15" t="s">
        <v>327</v>
      </c>
      <c r="C156" s="16" t="s">
        <v>323</v>
      </c>
      <c r="D156" s="16" t="s">
        <v>196</v>
      </c>
      <c r="E156" s="14">
        <v>0.15240000000000001</v>
      </c>
      <c r="F156" s="14">
        <v>0.14477999999999999</v>
      </c>
      <c r="G156" s="14">
        <v>0.13969999999999999</v>
      </c>
      <c r="H156" s="14"/>
      <c r="I156" s="14"/>
      <c r="J156" s="14">
        <v>0.13969999999999999</v>
      </c>
      <c r="K156" s="14"/>
      <c r="L156" s="14"/>
      <c r="M156" s="14"/>
      <c r="N156" s="14"/>
      <c r="O156" s="14"/>
    </row>
    <row r="157" spans="1:15" ht="30" x14ac:dyDescent="0.25">
      <c r="A157" s="43"/>
      <c r="B157" s="15" t="s">
        <v>328</v>
      </c>
      <c r="C157" s="16" t="s">
        <v>324</v>
      </c>
      <c r="D157" s="16" t="s">
        <v>325</v>
      </c>
      <c r="E157" s="14"/>
      <c r="F157" s="14">
        <v>10.9</v>
      </c>
      <c r="G157" s="14">
        <v>12.6</v>
      </c>
      <c r="H157" s="14"/>
      <c r="I157" s="14"/>
      <c r="J157" s="14"/>
      <c r="K157" s="14"/>
      <c r="L157" s="14"/>
      <c r="M157" s="14"/>
      <c r="N157" s="14"/>
      <c r="O157" s="14"/>
    </row>
    <row r="158" spans="1:15" s="44" customFormat="1" x14ac:dyDescent="0.25"/>
    <row r="159" spans="1:15" ht="18" x14ac:dyDescent="0.25">
      <c r="A159" s="43" t="s">
        <v>25</v>
      </c>
      <c r="B159" s="15" t="s">
        <v>151</v>
      </c>
      <c r="C159" s="16" t="s">
        <v>150</v>
      </c>
      <c r="D159" s="16" t="s">
        <v>223</v>
      </c>
      <c r="E159" s="14">
        <f>294.9*E160</f>
        <v>265.40999999999997</v>
      </c>
      <c r="F159" s="14">
        <f t="shared" ref="F159:G159" si="95">294.9*F160</f>
        <v>256.56299999999999</v>
      </c>
      <c r="G159" s="14">
        <f t="shared" si="95"/>
        <v>254.20379999999997</v>
      </c>
      <c r="H159" s="14">
        <f>901/3.6</f>
        <v>250.27777777777777</v>
      </c>
      <c r="I159" s="14">
        <f>950/3.6</f>
        <v>263.88888888888886</v>
      </c>
      <c r="J159" s="14">
        <f>294.9*J160</f>
        <v>244.76699999999997</v>
      </c>
      <c r="K159" s="14">
        <f t="shared" ref="K159:L159" si="96">294.9*K160</f>
        <v>250.66499999999996</v>
      </c>
      <c r="L159" s="14">
        <f t="shared" si="96"/>
        <v>244.76699999999997</v>
      </c>
      <c r="M159" s="14">
        <f>294.9*M160</f>
        <v>244.76699999999997</v>
      </c>
      <c r="N159" s="14">
        <f>294.9*N160</f>
        <v>230.02199999999999</v>
      </c>
      <c r="O159" s="14">
        <f>978/3.6</f>
        <v>271.66666666666669</v>
      </c>
    </row>
    <row r="160" spans="1:15" x14ac:dyDescent="0.25">
      <c r="A160" s="43"/>
      <c r="B160" s="15" t="s">
        <v>292</v>
      </c>
      <c r="C160" s="16" t="s">
        <v>293</v>
      </c>
      <c r="D160" s="16" t="s">
        <v>34</v>
      </c>
      <c r="E160" s="14">
        <v>0.9</v>
      </c>
      <c r="F160" s="14">
        <v>0.87</v>
      </c>
      <c r="G160" s="14">
        <v>0.86199999999999999</v>
      </c>
      <c r="H160" s="14">
        <f>H159/294.9</f>
        <v>0.84868693719151511</v>
      </c>
      <c r="I160" s="14">
        <v>0.89</v>
      </c>
      <c r="J160" s="14">
        <v>0.83</v>
      </c>
      <c r="K160" s="14">
        <v>0.85</v>
      </c>
      <c r="L160" s="14">
        <v>0.83</v>
      </c>
      <c r="M160" s="14">
        <v>0.83</v>
      </c>
      <c r="N160" s="14">
        <v>0.78</v>
      </c>
      <c r="O160" s="14">
        <f>O159/294.9</f>
        <v>0.92121623149090104</v>
      </c>
    </row>
    <row r="161" spans="1:15" ht="26.25" customHeight="1" x14ac:dyDescent="0.25">
      <c r="A161" s="43"/>
      <c r="B161" s="15" t="s">
        <v>155</v>
      </c>
      <c r="C161" s="16" t="s">
        <v>154</v>
      </c>
      <c r="D161" s="16" t="s">
        <v>223</v>
      </c>
      <c r="E161" s="14">
        <f t="shared" ref="E161:F161" si="97">294.9*E162</f>
        <v>250.66499999999996</v>
      </c>
      <c r="F161" s="14">
        <f t="shared" si="97"/>
        <v>235.92</v>
      </c>
      <c r="G161" s="14">
        <f>294.9*G162</f>
        <v>250.66499999999996</v>
      </c>
      <c r="H161" s="14">
        <f>294.9*H162</f>
        <v>250.66499999999996</v>
      </c>
      <c r="I161" s="14">
        <f>904/3.6</f>
        <v>251.11111111111111</v>
      </c>
      <c r="J161" s="14">
        <f>294.9*J162</f>
        <v>235.92</v>
      </c>
      <c r="K161" s="14">
        <f>850/3.6</f>
        <v>236.11111111111111</v>
      </c>
      <c r="L161" s="14">
        <f>855.6/3.6</f>
        <v>237.66666666666666</v>
      </c>
      <c r="M161" s="14">
        <f>863/3.6</f>
        <v>239.72222222222223</v>
      </c>
      <c r="N161" s="14">
        <f>839/3.6</f>
        <v>233.05555555555554</v>
      </c>
      <c r="O161" s="14">
        <f>294.9*O162</f>
        <v>275.73149999999998</v>
      </c>
    </row>
    <row r="162" spans="1:15" ht="18" x14ac:dyDescent="0.25">
      <c r="A162" s="43"/>
      <c r="B162" s="15" t="s">
        <v>338</v>
      </c>
      <c r="C162" s="16" t="s">
        <v>339</v>
      </c>
      <c r="D162" s="16" t="s">
        <v>34</v>
      </c>
      <c r="E162" s="14">
        <v>0.85</v>
      </c>
      <c r="F162" s="14">
        <v>0.8</v>
      </c>
      <c r="G162" s="14">
        <v>0.85</v>
      </c>
      <c r="H162" s="14">
        <v>0.85</v>
      </c>
      <c r="I162" s="14">
        <v>0.85</v>
      </c>
      <c r="J162" s="14">
        <v>0.8</v>
      </c>
      <c r="K162" s="14">
        <v>0.8</v>
      </c>
      <c r="L162" s="14">
        <f>L161/294.9</f>
        <v>0.80592291172148756</v>
      </c>
      <c r="M162" s="14">
        <f t="shared" ref="M162:N162" si="98">M161/294.9</f>
        <v>0.81289325948532465</v>
      </c>
      <c r="N162" s="14">
        <f t="shared" si="98"/>
        <v>0.7902867261972043</v>
      </c>
      <c r="O162" s="14">
        <v>0.93500000000000005</v>
      </c>
    </row>
    <row r="163" spans="1:15" ht="30" x14ac:dyDescent="0.25">
      <c r="A163" s="43"/>
      <c r="B163" s="15" t="s">
        <v>389</v>
      </c>
      <c r="C163" s="16" t="s">
        <v>391</v>
      </c>
      <c r="D163" s="16" t="s">
        <v>223</v>
      </c>
      <c r="E163" s="14"/>
      <c r="F163" s="14">
        <f>197/3.6</f>
        <v>54.722222222222221</v>
      </c>
      <c r="G163" s="14"/>
      <c r="H163" s="14"/>
      <c r="I163" s="14"/>
      <c r="J163" s="14"/>
      <c r="K163" s="14"/>
      <c r="L163" s="14"/>
      <c r="M163" s="14"/>
      <c r="N163" s="14"/>
      <c r="O163" s="14"/>
    </row>
    <row r="164" spans="1:15" ht="30" x14ac:dyDescent="0.25">
      <c r="A164" s="43"/>
      <c r="B164" s="15" t="s">
        <v>390</v>
      </c>
      <c r="C164" s="16" t="s">
        <v>392</v>
      </c>
      <c r="D164" s="16" t="s">
        <v>223</v>
      </c>
      <c r="E164" s="14"/>
      <c r="F164" s="14"/>
      <c r="G164" s="14"/>
      <c r="H164" s="14"/>
      <c r="I164" s="14"/>
      <c r="J164" s="14"/>
      <c r="K164" s="14"/>
      <c r="L164" s="14"/>
      <c r="M164" s="14"/>
      <c r="N164" s="14"/>
      <c r="O164" s="14"/>
    </row>
    <row r="165" spans="1:15" ht="30" x14ac:dyDescent="0.25">
      <c r="A165" s="43"/>
      <c r="B165" s="15" t="s">
        <v>388</v>
      </c>
      <c r="C165" s="16" t="s">
        <v>391</v>
      </c>
      <c r="D165" s="16" t="s">
        <v>223</v>
      </c>
      <c r="E165" s="14">
        <f>E167/1.3</f>
        <v>41.239316239316231</v>
      </c>
      <c r="F165" s="14">
        <f>F167/1.3</f>
        <v>43.589743589743584</v>
      </c>
      <c r="G165" s="14">
        <f>G167/1.3</f>
        <v>41.452991452991448</v>
      </c>
      <c r="H165" s="14">
        <f t="shared" ref="H165:O165" si="99">H167/1.3</f>
        <v>43.530769230769231</v>
      </c>
      <c r="I165" s="14">
        <f t="shared" si="99"/>
        <v>42.34615384615384</v>
      </c>
      <c r="J165" s="14">
        <f t="shared" si="99"/>
        <v>43.92307692307692</v>
      </c>
      <c r="K165" s="14">
        <f t="shared" si="99"/>
        <v>45.507692307692302</v>
      </c>
      <c r="L165" s="14">
        <f t="shared" si="99"/>
        <v>39.969230769230769</v>
      </c>
      <c r="M165" s="14">
        <f t="shared" si="99"/>
        <v>40.361538461538458</v>
      </c>
      <c r="N165" s="14">
        <f t="shared" si="99"/>
        <v>41.153846153846153</v>
      </c>
      <c r="O165" s="14">
        <f t="shared" si="99"/>
        <v>45.907692307692308</v>
      </c>
    </row>
    <row r="166" spans="1:15" ht="18" x14ac:dyDescent="0.25">
      <c r="A166" s="43"/>
      <c r="B166" s="15" t="s">
        <v>294</v>
      </c>
      <c r="C166" s="16" t="s">
        <v>156</v>
      </c>
      <c r="D166" s="16" t="s">
        <v>223</v>
      </c>
      <c r="E166" s="14">
        <v>68.42</v>
      </c>
      <c r="F166" s="14">
        <v>68.94</v>
      </c>
      <c r="G166" s="14">
        <v>64.819999999999993</v>
      </c>
      <c r="H166" s="14">
        <v>73.05</v>
      </c>
      <c r="I166" s="14">
        <v>68.42</v>
      </c>
      <c r="J166" s="14">
        <v>68.42</v>
      </c>
      <c r="K166" s="14">
        <v>70.48</v>
      </c>
      <c r="L166" s="14">
        <v>60.19</v>
      </c>
      <c r="M166" s="14">
        <v>61.73</v>
      </c>
      <c r="N166" s="14">
        <v>58.13</v>
      </c>
      <c r="O166" s="14">
        <v>71.510000000000005</v>
      </c>
    </row>
    <row r="167" spans="1:15" ht="33" customHeight="1" x14ac:dyDescent="0.25">
      <c r="A167" s="43"/>
      <c r="B167" s="15" t="s">
        <v>289</v>
      </c>
      <c r="C167" s="16" t="s">
        <v>379</v>
      </c>
      <c r="D167" s="16" t="s">
        <v>223</v>
      </c>
      <c r="E167" s="14">
        <f>193/3.6</f>
        <v>53.611111111111107</v>
      </c>
      <c r="F167" s="14">
        <f>204/3.6</f>
        <v>56.666666666666664</v>
      </c>
      <c r="G167" s="14">
        <f>194/3.6</f>
        <v>53.888888888888886</v>
      </c>
      <c r="H167" s="14">
        <v>56.59</v>
      </c>
      <c r="I167" s="14">
        <v>55.05</v>
      </c>
      <c r="J167" s="14">
        <v>57.1</v>
      </c>
      <c r="K167" s="14">
        <v>59.16</v>
      </c>
      <c r="L167" s="14">
        <v>51.96</v>
      </c>
      <c r="M167" s="14">
        <v>52.47</v>
      </c>
      <c r="N167" s="14">
        <v>53.5</v>
      </c>
      <c r="O167" s="14">
        <v>59.68</v>
      </c>
    </row>
    <row r="168" spans="1:15" ht="18" x14ac:dyDescent="0.25">
      <c r="A168" s="43"/>
      <c r="B168" s="15" t="s">
        <v>158</v>
      </c>
      <c r="C168" s="16" t="s">
        <v>159</v>
      </c>
      <c r="D168" s="16" t="s">
        <v>223</v>
      </c>
      <c r="E168" s="14">
        <v>9.89</v>
      </c>
      <c r="F168" s="14">
        <v>9.89</v>
      </c>
      <c r="G168" s="14">
        <v>11.06</v>
      </c>
      <c r="H168" s="14">
        <v>8.89</v>
      </c>
      <c r="I168" s="14">
        <v>10.42</v>
      </c>
      <c r="J168" s="14">
        <v>13.43</v>
      </c>
      <c r="K168" s="14">
        <v>13.43</v>
      </c>
      <c r="L168" s="14">
        <v>13.43</v>
      </c>
      <c r="M168" s="14">
        <v>13.43</v>
      </c>
      <c r="N168" s="14">
        <v>12.53</v>
      </c>
      <c r="O168" s="14">
        <v>14.46</v>
      </c>
    </row>
    <row r="169" spans="1:15" x14ac:dyDescent="0.25">
      <c r="A169" s="43"/>
      <c r="B169" s="15" t="s">
        <v>162</v>
      </c>
      <c r="C169" s="16" t="s">
        <v>160</v>
      </c>
      <c r="D169" s="16" t="s">
        <v>222</v>
      </c>
      <c r="E169" s="2">
        <v>11019</v>
      </c>
      <c r="F169" s="2">
        <v>8797</v>
      </c>
      <c r="G169" s="2">
        <v>7408</v>
      </c>
      <c r="H169" s="2">
        <v>11112</v>
      </c>
      <c r="I169" s="2">
        <v>9630</v>
      </c>
      <c r="J169" s="2">
        <v>5926</v>
      </c>
      <c r="K169" s="2">
        <v>6667</v>
      </c>
      <c r="L169" s="2">
        <v>5371</v>
      </c>
      <c r="M169" s="2">
        <v>5788</v>
      </c>
      <c r="N169" s="2">
        <v>3650</v>
      </c>
      <c r="O169" s="2">
        <v>6408</v>
      </c>
    </row>
    <row r="170" spans="1:15" x14ac:dyDescent="0.25">
      <c r="A170" s="43"/>
      <c r="B170" s="15" t="s">
        <v>163</v>
      </c>
      <c r="C170" s="16" t="s">
        <v>161</v>
      </c>
      <c r="D170" s="16" t="s">
        <v>221</v>
      </c>
      <c r="F170" s="2"/>
      <c r="G170" s="2"/>
      <c r="H170" s="2">
        <v>13.5</v>
      </c>
      <c r="I170" s="2"/>
      <c r="J170" s="2"/>
      <c r="K170" s="2"/>
      <c r="L170" s="2"/>
      <c r="M170" s="2"/>
      <c r="N170" s="2"/>
    </row>
    <row r="171" spans="1:15" ht="18" x14ac:dyDescent="0.25">
      <c r="A171" s="43"/>
      <c r="B171" s="15" t="s">
        <v>290</v>
      </c>
      <c r="C171" s="16" t="s">
        <v>291</v>
      </c>
      <c r="D171" s="16" t="s">
        <v>196</v>
      </c>
      <c r="E171" s="2">
        <v>15545</v>
      </c>
      <c r="F171" s="2">
        <v>15545</v>
      </c>
      <c r="G171" s="2">
        <v>14326</v>
      </c>
      <c r="H171" s="2">
        <v>15545</v>
      </c>
      <c r="I171" s="2">
        <v>15545</v>
      </c>
      <c r="J171" s="2">
        <v>13715</v>
      </c>
      <c r="K171" s="2">
        <v>13716</v>
      </c>
      <c r="L171" s="2">
        <v>13716</v>
      </c>
      <c r="M171" s="2">
        <v>13716</v>
      </c>
      <c r="N171" s="2">
        <v>13716</v>
      </c>
      <c r="O171" s="2">
        <v>15545</v>
      </c>
    </row>
    <row r="172" spans="1:15" ht="18" x14ac:dyDescent="0.25">
      <c r="A172" s="43"/>
      <c r="B172" s="15" t="s">
        <v>300</v>
      </c>
      <c r="C172" s="16" t="s">
        <v>301</v>
      </c>
      <c r="D172" s="16" t="s">
        <v>196</v>
      </c>
      <c r="E172" s="2">
        <f>45000*0.3048</f>
        <v>13716</v>
      </c>
      <c r="F172" s="2">
        <f>39000*0.3048</f>
        <v>11887.2</v>
      </c>
      <c r="G172" s="2">
        <f>45000*0.3048</f>
        <v>13716</v>
      </c>
      <c r="H172" s="2">
        <v>12495</v>
      </c>
      <c r="I172" s="2">
        <v>12497</v>
      </c>
      <c r="J172" s="2">
        <v>13105</v>
      </c>
      <c r="K172" s="2">
        <v>13106</v>
      </c>
      <c r="L172" s="2"/>
      <c r="M172" s="2"/>
      <c r="N172" s="2"/>
    </row>
    <row r="173" spans="1:15" x14ac:dyDescent="0.25">
      <c r="A173" s="43"/>
      <c r="B173" s="15" t="s">
        <v>22</v>
      </c>
      <c r="C173" s="16" t="s">
        <v>34</v>
      </c>
      <c r="D173" s="16" t="s">
        <v>34</v>
      </c>
      <c r="F173" s="2"/>
      <c r="G173" s="2"/>
      <c r="H173" s="2"/>
      <c r="I173" s="2"/>
      <c r="J173" s="2"/>
      <c r="K173" s="2"/>
      <c r="L173" s="2"/>
      <c r="M173" s="2"/>
      <c r="N173" s="2"/>
    </row>
    <row r="174" spans="1:15" ht="18" x14ac:dyDescent="0.25">
      <c r="A174" s="43"/>
      <c r="B174" s="15" t="s">
        <v>23</v>
      </c>
      <c r="C174" s="16" t="s">
        <v>176</v>
      </c>
      <c r="D174" s="16" t="s">
        <v>196</v>
      </c>
      <c r="E174" s="2">
        <v>1740</v>
      </c>
      <c r="F174" s="2">
        <v>1633</v>
      </c>
      <c r="G174" s="2">
        <v>1425</v>
      </c>
      <c r="H174" s="2">
        <v>1972</v>
      </c>
      <c r="I174" s="2">
        <v>1689</v>
      </c>
      <c r="J174" s="2">
        <v>1474</v>
      </c>
      <c r="K174" s="2">
        <v>1448</v>
      </c>
      <c r="L174" s="2">
        <v>1191</v>
      </c>
      <c r="M174" s="2">
        <v>1245</v>
      </c>
      <c r="N174" s="2">
        <v>956</v>
      </c>
      <c r="O174" s="2">
        <v>1600</v>
      </c>
    </row>
    <row r="175" spans="1:15" ht="18" x14ac:dyDescent="0.25">
      <c r="A175" s="43"/>
      <c r="B175" s="15" t="s">
        <v>24</v>
      </c>
      <c r="C175" s="16" t="s">
        <v>175</v>
      </c>
      <c r="D175" s="16" t="s">
        <v>196</v>
      </c>
      <c r="E175" s="2">
        <v>631</v>
      </c>
      <c r="F175" s="2">
        <v>736</v>
      </c>
      <c r="G175" s="2">
        <v>689</v>
      </c>
      <c r="H175" s="2">
        <v>682</v>
      </c>
      <c r="I175" s="2">
        <v>673</v>
      </c>
      <c r="J175" s="2">
        <v>721</v>
      </c>
      <c r="K175" s="2">
        <v>829</v>
      </c>
      <c r="L175" s="2">
        <v>637</v>
      </c>
      <c r="M175" s="2">
        <v>647</v>
      </c>
      <c r="N175" s="2">
        <v>799</v>
      </c>
      <c r="O175" s="2">
        <v>1015</v>
      </c>
    </row>
    <row r="176" spans="1:15" s="48" customFormat="1" x14ac:dyDescent="0.25"/>
    <row r="177" spans="1:15" s="2" customFormat="1" x14ac:dyDescent="0.25"/>
    <row r="178" spans="1:15" s="2" customFormat="1" x14ac:dyDescent="0.25">
      <c r="A178" s="39"/>
      <c r="B178" s="39"/>
      <c r="C178" s="47" t="s">
        <v>267</v>
      </c>
      <c r="D178" s="47"/>
      <c r="E178" s="18" t="e">
        <f t="shared" ref="E178:L178" si="100">SUM(SUMPRODUCT(1*(E3:E4="")),SUMPRODUCT(1*(E6:E9="")),SUMPRODUCT(1*(E11:E23="")),SUMPRODUCT(1*(E25:E39="")),SUMPRODUCT(1*(E42:E51="")),SUMPRODUCT(1*(E54:E61="")),SUMPRODUCT(1*(E63:E83="")),SUMPRODUCT(1*(E85:E90="")),SUMPRODUCT(1*(E92:E97="")),SUMPRODUCT(1*(E99:E116="")),SUMPRODUCT(1*(E118:E120="")),SUMPRODUCT(1*(E122:E139="")),SUMPRODUCT(1*(E141:E143="")),SUMPRODUCT(1*(E145:E157="")),SUMPRODUCT(1*(E159:E175="")))</f>
        <v>#VALUE!</v>
      </c>
      <c r="F178" s="18" t="e">
        <f t="shared" si="100"/>
        <v>#DIV/0!</v>
      </c>
      <c r="G178" s="18" t="e">
        <f t="shared" si="100"/>
        <v>#VALUE!</v>
      </c>
      <c r="H178" s="18" t="e">
        <f t="shared" si="100"/>
        <v>#VALUE!</v>
      </c>
      <c r="I178" s="18" t="e">
        <f t="shared" si="100"/>
        <v>#VALUE!</v>
      </c>
      <c r="J178" s="18" t="e">
        <f t="shared" si="100"/>
        <v>#DIV/0!</v>
      </c>
      <c r="K178" s="18" t="e">
        <f t="shared" si="100"/>
        <v>#DIV/0!</v>
      </c>
      <c r="L178" s="18" t="e">
        <f t="shared" si="100"/>
        <v>#DIV/0!</v>
      </c>
      <c r="M178" s="18" t="e">
        <f>SUM(SUMPRODUCT(1*(M3:M4="")),SUMPRODUCT(1*(N6:N9="")),SUMPRODUCT(1*(N11:N23="")),SUMPRODUCT(1*(M25:M39="")),SUMPRODUCT(1*(M42:M51="")),SUMPRODUCT(1*(M54:M61="")),SUMPRODUCT(1*(M63:M83="")),SUMPRODUCT(1*(M85:M90="")),SUMPRODUCT(1*(M92:M97="")),SUMPRODUCT(1*(M99:M116="")),SUMPRODUCT(1*(M118:M120="")),SUMPRODUCT(1*(M122:M139="")),SUMPRODUCT(1*(M141:M143="")),SUMPRODUCT(1*(M145:M157="")),SUMPRODUCT(1*(M159:M175="")))</f>
        <v>#DIV/0!</v>
      </c>
      <c r="N178" s="18" t="e">
        <f>SUM(SUMPRODUCT(1*(N3:N4="")),SUMPRODUCT(1*(#REF!="")),SUMPRODUCT(1*(O11:O23="")),SUMPRODUCT(1*(N25:N39="")),SUMPRODUCT(1*(N49:N51="")),SUMPRODUCT(1*(N54:N61="")),SUMPRODUCT(1*(N63:N83="")),SUMPRODUCT(1*(N85:N90="")),SUMPRODUCT(1*(N92:N97="")),SUMPRODUCT(1*(N99:N116="")),SUMPRODUCT(1*(N118:N120="")),SUMPRODUCT(1*(N122:N139="")),SUMPRODUCT(1*(N141:N143="")),SUMPRODUCT(1*(N145:N157="")),SUMPRODUCT(1*(N159:N175="")))</f>
        <v>#REF!</v>
      </c>
      <c r="O178" s="18" t="e">
        <f>SUM(SUMPRODUCT(1*(O3:O4="")),SUMPRODUCT(1*(O6:O9="")),SUMPRODUCT(1*(P11:P23="")),SUMPRODUCT(1*(O25:O39="")),SUMPRODUCT(1*(O42:O51="")),SUMPRODUCT(1*(O54:O61="")),SUMPRODUCT(1*(O63:O83="")),SUMPRODUCT(1*(O85:O90="")),SUMPRODUCT(1*(O92:O97="")),SUMPRODUCT(1*(O99:O116="")),SUMPRODUCT(1*(O118:O120="")),SUMPRODUCT(1*(O122:O139="")),SUMPRODUCT(1*(O141:O143="")),SUMPRODUCT(1*(O145:O157="")),SUMPRODUCT(1*(O159:O175="")))</f>
        <v>#DIV/0!</v>
      </c>
    </row>
    <row r="179" spans="1:15" s="2" customFormat="1" x14ac:dyDescent="0.25"/>
    <row r="180" spans="1:15" x14ac:dyDescent="0.25">
      <c r="B180" s="46"/>
      <c r="C180" s="46"/>
      <c r="D180" s="46"/>
      <c r="E180" s="46"/>
      <c r="F180" s="33"/>
      <c r="G180" s="46"/>
      <c r="H180" s="46"/>
      <c r="I180" s="33"/>
      <c r="J180" s="33"/>
      <c r="K180" s="33"/>
      <c r="L180" s="33"/>
      <c r="M180" s="33"/>
      <c r="N180" s="33"/>
    </row>
    <row r="181" spans="1:15" x14ac:dyDescent="0.25">
      <c r="B181" s="46"/>
      <c r="C181" s="46"/>
      <c r="D181" s="46"/>
      <c r="E181" s="46"/>
      <c r="F181" s="33"/>
      <c r="G181" s="46"/>
      <c r="H181" s="46"/>
      <c r="I181" s="33"/>
      <c r="J181" s="33"/>
      <c r="K181" s="33"/>
      <c r="L181" s="33"/>
      <c r="M181" s="33"/>
      <c r="N181" s="33"/>
    </row>
    <row r="182" spans="1:15" x14ac:dyDescent="0.25">
      <c r="B182" s="46"/>
      <c r="C182" s="46"/>
      <c r="D182" s="46"/>
      <c r="E182" s="46"/>
      <c r="F182" s="33"/>
      <c r="G182" s="46"/>
      <c r="H182" s="46"/>
      <c r="I182" s="33"/>
      <c r="J182" s="33"/>
      <c r="K182" s="33"/>
      <c r="L182" s="33"/>
      <c r="M182" s="33"/>
      <c r="N182" s="33"/>
    </row>
    <row r="183" spans="1:15" x14ac:dyDescent="0.25">
      <c r="B183" s="46"/>
      <c r="C183" s="46"/>
      <c r="D183" s="46"/>
      <c r="E183" s="46"/>
      <c r="F183" s="33"/>
      <c r="G183" s="46"/>
      <c r="H183" s="46"/>
      <c r="I183" s="33"/>
      <c r="J183" s="33"/>
      <c r="K183" s="33"/>
      <c r="L183" s="33"/>
      <c r="M183" s="33"/>
      <c r="N183" s="33"/>
    </row>
    <row r="184" spans="1:15" x14ac:dyDescent="0.25">
      <c r="B184" s="46"/>
      <c r="C184" s="46"/>
      <c r="D184" s="46"/>
      <c r="E184" s="46"/>
      <c r="F184" s="33"/>
      <c r="G184" s="46"/>
      <c r="H184" s="46"/>
      <c r="I184" s="33"/>
      <c r="J184" s="33"/>
      <c r="K184" s="33"/>
      <c r="L184" s="33"/>
      <c r="M184" s="33"/>
      <c r="N184" s="33"/>
    </row>
    <row r="185" spans="1:15" x14ac:dyDescent="0.25">
      <c r="B185" s="46"/>
      <c r="C185" s="46"/>
      <c r="D185" s="46"/>
      <c r="E185" s="46"/>
      <c r="F185" s="33"/>
      <c r="G185" s="46"/>
      <c r="H185" s="46"/>
      <c r="I185" s="33"/>
      <c r="J185" s="33"/>
      <c r="K185" s="33"/>
      <c r="L185" s="33"/>
      <c r="M185" s="33"/>
      <c r="N185" s="33"/>
    </row>
    <row r="186" spans="1:15" x14ac:dyDescent="0.25">
      <c r="B186" s="46"/>
      <c r="C186" s="46"/>
      <c r="D186" s="46"/>
      <c r="E186" s="46"/>
      <c r="F186" s="33"/>
      <c r="G186" s="46"/>
      <c r="H186" s="46"/>
      <c r="I186" s="33"/>
      <c r="J186" s="33"/>
      <c r="K186" s="33"/>
      <c r="L186" s="33"/>
      <c r="M186" s="33"/>
      <c r="N186" s="33"/>
    </row>
    <row r="187" spans="1:15" x14ac:dyDescent="0.25">
      <c r="B187" s="46"/>
      <c r="C187" s="46"/>
      <c r="D187" s="46"/>
      <c r="E187" s="46"/>
      <c r="F187" s="33"/>
      <c r="G187" s="46"/>
      <c r="H187" s="46"/>
      <c r="I187" s="33"/>
      <c r="J187" s="33"/>
      <c r="K187" s="33"/>
      <c r="L187" s="33"/>
      <c r="M187" s="33"/>
      <c r="N187" s="33"/>
    </row>
    <row r="188" spans="1:15" x14ac:dyDescent="0.25">
      <c r="B188" s="46"/>
      <c r="C188" s="46"/>
      <c r="D188" s="46"/>
      <c r="E188" s="46"/>
      <c r="F188" s="33"/>
      <c r="G188" s="46"/>
      <c r="H188" s="46"/>
      <c r="I188" s="33"/>
      <c r="J188" s="33"/>
      <c r="K188" s="33"/>
      <c r="L188" s="33"/>
      <c r="M188" s="33"/>
      <c r="N188" s="33"/>
    </row>
    <row r="189" spans="1:15" x14ac:dyDescent="0.25">
      <c r="B189" s="46"/>
      <c r="C189" s="46"/>
      <c r="D189" s="46"/>
      <c r="E189" s="46"/>
      <c r="F189" s="33"/>
      <c r="G189" s="46"/>
      <c r="H189" s="46"/>
      <c r="I189" s="33"/>
      <c r="J189" s="33"/>
      <c r="K189" s="33"/>
      <c r="L189" s="33"/>
      <c r="M189" s="33"/>
      <c r="N189" s="33"/>
    </row>
    <row r="190" spans="1:15" x14ac:dyDescent="0.25">
      <c r="B190" s="46"/>
      <c r="C190" s="46"/>
      <c r="D190" s="46"/>
      <c r="E190" s="46"/>
      <c r="F190" s="33"/>
      <c r="G190" s="46"/>
      <c r="H190" s="46"/>
      <c r="I190" s="33"/>
      <c r="J190" s="33"/>
      <c r="K190" s="33"/>
      <c r="L190" s="33"/>
      <c r="M190" s="33"/>
      <c r="N190" s="33"/>
    </row>
    <row r="191" spans="1:15" x14ac:dyDescent="0.25">
      <c r="B191" s="46"/>
      <c r="C191" s="46"/>
      <c r="D191" s="46"/>
      <c r="E191" s="46"/>
      <c r="F191" s="33"/>
      <c r="G191" s="46"/>
      <c r="H191" s="46"/>
      <c r="I191" s="33"/>
      <c r="J191" s="33"/>
      <c r="K191" s="33"/>
      <c r="L191" s="33"/>
      <c r="M191" s="33"/>
      <c r="N191" s="33"/>
    </row>
    <row r="192" spans="1:15" x14ac:dyDescent="0.25">
      <c r="B192" s="46"/>
      <c r="C192" s="46"/>
      <c r="D192" s="46"/>
      <c r="E192" s="46"/>
      <c r="F192" s="33"/>
      <c r="G192" s="46"/>
      <c r="H192" s="46"/>
      <c r="I192" s="33"/>
      <c r="J192" s="33"/>
      <c r="K192" s="33"/>
      <c r="L192" s="33"/>
      <c r="M192" s="33"/>
      <c r="N192" s="33"/>
    </row>
    <row r="193" spans="2:14" x14ac:dyDescent="0.25">
      <c r="B193" s="46"/>
      <c r="C193" s="46"/>
      <c r="D193" s="46"/>
      <c r="E193" s="46"/>
      <c r="F193" s="33"/>
      <c r="G193" s="46"/>
      <c r="H193" s="46"/>
      <c r="I193" s="33"/>
      <c r="J193" s="33"/>
      <c r="K193" s="33"/>
      <c r="L193" s="33"/>
      <c r="M193" s="33"/>
      <c r="N193" s="33"/>
    </row>
    <row r="194" spans="2:14" x14ac:dyDescent="0.25">
      <c r="B194" s="46"/>
      <c r="C194" s="46"/>
      <c r="D194" s="46"/>
      <c r="E194" s="46"/>
      <c r="F194" s="33"/>
      <c r="G194" s="33"/>
      <c r="H194" s="33"/>
      <c r="I194" s="33"/>
      <c r="J194" s="33"/>
      <c r="K194" s="33"/>
      <c r="L194" s="33"/>
      <c r="M194" s="33"/>
      <c r="N194" s="33"/>
    </row>
    <row r="195" spans="2:14" x14ac:dyDescent="0.25">
      <c r="B195" s="46"/>
      <c r="C195" s="46"/>
      <c r="D195" s="46"/>
      <c r="E195" s="46"/>
      <c r="F195" s="33"/>
      <c r="G195" s="33"/>
      <c r="H195" s="33"/>
      <c r="I195" s="33"/>
      <c r="J195" s="33"/>
      <c r="K195" s="33"/>
      <c r="L195" s="33"/>
      <c r="M195" s="33"/>
      <c r="N195" s="33"/>
    </row>
    <row r="196" spans="2:14" x14ac:dyDescent="0.25">
      <c r="B196" s="33"/>
      <c r="C196" s="33"/>
      <c r="D196" s="33"/>
      <c r="E196" s="33"/>
      <c r="F196" s="33"/>
      <c r="G196" s="33"/>
      <c r="H196" s="33"/>
      <c r="I196" s="33"/>
      <c r="J196" s="33"/>
      <c r="K196" s="33"/>
      <c r="L196" s="33"/>
      <c r="M196" s="33"/>
      <c r="N196" s="33"/>
    </row>
    <row r="197" spans="2:14" x14ac:dyDescent="0.25">
      <c r="B197" s="33"/>
      <c r="C197" s="33"/>
      <c r="D197" s="33"/>
      <c r="E197" s="33"/>
      <c r="F197" s="33"/>
      <c r="G197" s="33"/>
      <c r="H197" s="33"/>
      <c r="I197" s="33"/>
      <c r="J197" s="33"/>
      <c r="K197" s="33"/>
      <c r="L197" s="33"/>
      <c r="M197" s="33"/>
      <c r="N197" s="33"/>
    </row>
    <row r="198" spans="2:14" x14ac:dyDescent="0.25">
      <c r="B198" s="33"/>
      <c r="C198" s="33"/>
      <c r="D198" s="33"/>
      <c r="E198" s="33"/>
      <c r="F198" s="33"/>
      <c r="G198" s="33"/>
      <c r="H198" s="33"/>
      <c r="I198" s="33"/>
      <c r="J198" s="33"/>
      <c r="K198" s="33"/>
      <c r="L198" s="33"/>
      <c r="M198" s="33"/>
      <c r="N198" s="33"/>
    </row>
    <row r="199" spans="2:14" x14ac:dyDescent="0.25">
      <c r="B199" s="33"/>
      <c r="C199" s="33"/>
      <c r="D199" s="33"/>
      <c r="E199" s="33"/>
      <c r="F199" s="33"/>
      <c r="G199" s="33"/>
      <c r="H199" s="33"/>
      <c r="I199" s="33"/>
      <c r="J199" s="33"/>
      <c r="K199" s="33"/>
      <c r="L199" s="33"/>
      <c r="M199" s="33"/>
      <c r="N199" s="33"/>
    </row>
    <row r="200" spans="2:14" x14ac:dyDescent="0.25">
      <c r="B200" s="33"/>
      <c r="C200" s="33"/>
      <c r="D200" s="33"/>
      <c r="E200" s="33"/>
      <c r="F200" s="33"/>
      <c r="G200" s="33"/>
      <c r="H200" s="33"/>
      <c r="I200" s="33"/>
      <c r="J200" s="33"/>
      <c r="K200" s="33"/>
      <c r="L200" s="33"/>
      <c r="M200" s="33"/>
      <c r="N200" s="33"/>
    </row>
    <row r="201" spans="2:14" x14ac:dyDescent="0.25">
      <c r="B201" s="33"/>
      <c r="C201" s="33"/>
      <c r="D201" s="33"/>
      <c r="E201" s="33"/>
      <c r="F201" s="33"/>
      <c r="G201" s="33"/>
      <c r="H201" s="33"/>
      <c r="I201" s="33"/>
      <c r="J201" s="33"/>
      <c r="K201" s="33"/>
      <c r="L201" s="33"/>
      <c r="M201" s="33"/>
      <c r="N201" s="33"/>
    </row>
    <row r="202" spans="2:14" x14ac:dyDescent="0.25">
      <c r="B202" s="33"/>
      <c r="C202" s="33"/>
      <c r="D202" s="33"/>
      <c r="E202" s="33"/>
      <c r="F202" s="33"/>
      <c r="G202" s="33"/>
      <c r="H202" s="33"/>
      <c r="I202" s="33"/>
      <c r="J202" s="33"/>
      <c r="K202" s="33"/>
      <c r="L202" s="33"/>
      <c r="M202" s="33"/>
      <c r="N202" s="33"/>
    </row>
  </sheetData>
  <mergeCells count="32">
    <mergeCell ref="G180:H193"/>
    <mergeCell ref="A63:A83"/>
    <mergeCell ref="C178:D178"/>
    <mergeCell ref="B180:E195"/>
    <mergeCell ref="A158:XFD158"/>
    <mergeCell ref="A176:XFD176"/>
    <mergeCell ref="A159:A175"/>
    <mergeCell ref="A91:XFD91"/>
    <mergeCell ref="A98:XFD98"/>
    <mergeCell ref="A85:A90"/>
    <mergeCell ref="A3:A9"/>
    <mergeCell ref="A10:XFD10"/>
    <mergeCell ref="A24:XFD24"/>
    <mergeCell ref="A40:XFD40"/>
    <mergeCell ref="A53:XFD53"/>
    <mergeCell ref="A11:A23"/>
    <mergeCell ref="A2:XFD2"/>
    <mergeCell ref="A25:A39"/>
    <mergeCell ref="A145:A157"/>
    <mergeCell ref="A92:A97"/>
    <mergeCell ref="A121:XFD121"/>
    <mergeCell ref="A144:XFD144"/>
    <mergeCell ref="A54:A60"/>
    <mergeCell ref="A99:A116"/>
    <mergeCell ref="A118:A120"/>
    <mergeCell ref="A117:XFD117"/>
    <mergeCell ref="A122:A139"/>
    <mergeCell ref="A141:A143"/>
    <mergeCell ref="A140:XFD140"/>
    <mergeCell ref="A41:A52"/>
    <mergeCell ref="A62:XFD62"/>
    <mergeCell ref="A84:XFD84"/>
  </mergeCells>
  <conditionalFormatting sqref="E32:O32">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ignoredErrors>
    <ignoredError sqref="F167 F172 I102" formula="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A1:G254"/>
  <sheetViews>
    <sheetView topLeftCell="A49" zoomScale="85" zoomScaleNormal="85" workbookViewId="0">
      <selection activeCell="A23" sqref="A23:A32"/>
    </sheetView>
  </sheetViews>
  <sheetFormatPr defaultColWidth="9.140625" defaultRowHeight="15" x14ac:dyDescent="0.25"/>
  <cols>
    <col min="1" max="1" width="21.28515625" customWidth="1"/>
    <col min="2" max="2" width="24.7109375" style="1" customWidth="1"/>
    <col min="3" max="3" width="13.28515625" style="2" customWidth="1"/>
    <col min="4" max="4" width="9.42578125" style="2" customWidth="1"/>
    <col min="5" max="5" width="75.85546875" style="2" customWidth="1"/>
    <col min="6" max="6" width="68.7109375" style="30" customWidth="1"/>
    <col min="7" max="7" width="22.85546875" customWidth="1"/>
  </cols>
  <sheetData>
    <row r="1" spans="1:7" x14ac:dyDescent="0.25">
      <c r="A1" s="12" t="s">
        <v>189</v>
      </c>
      <c r="B1" s="13" t="s">
        <v>192</v>
      </c>
      <c r="C1" s="12" t="s">
        <v>190</v>
      </c>
      <c r="D1" s="12" t="s">
        <v>191</v>
      </c>
      <c r="E1" s="12" t="s">
        <v>193</v>
      </c>
      <c r="F1" s="12" t="s">
        <v>194</v>
      </c>
      <c r="G1" s="12" t="s">
        <v>195</v>
      </c>
    </row>
    <row r="2" spans="1:7" s="51" customFormat="1" x14ac:dyDescent="0.25"/>
    <row r="3" spans="1:7" x14ac:dyDescent="0.25">
      <c r="A3" s="45" t="s">
        <v>26</v>
      </c>
      <c r="B3" s="11" t="s">
        <v>0</v>
      </c>
      <c r="C3" s="4" t="s">
        <v>34</v>
      </c>
      <c r="D3" s="4" t="s">
        <v>34</v>
      </c>
      <c r="E3" s="3" t="s">
        <v>359</v>
      </c>
      <c r="F3" s="30" t="s">
        <v>371</v>
      </c>
      <c r="G3" t="s">
        <v>183</v>
      </c>
    </row>
    <row r="4" spans="1:7" ht="15" customHeight="1" x14ac:dyDescent="0.25">
      <c r="A4" s="45"/>
      <c r="B4" s="6" t="s">
        <v>1</v>
      </c>
      <c r="C4" s="4" t="s">
        <v>34</v>
      </c>
      <c r="D4" s="4" t="s">
        <v>34</v>
      </c>
      <c r="E4" s="3" t="s">
        <v>360</v>
      </c>
      <c r="F4" s="30" t="s">
        <v>184</v>
      </c>
      <c r="G4" t="s">
        <v>184</v>
      </c>
    </row>
    <row r="5" spans="1:7" ht="90" customHeight="1" x14ac:dyDescent="0.25">
      <c r="A5" s="45"/>
      <c r="B5" s="6" t="s">
        <v>225</v>
      </c>
      <c r="C5" s="4" t="s">
        <v>34</v>
      </c>
      <c r="D5" s="4" t="s">
        <v>34</v>
      </c>
      <c r="E5" s="3"/>
    </row>
    <row r="6" spans="1:7" x14ac:dyDescent="0.25">
      <c r="A6" s="45"/>
      <c r="B6" s="6" t="s">
        <v>2</v>
      </c>
      <c r="C6" s="4" t="s">
        <v>34</v>
      </c>
      <c r="D6" s="4" t="s">
        <v>34</v>
      </c>
      <c r="E6" s="5">
        <v>27349</v>
      </c>
    </row>
    <row r="7" spans="1:7" ht="18" x14ac:dyDescent="0.25">
      <c r="A7" s="45"/>
      <c r="B7" s="6" t="s">
        <v>3</v>
      </c>
      <c r="C7" s="4" t="s">
        <v>35</v>
      </c>
      <c r="D7" s="4" t="s">
        <v>196</v>
      </c>
      <c r="E7" s="9">
        <v>9.9499999999999993</v>
      </c>
      <c r="F7" s="31">
        <v>9.07</v>
      </c>
      <c r="G7" s="10"/>
    </row>
    <row r="8" spans="1:7" ht="18" x14ac:dyDescent="0.25">
      <c r="A8" s="45"/>
      <c r="B8" s="6" t="s">
        <v>4</v>
      </c>
      <c r="C8" s="4" t="s">
        <v>36</v>
      </c>
      <c r="D8" s="4" t="s">
        <v>196</v>
      </c>
      <c r="E8" s="9">
        <v>33.46</v>
      </c>
      <c r="F8" s="31">
        <v>19.82</v>
      </c>
      <c r="G8" s="10"/>
    </row>
    <row r="9" spans="1:7" ht="18" x14ac:dyDescent="0.25">
      <c r="A9" s="45"/>
      <c r="B9" s="6" t="s">
        <v>5</v>
      </c>
      <c r="C9" s="4" t="s">
        <v>37</v>
      </c>
      <c r="D9" s="4" t="s">
        <v>196</v>
      </c>
      <c r="E9" s="9">
        <v>33.15</v>
      </c>
      <c r="F9" s="31">
        <v>28.63</v>
      </c>
      <c r="G9" s="10"/>
    </row>
    <row r="10" spans="1:7" s="50" customFormat="1" x14ac:dyDescent="0.25"/>
    <row r="11" spans="1:7" ht="18" customHeight="1" x14ac:dyDescent="0.25">
      <c r="A11" s="43" t="s">
        <v>27</v>
      </c>
      <c r="B11" s="15" t="s">
        <v>6</v>
      </c>
      <c r="C11" s="16" t="s">
        <v>52</v>
      </c>
      <c r="D11" s="16" t="s">
        <v>34</v>
      </c>
      <c r="E11" s="2">
        <v>4</v>
      </c>
      <c r="F11" s="30">
        <v>2</v>
      </c>
    </row>
    <row r="12" spans="1:7" x14ac:dyDescent="0.25">
      <c r="A12" s="43"/>
      <c r="B12" s="15" t="s">
        <v>7</v>
      </c>
      <c r="C12" s="16" t="s">
        <v>34</v>
      </c>
      <c r="D12" s="16" t="s">
        <v>34</v>
      </c>
      <c r="E12" s="2" t="s">
        <v>361</v>
      </c>
      <c r="F12" s="2" t="s">
        <v>361</v>
      </c>
    </row>
    <row r="13" spans="1:7" x14ac:dyDescent="0.25">
      <c r="A13" s="43"/>
      <c r="B13" s="15" t="s">
        <v>8</v>
      </c>
      <c r="C13" s="16" t="s">
        <v>34</v>
      </c>
      <c r="D13" s="16" t="s">
        <v>34</v>
      </c>
      <c r="E13" s="2" t="s">
        <v>362</v>
      </c>
      <c r="F13" s="2" t="s">
        <v>362</v>
      </c>
    </row>
    <row r="14" spans="1:7" x14ac:dyDescent="0.25">
      <c r="A14" s="43"/>
      <c r="B14" s="15" t="s">
        <v>9</v>
      </c>
      <c r="C14" s="16" t="s">
        <v>34</v>
      </c>
      <c r="D14" s="16" t="s">
        <v>34</v>
      </c>
      <c r="E14" s="2" t="s">
        <v>363</v>
      </c>
      <c r="F14" s="30" t="s">
        <v>372</v>
      </c>
    </row>
    <row r="15" spans="1:7" x14ac:dyDescent="0.25">
      <c r="A15" s="43"/>
      <c r="B15" s="15" t="s">
        <v>1</v>
      </c>
      <c r="C15" s="16" t="s">
        <v>34</v>
      </c>
      <c r="D15" s="16" t="s">
        <v>34</v>
      </c>
      <c r="E15" s="2" t="s">
        <v>364</v>
      </c>
      <c r="F15" s="30" t="s">
        <v>373</v>
      </c>
    </row>
    <row r="16" spans="1:7" ht="18" x14ac:dyDescent="0.25">
      <c r="A16" s="43"/>
      <c r="B16" s="15" t="s">
        <v>10</v>
      </c>
      <c r="C16" s="16" t="s">
        <v>39</v>
      </c>
      <c r="D16" s="16" t="s">
        <v>197</v>
      </c>
      <c r="E16" s="2">
        <v>538</v>
      </c>
    </row>
    <row r="17" spans="1:7" ht="18" x14ac:dyDescent="0.25">
      <c r="A17" s="43"/>
      <c r="B17" s="15" t="s">
        <v>365</v>
      </c>
      <c r="C17" s="16" t="s">
        <v>366</v>
      </c>
      <c r="D17" s="16" t="s">
        <v>367</v>
      </c>
      <c r="E17" s="14">
        <v>2535</v>
      </c>
      <c r="F17" s="31">
        <v>1775</v>
      </c>
      <c r="G17" s="10"/>
    </row>
    <row r="18" spans="1:7" ht="18" x14ac:dyDescent="0.25">
      <c r="A18" s="43"/>
      <c r="B18" s="15" t="s">
        <v>226</v>
      </c>
      <c r="C18" s="16" t="s">
        <v>227</v>
      </c>
      <c r="D18" s="16" t="s">
        <v>228</v>
      </c>
      <c r="E18" s="14"/>
      <c r="F18" s="31">
        <v>0.47</v>
      </c>
      <c r="G18" s="10"/>
    </row>
    <row r="19" spans="1:7" ht="18" x14ac:dyDescent="0.25">
      <c r="A19" s="43"/>
      <c r="B19" s="15" t="s">
        <v>198</v>
      </c>
      <c r="C19" s="16" t="s">
        <v>200</v>
      </c>
      <c r="D19" s="16" t="s">
        <v>196</v>
      </c>
      <c r="E19" s="21">
        <v>0.68300000000000005</v>
      </c>
      <c r="F19" s="31"/>
      <c r="G19" s="10"/>
    </row>
    <row r="20" spans="1:7" ht="18" x14ac:dyDescent="0.25">
      <c r="A20" s="43"/>
      <c r="B20" s="15" t="s">
        <v>199</v>
      </c>
      <c r="C20" s="16" t="s">
        <v>201</v>
      </c>
      <c r="D20" s="16" t="s">
        <v>196</v>
      </c>
      <c r="E20" s="21">
        <v>2.7930000000000001</v>
      </c>
      <c r="F20" s="31"/>
      <c r="G20" s="10"/>
    </row>
    <row r="21" spans="1:7" ht="18" x14ac:dyDescent="0.25">
      <c r="A21" s="43"/>
      <c r="B21" s="15" t="s">
        <v>229</v>
      </c>
      <c r="C21" s="16" t="s">
        <v>230</v>
      </c>
      <c r="D21" s="16" t="s">
        <v>202</v>
      </c>
      <c r="E21" s="14"/>
      <c r="F21" s="31"/>
      <c r="G21" s="10"/>
    </row>
    <row r="22" spans="1:7" s="46" customFormat="1" ht="18.75" customHeight="1" x14ac:dyDescent="0.25"/>
    <row r="23" spans="1:7" ht="18" customHeight="1" x14ac:dyDescent="0.25">
      <c r="A23" s="43" t="s">
        <v>28</v>
      </c>
      <c r="B23" s="15" t="s">
        <v>54</v>
      </c>
      <c r="C23" s="16" t="s">
        <v>53</v>
      </c>
      <c r="D23" s="16" t="s">
        <v>197</v>
      </c>
      <c r="E23" s="2">
        <v>43000</v>
      </c>
      <c r="F23" s="30">
        <v>17168</v>
      </c>
    </row>
    <row r="24" spans="1:7" x14ac:dyDescent="0.25">
      <c r="A24" s="43"/>
      <c r="B24" s="15" t="s">
        <v>55</v>
      </c>
      <c r="C24" s="16" t="s">
        <v>56</v>
      </c>
      <c r="D24" s="16" t="s">
        <v>197</v>
      </c>
      <c r="E24" s="2">
        <v>25630</v>
      </c>
      <c r="F24" s="30">
        <v>12882</v>
      </c>
    </row>
    <row r="25" spans="1:7" x14ac:dyDescent="0.25">
      <c r="A25" s="43"/>
      <c r="B25" s="15" t="s">
        <v>61</v>
      </c>
      <c r="C25" s="16" t="s">
        <v>57</v>
      </c>
      <c r="D25" s="16" t="s">
        <v>197</v>
      </c>
      <c r="F25" s="30">
        <v>6123</v>
      </c>
    </row>
    <row r="26" spans="1:7" ht="30" x14ac:dyDescent="0.25">
      <c r="A26" s="43"/>
      <c r="B26" s="15" t="s">
        <v>60</v>
      </c>
      <c r="C26" s="16" t="s">
        <v>59</v>
      </c>
      <c r="D26" s="16" t="s">
        <v>197</v>
      </c>
      <c r="E26" s="2">
        <v>18397</v>
      </c>
      <c r="F26" s="30">
        <v>4649</v>
      </c>
    </row>
    <row r="27" spans="1:7" ht="30" x14ac:dyDescent="0.25">
      <c r="A27" s="43"/>
      <c r="B27" s="15" t="s">
        <v>205</v>
      </c>
      <c r="C27" s="16" t="s">
        <v>231</v>
      </c>
      <c r="D27" s="16" t="s">
        <v>197</v>
      </c>
      <c r="F27" s="30">
        <v>19504</v>
      </c>
    </row>
    <row r="28" spans="1:7" x14ac:dyDescent="0.25">
      <c r="A28" s="43"/>
      <c r="B28" s="15" t="s">
        <v>203</v>
      </c>
      <c r="C28" s="16" t="s">
        <v>204</v>
      </c>
      <c r="D28" s="16" t="s">
        <v>197</v>
      </c>
      <c r="E28" s="2">
        <v>28304</v>
      </c>
      <c r="F28" s="30">
        <v>16783</v>
      </c>
    </row>
    <row r="29" spans="1:7" x14ac:dyDescent="0.25">
      <c r="A29" s="43"/>
      <c r="B29" s="15" t="s">
        <v>62</v>
      </c>
      <c r="C29" s="16" t="s">
        <v>58</v>
      </c>
      <c r="D29" s="16" t="s">
        <v>34</v>
      </c>
      <c r="E29" s="2">
        <f>E24/E23</f>
        <v>0.59604651162790701</v>
      </c>
      <c r="F29" s="2">
        <f t="shared" ref="F29:G29" si="0">F24/F23</f>
        <v>0.75034948741845298</v>
      </c>
      <c r="G29" s="2" t="e">
        <f t="shared" si="0"/>
        <v>#DIV/0!</v>
      </c>
    </row>
    <row r="30" spans="1:7" x14ac:dyDescent="0.25">
      <c r="A30" s="43"/>
      <c r="B30" s="15" t="s">
        <v>180</v>
      </c>
      <c r="C30" s="16" t="s">
        <v>179</v>
      </c>
      <c r="D30" s="16" t="s">
        <v>34</v>
      </c>
      <c r="E30" s="2">
        <f>E25/E23</f>
        <v>0</v>
      </c>
      <c r="F30" s="2">
        <f t="shared" ref="F30:G30" si="1">F25/F23</f>
        <v>0.35665191053122086</v>
      </c>
      <c r="G30" s="2" t="e">
        <f t="shared" si="1"/>
        <v>#DIV/0!</v>
      </c>
    </row>
    <row r="31" spans="1:7" x14ac:dyDescent="0.25">
      <c r="A31" s="43"/>
      <c r="B31" s="15" t="s">
        <v>181</v>
      </c>
      <c r="C31" s="16" t="s">
        <v>182</v>
      </c>
      <c r="D31" s="16" t="s">
        <v>34</v>
      </c>
      <c r="E31" s="2">
        <f>E26/E23</f>
        <v>0.42783720930232561</v>
      </c>
      <c r="F31" s="2">
        <f t="shared" ref="F31:G31" si="2">F26/F23</f>
        <v>0.27079450139794969</v>
      </c>
      <c r="G31" s="2" t="e">
        <f t="shared" si="2"/>
        <v>#DIV/0!</v>
      </c>
    </row>
    <row r="32" spans="1:7" ht="18" x14ac:dyDescent="0.25">
      <c r="A32" s="43"/>
      <c r="B32" s="15" t="s">
        <v>232</v>
      </c>
      <c r="C32" s="16" t="s">
        <v>233</v>
      </c>
      <c r="D32" s="16" t="s">
        <v>234</v>
      </c>
      <c r="F32" s="2"/>
      <c r="G32" s="2"/>
    </row>
    <row r="33" spans="1:7" s="46" customFormat="1" x14ac:dyDescent="0.25"/>
    <row r="34" spans="1:7" ht="15" customHeight="1" x14ac:dyDescent="0.25">
      <c r="A34" s="43" t="s">
        <v>164</v>
      </c>
      <c r="B34" s="15" t="s">
        <v>165</v>
      </c>
      <c r="C34" s="16" t="s">
        <v>174</v>
      </c>
      <c r="D34" s="16" t="s">
        <v>34</v>
      </c>
    </row>
    <row r="35" spans="1:7" ht="18" x14ac:dyDescent="0.25">
      <c r="A35" s="43"/>
      <c r="B35" s="15" t="s">
        <v>166</v>
      </c>
      <c r="C35" s="16" t="s">
        <v>173</v>
      </c>
      <c r="D35" s="16" t="s">
        <v>34</v>
      </c>
      <c r="E35" s="2">
        <v>28</v>
      </c>
    </row>
    <row r="36" spans="1:7" ht="18" x14ac:dyDescent="0.25">
      <c r="A36" s="43"/>
      <c r="B36" s="15" t="s">
        <v>167</v>
      </c>
      <c r="C36" s="16" t="s">
        <v>172</v>
      </c>
      <c r="D36" s="16" t="s">
        <v>196</v>
      </c>
    </row>
    <row r="37" spans="1:7" ht="18" x14ac:dyDescent="0.25">
      <c r="A37" s="43"/>
      <c r="B37" s="15" t="s">
        <v>168</v>
      </c>
      <c r="C37" s="16" t="s">
        <v>236</v>
      </c>
      <c r="D37" s="16" t="s">
        <v>196</v>
      </c>
    </row>
    <row r="38" spans="1:7" ht="18" x14ac:dyDescent="0.25">
      <c r="A38" s="43"/>
      <c r="B38" s="15" t="s">
        <v>169</v>
      </c>
      <c r="C38" s="16" t="s">
        <v>171</v>
      </c>
      <c r="D38" s="16" t="s">
        <v>196</v>
      </c>
    </row>
    <row r="39" spans="1:7" ht="18" x14ac:dyDescent="0.25">
      <c r="A39" s="43"/>
      <c r="B39" s="15" t="s">
        <v>237</v>
      </c>
      <c r="C39" s="16" t="s">
        <v>239</v>
      </c>
      <c r="D39" s="16" t="s">
        <v>238</v>
      </c>
    </row>
    <row r="40" spans="1:7" ht="45" x14ac:dyDescent="0.25">
      <c r="A40" s="43"/>
      <c r="B40" s="15" t="s">
        <v>240</v>
      </c>
      <c r="C40" s="16" t="s">
        <v>34</v>
      </c>
      <c r="D40" s="16" t="s">
        <v>34</v>
      </c>
    </row>
    <row r="41" spans="1:7" x14ac:dyDescent="0.25">
      <c r="A41" s="43"/>
      <c r="B41" s="15" t="s">
        <v>241</v>
      </c>
      <c r="C41" s="16" t="s">
        <v>34</v>
      </c>
      <c r="D41" s="16" t="s">
        <v>34</v>
      </c>
    </row>
    <row r="42" spans="1:7" ht="90" customHeight="1" x14ac:dyDescent="0.25">
      <c r="A42" s="43"/>
      <c r="B42" s="15" t="s">
        <v>170</v>
      </c>
      <c r="C42" s="16" t="s">
        <v>34</v>
      </c>
      <c r="D42" s="16" t="s">
        <v>34</v>
      </c>
    </row>
    <row r="43" spans="1:7" s="46" customFormat="1" x14ac:dyDescent="0.25"/>
    <row r="44" spans="1:7" ht="18" x14ac:dyDescent="0.25">
      <c r="A44" s="43" t="s">
        <v>29</v>
      </c>
      <c r="B44" s="15" t="s">
        <v>41</v>
      </c>
      <c r="C44" s="16" t="s">
        <v>40</v>
      </c>
      <c r="D44" s="16" t="s">
        <v>196</v>
      </c>
    </row>
    <row r="45" spans="1:7" ht="18" x14ac:dyDescent="0.25">
      <c r="A45" s="43"/>
      <c r="B45" s="17" t="s">
        <v>235</v>
      </c>
      <c r="C45" s="16" t="s">
        <v>49</v>
      </c>
      <c r="D45" s="16" t="s">
        <v>34</v>
      </c>
      <c r="E45" s="2" t="e">
        <f>E44/E56</f>
        <v>#DIV/0!</v>
      </c>
      <c r="F45" s="2" t="e">
        <f t="shared" ref="F45:G45" si="3">F44/F56</f>
        <v>#DIV/0!</v>
      </c>
      <c r="G45" s="2" t="e">
        <f t="shared" si="3"/>
        <v>#DIV/0!</v>
      </c>
    </row>
    <row r="46" spans="1:7" ht="18" x14ac:dyDescent="0.25">
      <c r="A46" s="43"/>
      <c r="B46" s="15" t="s">
        <v>215</v>
      </c>
      <c r="C46" s="16" t="s">
        <v>50</v>
      </c>
      <c r="D46" s="16" t="s">
        <v>34</v>
      </c>
      <c r="E46" s="2">
        <f>E44/E8</f>
        <v>0</v>
      </c>
      <c r="F46" s="2">
        <f t="shared" ref="F46:G46" si="4">F44/F8</f>
        <v>0</v>
      </c>
      <c r="G46" s="2" t="e">
        <f t="shared" si="4"/>
        <v>#DIV/0!</v>
      </c>
    </row>
    <row r="47" spans="1:7" ht="18" x14ac:dyDescent="0.25">
      <c r="A47" s="43"/>
      <c r="B47" s="15" t="s">
        <v>42</v>
      </c>
      <c r="C47" s="16" t="s">
        <v>43</v>
      </c>
      <c r="D47" s="16" t="s">
        <v>196</v>
      </c>
    </row>
    <row r="48" spans="1:7" ht="18" x14ac:dyDescent="0.25">
      <c r="A48" s="43"/>
      <c r="B48" s="15" t="s">
        <v>44</v>
      </c>
      <c r="C48" s="16" t="s">
        <v>45</v>
      </c>
      <c r="D48" s="16" t="s">
        <v>196</v>
      </c>
    </row>
    <row r="49" spans="1:7" ht="18" x14ac:dyDescent="0.25">
      <c r="A49" s="43"/>
      <c r="B49" s="15" t="s">
        <v>46</v>
      </c>
      <c r="C49" s="16" t="s">
        <v>47</v>
      </c>
      <c r="D49" s="16" t="s">
        <v>208</v>
      </c>
    </row>
    <row r="50" spans="1:7" ht="30" customHeight="1" x14ac:dyDescent="0.25">
      <c r="A50" s="43"/>
      <c r="B50" s="15" t="s">
        <v>51</v>
      </c>
      <c r="C50" s="16" t="s">
        <v>48</v>
      </c>
      <c r="D50" s="16" t="s">
        <v>196</v>
      </c>
    </row>
    <row r="51" spans="1:7" ht="18" customHeight="1" x14ac:dyDescent="0.25">
      <c r="A51" s="7"/>
      <c r="B51" s="15" t="s">
        <v>177</v>
      </c>
      <c r="C51" s="16" t="s">
        <v>178</v>
      </c>
      <c r="D51" s="16" t="s">
        <v>34</v>
      </c>
      <c r="E51" s="2" t="e">
        <f>E44/E47</f>
        <v>#DIV/0!</v>
      </c>
      <c r="F51" s="2" t="e">
        <f t="shared" ref="F51:G51" si="5">F44/F47</f>
        <v>#DIV/0!</v>
      </c>
      <c r="G51" s="2" t="e">
        <f t="shared" si="5"/>
        <v>#DIV/0!</v>
      </c>
    </row>
    <row r="52" spans="1:7" s="46" customFormat="1" x14ac:dyDescent="0.25"/>
    <row r="53" spans="1:7" x14ac:dyDescent="0.25">
      <c r="A53" s="43" t="s">
        <v>30</v>
      </c>
      <c r="B53" s="15" t="s">
        <v>11</v>
      </c>
      <c r="C53" s="16" t="s">
        <v>34</v>
      </c>
      <c r="D53" s="16" t="s">
        <v>34</v>
      </c>
    </row>
    <row r="54" spans="1:7" ht="18" x14ac:dyDescent="0.25">
      <c r="A54" s="43"/>
      <c r="B54" s="15" t="s">
        <v>12</v>
      </c>
      <c r="C54" s="16" t="s">
        <v>84</v>
      </c>
      <c r="D54" s="16" t="s">
        <v>34</v>
      </c>
    </row>
    <row r="55" spans="1:7" ht="18" x14ac:dyDescent="0.25">
      <c r="A55" s="43"/>
      <c r="B55" s="15" t="s">
        <v>83</v>
      </c>
      <c r="C55" s="16" t="s">
        <v>63</v>
      </c>
      <c r="D55" s="16" t="s">
        <v>208</v>
      </c>
    </row>
    <row r="56" spans="1:7" x14ac:dyDescent="0.25">
      <c r="A56" s="43"/>
      <c r="B56" s="15" t="s">
        <v>82</v>
      </c>
      <c r="C56" s="16" t="s">
        <v>64</v>
      </c>
      <c r="D56" s="16" t="s">
        <v>196</v>
      </c>
    </row>
    <row r="57" spans="1:7" ht="18" x14ac:dyDescent="0.25">
      <c r="A57" s="43"/>
      <c r="B57" s="15" t="s">
        <v>65</v>
      </c>
      <c r="C57" s="16" t="s">
        <v>66</v>
      </c>
      <c r="D57" s="16" t="s">
        <v>196</v>
      </c>
    </row>
    <row r="58" spans="1:7" ht="18" x14ac:dyDescent="0.25">
      <c r="A58" s="43"/>
      <c r="B58" s="15" t="s">
        <v>67</v>
      </c>
      <c r="C58" s="16" t="s">
        <v>68</v>
      </c>
      <c r="D58" s="16" t="s">
        <v>196</v>
      </c>
    </row>
    <row r="59" spans="1:7" x14ac:dyDescent="0.25">
      <c r="A59" s="43"/>
      <c r="B59" s="15" t="s">
        <v>13</v>
      </c>
      <c r="C59" s="16" t="s">
        <v>69</v>
      </c>
      <c r="D59" s="16" t="s">
        <v>196</v>
      </c>
    </row>
    <row r="60" spans="1:7" ht="30" customHeight="1" x14ac:dyDescent="0.25">
      <c r="A60" s="43"/>
      <c r="B60" s="15" t="s">
        <v>14</v>
      </c>
      <c r="C60" s="16" t="s">
        <v>70</v>
      </c>
      <c r="D60" s="16" t="s">
        <v>196</v>
      </c>
    </row>
    <row r="61" spans="1:7" ht="30" x14ac:dyDescent="0.25">
      <c r="A61" s="43"/>
      <c r="B61" s="15" t="s">
        <v>75</v>
      </c>
      <c r="C61" s="16" t="s">
        <v>76</v>
      </c>
      <c r="D61" s="16" t="s">
        <v>196</v>
      </c>
    </row>
    <row r="62" spans="1:7" x14ac:dyDescent="0.25">
      <c r="A62" s="43"/>
      <c r="B62" s="15" t="s">
        <v>71</v>
      </c>
      <c r="C62" s="16" t="s">
        <v>74</v>
      </c>
      <c r="D62" s="16" t="s">
        <v>34</v>
      </c>
    </row>
    <row r="63" spans="1:7" ht="30" x14ac:dyDescent="0.25">
      <c r="A63" s="43"/>
      <c r="B63" s="15" t="s">
        <v>15</v>
      </c>
      <c r="C63" s="16" t="s">
        <v>72</v>
      </c>
      <c r="D63" s="16" t="s">
        <v>34</v>
      </c>
    </row>
    <row r="64" spans="1:7" ht="16.5" x14ac:dyDescent="0.25">
      <c r="A64" s="43"/>
      <c r="B64" s="15" t="s">
        <v>16</v>
      </c>
      <c r="C64" s="16" t="s">
        <v>73</v>
      </c>
      <c r="D64" s="16" t="s">
        <v>210</v>
      </c>
    </row>
    <row r="65" spans="1:7" x14ac:dyDescent="0.25">
      <c r="A65" s="43"/>
      <c r="B65" s="15" t="s">
        <v>17</v>
      </c>
      <c r="C65" s="16" t="s">
        <v>77</v>
      </c>
      <c r="D65" s="16" t="s">
        <v>211</v>
      </c>
    </row>
    <row r="66" spans="1:7" x14ac:dyDescent="0.25">
      <c r="A66" s="43"/>
      <c r="B66" s="15" t="s">
        <v>18</v>
      </c>
      <c r="C66" s="16" t="s">
        <v>34</v>
      </c>
      <c r="D66" s="16" t="s">
        <v>34</v>
      </c>
    </row>
    <row r="67" spans="1:7" ht="30" x14ac:dyDescent="0.25">
      <c r="A67" s="43"/>
      <c r="B67" s="15" t="s">
        <v>78</v>
      </c>
      <c r="C67" s="16" t="s">
        <v>79</v>
      </c>
      <c r="D67" s="16" t="s">
        <v>34</v>
      </c>
    </row>
    <row r="68" spans="1:7" ht="18" x14ac:dyDescent="0.25">
      <c r="A68" s="43"/>
      <c r="B68" s="15" t="s">
        <v>80</v>
      </c>
      <c r="C68" s="16" t="s">
        <v>81</v>
      </c>
      <c r="D68" s="16" t="s">
        <v>209</v>
      </c>
      <c r="E68" s="2" t="e">
        <f>E23/E55</f>
        <v>#DIV/0!</v>
      </c>
      <c r="F68" s="2" t="e">
        <f t="shared" ref="F68:G68" si="6">F23/F55</f>
        <v>#DIV/0!</v>
      </c>
      <c r="G68" s="2" t="e">
        <f t="shared" si="6"/>
        <v>#DIV/0!</v>
      </c>
    </row>
    <row r="69" spans="1:7" s="46" customFormat="1" x14ac:dyDescent="0.25"/>
    <row r="70" spans="1:7" x14ac:dyDescent="0.25">
      <c r="A70" s="43" t="s">
        <v>31</v>
      </c>
      <c r="B70" s="15" t="s">
        <v>19</v>
      </c>
      <c r="C70" s="16" t="s">
        <v>34</v>
      </c>
      <c r="D70" s="16" t="s">
        <v>34</v>
      </c>
    </row>
    <row r="71" spans="1:7" ht="18" x14ac:dyDescent="0.25">
      <c r="A71" s="43"/>
      <c r="B71" s="15" t="s">
        <v>106</v>
      </c>
      <c r="C71" s="16" t="s">
        <v>43</v>
      </c>
      <c r="D71" s="16" t="s">
        <v>196</v>
      </c>
    </row>
    <row r="72" spans="1:7" ht="18" x14ac:dyDescent="0.25">
      <c r="A72" s="43"/>
      <c r="B72" s="15" t="s">
        <v>244</v>
      </c>
      <c r="C72" s="16" t="s">
        <v>245</v>
      </c>
      <c r="D72" s="16" t="s">
        <v>34</v>
      </c>
    </row>
    <row r="73" spans="1:7" ht="45" x14ac:dyDescent="0.25">
      <c r="A73" s="43"/>
      <c r="B73" s="15" t="s">
        <v>242</v>
      </c>
      <c r="C73" s="16" t="s">
        <v>243</v>
      </c>
      <c r="D73" s="16" t="s">
        <v>196</v>
      </c>
    </row>
    <row r="74" spans="1:7" ht="18" x14ac:dyDescent="0.25">
      <c r="A74" s="43"/>
      <c r="B74" s="15" t="s">
        <v>248</v>
      </c>
      <c r="C74" s="16" t="s">
        <v>246</v>
      </c>
      <c r="D74" s="16" t="s">
        <v>34</v>
      </c>
    </row>
    <row r="75" spans="1:7" ht="18" x14ac:dyDescent="0.25">
      <c r="A75" s="43"/>
      <c r="B75" s="15" t="s">
        <v>249</v>
      </c>
      <c r="C75" s="16" t="s">
        <v>247</v>
      </c>
      <c r="D75" s="16" t="s">
        <v>34</v>
      </c>
    </row>
    <row r="76" spans="1:7" s="46" customFormat="1" x14ac:dyDescent="0.25"/>
    <row r="77" spans="1:7" ht="18" x14ac:dyDescent="0.25">
      <c r="A77" s="43" t="s">
        <v>32</v>
      </c>
      <c r="B77" s="15" t="s">
        <v>106</v>
      </c>
      <c r="C77" s="16" t="s">
        <v>250</v>
      </c>
      <c r="D77" s="16" t="s">
        <v>196</v>
      </c>
    </row>
    <row r="78" spans="1:7" ht="18" x14ac:dyDescent="0.25">
      <c r="A78" s="43"/>
      <c r="B78" s="15" t="s">
        <v>258</v>
      </c>
      <c r="C78" s="16" t="s">
        <v>251</v>
      </c>
      <c r="D78" s="16" t="s">
        <v>34</v>
      </c>
    </row>
    <row r="79" spans="1:7" ht="30" x14ac:dyDescent="0.25">
      <c r="A79" s="43"/>
      <c r="B79" s="15" t="s">
        <v>259</v>
      </c>
      <c r="C79" s="16" t="s">
        <v>252</v>
      </c>
      <c r="D79" s="16" t="s">
        <v>196</v>
      </c>
    </row>
    <row r="80" spans="1:7" ht="18" x14ac:dyDescent="0.25">
      <c r="A80" s="43"/>
      <c r="B80" s="15" t="s">
        <v>256</v>
      </c>
      <c r="C80" s="16" t="s">
        <v>253</v>
      </c>
      <c r="D80" s="16" t="s">
        <v>34</v>
      </c>
    </row>
    <row r="81" spans="1:7" ht="18" x14ac:dyDescent="0.25">
      <c r="A81" s="43"/>
      <c r="B81" s="15" t="s">
        <v>257</v>
      </c>
      <c r="C81" s="16" t="s">
        <v>254</v>
      </c>
      <c r="D81" s="16" t="s">
        <v>34</v>
      </c>
    </row>
    <row r="82" spans="1:7" ht="18" x14ac:dyDescent="0.25">
      <c r="A82" s="43"/>
      <c r="B82" s="15" t="s">
        <v>216</v>
      </c>
      <c r="C82" s="16" t="s">
        <v>255</v>
      </c>
      <c r="D82" s="16" t="s">
        <v>34</v>
      </c>
    </row>
    <row r="83" spans="1:7" s="46" customFormat="1" x14ac:dyDescent="0.25"/>
    <row r="84" spans="1:7" ht="18" x14ac:dyDescent="0.25">
      <c r="A84" s="43" t="s">
        <v>104</v>
      </c>
      <c r="B84" s="15" t="s">
        <v>93</v>
      </c>
      <c r="C84" s="16" t="s">
        <v>101</v>
      </c>
      <c r="D84" s="16" t="s">
        <v>34</v>
      </c>
    </row>
    <row r="85" spans="1:7" ht="18" x14ac:dyDescent="0.25">
      <c r="A85" s="43"/>
      <c r="B85" s="15" t="s">
        <v>92</v>
      </c>
      <c r="C85" s="16" t="s">
        <v>100</v>
      </c>
      <c r="D85" s="16" t="s">
        <v>34</v>
      </c>
    </row>
    <row r="86" spans="1:7" ht="18" x14ac:dyDescent="0.25">
      <c r="A86" s="43"/>
      <c r="B86" s="15" t="s">
        <v>83</v>
      </c>
      <c r="C86" s="16" t="s">
        <v>91</v>
      </c>
      <c r="D86" s="16" t="s">
        <v>208</v>
      </c>
    </row>
    <row r="87" spans="1:7" ht="18" x14ac:dyDescent="0.25">
      <c r="A87" s="43"/>
      <c r="B87" s="15" t="s">
        <v>213</v>
      </c>
      <c r="C87" s="16" t="s">
        <v>90</v>
      </c>
      <c r="D87" s="16" t="s">
        <v>34</v>
      </c>
      <c r="E87" s="2" t="e">
        <f>E86/E55</f>
        <v>#DIV/0!</v>
      </c>
      <c r="F87" s="2" t="e">
        <f t="shared" ref="F87:G87" si="7">F86/F55</f>
        <v>#DIV/0!</v>
      </c>
      <c r="G87" s="2" t="e">
        <f t="shared" si="7"/>
        <v>#DIV/0!</v>
      </c>
    </row>
    <row r="88" spans="1:7" ht="18" x14ac:dyDescent="0.25">
      <c r="A88" s="43"/>
      <c r="B88" s="15" t="s">
        <v>82</v>
      </c>
      <c r="C88" s="16" t="s">
        <v>89</v>
      </c>
      <c r="D88" s="16" t="s">
        <v>196</v>
      </c>
    </row>
    <row r="89" spans="1:7" ht="18" x14ac:dyDescent="0.25">
      <c r="A89" s="43"/>
      <c r="B89" s="15" t="s">
        <v>214</v>
      </c>
      <c r="C89" s="16" t="s">
        <v>88</v>
      </c>
      <c r="D89" s="16" t="s">
        <v>34</v>
      </c>
      <c r="E89" s="2" t="e">
        <f>E88/E56</f>
        <v>#DIV/0!</v>
      </c>
      <c r="F89" s="2" t="e">
        <f t="shared" ref="F89:G89" si="8">F88/F56</f>
        <v>#DIV/0!</v>
      </c>
      <c r="G89" s="2" t="e">
        <f t="shared" si="8"/>
        <v>#DIV/0!</v>
      </c>
    </row>
    <row r="90" spans="1:7" ht="18" x14ac:dyDescent="0.25">
      <c r="A90" s="43"/>
      <c r="B90" s="15" t="s">
        <v>65</v>
      </c>
      <c r="C90" s="16" t="s">
        <v>87</v>
      </c>
      <c r="D90" s="16" t="s">
        <v>196</v>
      </c>
    </row>
    <row r="91" spans="1:7" ht="18" x14ac:dyDescent="0.25">
      <c r="A91" s="43"/>
      <c r="B91" s="15" t="s">
        <v>67</v>
      </c>
      <c r="C91" s="16" t="s">
        <v>86</v>
      </c>
      <c r="D91" s="16" t="s">
        <v>196</v>
      </c>
    </row>
    <row r="92" spans="1:7" ht="18" x14ac:dyDescent="0.25">
      <c r="A92" s="43"/>
      <c r="B92" s="15" t="s">
        <v>13</v>
      </c>
      <c r="C92" s="16" t="s">
        <v>85</v>
      </c>
      <c r="D92" s="16" t="s">
        <v>196</v>
      </c>
    </row>
    <row r="93" spans="1:7" ht="30" x14ac:dyDescent="0.25">
      <c r="A93" s="43"/>
      <c r="B93" s="15" t="s">
        <v>14</v>
      </c>
      <c r="C93" s="16" t="s">
        <v>94</v>
      </c>
      <c r="D93" s="16" t="s">
        <v>196</v>
      </c>
    </row>
    <row r="94" spans="1:7" ht="30" x14ac:dyDescent="0.25">
      <c r="A94" s="43"/>
      <c r="B94" s="15" t="s">
        <v>75</v>
      </c>
      <c r="C94" s="16" t="s">
        <v>117</v>
      </c>
      <c r="D94" s="16" t="s">
        <v>196</v>
      </c>
    </row>
    <row r="95" spans="1:7" ht="18" x14ac:dyDescent="0.25">
      <c r="A95" s="43"/>
      <c r="B95" s="15" t="s">
        <v>71</v>
      </c>
      <c r="C95" s="16" t="s">
        <v>95</v>
      </c>
      <c r="D95" s="16" t="s">
        <v>34</v>
      </c>
    </row>
    <row r="96" spans="1:7" ht="30" x14ac:dyDescent="0.25">
      <c r="A96" s="43"/>
      <c r="B96" s="15" t="s">
        <v>15</v>
      </c>
      <c r="C96" s="16" t="s">
        <v>96</v>
      </c>
      <c r="D96" s="16" t="s">
        <v>34</v>
      </c>
    </row>
    <row r="97" spans="1:7" ht="18" x14ac:dyDescent="0.25">
      <c r="A97" s="43"/>
      <c r="B97" s="15" t="s">
        <v>16</v>
      </c>
      <c r="C97" s="16" t="s">
        <v>97</v>
      </c>
      <c r="D97" s="16" t="s">
        <v>212</v>
      </c>
    </row>
    <row r="98" spans="1:7" ht="18" x14ac:dyDescent="0.25">
      <c r="A98" s="43"/>
      <c r="B98" s="15" t="s">
        <v>17</v>
      </c>
      <c r="C98" s="16" t="s">
        <v>98</v>
      </c>
      <c r="D98" s="16" t="s">
        <v>212</v>
      </c>
    </row>
    <row r="99" spans="1:7" x14ac:dyDescent="0.25">
      <c r="A99" s="43"/>
      <c r="B99" s="15" t="s">
        <v>18</v>
      </c>
      <c r="C99" s="16" t="s">
        <v>34</v>
      </c>
      <c r="D99" s="16" t="s">
        <v>34</v>
      </c>
    </row>
    <row r="100" spans="1:7" ht="30" x14ac:dyDescent="0.25">
      <c r="A100" s="43"/>
      <c r="B100" s="15" t="s">
        <v>78</v>
      </c>
      <c r="C100" s="16" t="s">
        <v>99</v>
      </c>
      <c r="D100" s="16" t="s">
        <v>34</v>
      </c>
    </row>
    <row r="101" spans="1:7" ht="18" x14ac:dyDescent="0.25">
      <c r="A101" s="43"/>
      <c r="B101" s="15" t="s">
        <v>102</v>
      </c>
      <c r="C101" s="16" t="s">
        <v>103</v>
      </c>
      <c r="D101" s="16" t="s">
        <v>209</v>
      </c>
      <c r="E101" s="2" t="e">
        <f>E86*E85/(E55*E60)</f>
        <v>#DIV/0!</v>
      </c>
      <c r="F101" s="2" t="e">
        <f t="shared" ref="F101:G101" si="9">F86*F85/(F55*F60)</f>
        <v>#DIV/0!</v>
      </c>
      <c r="G101" s="2" t="e">
        <f t="shared" si="9"/>
        <v>#DIV/0!</v>
      </c>
    </row>
    <row r="102" spans="1:7" s="50" customFormat="1" x14ac:dyDescent="0.25"/>
    <row r="103" spans="1:7" ht="18" x14ac:dyDescent="0.25">
      <c r="A103" s="43" t="s">
        <v>105</v>
      </c>
      <c r="B103" s="15" t="s">
        <v>106</v>
      </c>
      <c r="C103" s="16" t="s">
        <v>108</v>
      </c>
      <c r="D103" s="16" t="s">
        <v>196</v>
      </c>
    </row>
    <row r="104" spans="1:7" ht="18" x14ac:dyDescent="0.25">
      <c r="A104" s="43"/>
      <c r="B104" s="15" t="s">
        <v>217</v>
      </c>
      <c r="C104" s="16" t="s">
        <v>109</v>
      </c>
      <c r="D104" s="16" t="s">
        <v>34</v>
      </c>
      <c r="E104" s="2" t="e">
        <f>E103/E88</f>
        <v>#DIV/0!</v>
      </c>
      <c r="F104" s="2" t="e">
        <f t="shared" ref="F104:G104" si="10">F103/F88</f>
        <v>#DIV/0!</v>
      </c>
      <c r="G104" s="2" t="e">
        <f t="shared" si="10"/>
        <v>#DIV/0!</v>
      </c>
    </row>
    <row r="105" spans="1:7" ht="18" x14ac:dyDescent="0.25">
      <c r="A105" s="43"/>
      <c r="B105" s="15" t="s">
        <v>107</v>
      </c>
      <c r="C105" s="16" t="s">
        <v>110</v>
      </c>
      <c r="D105" s="16" t="s">
        <v>34</v>
      </c>
    </row>
    <row r="106" spans="1:7" s="46" customFormat="1" x14ac:dyDescent="0.25"/>
    <row r="107" spans="1:7" ht="15" customHeight="1" x14ac:dyDescent="0.25">
      <c r="A107" s="43" t="s">
        <v>111</v>
      </c>
      <c r="B107" s="15" t="s">
        <v>11</v>
      </c>
      <c r="C107" s="16" t="s">
        <v>118</v>
      </c>
      <c r="D107" s="16" t="s">
        <v>196</v>
      </c>
    </row>
    <row r="108" spans="1:7" ht="18" x14ac:dyDescent="0.25">
      <c r="A108" s="43"/>
      <c r="B108" s="15" t="s">
        <v>12</v>
      </c>
      <c r="C108" s="16" t="s">
        <v>119</v>
      </c>
      <c r="D108" s="16" t="s">
        <v>196</v>
      </c>
    </row>
    <row r="109" spans="1:7" ht="18" x14ac:dyDescent="0.25">
      <c r="A109" s="43"/>
      <c r="B109" s="15" t="s">
        <v>83</v>
      </c>
      <c r="C109" s="16" t="s">
        <v>120</v>
      </c>
      <c r="D109" s="16" t="s">
        <v>208</v>
      </c>
    </row>
    <row r="110" spans="1:7" ht="18" x14ac:dyDescent="0.25">
      <c r="A110" s="43"/>
      <c r="B110" s="15" t="s">
        <v>218</v>
      </c>
      <c r="C110" s="16" t="s">
        <v>121</v>
      </c>
      <c r="D110" s="16" t="s">
        <v>34</v>
      </c>
      <c r="E110" s="2" t="e">
        <f>E109/E55</f>
        <v>#DIV/0!</v>
      </c>
      <c r="F110" s="2" t="e">
        <f t="shared" ref="F110:G110" si="11">F109/F55</f>
        <v>#DIV/0!</v>
      </c>
      <c r="G110" s="2" t="e">
        <f t="shared" si="11"/>
        <v>#DIV/0!</v>
      </c>
    </row>
    <row r="111" spans="1:7" ht="18" x14ac:dyDescent="0.25">
      <c r="A111" s="43"/>
      <c r="B111" s="15" t="s">
        <v>82</v>
      </c>
      <c r="C111" s="16" t="s">
        <v>122</v>
      </c>
      <c r="D111" s="16" t="s">
        <v>196</v>
      </c>
    </row>
    <row r="112" spans="1:7" ht="18" x14ac:dyDescent="0.25">
      <c r="A112" s="43"/>
      <c r="B112" s="15" t="s">
        <v>219</v>
      </c>
      <c r="C112" s="16" t="s">
        <v>123</v>
      </c>
      <c r="D112" s="16" t="s">
        <v>34</v>
      </c>
      <c r="E112" s="2" t="e">
        <f>E111/E56</f>
        <v>#DIV/0!</v>
      </c>
      <c r="F112" s="2" t="e">
        <f t="shared" ref="F112:G112" si="12">F111/F56</f>
        <v>#DIV/0!</v>
      </c>
      <c r="G112" s="2" t="e">
        <f t="shared" si="12"/>
        <v>#DIV/0!</v>
      </c>
    </row>
    <row r="113" spans="1:7" ht="18" x14ac:dyDescent="0.25">
      <c r="A113" s="43"/>
      <c r="B113" s="15" t="s">
        <v>65</v>
      </c>
      <c r="C113" s="16" t="s">
        <v>124</v>
      </c>
      <c r="D113" s="16" t="s">
        <v>196</v>
      </c>
    </row>
    <row r="114" spans="1:7" ht="18" x14ac:dyDescent="0.25">
      <c r="A114" s="43"/>
      <c r="B114" s="15" t="s">
        <v>67</v>
      </c>
      <c r="C114" s="16" t="s">
        <v>125</v>
      </c>
      <c r="D114" s="16" t="s">
        <v>196</v>
      </c>
    </row>
    <row r="115" spans="1:7" ht="18" x14ac:dyDescent="0.25">
      <c r="A115" s="43"/>
      <c r="B115" s="15" t="s">
        <v>13</v>
      </c>
      <c r="C115" s="16" t="s">
        <v>126</v>
      </c>
      <c r="D115" s="16" t="s">
        <v>196</v>
      </c>
    </row>
    <row r="116" spans="1:7" ht="30" x14ac:dyDescent="0.25">
      <c r="A116" s="43"/>
      <c r="B116" s="15" t="s">
        <v>14</v>
      </c>
      <c r="C116" s="16" t="s">
        <v>127</v>
      </c>
      <c r="D116" s="16" t="s">
        <v>196</v>
      </c>
    </row>
    <row r="117" spans="1:7" ht="30" x14ac:dyDescent="0.25">
      <c r="A117" s="43"/>
      <c r="B117" s="15" t="s">
        <v>75</v>
      </c>
      <c r="C117" s="16" t="s">
        <v>128</v>
      </c>
      <c r="D117" s="16" t="s">
        <v>196</v>
      </c>
    </row>
    <row r="118" spans="1:7" ht="18" x14ac:dyDescent="0.25">
      <c r="A118" s="43"/>
      <c r="B118" s="15" t="s">
        <v>71</v>
      </c>
      <c r="C118" s="16" t="s">
        <v>134</v>
      </c>
      <c r="D118" s="16" t="s">
        <v>34</v>
      </c>
    </row>
    <row r="119" spans="1:7" ht="30" x14ac:dyDescent="0.25">
      <c r="A119" s="43"/>
      <c r="B119" s="15" t="s">
        <v>15</v>
      </c>
      <c r="C119" s="16" t="s">
        <v>133</v>
      </c>
      <c r="D119" s="16" t="s">
        <v>34</v>
      </c>
    </row>
    <row r="120" spans="1:7" ht="18" x14ac:dyDescent="0.25">
      <c r="A120" s="43"/>
      <c r="B120" s="15" t="s">
        <v>16</v>
      </c>
      <c r="C120" s="16" t="s">
        <v>132</v>
      </c>
      <c r="D120" s="16" t="s">
        <v>212</v>
      </c>
    </row>
    <row r="121" spans="1:7" ht="18" x14ac:dyDescent="0.25">
      <c r="A121" s="43"/>
      <c r="B121" s="15" t="s">
        <v>17</v>
      </c>
      <c r="C121" s="16" t="s">
        <v>131</v>
      </c>
      <c r="D121" s="16" t="s">
        <v>212</v>
      </c>
    </row>
    <row r="122" spans="1:7" x14ac:dyDescent="0.25">
      <c r="A122" s="43"/>
      <c r="B122" s="15" t="s">
        <v>18</v>
      </c>
      <c r="C122" s="16" t="s">
        <v>34</v>
      </c>
      <c r="D122" s="16" t="s">
        <v>34</v>
      </c>
    </row>
    <row r="123" spans="1:7" ht="30" x14ac:dyDescent="0.25">
      <c r="A123" s="43"/>
      <c r="B123" s="15" t="s">
        <v>78</v>
      </c>
      <c r="C123" s="16" t="s">
        <v>130</v>
      </c>
      <c r="D123" s="16" t="s">
        <v>34</v>
      </c>
    </row>
    <row r="124" spans="1:7" ht="18" x14ac:dyDescent="0.25">
      <c r="A124" s="43"/>
      <c r="B124" s="15" t="s">
        <v>102</v>
      </c>
      <c r="C124" s="16" t="s">
        <v>129</v>
      </c>
      <c r="D124" s="16" t="s">
        <v>209</v>
      </c>
      <c r="E124" s="2" t="e">
        <f>E109*E108/(E55*E56)</f>
        <v>#DIV/0!</v>
      </c>
      <c r="F124" s="2" t="e">
        <f t="shared" ref="F124:G124" si="13">F109*F108/(F55*F56)</f>
        <v>#DIV/0!</v>
      </c>
      <c r="G124" s="2" t="e">
        <f t="shared" si="13"/>
        <v>#DIV/0!</v>
      </c>
    </row>
    <row r="125" spans="1:7" s="50" customFormat="1" x14ac:dyDescent="0.25"/>
    <row r="126" spans="1:7" ht="18" x14ac:dyDescent="0.25">
      <c r="A126" s="43" t="s">
        <v>112</v>
      </c>
      <c r="B126" s="15" t="s">
        <v>106</v>
      </c>
      <c r="C126" s="16" t="s">
        <v>114</v>
      </c>
      <c r="D126" s="16" t="s">
        <v>196</v>
      </c>
    </row>
    <row r="127" spans="1:7" ht="18" x14ac:dyDescent="0.25">
      <c r="A127" s="43"/>
      <c r="B127" s="15" t="s">
        <v>224</v>
      </c>
      <c r="C127" s="16" t="s">
        <v>115</v>
      </c>
      <c r="D127" s="16" t="s">
        <v>34</v>
      </c>
      <c r="E127" s="2" t="e">
        <f>E126/E111</f>
        <v>#DIV/0!</v>
      </c>
      <c r="F127" s="2" t="e">
        <f t="shared" ref="F127:G127" si="14">F126/F111</f>
        <v>#DIV/0!</v>
      </c>
      <c r="G127" s="2" t="e">
        <f t="shared" si="14"/>
        <v>#DIV/0!</v>
      </c>
    </row>
    <row r="128" spans="1:7" ht="18" x14ac:dyDescent="0.25">
      <c r="A128" s="43"/>
      <c r="B128" s="15" t="s">
        <v>113</v>
      </c>
      <c r="C128" s="16" t="s">
        <v>116</v>
      </c>
      <c r="D128" s="16" t="s">
        <v>34</v>
      </c>
    </row>
    <row r="129" spans="1:7" s="46" customFormat="1" x14ac:dyDescent="0.25"/>
    <row r="130" spans="1:7" x14ac:dyDescent="0.25">
      <c r="A130" s="43" t="s">
        <v>33</v>
      </c>
      <c r="B130" s="15" t="s">
        <v>19</v>
      </c>
      <c r="C130" s="16" t="s">
        <v>34</v>
      </c>
      <c r="D130" s="16" t="s">
        <v>34</v>
      </c>
    </row>
    <row r="131" spans="1:7" x14ac:dyDescent="0.25">
      <c r="A131" s="43"/>
      <c r="B131" s="15" t="s">
        <v>136</v>
      </c>
      <c r="C131" s="16" t="s">
        <v>137</v>
      </c>
      <c r="D131" s="16" t="s">
        <v>196</v>
      </c>
    </row>
    <row r="132" spans="1:7" x14ac:dyDescent="0.25">
      <c r="A132" s="43"/>
      <c r="B132" s="15" t="s">
        <v>135</v>
      </c>
      <c r="C132" s="16" t="s">
        <v>138</v>
      </c>
      <c r="D132" s="16" t="s">
        <v>196</v>
      </c>
    </row>
    <row r="133" spans="1:7" x14ac:dyDescent="0.25">
      <c r="A133" s="43"/>
      <c r="B133" s="15" t="s">
        <v>142</v>
      </c>
      <c r="C133" s="16" t="s">
        <v>139</v>
      </c>
      <c r="D133" s="16" t="s">
        <v>34</v>
      </c>
      <c r="E133" s="2" t="e">
        <f>E131/E132</f>
        <v>#DIV/0!</v>
      </c>
      <c r="F133" s="2" t="e">
        <f t="shared" ref="F133:G133" si="15">F131/F132</f>
        <v>#DIV/0!</v>
      </c>
      <c r="G133" s="2" t="e">
        <f t="shared" si="15"/>
        <v>#DIV/0!</v>
      </c>
    </row>
    <row r="134" spans="1:7" x14ac:dyDescent="0.25">
      <c r="A134" s="43"/>
      <c r="B134" s="15" t="s">
        <v>141</v>
      </c>
      <c r="C134" s="16" t="s">
        <v>140</v>
      </c>
      <c r="D134" s="16" t="s">
        <v>34</v>
      </c>
      <c r="E134" s="2" t="e">
        <f>E131/E56</f>
        <v>#DIV/0!</v>
      </c>
      <c r="F134" s="2" t="e">
        <f t="shared" ref="F134:G134" si="16">F131/F56</f>
        <v>#DIV/0!</v>
      </c>
      <c r="G134" s="2" t="e">
        <f t="shared" si="16"/>
        <v>#DIV/0!</v>
      </c>
    </row>
    <row r="135" spans="1:7" ht="18" x14ac:dyDescent="0.25">
      <c r="A135" s="43"/>
      <c r="B135" s="15" t="s">
        <v>220</v>
      </c>
      <c r="C135" s="16" t="s">
        <v>143</v>
      </c>
      <c r="D135" s="16" t="s">
        <v>34</v>
      </c>
      <c r="E135" s="2" t="e">
        <f>E132/E44</f>
        <v>#DIV/0!</v>
      </c>
      <c r="F135" s="2" t="e">
        <f t="shared" ref="F135:G135" si="17">F132/F44</f>
        <v>#DIV/0!</v>
      </c>
      <c r="G135" s="2" t="e">
        <f t="shared" si="17"/>
        <v>#DIV/0!</v>
      </c>
    </row>
    <row r="136" spans="1:7" ht="18" x14ac:dyDescent="0.25">
      <c r="A136" s="43"/>
      <c r="B136" s="15" t="s">
        <v>145</v>
      </c>
      <c r="C136" s="16" t="s">
        <v>144</v>
      </c>
      <c r="D136" s="16" t="s">
        <v>34</v>
      </c>
    </row>
    <row r="137" spans="1:7" ht="18" x14ac:dyDescent="0.25">
      <c r="A137" s="43"/>
      <c r="B137" s="15" t="s">
        <v>146</v>
      </c>
      <c r="C137" s="16" t="s">
        <v>147</v>
      </c>
      <c r="D137" s="16" t="s">
        <v>196</v>
      </c>
    </row>
    <row r="138" spans="1:7" ht="18" x14ac:dyDescent="0.25">
      <c r="A138" s="43"/>
      <c r="B138" s="15" t="s">
        <v>148</v>
      </c>
      <c r="C138" s="16" t="s">
        <v>149</v>
      </c>
      <c r="D138" s="16" t="s">
        <v>196</v>
      </c>
    </row>
    <row r="139" spans="1:7" ht="18" x14ac:dyDescent="0.25">
      <c r="A139" s="43"/>
      <c r="B139" s="15" t="s">
        <v>260</v>
      </c>
      <c r="C139" s="16" t="s">
        <v>261</v>
      </c>
      <c r="D139" s="16" t="s">
        <v>262</v>
      </c>
    </row>
    <row r="140" spans="1:7" s="46" customFormat="1" x14ac:dyDescent="0.25"/>
    <row r="141" spans="1:7" ht="18" x14ac:dyDescent="0.25">
      <c r="A141" s="43" t="s">
        <v>25</v>
      </c>
      <c r="B141" s="15" t="s">
        <v>151</v>
      </c>
      <c r="C141" s="16" t="s">
        <v>150</v>
      </c>
      <c r="D141" s="16" t="s">
        <v>223</v>
      </c>
      <c r="E141" s="2">
        <f>522/3.6</f>
        <v>145</v>
      </c>
    </row>
    <row r="142" spans="1:7" ht="30" x14ac:dyDescent="0.25">
      <c r="A142" s="43"/>
      <c r="B142" s="15" t="s">
        <v>155</v>
      </c>
      <c r="C142" s="16" t="s">
        <v>154</v>
      </c>
      <c r="D142" s="16" t="s">
        <v>223</v>
      </c>
      <c r="E142" s="2">
        <f>426/3.6</f>
        <v>118.33333333333333</v>
      </c>
    </row>
    <row r="143" spans="1:7" ht="18" x14ac:dyDescent="0.25">
      <c r="A143" s="43"/>
      <c r="B143" s="15" t="s">
        <v>152</v>
      </c>
      <c r="C143" s="16" t="s">
        <v>153</v>
      </c>
      <c r="D143" s="16" t="s">
        <v>223</v>
      </c>
    </row>
    <row r="144" spans="1:7" ht="18" x14ac:dyDescent="0.25">
      <c r="A144" s="43"/>
      <c r="B144" s="15" t="s">
        <v>20</v>
      </c>
      <c r="C144" s="16" t="s">
        <v>156</v>
      </c>
      <c r="D144" s="16" t="s">
        <v>223</v>
      </c>
    </row>
    <row r="145" spans="1:7" ht="18" x14ac:dyDescent="0.25">
      <c r="A145" s="43"/>
      <c r="B145" s="15" t="s">
        <v>21</v>
      </c>
      <c r="C145" s="16" t="s">
        <v>157</v>
      </c>
      <c r="D145" s="16" t="s">
        <v>223</v>
      </c>
    </row>
    <row r="146" spans="1:7" ht="18" x14ac:dyDescent="0.25">
      <c r="A146" s="43"/>
      <c r="B146" s="15" t="s">
        <v>158</v>
      </c>
      <c r="C146" s="16" t="s">
        <v>159</v>
      </c>
      <c r="D146" s="16" t="s">
        <v>223</v>
      </c>
      <c r="E146" s="2">
        <f>488/60</f>
        <v>8.1333333333333329</v>
      </c>
    </row>
    <row r="147" spans="1:7" x14ac:dyDescent="0.25">
      <c r="A147" s="43"/>
      <c r="B147" s="15" t="s">
        <v>162</v>
      </c>
      <c r="C147" s="16" t="s">
        <v>160</v>
      </c>
      <c r="D147" s="16" t="s">
        <v>222</v>
      </c>
      <c r="E147" s="2">
        <v>3815</v>
      </c>
    </row>
    <row r="148" spans="1:7" x14ac:dyDescent="0.25">
      <c r="A148" s="43"/>
      <c r="B148" s="15" t="s">
        <v>163</v>
      </c>
      <c r="C148" s="16" t="s">
        <v>161</v>
      </c>
      <c r="D148" s="16" t="s">
        <v>221</v>
      </c>
    </row>
    <row r="149" spans="1:7" x14ac:dyDescent="0.25">
      <c r="A149" s="43"/>
      <c r="B149" s="15" t="s">
        <v>22</v>
      </c>
      <c r="C149" s="16" t="s">
        <v>34</v>
      </c>
      <c r="D149" s="16" t="s">
        <v>34</v>
      </c>
      <c r="E149" s="2" t="s">
        <v>370</v>
      </c>
    </row>
    <row r="150" spans="1:7" ht="18" x14ac:dyDescent="0.25">
      <c r="A150" s="43"/>
      <c r="B150" s="15" t="s">
        <v>23</v>
      </c>
      <c r="C150" s="16" t="s">
        <v>176</v>
      </c>
      <c r="D150" s="16" t="s">
        <v>196</v>
      </c>
      <c r="E150" s="2">
        <v>735</v>
      </c>
    </row>
    <row r="151" spans="1:7" ht="18" x14ac:dyDescent="0.25">
      <c r="A151" s="43"/>
      <c r="B151" s="15" t="s">
        <v>24</v>
      </c>
      <c r="C151" s="16" t="s">
        <v>175</v>
      </c>
      <c r="D151" s="16" t="s">
        <v>196</v>
      </c>
      <c r="E151" s="2">
        <v>561</v>
      </c>
    </row>
    <row r="152" spans="1:7" s="49" customFormat="1" x14ac:dyDescent="0.25"/>
    <row r="153" spans="1:7" x14ac:dyDescent="0.25">
      <c r="C153" s="1"/>
      <c r="D153" s="1"/>
      <c r="E153" s="1"/>
      <c r="F153" s="29"/>
      <c r="G153" s="8"/>
    </row>
    <row r="154" spans="1:7" x14ac:dyDescent="0.25">
      <c r="C154" s="1"/>
      <c r="D154" s="1"/>
      <c r="E154" s="1"/>
      <c r="F154" s="29"/>
      <c r="G154" s="8"/>
    </row>
    <row r="155" spans="1:7" x14ac:dyDescent="0.25">
      <c r="C155" s="1"/>
      <c r="D155" s="1"/>
      <c r="E155" s="1"/>
      <c r="F155" s="29"/>
      <c r="G155" s="8"/>
    </row>
    <row r="156" spans="1:7" x14ac:dyDescent="0.25">
      <c r="C156" s="1"/>
      <c r="D156" s="1"/>
      <c r="E156" s="1"/>
      <c r="F156" s="29"/>
      <c r="G156" s="8"/>
    </row>
    <row r="157" spans="1:7" x14ac:dyDescent="0.25">
      <c r="C157" s="1"/>
      <c r="D157" s="1"/>
      <c r="E157" s="1"/>
      <c r="F157" s="29"/>
      <c r="G157" s="8"/>
    </row>
    <row r="158" spans="1:7" x14ac:dyDescent="0.25">
      <c r="C158" s="1"/>
      <c r="D158" s="1"/>
      <c r="E158" s="1"/>
      <c r="F158" s="29"/>
      <c r="G158" s="8"/>
    </row>
    <row r="159" spans="1:7" x14ac:dyDescent="0.25">
      <c r="C159" s="1"/>
      <c r="D159" s="1"/>
      <c r="E159" s="1"/>
      <c r="F159" s="29"/>
      <c r="G159" s="8"/>
    </row>
    <row r="160" spans="1:7" x14ac:dyDescent="0.25">
      <c r="C160" s="1"/>
      <c r="D160" s="1"/>
      <c r="E160" s="1"/>
      <c r="F160" s="29"/>
      <c r="G160" s="8"/>
    </row>
    <row r="161" spans="2:7" x14ac:dyDescent="0.25">
      <c r="C161" s="1"/>
      <c r="D161" s="1"/>
      <c r="E161" s="1"/>
      <c r="F161" s="29"/>
      <c r="G161" s="8"/>
    </row>
    <row r="162" spans="2:7" x14ac:dyDescent="0.25">
      <c r="C162" s="1"/>
      <c r="D162" s="1"/>
      <c r="E162" s="1"/>
      <c r="F162" s="29"/>
      <c r="G162" s="8"/>
    </row>
    <row r="163" spans="2:7" x14ac:dyDescent="0.25">
      <c r="C163" s="1"/>
      <c r="D163" s="1"/>
      <c r="E163" s="1"/>
      <c r="F163" s="29"/>
      <c r="G163" s="8"/>
    </row>
    <row r="164" spans="2:7" x14ac:dyDescent="0.25">
      <c r="C164" s="1"/>
      <c r="D164" s="1"/>
      <c r="E164" s="1"/>
      <c r="F164" s="29"/>
      <c r="G164" s="8"/>
    </row>
    <row r="165" spans="2:7" x14ac:dyDescent="0.25">
      <c r="C165" s="1"/>
      <c r="D165" s="1"/>
      <c r="E165" s="1"/>
      <c r="F165" s="29"/>
      <c r="G165" s="8"/>
    </row>
    <row r="166" spans="2:7" x14ac:dyDescent="0.25">
      <c r="C166" s="1"/>
      <c r="D166" s="1"/>
      <c r="E166" s="1"/>
      <c r="F166" s="29"/>
      <c r="G166" s="8"/>
    </row>
    <row r="167" spans="2:7" x14ac:dyDescent="0.25">
      <c r="C167" s="1"/>
      <c r="D167" s="1"/>
      <c r="E167" s="1"/>
      <c r="F167" s="29"/>
      <c r="G167" s="8"/>
    </row>
    <row r="168" spans="2:7" x14ac:dyDescent="0.25">
      <c r="C168" s="1"/>
      <c r="D168" s="1"/>
      <c r="E168" s="1"/>
      <c r="F168" s="29"/>
      <c r="G168" s="8"/>
    </row>
    <row r="169" spans="2:7" x14ac:dyDescent="0.25">
      <c r="B169" s="8"/>
      <c r="C169" s="8"/>
      <c r="D169" s="8"/>
      <c r="E169" s="8"/>
      <c r="F169" s="29"/>
      <c r="G169" s="8"/>
    </row>
    <row r="170" spans="2:7" x14ac:dyDescent="0.25">
      <c r="B170" s="8"/>
      <c r="C170" s="8"/>
      <c r="D170" s="8"/>
      <c r="E170" s="8"/>
      <c r="F170" s="29"/>
      <c r="G170" s="8"/>
    </row>
    <row r="171" spans="2:7" x14ac:dyDescent="0.25">
      <c r="B171" s="8"/>
      <c r="C171" s="8"/>
      <c r="D171" s="8"/>
      <c r="E171" s="8"/>
      <c r="F171" s="29"/>
      <c r="G171" s="8"/>
    </row>
    <row r="172" spans="2:7" x14ac:dyDescent="0.25">
      <c r="B172" s="8"/>
      <c r="C172" s="8"/>
      <c r="D172" s="8"/>
      <c r="E172" s="8"/>
      <c r="F172" s="29"/>
      <c r="G172" s="8"/>
    </row>
    <row r="173" spans="2:7" x14ac:dyDescent="0.25">
      <c r="B173" s="8"/>
      <c r="C173" s="8"/>
      <c r="D173" s="8"/>
      <c r="E173" s="8"/>
      <c r="F173" s="29"/>
      <c r="G173" s="8"/>
    </row>
    <row r="174" spans="2:7" x14ac:dyDescent="0.25">
      <c r="B174" s="8"/>
      <c r="C174" s="8"/>
      <c r="D174" s="8"/>
      <c r="E174" s="8"/>
      <c r="F174" s="29"/>
      <c r="G174" s="8"/>
    </row>
    <row r="175" spans="2:7" x14ac:dyDescent="0.25">
      <c r="B175" s="8"/>
      <c r="C175" s="8"/>
      <c r="D175" s="8"/>
      <c r="E175" s="8"/>
      <c r="F175" s="29"/>
      <c r="G175" s="8"/>
    </row>
    <row r="214" spans="2:2" x14ac:dyDescent="0.25">
      <c r="B214" s="1" t="s">
        <v>368</v>
      </c>
    </row>
    <row r="254" spans="3:3" x14ac:dyDescent="0.25">
      <c r="C254" s="2" t="s">
        <v>369</v>
      </c>
    </row>
  </sheetData>
  <mergeCells count="29">
    <mergeCell ref="A23:A32"/>
    <mergeCell ref="A2:XFD2"/>
    <mergeCell ref="A3:A9"/>
    <mergeCell ref="A10:XFD10"/>
    <mergeCell ref="A11:A21"/>
    <mergeCell ref="A22:XFD22"/>
    <mergeCell ref="A84:A101"/>
    <mergeCell ref="A33:XFD33"/>
    <mergeCell ref="A34:A42"/>
    <mergeCell ref="A43:XFD43"/>
    <mergeCell ref="A44:A50"/>
    <mergeCell ref="A52:XFD52"/>
    <mergeCell ref="A53:A68"/>
    <mergeCell ref="A69:XFD69"/>
    <mergeCell ref="A70:A75"/>
    <mergeCell ref="A76:XFD76"/>
    <mergeCell ref="A77:A82"/>
    <mergeCell ref="A83:XFD83"/>
    <mergeCell ref="A102:XFD102"/>
    <mergeCell ref="A103:A105"/>
    <mergeCell ref="A106:XFD106"/>
    <mergeCell ref="A107:A124"/>
    <mergeCell ref="A125:XFD125"/>
    <mergeCell ref="A152:XFD152"/>
    <mergeCell ref="A126:A128"/>
    <mergeCell ref="A129:XFD129"/>
    <mergeCell ref="A130:A139"/>
    <mergeCell ref="A140:XFD140"/>
    <mergeCell ref="A141:A151"/>
  </mergeCells>
  <pageMargins left="0.7" right="0.7" top="0.75" bottom="0.75" header="0.3" footer="0.3"/>
  <pageSetup paperSize="9" scale="96" fitToHeight="0" orientation="landscape" horizontalDpi="1200" verticalDpi="1200"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F7" sqref="F7"/>
    </sheetView>
  </sheetViews>
  <sheetFormatPr defaultColWidth="9.140625" defaultRowHeight="15" x14ac:dyDescent="0.25"/>
  <cols>
    <col min="1" max="1" width="19.140625" customWidth="1"/>
    <col min="2" max="2" width="12" customWidth="1"/>
    <col min="3" max="3" width="12.7109375" customWidth="1"/>
  </cols>
  <sheetData>
    <row r="1" spans="1:3" ht="17.25" x14ac:dyDescent="0.25">
      <c r="A1" s="25" t="s">
        <v>346</v>
      </c>
      <c r="B1" s="26" t="s">
        <v>344</v>
      </c>
      <c r="C1" s="10">
        <v>9.8066499999999994</v>
      </c>
    </row>
    <row r="2" spans="1:3" ht="17.25" x14ac:dyDescent="0.25">
      <c r="A2" s="25" t="s">
        <v>345</v>
      </c>
      <c r="B2" s="26" t="s">
        <v>347</v>
      </c>
      <c r="C2" s="10">
        <v>32.173999999999999</v>
      </c>
    </row>
    <row r="3" spans="1:3" x14ac:dyDescent="0.25">
      <c r="A3" s="25" t="s">
        <v>356</v>
      </c>
      <c r="B3" s="26" t="s">
        <v>197</v>
      </c>
      <c r="C3" s="10">
        <f>CONVERT(C4,"lbm","kg")</f>
        <v>90.718474000000001</v>
      </c>
    </row>
    <row r="4" spans="1:3" x14ac:dyDescent="0.25">
      <c r="A4" s="25" t="s">
        <v>351</v>
      </c>
      <c r="B4" s="26" t="s">
        <v>348</v>
      </c>
      <c r="C4" s="10">
        <v>200</v>
      </c>
    </row>
    <row r="5" spans="1:3" x14ac:dyDescent="0.25">
      <c r="A5" s="25" t="s">
        <v>357</v>
      </c>
      <c r="B5" s="26" t="s">
        <v>197</v>
      </c>
      <c r="C5" s="10">
        <f>CONVERT(C6,"lbm","kg")</f>
        <v>79.378664749999999</v>
      </c>
    </row>
    <row r="6" spans="1:3" x14ac:dyDescent="0.25">
      <c r="A6" s="25" t="s">
        <v>352</v>
      </c>
      <c r="B6" s="26" t="s">
        <v>348</v>
      </c>
      <c r="C6" s="10">
        <v>175</v>
      </c>
    </row>
    <row r="7" spans="1:3" x14ac:dyDescent="0.25">
      <c r="A7" s="25" t="s">
        <v>358</v>
      </c>
      <c r="B7" s="26" t="s">
        <v>197</v>
      </c>
      <c r="C7" s="10">
        <f>CONVERT(C8,"lbm","kg")</f>
        <v>18.143694800000002</v>
      </c>
    </row>
    <row r="8" spans="1:3" x14ac:dyDescent="0.25">
      <c r="A8" s="25" t="s">
        <v>353</v>
      </c>
      <c r="B8" s="26" t="s">
        <v>348</v>
      </c>
      <c r="C8" s="10">
        <v>40</v>
      </c>
    </row>
    <row r="9" spans="1:3" x14ac:dyDescent="0.25">
      <c r="A9" s="25" t="s">
        <v>355</v>
      </c>
      <c r="B9" s="26" t="s">
        <v>197</v>
      </c>
      <c r="C9" s="10">
        <f>CONVERT(C10,"lbm","kg")</f>
        <v>13.607771100000001</v>
      </c>
    </row>
    <row r="10" spans="1:3" x14ac:dyDescent="0.25">
      <c r="A10" s="25" t="s">
        <v>354</v>
      </c>
      <c r="B10" s="26" t="s">
        <v>348</v>
      </c>
      <c r="C10" s="10">
        <v>30</v>
      </c>
    </row>
    <row r="11" spans="1:3" x14ac:dyDescent="0.25">
      <c r="A11" s="25"/>
      <c r="B11" s="26"/>
    </row>
    <row r="12" spans="1:3" x14ac:dyDescent="0.25">
      <c r="A12" s="25"/>
      <c r="B12" s="26"/>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Aviones Semejantes Long-Range</vt:lpstr>
      <vt:lpstr>Aviones Semejantes Anfibio</vt:lpstr>
      <vt:lpstr>Constants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2017-07-10T19:52:36Z</dcterms:modified>
</cp:coreProperties>
</file>