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59" i="1" l="1"/>
  <c r="G176" i="1"/>
  <c r="H159" i="1"/>
  <c r="I159" i="1"/>
  <c r="J159" i="1"/>
  <c r="K159" i="1"/>
  <c r="L159" i="1"/>
  <c r="M159" i="1"/>
  <c r="N159" i="1"/>
  <c r="O159" i="1"/>
  <c r="G159" i="1"/>
  <c r="E159" i="1"/>
  <c r="M158" i="1"/>
  <c r="N158" i="1"/>
  <c r="L158" i="1"/>
  <c r="N157" i="1"/>
  <c r="L157" i="1"/>
  <c r="M157" i="1"/>
  <c r="N155" i="1"/>
  <c r="M155" i="1"/>
  <c r="O157" i="1" l="1"/>
  <c r="O156" i="1"/>
  <c r="O155" i="1"/>
  <c r="M38" i="1"/>
  <c r="M39" i="1"/>
  <c r="K155" i="1" l="1"/>
  <c r="L155" i="1"/>
  <c r="J155" i="1"/>
  <c r="H156" i="1"/>
  <c r="F155" i="1"/>
  <c r="G155" i="1"/>
  <c r="E155" i="1"/>
  <c r="M56" i="1" l="1"/>
  <c r="O56" i="1"/>
  <c r="N56" i="1"/>
  <c r="N27" i="1"/>
  <c r="M27" i="1"/>
  <c r="M23" i="1"/>
  <c r="O144" i="1" l="1"/>
  <c r="O145" i="1"/>
  <c r="O146" i="1"/>
  <c r="O138" i="1"/>
  <c r="O120" i="1"/>
  <c r="O121" i="1" s="1"/>
  <c r="O123" i="1"/>
  <c r="O115" i="1"/>
  <c r="O97" i="1"/>
  <c r="O98" i="1" s="1"/>
  <c r="O100" i="1"/>
  <c r="O103" i="1"/>
  <c r="O104" i="1"/>
  <c r="O70" i="1"/>
  <c r="O71" i="1"/>
  <c r="O74" i="1"/>
  <c r="O79" i="1"/>
  <c r="O55" i="1"/>
  <c r="O59" i="1"/>
  <c r="O61" i="1"/>
  <c r="O35" i="1"/>
  <c r="O36" i="1"/>
  <c r="O37" i="1"/>
  <c r="O27" i="1"/>
  <c r="O135" i="1" l="1"/>
  <c r="O112" i="1"/>
  <c r="E146" i="4"/>
  <c r="E141" i="4"/>
  <c r="E142" i="4"/>
  <c r="C9" i="5" l="1"/>
  <c r="C7" i="5"/>
  <c r="C5" i="5"/>
  <c r="C3" i="5"/>
  <c r="E157" i="1" l="1"/>
  <c r="F157" i="1"/>
  <c r="G157" i="1"/>
  <c r="H157" i="1"/>
  <c r="J157" i="1"/>
  <c r="I143" i="1"/>
  <c r="I142" i="1"/>
  <c r="I120" i="1"/>
  <c r="I99" i="1"/>
  <c r="I97" i="1"/>
  <c r="I73" i="1"/>
  <c r="I69" i="1"/>
  <c r="I68" i="1"/>
  <c r="I67" i="1"/>
  <c r="I66" i="1"/>
  <c r="I57" i="1"/>
  <c r="K157" i="1"/>
  <c r="I27" i="1"/>
  <c r="J27" i="1"/>
  <c r="K27" i="1"/>
  <c r="L27" i="1"/>
  <c r="K32" i="1"/>
  <c r="F166" i="1" l="1"/>
  <c r="G120" i="1"/>
  <c r="J120" i="1"/>
  <c r="K120" i="1"/>
  <c r="L120" i="1"/>
  <c r="M120" i="1"/>
  <c r="N120" i="1"/>
  <c r="E120" i="1"/>
  <c r="G97" i="1"/>
  <c r="K97" i="1"/>
  <c r="L97" i="1"/>
  <c r="M97" i="1"/>
  <c r="N97" i="1"/>
  <c r="E97" i="1"/>
  <c r="G104" i="1"/>
  <c r="H104" i="1"/>
  <c r="I104" i="1"/>
  <c r="J104" i="1"/>
  <c r="K104" i="1"/>
  <c r="L104" i="1"/>
  <c r="M104" i="1"/>
  <c r="N104" i="1"/>
  <c r="E104" i="1"/>
  <c r="F104" i="1"/>
  <c r="F103" i="1"/>
  <c r="G103" i="1"/>
  <c r="H103" i="1"/>
  <c r="I103" i="1"/>
  <c r="J103" i="1"/>
  <c r="K103" i="1"/>
  <c r="L103" i="1"/>
  <c r="M103" i="1"/>
  <c r="N103" i="1"/>
  <c r="E70" i="1"/>
  <c r="E103" i="1"/>
  <c r="F59" i="1"/>
  <c r="G59" i="1"/>
  <c r="H59" i="1"/>
  <c r="I59" i="1"/>
  <c r="J59" i="1"/>
  <c r="K59" i="1"/>
  <c r="L59" i="1"/>
  <c r="M59" i="1"/>
  <c r="N59" i="1"/>
  <c r="E59" i="1"/>
  <c r="G74" i="1" l="1"/>
  <c r="H74" i="1"/>
  <c r="I74" i="1"/>
  <c r="J74" i="1"/>
  <c r="K74" i="1"/>
  <c r="L74" i="1"/>
  <c r="M74" i="1"/>
  <c r="N74" i="1"/>
  <c r="F74" i="1"/>
  <c r="G70" i="1"/>
  <c r="H70" i="1"/>
  <c r="I70" i="1"/>
  <c r="J70" i="1"/>
  <c r="K70" i="1"/>
  <c r="L70" i="1"/>
  <c r="M70" i="1"/>
  <c r="N70" i="1"/>
  <c r="H71" i="1"/>
  <c r="I71" i="1"/>
  <c r="J71" i="1"/>
  <c r="K71" i="1"/>
  <c r="L71" i="1"/>
  <c r="M71" i="1"/>
  <c r="N71" i="1"/>
  <c r="F70" i="1"/>
  <c r="F71" i="1"/>
  <c r="H155" i="1"/>
  <c r="I155" i="1"/>
  <c r="I157" i="1"/>
  <c r="G161" i="1" l="1"/>
  <c r="G166" i="1"/>
  <c r="E166" i="1"/>
  <c r="F161" i="1" l="1"/>
  <c r="E161" i="1"/>
  <c r="F23" i="1" l="1"/>
  <c r="G23" i="1"/>
  <c r="G38" i="1" s="1"/>
  <c r="H23" i="1"/>
  <c r="H38" i="1" s="1"/>
  <c r="I23" i="1"/>
  <c r="J23" i="1"/>
  <c r="J38" i="1" s="1"/>
  <c r="K23" i="1"/>
  <c r="K38" i="1" s="1"/>
  <c r="L23" i="1"/>
  <c r="N23" i="1"/>
  <c r="O23" i="1"/>
  <c r="E23" i="1"/>
  <c r="N146" i="1"/>
  <c r="N145" i="1"/>
  <c r="N144" i="1"/>
  <c r="N138" i="1"/>
  <c r="N135" i="1"/>
  <c r="N123" i="1"/>
  <c r="N121" i="1"/>
  <c r="N115" i="1"/>
  <c r="N112" i="1"/>
  <c r="N100" i="1"/>
  <c r="N98" i="1"/>
  <c r="N79" i="1"/>
  <c r="N61" i="1"/>
  <c r="N55" i="1"/>
  <c r="N37" i="1"/>
  <c r="N36" i="1"/>
  <c r="N35" i="1"/>
  <c r="M146" i="1"/>
  <c r="M145" i="1"/>
  <c r="M144" i="1"/>
  <c r="M138" i="1"/>
  <c r="M135" i="1"/>
  <c r="M123" i="1"/>
  <c r="M121" i="1"/>
  <c r="M115" i="1"/>
  <c r="M112" i="1"/>
  <c r="M100" i="1"/>
  <c r="M98" i="1"/>
  <c r="M79" i="1"/>
  <c r="M61" i="1"/>
  <c r="M55" i="1"/>
  <c r="M37" i="1"/>
  <c r="M36" i="1"/>
  <c r="M35" i="1"/>
  <c r="L146" i="1"/>
  <c r="L145" i="1"/>
  <c r="L144" i="1"/>
  <c r="L138" i="1"/>
  <c r="L135" i="1"/>
  <c r="L123" i="1"/>
  <c r="L121" i="1"/>
  <c r="L115" i="1"/>
  <c r="L112" i="1"/>
  <c r="L100" i="1"/>
  <c r="L98" i="1"/>
  <c r="L79" i="1"/>
  <c r="L61" i="1"/>
  <c r="L56" i="1"/>
  <c r="L55" i="1"/>
  <c r="L37" i="1"/>
  <c r="L36" i="1"/>
  <c r="L35" i="1"/>
  <c r="K146" i="1"/>
  <c r="K145" i="1"/>
  <c r="K144" i="1"/>
  <c r="K138" i="1"/>
  <c r="K135" i="1"/>
  <c r="K123" i="1"/>
  <c r="K121" i="1"/>
  <c r="K115" i="1"/>
  <c r="K112" i="1"/>
  <c r="K100" i="1"/>
  <c r="K98" i="1"/>
  <c r="K79" i="1"/>
  <c r="K61" i="1"/>
  <c r="K56" i="1"/>
  <c r="K55" i="1"/>
  <c r="K37" i="1"/>
  <c r="K36" i="1"/>
  <c r="K35" i="1"/>
  <c r="J146" i="1"/>
  <c r="J145" i="1"/>
  <c r="J144" i="1"/>
  <c r="J138" i="1"/>
  <c r="J135" i="1"/>
  <c r="J123" i="1"/>
  <c r="J121" i="1"/>
  <c r="J115" i="1"/>
  <c r="J112" i="1"/>
  <c r="J100" i="1"/>
  <c r="J98" i="1"/>
  <c r="J79" i="1"/>
  <c r="J61" i="1"/>
  <c r="J56" i="1"/>
  <c r="J55" i="1"/>
  <c r="J37" i="1"/>
  <c r="J36" i="1"/>
  <c r="J35" i="1"/>
  <c r="I146" i="1"/>
  <c r="I145" i="1"/>
  <c r="I144" i="1"/>
  <c r="I138" i="1"/>
  <c r="I135" i="1"/>
  <c r="I123" i="1"/>
  <c r="I121" i="1"/>
  <c r="I115" i="1"/>
  <c r="I112" i="1"/>
  <c r="I100" i="1"/>
  <c r="I98" i="1"/>
  <c r="I79" i="1"/>
  <c r="I61" i="1"/>
  <c r="I56" i="1"/>
  <c r="I55" i="1"/>
  <c r="I37" i="1"/>
  <c r="I36" i="1"/>
  <c r="I35" i="1"/>
  <c r="E55" i="1"/>
  <c r="H146" i="1"/>
  <c r="H145" i="1"/>
  <c r="H144" i="1"/>
  <c r="H138" i="1"/>
  <c r="H135" i="1"/>
  <c r="H123" i="1"/>
  <c r="H121" i="1"/>
  <c r="H115" i="1"/>
  <c r="H112" i="1"/>
  <c r="H100" i="1"/>
  <c r="H98" i="1"/>
  <c r="H79" i="1"/>
  <c r="H61" i="1"/>
  <c r="H56" i="1"/>
  <c r="H55" i="1"/>
  <c r="H37" i="1"/>
  <c r="H36" i="1"/>
  <c r="H35" i="1"/>
  <c r="G146" i="1"/>
  <c r="G145" i="1"/>
  <c r="G144" i="1"/>
  <c r="G138" i="1"/>
  <c r="G135" i="1"/>
  <c r="G123" i="1"/>
  <c r="G121" i="1"/>
  <c r="G115" i="1"/>
  <c r="G112" i="1"/>
  <c r="G100" i="1"/>
  <c r="G98" i="1"/>
  <c r="G79" i="1"/>
  <c r="G61" i="1"/>
  <c r="G56" i="1"/>
  <c r="G55" i="1"/>
  <c r="G37" i="1"/>
  <c r="G36" i="1"/>
  <c r="G35" i="1"/>
  <c r="N39" i="1" l="1"/>
  <c r="N38" i="1"/>
  <c r="O39" i="1"/>
  <c r="O38" i="1"/>
  <c r="O172" i="1" s="1"/>
  <c r="M172" i="1"/>
  <c r="E38" i="1"/>
  <c r="E39" i="1"/>
  <c r="I38" i="1"/>
  <c r="I39" i="1"/>
  <c r="K172" i="1"/>
  <c r="F38" i="1"/>
  <c r="F39" i="1"/>
  <c r="L38" i="1"/>
  <c r="L39" i="1"/>
  <c r="I172" i="1"/>
  <c r="L172" i="1"/>
  <c r="N172" i="1"/>
  <c r="K39" i="1"/>
  <c r="J39" i="1"/>
  <c r="J172" i="1" s="1"/>
  <c r="H39" i="1"/>
  <c r="H172" i="1" s="1"/>
  <c r="G39" i="1"/>
  <c r="G172"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F144" i="1" l="1"/>
  <c r="F145" i="1"/>
  <c r="F146" i="1"/>
  <c r="F138" i="1"/>
  <c r="F135" i="1"/>
  <c r="F123" i="1"/>
  <c r="F121" i="1"/>
  <c r="F115" i="1"/>
  <c r="F112" i="1"/>
  <c r="F100" i="1"/>
  <c r="F98" i="1"/>
  <c r="F79" i="1"/>
  <c r="E79" i="1"/>
  <c r="F61" i="1"/>
  <c r="F56" i="1"/>
  <c r="F55" i="1"/>
  <c r="F35" i="1"/>
  <c r="F36" i="1"/>
  <c r="F37" i="1"/>
  <c r="F172" i="1" l="1"/>
  <c r="E146" i="1"/>
  <c r="E145" i="1"/>
  <c r="E144" i="1"/>
  <c r="E135" i="1"/>
  <c r="E123" i="1"/>
  <c r="E138" i="1"/>
  <c r="E100" i="1"/>
  <c r="E115" i="1"/>
  <c r="E121" i="1"/>
  <c r="E98" i="1"/>
  <c r="E112" i="1"/>
  <c r="E56" i="1"/>
  <c r="E37" i="1"/>
  <c r="E36" i="1"/>
  <c r="E35" i="1"/>
  <c r="E61" i="1"/>
  <c r="E172"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F21" authorId="0" shapeId="0">
      <text>
        <r>
          <rPr>
            <b/>
            <sz val="9"/>
            <color indexed="81"/>
            <rFont val="Tahoma"/>
            <charset val="1"/>
          </rPr>
          <t xml:space="preserve">Author:
</t>
        </r>
      </text>
    </comment>
    <comment ref="B23" authorId="0" shapeId="0">
      <text>
        <r>
          <rPr>
            <b/>
            <sz val="9"/>
            <color indexed="81"/>
            <rFont val="Tahoma"/>
            <family val="2"/>
          </rPr>
          <t>Author:</t>
        </r>
        <r>
          <rPr>
            <sz val="9"/>
            <color indexed="81"/>
            <rFont val="Tahoma"/>
            <family val="2"/>
          </rPr>
          <t xml:space="preserve">
En el despegue con todos los motores encendidos.</t>
        </r>
      </text>
    </comment>
    <comment ref="B26" authorId="0" shapeId="0">
      <text>
        <r>
          <rPr>
            <b/>
            <sz val="9"/>
            <color indexed="81"/>
            <rFont val="Tahoma"/>
            <charset val="1"/>
          </rPr>
          <t>Author:</t>
        </r>
        <r>
          <rPr>
            <sz val="9"/>
            <color indexed="81"/>
            <rFont val="Tahoma"/>
            <charset val="1"/>
          </rPr>
          <t xml:space="preserve">
Tambien conocido como peso máximo de taxi</t>
        </r>
      </text>
    </comment>
    <comment ref="B28"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9"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1" authorId="0" shapeId="0">
      <text>
        <r>
          <rPr>
            <b/>
            <sz val="9"/>
            <color indexed="81"/>
            <rFont val="Tahoma"/>
            <family val="2"/>
          </rPr>
          <t>Author:</t>
        </r>
        <r>
          <rPr>
            <sz val="9"/>
            <color indexed="81"/>
            <rFont val="Tahoma"/>
            <family val="2"/>
          </rPr>
          <t xml:space="preserve">
7,306 l</t>
        </r>
      </text>
    </comment>
    <comment ref="B33"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1" authorId="0" shapeId="0">
      <text>
        <r>
          <rPr>
            <b/>
            <sz val="9"/>
            <color indexed="81"/>
            <rFont val="Tahoma"/>
            <charset val="1"/>
          </rPr>
          <t>Author:</t>
        </r>
        <r>
          <rPr>
            <sz val="9"/>
            <color indexed="81"/>
            <rFont val="Tahoma"/>
            <charset val="1"/>
          </rPr>
          <t xml:space="preserve">
3 or 4 including cabin attendant</t>
        </r>
      </text>
    </comment>
    <comment ref="F42" authorId="0" shapeId="0">
      <text>
        <r>
          <rPr>
            <b/>
            <sz val="9"/>
            <color indexed="81"/>
            <rFont val="Tahoma"/>
            <family val="2"/>
          </rPr>
          <t>Author:</t>
        </r>
        <r>
          <rPr>
            <sz val="9"/>
            <color indexed="81"/>
            <rFont val="Tahoma"/>
            <family val="2"/>
          </rPr>
          <t xml:space="preserve">
tiene dormitorio trasero</t>
        </r>
      </text>
    </comment>
    <comment ref="E45" authorId="0" shapeId="0">
      <text>
        <r>
          <rPr>
            <b/>
            <sz val="9"/>
            <color indexed="81"/>
            <rFont val="Tahoma"/>
            <family val="2"/>
          </rPr>
          <t>Author:</t>
        </r>
        <r>
          <rPr>
            <sz val="9"/>
            <color indexed="81"/>
            <rFont val="Tahoma"/>
            <family val="2"/>
          </rPr>
          <t xml:space="preserve">
Cabin length (excluding cockpit and baggage)</t>
        </r>
      </text>
    </comment>
    <comment ref="F45" authorId="0" shapeId="0">
      <text>
        <r>
          <rPr>
            <b/>
            <sz val="9"/>
            <color indexed="81"/>
            <rFont val="Tahoma"/>
            <family val="2"/>
          </rPr>
          <t>Author:</t>
        </r>
        <r>
          <rPr>
            <sz val="9"/>
            <color indexed="81"/>
            <rFont val="Tahoma"/>
            <family val="2"/>
          </rPr>
          <t xml:space="preserve">
Cabin length (excluding cockpit and baggage)</t>
        </r>
      </text>
    </comment>
    <comment ref="G45" authorId="0" shapeId="0">
      <text>
        <r>
          <rPr>
            <b/>
            <sz val="9"/>
            <color indexed="81"/>
            <rFont val="Tahoma"/>
            <family val="2"/>
          </rPr>
          <t>Author:</t>
        </r>
        <r>
          <rPr>
            <sz val="9"/>
            <color indexed="81"/>
            <rFont val="Tahoma"/>
            <family val="2"/>
          </rPr>
          <t xml:space="preserve">
Cabin length (excluding cockpit and baggage)</t>
        </r>
      </text>
    </comment>
    <comment ref="J45" authorId="0" shapeId="0">
      <text>
        <r>
          <rPr>
            <b/>
            <sz val="9"/>
            <color indexed="81"/>
            <rFont val="Tahoma"/>
            <family val="2"/>
          </rPr>
          <t>Author:</t>
        </r>
        <r>
          <rPr>
            <sz val="9"/>
            <color indexed="81"/>
            <rFont val="Tahoma"/>
            <family val="2"/>
          </rPr>
          <t xml:space="preserve">
rom cockpit divider to aft most cabin without baggage compartment. </t>
        </r>
      </text>
    </comment>
    <comment ref="K45" authorId="0" shapeId="0">
      <text>
        <r>
          <rPr>
            <b/>
            <sz val="9"/>
            <color indexed="81"/>
            <rFont val="Tahoma"/>
            <family val="2"/>
          </rPr>
          <t>Author:</t>
        </r>
        <r>
          <rPr>
            <sz val="9"/>
            <color indexed="81"/>
            <rFont val="Tahoma"/>
            <family val="2"/>
          </rPr>
          <t xml:space="preserve">
Total Interior Length: 9,83m
Cabin Length (excluding baggage): 7,87m</t>
        </r>
      </text>
    </comment>
    <comment ref="E48" authorId="0" shapeId="0">
      <text>
        <r>
          <rPr>
            <b/>
            <sz val="9"/>
            <color indexed="81"/>
            <rFont val="Tahoma"/>
            <family val="2"/>
          </rPr>
          <t>Author:</t>
        </r>
        <r>
          <rPr>
            <sz val="9"/>
            <color indexed="81"/>
            <rFont val="Tahoma"/>
            <family val="2"/>
          </rPr>
          <t xml:space="preserve">
Cabin volume (excluding cockpit and baggage)</t>
        </r>
      </text>
    </comment>
    <comment ref="F48" authorId="0" shapeId="0">
      <text>
        <r>
          <rPr>
            <b/>
            <sz val="9"/>
            <color indexed="81"/>
            <rFont val="Tahoma"/>
            <family val="2"/>
          </rPr>
          <t>Author:</t>
        </r>
        <r>
          <rPr>
            <sz val="9"/>
            <color indexed="81"/>
            <rFont val="Tahoma"/>
            <family val="2"/>
          </rPr>
          <t xml:space="preserve">
Cabin volume (excluding cockpit and baggage)</t>
        </r>
      </text>
    </comment>
    <comment ref="G48" authorId="0" shapeId="0">
      <text>
        <r>
          <rPr>
            <b/>
            <sz val="9"/>
            <color indexed="81"/>
            <rFont val="Tahoma"/>
            <family val="2"/>
          </rPr>
          <t>Author:</t>
        </r>
        <r>
          <rPr>
            <sz val="9"/>
            <color indexed="81"/>
            <rFont val="Tahoma"/>
            <family val="2"/>
          </rPr>
          <t xml:space="preserve">
Cabin volume (excluding cockpit and baggage)</t>
        </r>
      </text>
    </comment>
    <comment ref="H48" authorId="0" shapeId="0">
      <text>
        <r>
          <rPr>
            <b/>
            <sz val="9"/>
            <color indexed="81"/>
            <rFont val="Tahoma"/>
            <charset val="1"/>
          </rPr>
          <t>Author:</t>
        </r>
        <r>
          <rPr>
            <sz val="9"/>
            <color indexed="81"/>
            <rFont val="Tahoma"/>
            <charset val="1"/>
          </rPr>
          <t xml:space="preserve">
including baggagge</t>
        </r>
      </text>
    </comment>
    <comment ref="L49" authorId="0" shapeId="0">
      <text>
        <r>
          <rPr>
            <b/>
            <sz val="9"/>
            <color indexed="81"/>
            <rFont val="Tahoma"/>
            <charset val="1"/>
          </rPr>
          <t>Author:</t>
        </r>
        <r>
          <rPr>
            <sz val="9"/>
            <color indexed="81"/>
            <rFont val="Tahoma"/>
            <charset val="1"/>
          </rPr>
          <t xml:space="preserve">
1,13 internal + 3,11 external</t>
        </r>
      </text>
    </comment>
    <comment ref="O49" authorId="0" shapeId="0">
      <text>
        <r>
          <rPr>
            <b/>
            <sz val="9"/>
            <color indexed="81"/>
            <rFont val="Tahoma"/>
            <family val="2"/>
          </rPr>
          <t>Author:</t>
        </r>
        <r>
          <rPr>
            <sz val="9"/>
            <color indexed="81"/>
            <rFont val="Tahoma"/>
            <family val="2"/>
          </rPr>
          <t xml:space="preserve">
496.7 kg max</t>
        </r>
      </text>
    </comment>
    <comment ref="B50" authorId="0" shapeId="0">
      <text>
        <r>
          <rPr>
            <b/>
            <sz val="9"/>
            <color indexed="81"/>
            <rFont val="Tahoma"/>
            <family val="2"/>
          </rPr>
          <t>Author:</t>
        </r>
        <r>
          <rPr>
            <sz val="9"/>
            <color indexed="81"/>
            <rFont val="Tahoma"/>
            <family val="2"/>
          </rPr>
          <t xml:space="preserve">
Identificando los diferentes comparimentos si son varios.</t>
        </r>
      </text>
    </comment>
    <comment ref="B5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9" authorId="0" shapeId="0">
      <text>
        <r>
          <rPr>
            <b/>
            <sz val="9"/>
            <color indexed="81"/>
            <rFont val="Tahoma"/>
            <family val="2"/>
          </rPr>
          <t>Author:</t>
        </r>
        <r>
          <rPr>
            <sz val="9"/>
            <color indexed="81"/>
            <rFont val="Tahoma"/>
            <family val="2"/>
          </rPr>
          <t xml:space="preserve">
El área de la anterior proyección.</t>
        </r>
      </text>
    </comment>
    <comment ref="B6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3" authorId="0" shapeId="0">
      <text>
        <r>
          <rPr>
            <b/>
            <sz val="9"/>
            <color indexed="81"/>
            <rFont val="Tahoma"/>
            <family val="2"/>
          </rPr>
          <t>Author:</t>
        </r>
        <r>
          <rPr>
            <sz val="9"/>
            <color indexed="81"/>
            <rFont val="Tahoma"/>
            <family val="2"/>
          </rPr>
          <t xml:space="preserve">
Alta, media, baja, etc.</t>
        </r>
      </text>
    </comment>
    <comment ref="B6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6"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7"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Author:</t>
        </r>
        <r>
          <rPr>
            <sz val="9"/>
            <color indexed="81"/>
            <rFont val="Tahoma"/>
            <family val="2"/>
          </rPr>
          <t xml:space="preserve">
Cociente de Sw dividido entre b.</t>
        </r>
      </text>
    </comment>
    <comment ref="B71"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2"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3" authorId="0" shapeId="0">
      <text>
        <r>
          <rPr>
            <b/>
            <sz val="9"/>
            <color indexed="81"/>
            <rFont val="Tahoma"/>
            <family val="2"/>
          </rPr>
          <t>Author:</t>
        </r>
        <r>
          <rPr>
            <sz val="9"/>
            <color indexed="81"/>
            <rFont val="Tahoma"/>
            <family val="2"/>
          </rPr>
          <t xml:space="preserve">
Cociente de b dividido entre CMG.</t>
        </r>
      </text>
    </comment>
    <comment ref="B74" authorId="0" shapeId="0">
      <text>
        <r>
          <rPr>
            <b/>
            <sz val="9"/>
            <color indexed="81"/>
            <rFont val="Tahoma"/>
            <family val="2"/>
          </rPr>
          <t>Author:</t>
        </r>
        <r>
          <rPr>
            <sz val="9"/>
            <color indexed="81"/>
            <rFont val="Tahoma"/>
            <family val="2"/>
          </rPr>
          <t xml:space="preserve">
Cociente de ct dividido entre cr </t>
        </r>
      </text>
    </comment>
    <comment ref="B75"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6"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77" authorId="0" shapeId="0">
      <text>
        <r>
          <rPr>
            <b/>
            <sz val="9"/>
            <color indexed="81"/>
            <rFont val="Tahoma"/>
            <family val="2"/>
          </rPr>
          <t>Author:</t>
        </r>
        <r>
          <rPr>
            <sz val="9"/>
            <color indexed="81"/>
            <rFont val="Tahoma"/>
            <family val="2"/>
          </rPr>
          <t xml:space="preserve">
Tipo y, en su caso, denominación, p.ej., NACA 64-410.</t>
        </r>
      </text>
    </comment>
    <comment ref="A81"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1" authorId="0" shapeId="0">
      <text>
        <r>
          <rPr>
            <b/>
            <sz val="9"/>
            <color indexed="81"/>
            <rFont val="Tahoma"/>
            <family val="2"/>
          </rPr>
          <t>Author:</t>
        </r>
        <r>
          <rPr>
            <sz val="9"/>
            <color indexed="81"/>
            <rFont val="Tahoma"/>
            <family val="2"/>
          </rPr>
          <t xml:space="preserve">
Flap simple, Fowler, doble ranurado, slat, Krueger, etc</t>
        </r>
      </text>
    </comment>
    <comment ref="A88"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5" authorId="0" shapeId="0">
      <text>
        <r>
          <rPr>
            <b/>
            <sz val="9"/>
            <color indexed="81"/>
            <rFont val="Tahoma"/>
            <family val="2"/>
          </rPr>
          <t>Author:</t>
        </r>
        <r>
          <rPr>
            <sz val="9"/>
            <color indexed="81"/>
            <rFont val="Tahoma"/>
            <family val="2"/>
          </rPr>
          <t xml:space="preserve">
Con palabras o, mejor, con un esquema.</t>
        </r>
      </text>
    </comment>
    <comment ref="B96"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4"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6"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19"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Author:</t>
        </r>
        <r>
          <rPr>
            <sz val="9"/>
            <color indexed="81"/>
            <rFont val="Tahoma"/>
            <family val="2"/>
          </rPr>
          <t xml:space="preserve">
La mitad de la del ala correspondiente.</t>
        </r>
      </text>
    </comment>
    <comment ref="B122" authorId="0" shapeId="0">
      <text>
        <r>
          <rPr>
            <b/>
            <sz val="9"/>
            <color indexed="81"/>
            <rFont val="Tahoma"/>
            <family val="2"/>
          </rPr>
          <t>Author:</t>
        </r>
        <r>
          <rPr>
            <sz val="9"/>
            <color indexed="81"/>
            <rFont val="Tahoma"/>
            <family val="2"/>
          </rPr>
          <t xml:space="preserve">
La mitad de la del ala correspondiente.</t>
        </r>
      </text>
    </comment>
    <comment ref="B126" authorId="0" shapeId="0">
      <text>
        <r>
          <rPr>
            <b/>
            <sz val="9"/>
            <color indexed="81"/>
            <rFont val="Tahoma"/>
            <family val="2"/>
          </rPr>
          <t>Author:</t>
        </r>
        <r>
          <rPr>
            <sz val="9"/>
            <color indexed="81"/>
            <rFont val="Tahoma"/>
            <family val="2"/>
          </rPr>
          <t xml:space="preserve">
Cociente de Sv dividido entre bv .</t>
        </r>
      </text>
    </comment>
    <comment ref="B129"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5" authorId="0" shapeId="0">
      <text>
        <r>
          <rPr>
            <b/>
            <sz val="9"/>
            <color indexed="81"/>
            <rFont val="Tahoma"/>
            <family val="2"/>
          </rPr>
          <t>Author:</t>
        </r>
        <r>
          <rPr>
            <sz val="9"/>
            <color indexed="81"/>
            <rFont val="Tahoma"/>
            <family val="2"/>
          </rPr>
          <t xml:space="preserve">
Obsérvese que se usa b en lugar de CMA.</t>
        </r>
      </text>
    </comment>
    <comment ref="B137"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39"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1"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1" authorId="0" shapeId="0">
      <text>
        <r>
          <rPr>
            <b/>
            <sz val="9"/>
            <color indexed="81"/>
            <rFont val="Tahoma"/>
            <family val="2"/>
          </rPr>
          <t>Author:</t>
        </r>
        <r>
          <rPr>
            <sz val="9"/>
            <color indexed="81"/>
            <rFont val="Tahoma"/>
            <family val="2"/>
          </rPr>
          <t xml:space="preserve">
Triciclo, retráctil, con rueda de cola, etc.</t>
        </r>
      </text>
    </comment>
    <comment ref="B142"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3"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48" authorId="0" shapeId="0">
      <text>
        <r>
          <rPr>
            <b/>
            <sz val="9"/>
            <color indexed="81"/>
            <rFont val="Tahoma"/>
            <family val="2"/>
          </rPr>
          <t>Author:</t>
        </r>
        <r>
          <rPr>
            <sz val="9"/>
            <color indexed="81"/>
            <rFont val="Tahoma"/>
            <family val="2"/>
          </rPr>
          <t xml:space="preserve">
29 in</t>
        </r>
      </text>
    </comment>
    <comment ref="F149" authorId="0" shapeId="0">
      <text>
        <r>
          <rPr>
            <b/>
            <sz val="9"/>
            <color indexed="81"/>
            <rFont val="Tahoma"/>
            <family val="2"/>
          </rPr>
          <t>Author:</t>
        </r>
        <r>
          <rPr>
            <sz val="9"/>
            <color indexed="81"/>
            <rFont val="Tahoma"/>
            <family val="2"/>
          </rPr>
          <t xml:space="preserve">
7,7 in</t>
        </r>
      </text>
    </comment>
    <comment ref="F151" authorId="0" shapeId="0">
      <text>
        <r>
          <rPr>
            <b/>
            <sz val="9"/>
            <color indexed="81"/>
            <rFont val="Tahoma"/>
            <family val="2"/>
          </rPr>
          <t>Author:</t>
        </r>
        <r>
          <rPr>
            <sz val="9"/>
            <color indexed="81"/>
            <rFont val="Tahoma"/>
            <family val="2"/>
          </rPr>
          <t xml:space="preserve">
17,5 in</t>
        </r>
      </text>
    </comment>
    <comment ref="F152" authorId="0" shapeId="0">
      <text>
        <r>
          <rPr>
            <b/>
            <sz val="9"/>
            <color indexed="81"/>
            <rFont val="Tahoma"/>
            <family val="2"/>
          </rPr>
          <t>Author:</t>
        </r>
        <r>
          <rPr>
            <sz val="9"/>
            <color indexed="81"/>
            <rFont val="Tahoma"/>
            <family val="2"/>
          </rPr>
          <t xml:space="preserve">
5,7 in</t>
        </r>
      </text>
    </comment>
    <comment ref="B156" authorId="0" shapeId="0">
      <text>
        <r>
          <rPr>
            <b/>
            <sz val="9"/>
            <color indexed="81"/>
            <rFont val="Tahoma"/>
            <family val="2"/>
          </rPr>
          <t>Author:</t>
        </r>
        <r>
          <rPr>
            <sz val="9"/>
            <color indexed="81"/>
            <rFont val="Tahoma"/>
            <family val="2"/>
          </rPr>
          <t xml:space="preserve">
Maximum Operating Mach</t>
        </r>
      </text>
    </comment>
    <comment ref="B157" authorId="0" shapeId="0">
      <text>
        <r>
          <rPr>
            <b/>
            <sz val="9"/>
            <color indexed="81"/>
            <rFont val="Tahoma"/>
            <family val="2"/>
          </rPr>
          <t>Author:</t>
        </r>
        <r>
          <rPr>
            <sz val="9"/>
            <color indexed="81"/>
            <rFont val="Tahoma"/>
            <family val="2"/>
          </rPr>
          <t xml:space="preserve">
Indicando condiciones como régimen de crucero, altitud, etc.</t>
        </r>
      </text>
    </comment>
    <comment ref="K157" authorId="0" shapeId="0">
      <text>
        <r>
          <rPr>
            <b/>
            <sz val="9"/>
            <color indexed="81"/>
            <rFont val="Tahoma"/>
            <family val="2"/>
          </rPr>
          <t>Author:</t>
        </r>
        <r>
          <rPr>
            <sz val="9"/>
            <color indexed="81"/>
            <rFont val="Tahoma"/>
            <family val="2"/>
          </rPr>
          <t xml:space="preserve">
High speed: 893kph
Long range: 850kph</t>
        </r>
      </text>
    </comment>
    <comment ref="K158" authorId="0" shapeId="0">
      <text>
        <r>
          <rPr>
            <b/>
            <sz val="9"/>
            <color indexed="81"/>
            <rFont val="Tahoma"/>
            <family val="2"/>
          </rPr>
          <t>Author:</t>
        </r>
        <r>
          <rPr>
            <sz val="9"/>
            <color indexed="81"/>
            <rFont val="Tahoma"/>
            <family val="2"/>
          </rPr>
          <t xml:space="preserve">
High speed: 0,84
Long range: 0,80</t>
        </r>
      </text>
    </comment>
    <comment ref="B159"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59" authorId="0" shapeId="0">
      <text>
        <r>
          <rPr>
            <b/>
            <sz val="9"/>
            <color indexed="81"/>
            <rFont val="Tahoma"/>
            <family val="2"/>
          </rPr>
          <t>Author:</t>
        </r>
        <r>
          <rPr>
            <sz val="9"/>
            <color indexed="81"/>
            <rFont val="Tahoma"/>
            <family val="2"/>
          </rPr>
          <t xml:space="preserve">
Clean --&gt; 197kph
Landing conf --&gt; 158kph</t>
        </r>
      </text>
    </comment>
    <comment ref="B160" authorId="0" shapeId="0">
      <text>
        <r>
          <rPr>
            <b/>
            <sz val="9"/>
            <color indexed="81"/>
            <rFont val="Tahoma"/>
            <family val="2"/>
          </rPr>
          <t>Author:</t>
        </r>
        <r>
          <rPr>
            <sz val="9"/>
            <color indexed="81"/>
            <rFont val="Tahoma"/>
            <family val="2"/>
          </rPr>
          <t xml:space="preserve">
Velocidad de seguridad en el despegue.</t>
        </r>
      </text>
    </comment>
    <comment ref="B161" authorId="0" shapeId="0">
      <text>
        <r>
          <rPr>
            <b/>
            <sz val="9"/>
            <color indexed="81"/>
            <rFont val="Tahoma"/>
            <family val="2"/>
          </rPr>
          <t>Author:</t>
        </r>
        <r>
          <rPr>
            <sz val="9"/>
            <color indexed="81"/>
            <rFont val="Tahoma"/>
            <family val="2"/>
          </rPr>
          <t xml:space="preserve">
Velocidad de aproximación final.</t>
        </r>
      </text>
    </comment>
    <comment ref="F163" authorId="0" shapeId="0">
      <text>
        <r>
          <rPr>
            <b/>
            <sz val="9"/>
            <color indexed="81"/>
            <rFont val="Tahoma"/>
            <charset val="1"/>
          </rPr>
          <t>Author:</t>
        </r>
        <r>
          <rPr>
            <sz val="9"/>
            <color indexed="81"/>
            <rFont val="Tahoma"/>
            <charset val="1"/>
          </rPr>
          <t xml:space="preserve">
8334km Mach 0,80
8797km Mach 0,75</t>
        </r>
      </text>
    </comment>
    <comment ref="H163" authorId="0" shapeId="0">
      <text>
        <r>
          <rPr>
            <b/>
            <sz val="9"/>
            <color indexed="81"/>
            <rFont val="Tahoma"/>
            <family val="2"/>
          </rPr>
          <t>Author:</t>
        </r>
        <r>
          <rPr>
            <sz val="9"/>
            <color indexed="81"/>
            <rFont val="Tahoma"/>
            <family val="2"/>
          </rPr>
          <t xml:space="preserve">
Theoretical range with NBAA IFR Reserves,ISA, M 0.85, 8 pax/4 crew.</t>
        </r>
      </text>
    </comment>
    <comment ref="I163"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3" authorId="0" shapeId="0">
      <text>
        <r>
          <rPr>
            <b/>
            <sz val="9"/>
            <color indexed="81"/>
            <rFont val="Tahoma"/>
            <family val="2"/>
          </rPr>
          <t>Author:</t>
        </r>
        <r>
          <rPr>
            <sz val="9"/>
            <color indexed="81"/>
            <rFont val="Tahoma"/>
            <family val="2"/>
          </rPr>
          <t xml:space="preserve">
Mach 0,75   
8pax, 370km alternate</t>
        </r>
      </text>
    </comment>
    <comment ref="K163" authorId="0" shapeId="0">
      <text>
        <r>
          <rPr>
            <b/>
            <sz val="9"/>
            <color indexed="81"/>
            <rFont val="Tahoma"/>
            <family val="2"/>
          </rPr>
          <t>Author:</t>
        </r>
        <r>
          <rPr>
            <sz val="9"/>
            <color indexed="81"/>
            <rFont val="Tahoma"/>
            <family val="2"/>
          </rPr>
          <t xml:space="preserve">
Mach 0,80   4pax   2crew</t>
        </r>
      </text>
    </comment>
    <comment ref="L163"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3"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3"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68" authorId="0" shapeId="0">
      <text>
        <r>
          <rPr>
            <b/>
            <sz val="9"/>
            <color indexed="81"/>
            <rFont val="Tahoma"/>
            <family val="2"/>
          </rPr>
          <t>Author:</t>
        </r>
        <r>
          <rPr>
            <sz val="9"/>
            <color indexed="81"/>
            <rFont val="Tahoma"/>
            <family val="2"/>
          </rPr>
          <t xml:space="preserve">
Especificando condiciones como peso, altitud, etc.</t>
        </r>
      </text>
    </comment>
    <comment ref="E168" authorId="0" shapeId="0">
      <text>
        <r>
          <rPr>
            <b/>
            <sz val="9"/>
            <color indexed="81"/>
            <rFont val="Tahoma"/>
            <family val="2"/>
          </rPr>
          <t>Author:</t>
        </r>
        <r>
          <rPr>
            <sz val="9"/>
            <color indexed="81"/>
            <rFont val="Tahoma"/>
            <family val="2"/>
          </rPr>
          <t xml:space="preserve">
BFL at MTOW: SL - ISA</t>
        </r>
      </text>
    </comment>
    <comment ref="B169" authorId="0" shapeId="0">
      <text>
        <r>
          <rPr>
            <b/>
            <sz val="9"/>
            <color indexed="81"/>
            <rFont val="Tahoma"/>
            <family val="2"/>
          </rPr>
          <t>Author:</t>
        </r>
        <r>
          <rPr>
            <sz val="9"/>
            <color indexed="81"/>
            <rFont val="Tahoma"/>
            <family val="2"/>
          </rPr>
          <t xml:space="preserve">
Especificando condiciones como peso, altitud, etc.</t>
        </r>
      </text>
    </comment>
    <comment ref="E169"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comments2.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4" authorId="0" shapeId="0">
      <text>
        <r>
          <rPr>
            <b/>
            <sz val="9"/>
            <color indexed="81"/>
            <rFont val="Tahoma"/>
            <family val="2"/>
          </rPr>
          <t>Author: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Author:</t>
        </r>
        <r>
          <rPr>
            <sz val="9"/>
            <color indexed="81"/>
            <rFont val="Tahoma"/>
            <family val="2"/>
          </rPr>
          <t xml:space="preserve">
En el despegue con todos los motores encendidos.</t>
        </r>
      </text>
    </comment>
    <comment ref="E23" authorId="0" shapeId="0">
      <text>
        <r>
          <rPr>
            <b/>
            <sz val="9"/>
            <color indexed="81"/>
            <rFont val="Tahoma"/>
            <charset val="1"/>
          </rPr>
          <t>Author:</t>
        </r>
        <r>
          <rPr>
            <sz val="9"/>
            <color indexed="81"/>
            <rFont val="Tahoma"/>
            <charset val="1"/>
          </rPr>
          <t xml:space="preserve">
43000 from sea, 45000 from land
</t>
        </r>
      </text>
    </comment>
    <comment ref="B24"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charset val="1"/>
          </rPr>
          <t>Author:</t>
        </r>
        <r>
          <rPr>
            <sz val="9"/>
            <color indexed="81"/>
            <rFont val="Tahoma"/>
            <charset val="1"/>
          </rPr>
          <t xml:space="preserve">
Weight empty, equipped: 25630
Manufacturer's empty weight: 23300</t>
        </r>
      </text>
    </comment>
    <comment ref="B27"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charset val="1"/>
          </rPr>
          <t>Author: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Author:</t>
        </r>
        <r>
          <rPr>
            <sz val="9"/>
            <color indexed="81"/>
            <rFont val="Tahoma"/>
            <family val="2"/>
          </rPr>
          <t xml:space="preserve">
Identificando los diferentes comparimentos si son varios.</t>
        </r>
      </text>
    </comment>
    <comment ref="B41"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Author:</t>
        </r>
        <r>
          <rPr>
            <sz val="9"/>
            <color indexed="81"/>
            <rFont val="Tahoma"/>
            <family val="2"/>
          </rPr>
          <t xml:space="preserve">
El área de la anterior proyección.</t>
        </r>
      </text>
    </comment>
    <comment ref="B51"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Author:</t>
        </r>
        <r>
          <rPr>
            <sz val="9"/>
            <color indexed="81"/>
            <rFont val="Tahoma"/>
            <family val="2"/>
          </rPr>
          <t xml:space="preserve">
Alta, media, baja, etc.</t>
        </r>
      </text>
    </comment>
    <comment ref="B54"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Author:</t>
        </r>
        <r>
          <rPr>
            <sz val="9"/>
            <color indexed="81"/>
            <rFont val="Tahoma"/>
            <family val="2"/>
          </rPr>
          <t xml:space="preserve">
Cociente de Sw dividido entre b.</t>
        </r>
      </text>
    </comment>
    <comment ref="B60"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Author:</t>
        </r>
        <r>
          <rPr>
            <sz val="9"/>
            <color indexed="81"/>
            <rFont val="Tahoma"/>
            <family val="2"/>
          </rPr>
          <t xml:space="preserve">
Cociente de b dividido entre CMG.</t>
        </r>
      </text>
    </comment>
    <comment ref="B63" authorId="0" shapeId="0">
      <text>
        <r>
          <rPr>
            <b/>
            <sz val="9"/>
            <color indexed="81"/>
            <rFont val="Tahoma"/>
            <family val="2"/>
          </rPr>
          <t>Author:</t>
        </r>
        <r>
          <rPr>
            <sz val="9"/>
            <color indexed="81"/>
            <rFont val="Tahoma"/>
            <family val="2"/>
          </rPr>
          <t xml:space="preserve">
Cociente de ct dividido entre cr </t>
        </r>
      </text>
    </comment>
    <comment ref="B64"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Author:</t>
        </r>
        <r>
          <rPr>
            <sz val="9"/>
            <color indexed="81"/>
            <rFont val="Tahoma"/>
            <family val="2"/>
          </rPr>
          <t xml:space="preserve">
Tipo y, en su caso, denominación, p.ej., NACA 64-410.</t>
        </r>
      </text>
    </comment>
    <comment ref="A70"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Author:</t>
        </r>
        <r>
          <rPr>
            <sz val="9"/>
            <color indexed="81"/>
            <rFont val="Tahoma"/>
            <family val="2"/>
          </rPr>
          <t xml:space="preserve">
Flap simple, Fowler, doble ranurado, slat, Krueger, etc</t>
        </r>
      </text>
    </comment>
    <comment ref="A77"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Author:</t>
        </r>
        <r>
          <rPr>
            <sz val="9"/>
            <color indexed="81"/>
            <rFont val="Tahoma"/>
            <family val="2"/>
          </rPr>
          <t xml:space="preserve">
Con palabras o, mejor, con un esquema.</t>
        </r>
      </text>
    </comment>
    <comment ref="B85"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Author:</t>
        </r>
        <r>
          <rPr>
            <sz val="9"/>
            <color indexed="81"/>
            <rFont val="Tahoma"/>
            <family val="2"/>
          </rPr>
          <t xml:space="preserve">
La mitad de la del ala correspondiente.</t>
        </r>
      </text>
    </comment>
    <comment ref="B111" authorId="0" shapeId="0">
      <text>
        <r>
          <rPr>
            <b/>
            <sz val="9"/>
            <color indexed="81"/>
            <rFont val="Tahoma"/>
            <family val="2"/>
          </rPr>
          <t>Author:</t>
        </r>
        <r>
          <rPr>
            <sz val="9"/>
            <color indexed="81"/>
            <rFont val="Tahoma"/>
            <family val="2"/>
          </rPr>
          <t xml:space="preserve">
La mitad de la del ala correspondiente.</t>
        </r>
      </text>
    </comment>
    <comment ref="B115" authorId="0" shapeId="0">
      <text>
        <r>
          <rPr>
            <b/>
            <sz val="9"/>
            <color indexed="81"/>
            <rFont val="Tahoma"/>
            <family val="2"/>
          </rPr>
          <t>Author:</t>
        </r>
        <r>
          <rPr>
            <sz val="9"/>
            <color indexed="81"/>
            <rFont val="Tahoma"/>
            <family val="2"/>
          </rPr>
          <t xml:space="preserve">
Cociente de Sv dividido entre bv .</t>
        </r>
      </text>
    </comment>
    <comment ref="B118"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Author:</t>
        </r>
        <r>
          <rPr>
            <sz val="9"/>
            <color indexed="81"/>
            <rFont val="Tahoma"/>
            <family val="2"/>
          </rPr>
          <t xml:space="preserve">
Obsérvese que se usa b en lugar de CMA.</t>
        </r>
      </text>
    </comment>
    <comment ref="B126"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Author:</t>
        </r>
        <r>
          <rPr>
            <sz val="9"/>
            <color indexed="81"/>
            <rFont val="Tahoma"/>
            <family val="2"/>
          </rPr>
          <t xml:space="preserve">
Triciclo, retráctil, con rueda de cola, etc.</t>
        </r>
      </text>
    </comment>
    <comment ref="B131"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Author:</t>
        </r>
        <r>
          <rPr>
            <sz val="9"/>
            <color indexed="81"/>
            <rFont val="Tahoma"/>
            <family val="2"/>
          </rPr>
          <t xml:space="preserve">
Indicando condiciones como régimen de crucero, altitud, etc.</t>
        </r>
      </text>
    </comment>
    <comment ref="B143"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Author:</t>
        </r>
        <r>
          <rPr>
            <sz val="9"/>
            <color indexed="81"/>
            <rFont val="Tahoma"/>
            <family val="2"/>
          </rPr>
          <t xml:space="preserve">
Velocidad de seguridad en el despegue.</t>
        </r>
      </text>
    </comment>
    <comment ref="B145" authorId="0" shapeId="0">
      <text>
        <r>
          <rPr>
            <b/>
            <sz val="9"/>
            <color indexed="81"/>
            <rFont val="Tahoma"/>
            <family val="2"/>
          </rPr>
          <t>Author:</t>
        </r>
        <r>
          <rPr>
            <sz val="9"/>
            <color indexed="81"/>
            <rFont val="Tahoma"/>
            <family val="2"/>
          </rPr>
          <t xml:space="preserve">
Velocidad de aproximación final.</t>
        </r>
      </text>
    </comment>
    <comment ref="E146" authorId="0" shapeId="0">
      <text>
        <r>
          <rPr>
            <b/>
            <sz val="9"/>
            <color indexed="81"/>
            <rFont val="Tahoma"/>
            <charset val="1"/>
          </rPr>
          <t>Author:</t>
        </r>
        <r>
          <rPr>
            <sz val="9"/>
            <color indexed="81"/>
            <rFont val="Tahoma"/>
            <charset val="1"/>
          </rPr>
          <t xml:space="preserve">
max rate of climb
</t>
        </r>
      </text>
    </comment>
    <comment ref="B150" authorId="0" shapeId="0">
      <text>
        <r>
          <rPr>
            <b/>
            <sz val="9"/>
            <color indexed="81"/>
            <rFont val="Tahoma"/>
            <family val="2"/>
          </rPr>
          <t>Author:</t>
        </r>
        <r>
          <rPr>
            <sz val="9"/>
            <color indexed="81"/>
            <rFont val="Tahoma"/>
            <family val="2"/>
          </rPr>
          <t xml:space="preserve">
Especificando condiciones como peso, altitud, etc.</t>
        </r>
      </text>
    </comment>
    <comment ref="B151" authorId="0" shapeId="0">
      <text>
        <r>
          <rPr>
            <b/>
            <sz val="9"/>
            <color indexed="81"/>
            <rFont val="Tahoma"/>
            <family val="2"/>
          </rPr>
          <t>Author: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<sst xmlns="http://schemas.openxmlformats.org/spreadsheetml/2006/main" count="1080" uniqueCount="380">
  <si>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</si>
  <si>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</si>
  <si>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</si>
  <si>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</si>
  <si>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</si>
  <si>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</si>
  <si>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</si>
  <si>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</si>
  <si>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</si>
  <si>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</si>
  <si>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</si>
  <si>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</si>
  <si>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</si>
  <si>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</si>
  <si>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</si>
  <si>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</si>
  <si>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</si>
  <si>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</si>
  <si>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</si>
  <si>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</si>
  <si>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</si>
  <si>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</si>
  <si>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</si>
  <si>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</si>
  <si>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</si>
  <si>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</si>
  <si>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</si>
  <si>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</si>
  <si>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</si>
  <si>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</si>
  <si>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</si>
  <si>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</si>
  <si>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</si>
  <si>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</si>
  <si>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</si>
  <si>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</si>
  <si>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</si>
  <si>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</si>
  <si>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</si>
  <si>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</si>
  <si>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</si>
  <si>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</si>
  <si>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</si>
  <si>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</si>
  <si>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</si>
  <si>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</si>
  <si>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</si>
  <si>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</si>
  <si>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</si>
  <si>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</si>
  <si>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</si>
  <si>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</si>
  <si>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</si>
  <si>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</si>
  <si>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</si>
  <si>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</si>
  <si>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</si>
  <si>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</si>
  <si>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</si>
  <si>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</si>
  <si>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</si>
  <si>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</si>
  <si>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</si>
  <si>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</si>
  <si>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</si>
  <si>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</si>
  <si>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</si>
  <si>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</si>
  <si>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</si>
  <si>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</si>
  <si>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</si>
  <si>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</si>
  <si>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</si>
  <si>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</si>
  <si>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</si>
  <si>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</si>
  <si>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</si>
  <si>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</si>
  <si>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</si>
  <si>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</si>
  <si>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</si>
  <si>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</si>
  <si>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</si>
  <si>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</si>
  <si>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</si>
  <si>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</si>
  <si>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</si>
  <si>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</si>
  <si>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</si>
  <si>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</si>
  <si>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</si>
  <si>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</si>
  <si>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</si>
  <si>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</si>
  <si>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</si>
  <si>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</si>
  <si>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</si>
  <si>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</si>
  <si>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</si>
  <si>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</si>
  <si>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</si>
  <si>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</si>
  <si>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</si>
  <si>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</si>
  <si>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</si>
  <si>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</si>
  <si>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</si>
  <si>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</si>
  <si>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</si>
  <si>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</si>
  <si>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</si>
  <si>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</si>
  <si>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</si>
  <si>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</si>
  <si>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</si>
  <si>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</si>
  <si>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</si>
  <si>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</si>
  <si>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</si>
  <si>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</si>
  <si>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</si>
  <si>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</si>
  <si>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</si>
  <si>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</si>
  <si>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</si>
  <si>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</si>
  <si>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</si>
  <si>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</si>
  <si>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</si>
  <si>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</si>
  <si>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</si>
  <si>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</si>
  <si>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</si>
  <si>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</si>
  <si>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</si>
  <si>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</si>
  <si>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</si>
  <si>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</si>
  <si>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</si>
  <si>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</si>
  <si>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</si>
  <si>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</si>
  <si>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</si>
  <si>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</si>
  <si>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</si>
  <si>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</si>
  <si>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</si>
  <si>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</si>
  <si>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</si>
  <si>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</si>
  <si>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</si>
  <si>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</si>
  <si>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</si>
  <si>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</si>
  <si>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</si>
  <si>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</si>
  <si>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</si>
  <si>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</si>
  <si>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</si>
  <si>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</si>
  <si>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</si>
  <si>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</si>
  <si>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</si>
  <si>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</si>
  <si>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</si>
  <si>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</si>
  <si>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</si>
  <si>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</si>
  <si>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</si>
  <si>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</si>
  <si>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</si>
  <si>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</si>
  <si>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</si>
  <si>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</si>
  <si>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</si>
  <si>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</si>
  <si>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</si>
  <si>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</si>
  <si>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</si>
  <si>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</si>
  <si>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</si>
  <si>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</si>
  <si>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</si>
  <si>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</si>
  <si>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</si>
  <si>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</si>
  <si>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</si>
  <si>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PW307A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</si>
  <si>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</si>
  <si>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</si>
  <si>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</si>
  <si>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</si>
  <si>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</si>
  <si>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</si>
  <si>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</si>
  <si>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</si>
  <si>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</si>
  <si>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</si>
  <si>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</si>
  <si>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</si>
  <si>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</si>
  <si>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</si>
  <si>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</si>
  <si>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</si>
  <si>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</si>
  <si>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</si>
  <si>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</si>
  <si>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</si>
  <si>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</si>
  <si>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</si>
  <si>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</si>
  <si>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</si>
  <si>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</si>
  <si>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</si>
  <si>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</si>
  <si>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</si>
  <si>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</si>
  <si>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</si>
  <si>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</si>
  <si>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</si>
  <si>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</si>
  <si>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</si>
  <si>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</si>
  <si>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</si>
  <si>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</si>
  <si>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</si>
  <si>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</si>
  <si>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</si>
  <si>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</si>
  <si>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</si>
  <si>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</si>
  <si>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</si>
  <si>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</si>
  <si>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</si>
  <si>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</si>
  <si>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</si>
  <si>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</si>
  <si>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</si>
  <si>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</si>
  <si>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</si>
  <si>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</si>
  <si>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</si>
  <si>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</si>
  <si>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</si>
  <si>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</si>
  <si>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</si>
  <si>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</si>
  <si>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</si>
  <si>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</si>
  <si>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</si>
  <si>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</si>
  <si>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</si>
  <si>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</si>
  <si>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</si>
  <si>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</si>
  <si>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</si>
  <si>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</si>
  <si>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</si>
  <si>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</si>
  <si>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</si>
  <si>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</si>
  <si>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</si>
  <si>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</si>
  <si>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</si>
  <si>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</si>
  <si>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</si>
  <si>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</si>
  <si>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</si>
  <si>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</si>
  <si>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</si>
  <si>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</si>
  <si>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</si>
  <si>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</si>
  <si>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</si>
  <si>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</si>
  <si>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</si>
  <si>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</si>
  <si>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</si>
  <si>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</si>
  <si>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</si>
  <si>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</si>
  <si>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</si>
  <si>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</si>
  <si>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</si>
  <si>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</si>
  <si>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</si>
  <si>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</si>
  <si>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</si>
  <si>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</si>
  <si>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</si>
  <si>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</si>
  <si>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</si>
  <si>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</si>
  <si>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</si>
  <si>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</si>
  <si>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[SFC]</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</si>
  <si>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</si>
  <si>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</si>
  <si>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</si>
  <si>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[lb/(shp·h)]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</si>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</sst>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409]dd\-mmm\-yy;@"/>
    <numFmt numFmtId="165" formatCode="0.0000"/>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49">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6" borderId="0" xfId="0" applyFill="1" applyAlignment="1">
      <alignment horizontal="center" vertical="center"/>
    </xf>
    <xf numFmtId="0" fontId="0" fillId="0" borderId="0" xfId="0" applyAlignment="1">
      <alignment horizontal="center" vertical="center"/>
    </xf>
    <xf numFmtId="0" fontId="0" fillId="3" borderId="0" xfId="0" applyFill="1" applyBorder="1" applyAlignment="1">
      <alignment horizontal="center" vertical="center" wrapText="1"/>
    </xf>
    <xf numFmtId="0" fontId="0" fillId="0" borderId="0" xfId="0" applyAlignment="1">
      <alignment horizontal="center"/>
    </xf>
    <xf numFmtId="0" fontId="0" fillId="0" borderId="0" xfId="0" applyFill="1" applyAlignment="1">
      <alignment horizont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8.emf"/><Relationship Id="rId3" Type="http://schemas.openxmlformats.org/officeDocument/2006/relationships/image" Target="../media/image23.png"/><Relationship Id="rId7" Type="http://schemas.openxmlformats.org/officeDocument/2006/relationships/image" Target="../media/image27.emf"/><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26.emf"/><Relationship Id="rId11" Type="http://schemas.openxmlformats.org/officeDocument/2006/relationships/image" Target="../media/image31.emf"/><Relationship Id="rId5" Type="http://schemas.openxmlformats.org/officeDocument/2006/relationships/image" Target="../media/image25.emf"/><Relationship Id="rId10" Type="http://schemas.openxmlformats.org/officeDocument/2006/relationships/image" Target="../media/image30.emf"/><Relationship Id="rId4" Type="http://schemas.openxmlformats.org/officeDocument/2006/relationships/image" Target="../media/image24.emf"/><Relationship Id="rId9"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173</xdr:row>
      <xdr:rowOff>77028</xdr:rowOff>
    </xdr:from>
    <xdr:to>
      <xdr:col>4</xdr:col>
      <xdr:colOff>1466850</xdr:colOff>
      <xdr:row>188</xdr:row>
      <xdr:rowOff>59408</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5636" y="34957578"/>
          <a:ext cx="4512739" cy="2839880"/>
        </a:xfrm>
        <a:prstGeom prst="rect">
          <a:avLst/>
        </a:prstGeom>
      </xdr:spPr>
    </xdr:pic>
    <xdr:clientData/>
  </xdr:twoCellAnchor>
  <xdr:twoCellAnchor editAs="oneCell">
    <xdr:from>
      <xdr:col>4</xdr:col>
      <xdr:colOff>76199</xdr:colOff>
      <xdr:row>51</xdr:row>
      <xdr:rowOff>66676</xdr:rowOff>
    </xdr:from>
    <xdr:to>
      <xdr:col>4</xdr:col>
      <xdr:colOff>1467970</xdr:colOff>
      <xdr:row>51</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51</xdr:row>
      <xdr:rowOff>133350</xdr:rowOff>
    </xdr:from>
    <xdr:to>
      <xdr:col>5</xdr:col>
      <xdr:colOff>1506916</xdr:colOff>
      <xdr:row>51</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51</xdr:row>
      <xdr:rowOff>353156</xdr:rowOff>
    </xdr:from>
    <xdr:to>
      <xdr:col>7</xdr:col>
      <xdr:colOff>1465539</xdr:colOff>
      <xdr:row>51</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51</xdr:row>
      <xdr:rowOff>301871</xdr:rowOff>
    </xdr:from>
    <xdr:to>
      <xdr:col>8</xdr:col>
      <xdr:colOff>1472987</xdr:colOff>
      <xdr:row>51</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51</xdr:row>
      <xdr:rowOff>261860</xdr:rowOff>
    </xdr:from>
    <xdr:to>
      <xdr:col>9</xdr:col>
      <xdr:colOff>1487658</xdr:colOff>
      <xdr:row>51</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51</xdr:row>
      <xdr:rowOff>212911</xdr:rowOff>
    </xdr:from>
    <xdr:to>
      <xdr:col>10</xdr:col>
      <xdr:colOff>1492293</xdr:colOff>
      <xdr:row>51</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51</xdr:row>
      <xdr:rowOff>119742</xdr:rowOff>
    </xdr:from>
    <xdr:to>
      <xdr:col>14</xdr:col>
      <xdr:colOff>1495801</xdr:colOff>
      <xdr:row>51</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51</xdr:row>
      <xdr:rowOff>110613</xdr:rowOff>
    </xdr:from>
    <xdr:to>
      <xdr:col>11</xdr:col>
      <xdr:colOff>1504703</xdr:colOff>
      <xdr:row>51</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51</xdr:row>
      <xdr:rowOff>110009</xdr:rowOff>
    </xdr:from>
    <xdr:to>
      <xdr:col>12</xdr:col>
      <xdr:colOff>1518633</xdr:colOff>
      <xdr:row>51</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xmlns=""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xmlns=""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xmlns=""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xmlns=""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xmlns=""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xmlns=""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xmlns=""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xmlns=""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xmlns=""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xmlns=""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196"/>
  <sheetViews>
    <sheetView tabSelected="1" topLeftCell="B52" zoomScale="85" zoomScaleNormal="85" workbookViewId="0">
      <selection activeCell="E66" sqref="E66"/>
    </sheetView>
  </sheetViews>
  <sheetFormatPr defaultColWidth="9.140625" defaultRowHeight="15" x14ac:dyDescent="0.25"/>
  <cols>
    <col min="1" max="1" width="21.28515625" style="36" customWidth="1"/>
    <col min="2" max="2" width="27.28515625" style="35" customWidth="1"/>
    <col min="3" max="3" width="13.28515625" style="2" customWidth="1"/>
    <col min="4" max="4" width="10" style="2" customWidth="1"/>
    <col min="5" max="5" width="23" style="2" customWidth="1"/>
    <col min="6" max="15" width="23" style="36" customWidth="1"/>
    <col min="16" max="16384" width="9.140625" style="36"/>
  </cols>
  <sheetData>
    <row r="1" spans="1:15" x14ac:dyDescent="0.25">
      <c r="A1" s="12" t="s">
        <v>189</v>
      </c>
      <c r="B1" s="13" t="s">
        <v>192</v>
      </c>
      <c r="C1" s="12" t="s">
        <v>190</v>
      </c>
      <c r="D1" s="12" t="s">
        <v>191</v>
      </c>
      <c r="E1" s="12" t="s">
        <v>263</v>
      </c>
      <c r="F1" s="12" t="s">
        <v>374</v>
      </c>
      <c r="G1" s="12" t="s">
        <v>264</v>
      </c>
      <c r="H1" s="12" t="s">
        <v>265</v>
      </c>
      <c r="I1" s="12" t="s">
        <v>266</v>
      </c>
      <c r="J1" s="12" t="s">
        <v>268</v>
      </c>
      <c r="K1" s="12" t="s">
        <v>269</v>
      </c>
      <c r="L1" s="12" t="s">
        <v>270</v>
      </c>
      <c r="M1" s="12" t="s">
        <v>271</v>
      </c>
      <c r="N1" s="12" t="s">
        <v>272</v>
      </c>
      <c r="O1" s="12" t="s">
        <v>378</v>
      </c>
    </row>
    <row r="2" spans="1:15" s="40" customFormat="1" ht="5.0999999999999996" customHeight="1" x14ac:dyDescent="0.25"/>
    <row r="3" spans="1:15" x14ac:dyDescent="0.25">
      <c r="A3" s="46" t="s">
        <v>26</v>
      </c>
      <c r="B3" s="37" t="s">
        <v>0</v>
      </c>
      <c r="C3" s="4" t="s">
        <v>34</v>
      </c>
      <c r="D3" s="4" t="s">
        <v>34</v>
      </c>
      <c r="E3" s="3" t="s">
        <v>277</v>
      </c>
      <c r="F3" s="2" t="s">
        <v>282</v>
      </c>
      <c r="G3" s="2" t="s">
        <v>283</v>
      </c>
      <c r="H3" s="2" t="s">
        <v>276</v>
      </c>
      <c r="I3" s="2" t="s">
        <v>275</v>
      </c>
      <c r="J3" s="2" t="s">
        <v>340</v>
      </c>
      <c r="K3" s="2" t="s">
        <v>274</v>
      </c>
      <c r="L3" s="2" t="s">
        <v>279</v>
      </c>
      <c r="M3" s="2" t="s">
        <v>375</v>
      </c>
      <c r="N3" s="2" t="s">
        <v>281</v>
      </c>
      <c r="O3" s="2" t="s">
        <v>376</v>
      </c>
    </row>
    <row r="4" spans="1:15" ht="15" customHeight="1" x14ac:dyDescent="0.25">
      <c r="A4" s="46"/>
      <c r="B4" s="6" t="s">
        <v>1</v>
      </c>
      <c r="C4" s="4" t="s">
        <v>34</v>
      </c>
      <c r="D4" s="4" t="s">
        <v>34</v>
      </c>
      <c r="E4" s="3" t="s">
        <v>38</v>
      </c>
      <c r="F4" s="2" t="s">
        <v>38</v>
      </c>
      <c r="G4" s="2" t="s">
        <v>38</v>
      </c>
      <c r="H4" s="2" t="s">
        <v>184</v>
      </c>
      <c r="I4" s="2" t="s">
        <v>184</v>
      </c>
      <c r="J4" s="2" t="s">
        <v>184</v>
      </c>
      <c r="K4" s="2" t="s">
        <v>273</v>
      </c>
      <c r="L4" s="2" t="s">
        <v>278</v>
      </c>
      <c r="M4" s="2" t="s">
        <v>278</v>
      </c>
      <c r="N4" s="2" t="s">
        <v>278</v>
      </c>
      <c r="O4" s="2" t="s">
        <v>280</v>
      </c>
    </row>
    <row r="5" spans="1:15" ht="90" customHeight="1" x14ac:dyDescent="0.25">
      <c r="A5" s="46"/>
      <c r="B5" s="6" t="s">
        <v>225</v>
      </c>
      <c r="C5" s="4" t="s">
        <v>34</v>
      </c>
      <c r="D5" s="4" t="s">
        <v>34</v>
      </c>
      <c r="E5" s="3"/>
      <c r="F5" s="2"/>
      <c r="G5" s="2"/>
      <c r="H5" s="2"/>
      <c r="I5" s="2"/>
      <c r="J5" s="2"/>
      <c r="K5" s="2"/>
      <c r="M5" s="2"/>
    </row>
    <row r="6" spans="1:15" x14ac:dyDescent="0.25">
      <c r="A6" s="46"/>
      <c r="B6" s="6" t="s">
        <v>2</v>
      </c>
      <c r="C6" s="4" t="s">
        <v>34</v>
      </c>
      <c r="D6" s="4" t="s">
        <v>34</v>
      </c>
      <c r="E6" s="19">
        <v>38477</v>
      </c>
      <c r="F6" s="20">
        <v>40366</v>
      </c>
      <c r="G6" s="20">
        <v>41640</v>
      </c>
      <c r="H6" s="20">
        <v>35351</v>
      </c>
      <c r="I6" s="20">
        <v>37687</v>
      </c>
      <c r="J6" s="20">
        <v>41883</v>
      </c>
      <c r="K6" s="20">
        <v>40746</v>
      </c>
      <c r="L6" s="20">
        <v>42141</v>
      </c>
      <c r="M6" s="20">
        <v>41922</v>
      </c>
      <c r="N6" s="20">
        <v>42343</v>
      </c>
      <c r="O6" s="20">
        <v>41816</v>
      </c>
    </row>
    <row r="7" spans="1:15" ht="18" x14ac:dyDescent="0.25">
      <c r="A7" s="46"/>
      <c r="B7" s="6" t="s">
        <v>3</v>
      </c>
      <c r="C7" s="4" t="s">
        <v>35</v>
      </c>
      <c r="D7" s="4" t="s">
        <v>196</v>
      </c>
      <c r="E7" s="9">
        <v>7.83</v>
      </c>
      <c r="F7" s="14">
        <v>7.55</v>
      </c>
      <c r="G7" s="14">
        <v>7.06</v>
      </c>
      <c r="H7" s="14">
        <v>7.8</v>
      </c>
      <c r="I7" s="14">
        <v>7.8</v>
      </c>
      <c r="J7" s="14">
        <v>6.2</v>
      </c>
      <c r="K7" s="14">
        <v>6.5</v>
      </c>
      <c r="L7" s="14">
        <v>6.43</v>
      </c>
      <c r="M7" s="14">
        <v>6.44</v>
      </c>
      <c r="N7" s="14">
        <v>5.0999999999999996</v>
      </c>
      <c r="O7" s="14">
        <v>5.86</v>
      </c>
    </row>
    <row r="8" spans="1:15" ht="18" x14ac:dyDescent="0.25">
      <c r="A8" s="46"/>
      <c r="B8" s="6" t="s">
        <v>4</v>
      </c>
      <c r="C8" s="4" t="s">
        <v>36</v>
      </c>
      <c r="D8" s="4" t="s">
        <v>196</v>
      </c>
      <c r="E8" s="9">
        <v>23.19</v>
      </c>
      <c r="F8" s="14">
        <v>20.23</v>
      </c>
      <c r="G8" s="14">
        <v>20.23</v>
      </c>
      <c r="H8" s="14">
        <v>30.3</v>
      </c>
      <c r="I8" s="14">
        <v>29.5</v>
      </c>
      <c r="J8" s="14">
        <v>20.92</v>
      </c>
      <c r="K8" s="14">
        <v>20.37</v>
      </c>
      <c r="L8" s="14">
        <v>19.68</v>
      </c>
      <c r="M8" s="14">
        <v>20.74</v>
      </c>
      <c r="N8" s="14">
        <v>15.64</v>
      </c>
      <c r="O8" s="14">
        <v>22.43</v>
      </c>
    </row>
    <row r="9" spans="1:15" ht="18" x14ac:dyDescent="0.25">
      <c r="A9" s="46"/>
      <c r="B9" s="6" t="s">
        <v>5</v>
      </c>
      <c r="C9" s="4" t="s">
        <v>37</v>
      </c>
      <c r="D9" s="4" t="s">
        <v>196</v>
      </c>
      <c r="E9" s="9">
        <v>26.21</v>
      </c>
      <c r="F9" s="14">
        <v>21.38</v>
      </c>
      <c r="G9" s="14">
        <v>21.38</v>
      </c>
      <c r="H9" s="14">
        <v>28.7</v>
      </c>
      <c r="I9" s="14">
        <v>28.7</v>
      </c>
      <c r="J9" s="14">
        <v>21</v>
      </c>
      <c r="K9" s="14">
        <v>19.2</v>
      </c>
      <c r="L9" s="14">
        <v>20.25</v>
      </c>
      <c r="M9" s="14">
        <v>20.25</v>
      </c>
      <c r="N9" s="14">
        <v>15.91</v>
      </c>
      <c r="O9" s="14">
        <v>21.09</v>
      </c>
    </row>
    <row r="10" spans="1:15" s="43" customFormat="1" x14ac:dyDescent="0.25"/>
    <row r="11" spans="1:15" ht="18" customHeight="1" x14ac:dyDescent="0.25">
      <c r="A11" s="41" t="s">
        <v>27</v>
      </c>
      <c r="B11" s="15" t="s">
        <v>6</v>
      </c>
      <c r="C11" s="16" t="s">
        <v>52</v>
      </c>
      <c r="D11" s="16" t="s">
        <v>34</v>
      </c>
      <c r="E11" s="2">
        <v>3</v>
      </c>
      <c r="F11" s="2">
        <v>3</v>
      </c>
      <c r="G11" s="2">
        <v>2</v>
      </c>
      <c r="H11" s="2">
        <v>2</v>
      </c>
      <c r="I11" s="2">
        <v>2</v>
      </c>
      <c r="J11" s="2">
        <v>2</v>
      </c>
      <c r="K11" s="2">
        <v>2</v>
      </c>
      <c r="L11" s="2">
        <v>2</v>
      </c>
      <c r="M11" s="2">
        <v>2</v>
      </c>
      <c r="N11" s="2">
        <v>2</v>
      </c>
      <c r="O11" s="2">
        <v>2</v>
      </c>
    </row>
    <row r="12" spans="1:15" x14ac:dyDescent="0.25">
      <c r="A12" s="41"/>
      <c r="B12" s="15" t="s">
        <v>7</v>
      </c>
      <c r="C12" s="16" t="s">
        <v>34</v>
      </c>
      <c r="D12" s="16" t="s">
        <v>34</v>
      </c>
      <c r="E12" s="2" t="s">
        <v>185</v>
      </c>
      <c r="F12" s="2" t="s">
        <v>185</v>
      </c>
      <c r="G12" s="2" t="s">
        <v>185</v>
      </c>
      <c r="H12" s="2" t="s">
        <v>185</v>
      </c>
      <c r="I12" s="2" t="s">
        <v>185</v>
      </c>
      <c r="J12" s="2" t="s">
        <v>185</v>
      </c>
      <c r="K12" s="2" t="s">
        <v>185</v>
      </c>
      <c r="L12" s="2" t="s">
        <v>185</v>
      </c>
      <c r="M12" s="2" t="s">
        <v>185</v>
      </c>
      <c r="N12" s="2" t="s">
        <v>185</v>
      </c>
      <c r="O12" s="2" t="s">
        <v>185</v>
      </c>
    </row>
    <row r="13" spans="1:15" x14ac:dyDescent="0.25">
      <c r="A13" s="41"/>
      <c r="B13" s="15" t="s">
        <v>8</v>
      </c>
      <c r="C13" s="16" t="s">
        <v>34</v>
      </c>
      <c r="D13" s="16" t="s">
        <v>34</v>
      </c>
      <c r="E13" s="2" t="s">
        <v>188</v>
      </c>
      <c r="F13" s="2" t="s">
        <v>188</v>
      </c>
      <c r="G13" s="2" t="s">
        <v>188</v>
      </c>
      <c r="H13" s="2" t="s">
        <v>188</v>
      </c>
      <c r="I13" s="2" t="s">
        <v>188</v>
      </c>
      <c r="J13" s="2" t="s">
        <v>188</v>
      </c>
      <c r="K13" s="2" t="s">
        <v>188</v>
      </c>
      <c r="L13" s="2" t="s">
        <v>188</v>
      </c>
      <c r="M13" s="2" t="s">
        <v>188</v>
      </c>
      <c r="N13" s="2" t="s">
        <v>188</v>
      </c>
      <c r="O13" s="2" t="s">
        <v>188</v>
      </c>
    </row>
    <row r="14" spans="1:15" x14ac:dyDescent="0.25">
      <c r="A14" s="41"/>
      <c r="B14" s="15" t="s">
        <v>1</v>
      </c>
      <c r="C14" s="16" t="s">
        <v>34</v>
      </c>
      <c r="D14" s="16" t="s">
        <v>34</v>
      </c>
      <c r="E14" s="2" t="s">
        <v>186</v>
      </c>
      <c r="F14" s="2" t="s">
        <v>284</v>
      </c>
      <c r="G14" s="2" t="s">
        <v>186</v>
      </c>
      <c r="H14" s="2" t="s">
        <v>313</v>
      </c>
      <c r="I14" s="2" t="s">
        <v>313</v>
      </c>
      <c r="J14" s="2" t="s">
        <v>284</v>
      </c>
      <c r="K14" s="2" t="s">
        <v>284</v>
      </c>
      <c r="L14" s="2" t="s">
        <v>284</v>
      </c>
      <c r="M14" s="2" t="s">
        <v>284</v>
      </c>
      <c r="N14" s="2" t="s">
        <v>186</v>
      </c>
      <c r="O14" s="2" t="s">
        <v>313</v>
      </c>
    </row>
    <row r="15" spans="1:15" x14ac:dyDescent="0.25">
      <c r="A15" s="41"/>
      <c r="B15" s="15" t="s">
        <v>9</v>
      </c>
      <c r="C15" s="16" t="s">
        <v>34</v>
      </c>
      <c r="D15" s="16" t="s">
        <v>34</v>
      </c>
      <c r="E15" s="2" t="s">
        <v>187</v>
      </c>
      <c r="F15" s="2" t="s">
        <v>285</v>
      </c>
      <c r="G15" s="2" t="s">
        <v>286</v>
      </c>
      <c r="H15" s="2" t="s">
        <v>314</v>
      </c>
      <c r="I15" s="2" t="s">
        <v>314</v>
      </c>
      <c r="J15" s="2" t="s">
        <v>342</v>
      </c>
      <c r="K15" s="2" t="s">
        <v>343</v>
      </c>
      <c r="L15" s="2" t="s">
        <v>350</v>
      </c>
      <c r="M15" s="2" t="s">
        <v>350</v>
      </c>
      <c r="N15" s="2" t="s">
        <v>349</v>
      </c>
      <c r="O15" s="2" t="s">
        <v>377</v>
      </c>
    </row>
    <row r="16" spans="1:15" ht="18" x14ac:dyDescent="0.25">
      <c r="A16" s="41"/>
      <c r="B16" s="15" t="s">
        <v>10</v>
      </c>
      <c r="C16" s="16" t="s">
        <v>39</v>
      </c>
      <c r="D16" s="16" t="s">
        <v>197</v>
      </c>
      <c r="E16" s="2">
        <v>551</v>
      </c>
      <c r="F16" s="2">
        <v>450.42</v>
      </c>
      <c r="G16" s="2">
        <v>623.5</v>
      </c>
      <c r="H16" s="2">
        <v>1633</v>
      </c>
      <c r="I16" s="2">
        <v>1633</v>
      </c>
      <c r="J16" s="2">
        <v>618.70000000000005</v>
      </c>
      <c r="K16" s="2"/>
      <c r="M16" s="2"/>
      <c r="N16" s="2"/>
      <c r="O16" s="2"/>
    </row>
    <row r="17" spans="1:16" ht="18" x14ac:dyDescent="0.25">
      <c r="A17" s="41"/>
      <c r="B17" s="15" t="s">
        <v>207</v>
      </c>
      <c r="C17" s="16" t="s">
        <v>206</v>
      </c>
      <c r="D17" s="16" t="s">
        <v>202</v>
      </c>
      <c r="E17" s="14">
        <v>28.478000000000002</v>
      </c>
      <c r="F17" s="14">
        <v>22.24</v>
      </c>
      <c r="G17" s="14">
        <v>31.13</v>
      </c>
      <c r="H17" s="14">
        <v>65.599999999999994</v>
      </c>
      <c r="I17" s="14">
        <v>65.599999999999994</v>
      </c>
      <c r="J17" s="14">
        <v>32.57</v>
      </c>
      <c r="K17" s="14">
        <v>33.9</v>
      </c>
      <c r="L17" s="14">
        <v>29.1</v>
      </c>
      <c r="M17" s="14">
        <v>31.3</v>
      </c>
      <c r="N17" s="14">
        <v>14.946</v>
      </c>
      <c r="O17" s="14">
        <v>31.29</v>
      </c>
    </row>
    <row r="18" spans="1:16" x14ac:dyDescent="0.25">
      <c r="A18" s="41"/>
      <c r="B18" s="15" t="s">
        <v>226</v>
      </c>
      <c r="C18" s="16" t="s">
        <v>287</v>
      </c>
      <c r="D18" s="16" t="s">
        <v>298</v>
      </c>
      <c r="E18" s="22">
        <v>0.67900000000000005</v>
      </c>
      <c r="F18" s="22">
        <v>0.66300000000000003</v>
      </c>
      <c r="G18" s="22">
        <v>0.68</v>
      </c>
      <c r="H18" s="22">
        <v>0.63</v>
      </c>
      <c r="I18" s="22">
        <v>0.63</v>
      </c>
      <c r="J18" s="22">
        <v>0.68400000000000005</v>
      </c>
      <c r="K18" s="22"/>
      <c r="L18" s="22"/>
      <c r="M18" s="22"/>
      <c r="N18" s="22"/>
      <c r="O18" s="22"/>
    </row>
    <row r="19" spans="1:16" x14ac:dyDescent="0.25">
      <c r="A19" s="41"/>
      <c r="B19" s="15" t="s">
        <v>226</v>
      </c>
      <c r="C19" s="16" t="s">
        <v>295</v>
      </c>
      <c r="D19" s="16" t="s">
        <v>299</v>
      </c>
      <c r="E19" s="14" t="s">
        <v>310</v>
      </c>
      <c r="F19" s="14" t="s">
        <v>310</v>
      </c>
      <c r="G19" s="14" t="s">
        <v>310</v>
      </c>
      <c r="H19" s="14" t="s">
        <v>310</v>
      </c>
      <c r="I19" s="14" t="s">
        <v>310</v>
      </c>
      <c r="J19" s="14" t="s">
        <v>310</v>
      </c>
      <c r="K19" s="14" t="s">
        <v>310</v>
      </c>
      <c r="L19" s="14" t="s">
        <v>310</v>
      </c>
      <c r="M19" s="14" t="s">
        <v>310</v>
      </c>
      <c r="N19" s="14" t="s">
        <v>310</v>
      </c>
      <c r="O19" s="14" t="s">
        <v>310</v>
      </c>
    </row>
    <row r="20" spans="1:16" ht="18" x14ac:dyDescent="0.25">
      <c r="A20" s="41"/>
      <c r="B20" s="15" t="s">
        <v>297</v>
      </c>
      <c r="C20" s="16" t="s">
        <v>296</v>
      </c>
      <c r="D20" s="16" t="s">
        <v>34</v>
      </c>
      <c r="E20" s="14" t="s">
        <v>310</v>
      </c>
      <c r="F20" s="14" t="s">
        <v>310</v>
      </c>
      <c r="G20" s="14" t="s">
        <v>310</v>
      </c>
      <c r="H20" s="14" t="s">
        <v>310</v>
      </c>
      <c r="I20" s="14" t="s">
        <v>310</v>
      </c>
      <c r="J20" s="14" t="s">
        <v>310</v>
      </c>
      <c r="K20" s="14" t="s">
        <v>310</v>
      </c>
      <c r="L20" s="14" t="s">
        <v>310</v>
      </c>
      <c r="M20" s="14" t="s">
        <v>310</v>
      </c>
      <c r="N20" s="14" t="s">
        <v>310</v>
      </c>
      <c r="O20" s="14" t="s">
        <v>310</v>
      </c>
    </row>
    <row r="21" spans="1:16" ht="18" x14ac:dyDescent="0.25">
      <c r="A21" s="41"/>
      <c r="B21" s="15" t="s">
        <v>198</v>
      </c>
      <c r="C21" s="16" t="s">
        <v>200</v>
      </c>
      <c r="D21" s="16" t="s">
        <v>196</v>
      </c>
      <c r="E21" s="14">
        <v>1.17</v>
      </c>
      <c r="F21" s="14">
        <v>1.077</v>
      </c>
      <c r="G21" s="14">
        <v>1.2989999999999999</v>
      </c>
      <c r="H21" s="14">
        <v>1.57</v>
      </c>
      <c r="I21" s="14">
        <v>1.5720000000000001</v>
      </c>
      <c r="J21" s="14">
        <v>1.1759999999999999</v>
      </c>
      <c r="K21" s="14"/>
      <c r="L21" s="14"/>
      <c r="M21" s="14"/>
      <c r="N21" s="14"/>
      <c r="O21" s="14"/>
    </row>
    <row r="22" spans="1:16" ht="18" x14ac:dyDescent="0.25">
      <c r="A22" s="41"/>
      <c r="B22" s="15" t="s">
        <v>199</v>
      </c>
      <c r="C22" s="16" t="s">
        <v>201</v>
      </c>
      <c r="D22" s="16" t="s">
        <v>196</v>
      </c>
      <c r="E22" s="14">
        <v>2.1850000000000001</v>
      </c>
      <c r="F22" s="14">
        <v>2.0830000000000002</v>
      </c>
      <c r="G22" s="14">
        <v>2.1840000000000002</v>
      </c>
      <c r="H22" s="14">
        <v>3.41</v>
      </c>
      <c r="I22" s="14">
        <v>3.4089999999999998</v>
      </c>
      <c r="J22" s="14">
        <v>2.347</v>
      </c>
      <c r="K22" s="14"/>
      <c r="L22" s="14"/>
      <c r="M22" s="14"/>
      <c r="N22" s="14"/>
      <c r="O22" s="14"/>
    </row>
    <row r="23" spans="1:16" ht="18" customHeight="1" x14ac:dyDescent="0.25">
      <c r="A23" s="41"/>
      <c r="B23" s="15" t="s">
        <v>229</v>
      </c>
      <c r="C23" s="16" t="s">
        <v>230</v>
      </c>
      <c r="D23" s="16" t="s">
        <v>202</v>
      </c>
      <c r="E23" s="14">
        <f>E11*E17</f>
        <v>85.433999999999997</v>
      </c>
      <c r="F23" s="14">
        <f t="shared" ref="F23:M23" si="0">F11*F17</f>
        <v>66.72</v>
      </c>
      <c r="G23" s="14">
        <f t="shared" si="0"/>
        <v>62.26</v>
      </c>
      <c r="H23" s="14">
        <f t="shared" si="0"/>
        <v>131.19999999999999</v>
      </c>
      <c r="I23" s="14">
        <f t="shared" si="0"/>
        <v>131.19999999999999</v>
      </c>
      <c r="J23" s="14">
        <f t="shared" si="0"/>
        <v>65.14</v>
      </c>
      <c r="K23" s="14">
        <f t="shared" si="0"/>
        <v>67.8</v>
      </c>
      <c r="L23" s="14">
        <f t="shared" si="0"/>
        <v>58.2</v>
      </c>
      <c r="M23" s="14">
        <f t="shared" si="0"/>
        <v>62.6</v>
      </c>
      <c r="N23" s="14">
        <f>N11*N17</f>
        <v>29.891999999999999</v>
      </c>
      <c r="O23" s="14">
        <f>O11*O17</f>
        <v>62.58</v>
      </c>
    </row>
    <row r="24" spans="1:16" s="42" customFormat="1" x14ac:dyDescent="0.25"/>
    <row r="25" spans="1:16" ht="18" customHeight="1" x14ac:dyDescent="0.25">
      <c r="A25" s="41" t="s">
        <v>28</v>
      </c>
      <c r="B25" s="15" t="s">
        <v>54</v>
      </c>
      <c r="C25" s="16" t="s">
        <v>53</v>
      </c>
      <c r="D25" s="16" t="s">
        <v>197</v>
      </c>
      <c r="E25" s="27">
        <v>31752</v>
      </c>
      <c r="F25" s="28">
        <v>22225</v>
      </c>
      <c r="G25" s="27">
        <v>19414</v>
      </c>
      <c r="H25" s="27">
        <v>45130</v>
      </c>
      <c r="I25" s="27">
        <v>41957</v>
      </c>
      <c r="J25" s="27">
        <v>18416</v>
      </c>
      <c r="K25" s="27">
        <v>17962</v>
      </c>
      <c r="L25" s="27">
        <v>16220</v>
      </c>
      <c r="M25" s="27">
        <v>17400</v>
      </c>
      <c r="N25" s="27">
        <v>8340</v>
      </c>
      <c r="O25" s="27">
        <v>16738</v>
      </c>
    </row>
    <row r="26" spans="1:16" ht="18" customHeight="1" x14ac:dyDescent="0.25">
      <c r="A26" s="41"/>
      <c r="B26" s="15" t="s">
        <v>306</v>
      </c>
      <c r="C26" s="16" t="s">
        <v>307</v>
      </c>
      <c r="D26" s="16" t="s">
        <v>197</v>
      </c>
      <c r="E26" s="27">
        <v>32659</v>
      </c>
      <c r="F26" s="28">
        <v>22317</v>
      </c>
      <c r="G26" s="27">
        <v>19505</v>
      </c>
      <c r="H26" s="27">
        <v>45245</v>
      </c>
      <c r="I26" s="27">
        <v>42071</v>
      </c>
      <c r="J26" s="27">
        <v>18484</v>
      </c>
      <c r="K26" s="27">
        <v>18030</v>
      </c>
      <c r="L26" s="27">
        <v>16279.88</v>
      </c>
      <c r="M26" s="27">
        <v>17480.099999999999</v>
      </c>
      <c r="N26" s="27">
        <v>8390</v>
      </c>
      <c r="O26" s="27">
        <v>16601</v>
      </c>
    </row>
    <row r="27" spans="1:16" ht="18" customHeight="1" x14ac:dyDescent="0.25">
      <c r="A27" s="41"/>
      <c r="B27" s="15" t="s">
        <v>335</v>
      </c>
      <c r="C27" s="16" t="s">
        <v>333</v>
      </c>
      <c r="D27" s="16" t="s">
        <v>197</v>
      </c>
      <c r="E27" s="27">
        <v>16602</v>
      </c>
      <c r="F27" s="28">
        <v>10829</v>
      </c>
      <c r="G27" s="27">
        <v>10142</v>
      </c>
      <c r="H27" s="27">
        <v>22435</v>
      </c>
      <c r="I27" s="27">
        <f>I28-I41*CONVERT(Constants!$C$4,"lbm","kg")</f>
        <v>22879.563052000001</v>
      </c>
      <c r="J27" s="27">
        <f>J28-J41*CONVERT(Constants!$C$4,"lbm","kg")</f>
        <v>11067.563052</v>
      </c>
      <c r="K27" s="27">
        <f>K28-K41*CONVERT(Constants!$C$4,"lbm","kg")</f>
        <v>10763.563052</v>
      </c>
      <c r="L27" s="27">
        <f>L28-L41*CONVERT(Constants!$C$4,"lbm","kg")</f>
        <v>10243.563052</v>
      </c>
      <c r="M27" s="27">
        <f>M28-M41*CONVERT(Constants!$C$4,"lbm","kg")</f>
        <v>10568.563052</v>
      </c>
      <c r="N27" s="27">
        <f>N28-N41*CONVERT(Constants!$C$4,"lbm","kg")</f>
        <v>5072.5630520000004</v>
      </c>
      <c r="O27" s="27">
        <f>O28-O41*CONVERT(Constants!$C$4,"lbm","kg")</f>
        <v>9849.5630519999995</v>
      </c>
    </row>
    <row r="28" spans="1:16" ht="18" customHeight="1" x14ac:dyDescent="0.25">
      <c r="A28" s="41"/>
      <c r="B28" s="15" t="s">
        <v>55</v>
      </c>
      <c r="C28" s="16" t="s">
        <v>56</v>
      </c>
      <c r="D28" s="16" t="s">
        <v>197</v>
      </c>
      <c r="E28" s="27">
        <v>15542</v>
      </c>
      <c r="F28" s="28">
        <v>11709</v>
      </c>
      <c r="G28" s="27">
        <v>10644</v>
      </c>
      <c r="H28" s="27">
        <v>23691</v>
      </c>
      <c r="I28" s="27">
        <v>23061</v>
      </c>
      <c r="J28" s="27">
        <v>11249</v>
      </c>
      <c r="K28" s="27">
        <v>10945</v>
      </c>
      <c r="L28" s="27">
        <v>10425</v>
      </c>
      <c r="M28" s="27">
        <v>10750</v>
      </c>
      <c r="N28" s="27">
        <v>5254</v>
      </c>
      <c r="O28" s="27">
        <v>10031</v>
      </c>
    </row>
    <row r="29" spans="1:16" x14ac:dyDescent="0.25">
      <c r="A29" s="41"/>
      <c r="B29" s="15" t="s">
        <v>334</v>
      </c>
      <c r="C29" s="16" t="s">
        <v>332</v>
      </c>
      <c r="D29" s="16" t="s">
        <v>197</v>
      </c>
      <c r="E29" s="27">
        <v>16602</v>
      </c>
      <c r="F29" s="28">
        <v>12134</v>
      </c>
      <c r="G29" s="27">
        <v>11227</v>
      </c>
      <c r="H29" s="27">
        <v>23841</v>
      </c>
      <c r="I29" s="27">
        <v>23070</v>
      </c>
      <c r="J29" s="27">
        <v>11249</v>
      </c>
      <c r="K29" s="27">
        <v>10954</v>
      </c>
      <c r="L29" s="27">
        <v>10425</v>
      </c>
      <c r="M29" s="27">
        <v>10750</v>
      </c>
      <c r="N29" s="27">
        <v>5254</v>
      </c>
      <c r="O29" s="27">
        <v>10031</v>
      </c>
    </row>
    <row r="30" spans="1:16" x14ac:dyDescent="0.25">
      <c r="A30" s="41"/>
      <c r="B30" s="15" t="s">
        <v>61</v>
      </c>
      <c r="C30" s="16" t="s">
        <v>57</v>
      </c>
      <c r="D30" s="16" t="s">
        <v>197</v>
      </c>
      <c r="E30" s="27">
        <v>1996</v>
      </c>
      <c r="F30" s="28">
        <v>2796</v>
      </c>
      <c r="G30" s="27">
        <v>2245</v>
      </c>
      <c r="H30" s="27">
        <v>2617</v>
      </c>
      <c r="I30" s="27">
        <v>3238</v>
      </c>
      <c r="J30" s="27">
        <v>1542</v>
      </c>
      <c r="K30" s="27">
        <v>1837</v>
      </c>
      <c r="L30" s="27">
        <v>1325</v>
      </c>
      <c r="M30" s="27">
        <v>1270</v>
      </c>
      <c r="N30" s="27">
        <v>1196</v>
      </c>
      <c r="O30" s="27">
        <v>1299</v>
      </c>
    </row>
    <row r="31" spans="1:16" ht="30" x14ac:dyDescent="0.25">
      <c r="A31" s="41"/>
      <c r="B31" s="15" t="s">
        <v>60</v>
      </c>
      <c r="C31" s="16" t="s">
        <v>59</v>
      </c>
      <c r="D31" s="16" t="s">
        <v>197</v>
      </c>
      <c r="E31" s="27">
        <v>14488</v>
      </c>
      <c r="F31" s="28">
        <v>9446</v>
      </c>
      <c r="G31" s="27">
        <v>7557</v>
      </c>
      <c r="H31" s="27">
        <v>20434</v>
      </c>
      <c r="I31" s="27">
        <v>17804</v>
      </c>
      <c r="J31" s="27">
        <v>6418</v>
      </c>
      <c r="K31" s="27">
        <v>6622</v>
      </c>
      <c r="L31" s="27">
        <v>5492</v>
      </c>
      <c r="M31" s="27">
        <v>5923</v>
      </c>
      <c r="N31" s="27">
        <v>2428</v>
      </c>
      <c r="O31" s="27">
        <v>5865</v>
      </c>
    </row>
    <row r="32" spans="1:16" x14ac:dyDescent="0.25">
      <c r="A32" s="41"/>
      <c r="B32" s="15" t="s">
        <v>308</v>
      </c>
      <c r="C32" s="16" t="s">
        <v>309</v>
      </c>
      <c r="D32" s="16" t="s">
        <v>197</v>
      </c>
      <c r="E32" s="27">
        <v>15241</v>
      </c>
      <c r="F32" s="28">
        <v>10183</v>
      </c>
      <c r="G32" s="27">
        <v>8278</v>
      </c>
      <c r="H32" s="27">
        <v>21405</v>
      </c>
      <c r="I32" s="27">
        <v>19000</v>
      </c>
      <c r="J32" s="27">
        <v>7234</v>
      </c>
      <c r="K32" s="27">
        <f>6622+454</f>
        <v>7076</v>
      </c>
      <c r="L32" s="27">
        <v>5855</v>
      </c>
      <c r="M32" s="27">
        <v>6730</v>
      </c>
      <c r="N32" s="27">
        <v>3136</v>
      </c>
      <c r="O32" s="27">
        <v>6707</v>
      </c>
      <c r="P32" s="27"/>
    </row>
    <row r="33" spans="1:15" ht="30" x14ac:dyDescent="0.25">
      <c r="A33" s="41"/>
      <c r="B33" s="15" t="s">
        <v>205</v>
      </c>
      <c r="C33" s="16" t="s">
        <v>231</v>
      </c>
      <c r="D33" s="16" t="s">
        <v>197</v>
      </c>
      <c r="E33" s="27">
        <v>18598</v>
      </c>
      <c r="F33" s="28">
        <v>14000</v>
      </c>
      <c r="G33" s="27">
        <v>13472</v>
      </c>
      <c r="H33" s="27">
        <v>26308</v>
      </c>
      <c r="I33" s="27">
        <v>26308</v>
      </c>
      <c r="J33" s="27">
        <v>12791</v>
      </c>
      <c r="K33" s="27">
        <v>12791</v>
      </c>
      <c r="L33" s="27">
        <v>11750</v>
      </c>
      <c r="M33" s="27">
        <v>12020</v>
      </c>
      <c r="N33" s="27">
        <v>6450</v>
      </c>
      <c r="O33" s="2">
        <v>11330</v>
      </c>
    </row>
    <row r="34" spans="1:15" x14ac:dyDescent="0.25">
      <c r="A34" s="41"/>
      <c r="B34" s="15" t="s">
        <v>203</v>
      </c>
      <c r="C34" s="16" t="s">
        <v>204</v>
      </c>
      <c r="D34" s="16" t="s">
        <v>197</v>
      </c>
      <c r="E34" s="27">
        <v>28304</v>
      </c>
      <c r="F34" s="28">
        <v>20185</v>
      </c>
      <c r="G34" s="27">
        <v>17827</v>
      </c>
      <c r="H34" s="27">
        <v>35652</v>
      </c>
      <c r="I34" s="27">
        <v>35652</v>
      </c>
      <c r="J34" s="27">
        <v>15490</v>
      </c>
      <c r="K34" s="27">
        <v>14832</v>
      </c>
      <c r="L34" s="27">
        <v>14750</v>
      </c>
      <c r="M34" s="27">
        <v>15660</v>
      </c>
      <c r="N34" s="27">
        <v>7730</v>
      </c>
      <c r="O34" s="27">
        <v>14515</v>
      </c>
    </row>
    <row r="35" spans="1:15" x14ac:dyDescent="0.25">
      <c r="A35" s="41"/>
      <c r="B35" s="15" t="s">
        <v>62</v>
      </c>
      <c r="C35" s="16" t="s">
        <v>58</v>
      </c>
      <c r="D35" s="16" t="s">
        <v>34</v>
      </c>
      <c r="E35" s="21">
        <f t="shared" ref="E35:N35" si="1">E29/E25</f>
        <v>0.52286470143612995</v>
      </c>
      <c r="F35" s="24">
        <f t="shared" si="1"/>
        <v>0.54596175478065245</v>
      </c>
      <c r="G35" s="21">
        <f t="shared" si="1"/>
        <v>0.57829401462861851</v>
      </c>
      <c r="H35" s="21">
        <f t="shared" si="1"/>
        <v>0.52827387547086191</v>
      </c>
      <c r="I35" s="21">
        <f t="shared" si="1"/>
        <v>0.54984865457492194</v>
      </c>
      <c r="J35" s="21">
        <f t="shared" si="1"/>
        <v>0.61082754126846217</v>
      </c>
      <c r="K35" s="21">
        <f t="shared" si="1"/>
        <v>0.60984300189288498</v>
      </c>
      <c r="L35" s="21">
        <f t="shared" si="1"/>
        <v>0.64272503082614052</v>
      </c>
      <c r="M35" s="21">
        <f t="shared" si="1"/>
        <v>0.61781609195402298</v>
      </c>
      <c r="N35" s="21">
        <f t="shared" si="1"/>
        <v>0.62997601918465229</v>
      </c>
      <c r="O35" s="21">
        <f t="shared" ref="O35" si="2">O29/O25</f>
        <v>0.59929501732584534</v>
      </c>
    </row>
    <row r="36" spans="1:15" x14ac:dyDescent="0.25">
      <c r="A36" s="41"/>
      <c r="B36" s="15" t="s">
        <v>180</v>
      </c>
      <c r="C36" s="16" t="s">
        <v>179</v>
      </c>
      <c r="D36" s="16" t="s">
        <v>34</v>
      </c>
      <c r="E36" s="21">
        <f t="shared" ref="E36:N36" si="3">E30/E25</f>
        <v>6.286218190980096E-2</v>
      </c>
      <c r="F36" s="24">
        <f t="shared" si="3"/>
        <v>0.12580427446569178</v>
      </c>
      <c r="G36" s="21">
        <f t="shared" si="3"/>
        <v>0.11563819923766354</v>
      </c>
      <c r="H36" s="21">
        <f t="shared" si="3"/>
        <v>5.7988034566807005E-2</v>
      </c>
      <c r="I36" s="21">
        <f t="shared" si="3"/>
        <v>7.7174249827204042E-2</v>
      </c>
      <c r="J36" s="21">
        <f t="shared" si="3"/>
        <v>8.3731537793223287E-2</v>
      </c>
      <c r="K36" s="21">
        <f t="shared" si="3"/>
        <v>0.10227146197528116</v>
      </c>
      <c r="L36" s="21">
        <f t="shared" si="3"/>
        <v>8.1689272503082611E-2</v>
      </c>
      <c r="M36" s="21">
        <f t="shared" si="3"/>
        <v>7.2988505747126439E-2</v>
      </c>
      <c r="N36" s="21">
        <f t="shared" si="3"/>
        <v>0.14340527577937651</v>
      </c>
      <c r="O36" s="21">
        <f t="shared" ref="O36" si="4">O30/O25</f>
        <v>7.7607838451427894E-2</v>
      </c>
    </row>
    <row r="37" spans="1:15" x14ac:dyDescent="0.25">
      <c r="A37" s="41"/>
      <c r="B37" s="15" t="s">
        <v>181</v>
      </c>
      <c r="C37" s="16" t="s">
        <v>182</v>
      </c>
      <c r="D37" s="16" t="s">
        <v>34</v>
      </c>
      <c r="E37" s="21">
        <f t="shared" ref="E37:N37" si="5">E31/E25</f>
        <v>0.45628621819098009</v>
      </c>
      <c r="F37" s="24">
        <f t="shared" si="5"/>
        <v>0.42501687289088863</v>
      </c>
      <c r="G37" s="21">
        <f t="shared" si="5"/>
        <v>0.38925517667662513</v>
      </c>
      <c r="H37" s="21">
        <f t="shared" si="5"/>
        <v>0.45278085530689122</v>
      </c>
      <c r="I37" s="21">
        <f t="shared" si="5"/>
        <v>0.42433920442357653</v>
      </c>
      <c r="J37" s="21">
        <f t="shared" si="5"/>
        <v>0.34850130321459599</v>
      </c>
      <c r="K37" s="21">
        <f t="shared" si="5"/>
        <v>0.36866718628215123</v>
      </c>
      <c r="L37" s="21">
        <f t="shared" si="5"/>
        <v>0.33859432799013561</v>
      </c>
      <c r="M37" s="21">
        <f t="shared" si="5"/>
        <v>0.34040229885057471</v>
      </c>
      <c r="N37" s="21">
        <f t="shared" si="5"/>
        <v>0.29112709832134293</v>
      </c>
      <c r="O37" s="21">
        <f t="shared" ref="O37" si="6">O31/O25</f>
        <v>0.3504002867726132</v>
      </c>
    </row>
    <row r="38" spans="1:15" ht="18" x14ac:dyDescent="0.25">
      <c r="A38" s="41"/>
      <c r="B38" s="15" t="s">
        <v>232</v>
      </c>
      <c r="C38" s="16" t="s">
        <v>233</v>
      </c>
      <c r="D38" s="16" t="s">
        <v>34</v>
      </c>
      <c r="E38" s="21">
        <f>E23*1000/(E25*Constants!$C$1)</f>
        <v>0.27437148821981711</v>
      </c>
      <c r="F38" s="21">
        <f>F23*1000/(F25*Constants!$C$1)</f>
        <v>0.30612133061816593</v>
      </c>
      <c r="G38" s="21">
        <f>G23*1000/(G25*Constants!$C$1)</f>
        <v>0.32701932327189565</v>
      </c>
      <c r="H38" s="21">
        <f>H23*1000/(H25*Constants!$C$1)</f>
        <v>0.2964475230283718</v>
      </c>
      <c r="I38" s="21">
        <f>I23*1000/(I25*Constants!$C$1)</f>
        <v>0.31886638020522007</v>
      </c>
      <c r="J38" s="21">
        <f>J23*1000/(J25*Constants!$C$1)</f>
        <v>0.36068806534199743</v>
      </c>
      <c r="K38" s="21">
        <f>K23*1000/(K25*Constants!$C$1)</f>
        <v>0.38490568555786409</v>
      </c>
      <c r="L38" s="21">
        <f>L23*1000/(L25*Constants!$C$1)</f>
        <v>0.3658907743237696</v>
      </c>
      <c r="M38" s="21">
        <f>M23*1000/(M25*Constants!$C$1)</f>
        <v>0.36686341915182935</v>
      </c>
      <c r="N38" s="21">
        <f>N23*1000/(N25*Constants!$C$1)</f>
        <v>0.36548389734216108</v>
      </c>
      <c r="O38" s="21">
        <f>O23*1000/(O25*Constants!$C$1)</f>
        <v>0.38125128813573156</v>
      </c>
    </row>
    <row r="39" spans="1:15" x14ac:dyDescent="0.25">
      <c r="A39" s="41"/>
      <c r="B39" s="15" t="s">
        <v>336</v>
      </c>
      <c r="C39" s="16" t="s">
        <v>337</v>
      </c>
      <c r="D39" s="16" t="s">
        <v>34</v>
      </c>
      <c r="E39" s="14">
        <f>E25/E23</f>
        <v>371.65531287309506</v>
      </c>
      <c r="F39" s="14">
        <f t="shared" ref="F39:L39" si="7">F25/F23</f>
        <v>333.10851318944844</v>
      </c>
      <c r="G39" s="14">
        <f t="shared" si="7"/>
        <v>311.82139415354965</v>
      </c>
      <c r="H39" s="14">
        <f t="shared" si="7"/>
        <v>343.97865853658539</v>
      </c>
      <c r="I39" s="14">
        <f t="shared" si="7"/>
        <v>319.79420731707319</v>
      </c>
      <c r="J39" s="14">
        <f t="shared" si="7"/>
        <v>282.71415412956708</v>
      </c>
      <c r="K39" s="14">
        <f t="shared" si="7"/>
        <v>264.92625368731564</v>
      </c>
      <c r="L39" s="14">
        <f t="shared" si="7"/>
        <v>278.69415807560136</v>
      </c>
      <c r="M39" s="14">
        <f>M25/M23</f>
        <v>277.9552715654952</v>
      </c>
      <c r="N39" s="14">
        <f>N25/N23</f>
        <v>279.00441589723005</v>
      </c>
      <c r="O39" s="14">
        <f>O25/O23</f>
        <v>267.46564397571109</v>
      </c>
    </row>
    <row r="40" spans="1:15" s="42" customFormat="1" x14ac:dyDescent="0.25"/>
    <row r="41" spans="1:15" s="33" customFormat="1" x14ac:dyDescent="0.25">
      <c r="A41" s="41" t="s">
        <v>164</v>
      </c>
      <c r="B41" s="15" t="s">
        <v>304</v>
      </c>
      <c r="C41" s="23" t="s">
        <v>305</v>
      </c>
      <c r="D41" s="23" t="s">
        <v>34</v>
      </c>
      <c r="E41" s="34">
        <v>2</v>
      </c>
      <c r="F41" s="34">
        <v>2</v>
      </c>
      <c r="G41" s="34">
        <v>2</v>
      </c>
      <c r="H41" s="34">
        <v>3</v>
      </c>
      <c r="I41" s="34">
        <v>2</v>
      </c>
      <c r="J41" s="34">
        <v>2</v>
      </c>
      <c r="K41" s="34">
        <v>2</v>
      </c>
      <c r="L41" s="34">
        <v>2</v>
      </c>
      <c r="M41" s="34">
        <v>2</v>
      </c>
      <c r="N41" s="34">
        <v>2</v>
      </c>
      <c r="O41" s="34">
        <v>2</v>
      </c>
    </row>
    <row r="42" spans="1:15" ht="15" customHeight="1" x14ac:dyDescent="0.25">
      <c r="A42" s="41"/>
      <c r="B42" s="15" t="s">
        <v>165</v>
      </c>
      <c r="C42" s="16" t="s">
        <v>174</v>
      </c>
      <c r="D42" s="16" t="s">
        <v>34</v>
      </c>
      <c r="E42" s="38">
        <v>12</v>
      </c>
      <c r="F42" s="38">
        <v>12</v>
      </c>
      <c r="G42" s="38">
        <v>10</v>
      </c>
      <c r="H42" s="38">
        <v>13</v>
      </c>
      <c r="I42" s="38">
        <v>13</v>
      </c>
      <c r="J42" s="38">
        <v>8</v>
      </c>
      <c r="K42" s="38">
        <v>8</v>
      </c>
      <c r="L42" s="38">
        <v>7</v>
      </c>
      <c r="M42" s="38">
        <v>8</v>
      </c>
      <c r="N42" s="38">
        <v>6</v>
      </c>
      <c r="O42" s="38">
        <v>8</v>
      </c>
    </row>
    <row r="43" spans="1:15" ht="18" x14ac:dyDescent="0.25">
      <c r="A43" s="41"/>
      <c r="B43" s="15" t="s">
        <v>166</v>
      </c>
      <c r="C43" s="16" t="s">
        <v>173</v>
      </c>
      <c r="D43" s="16" t="s">
        <v>34</v>
      </c>
      <c r="E43" s="38">
        <v>16</v>
      </c>
      <c r="F43" s="38">
        <v>14</v>
      </c>
      <c r="G43" s="38">
        <v>10</v>
      </c>
      <c r="H43" s="38">
        <v>16</v>
      </c>
      <c r="I43" s="38">
        <v>16</v>
      </c>
      <c r="J43" s="38">
        <v>10</v>
      </c>
      <c r="K43" s="38">
        <v>10</v>
      </c>
      <c r="L43" s="38">
        <v>9</v>
      </c>
      <c r="M43" s="38">
        <v>12</v>
      </c>
      <c r="N43" s="38">
        <v>9</v>
      </c>
      <c r="O43" s="38">
        <v>10</v>
      </c>
    </row>
    <row r="44" spans="1:15" x14ac:dyDescent="0.25">
      <c r="A44" s="41"/>
      <c r="B44" s="15" t="s">
        <v>311</v>
      </c>
      <c r="C44" s="16" t="s">
        <v>312</v>
      </c>
      <c r="D44" s="16" t="s">
        <v>34</v>
      </c>
      <c r="E44" s="38"/>
      <c r="F44" s="38">
        <v>5</v>
      </c>
      <c r="G44" s="38"/>
      <c r="H44" s="38"/>
      <c r="I44" s="38">
        <v>5</v>
      </c>
      <c r="J44" s="38"/>
      <c r="K44" s="38">
        <v>5</v>
      </c>
      <c r="L44" s="38"/>
      <c r="M44" s="38"/>
      <c r="N44" s="38"/>
      <c r="O44" s="38"/>
    </row>
    <row r="45" spans="1:15" ht="18" x14ac:dyDescent="0.25">
      <c r="A45" s="41"/>
      <c r="B45" s="15" t="s">
        <v>167</v>
      </c>
      <c r="C45" s="16" t="s">
        <v>172</v>
      </c>
      <c r="D45" s="16" t="s">
        <v>196</v>
      </c>
      <c r="E45" s="14">
        <v>11.91</v>
      </c>
      <c r="F45" s="14">
        <v>10.11</v>
      </c>
      <c r="G45" s="14">
        <v>7.98</v>
      </c>
      <c r="H45" s="14">
        <v>13.18</v>
      </c>
      <c r="I45" s="14">
        <v>12.41</v>
      </c>
      <c r="J45" s="14">
        <v>7.68</v>
      </c>
      <c r="K45" s="14">
        <v>7.87</v>
      </c>
      <c r="L45" s="14">
        <v>6.28</v>
      </c>
      <c r="M45" s="14">
        <v>7.35</v>
      </c>
      <c r="N45" s="14">
        <v>5.25</v>
      </c>
      <c r="O45" s="14">
        <v>7.67</v>
      </c>
    </row>
    <row r="46" spans="1:15" ht="18" x14ac:dyDescent="0.25">
      <c r="A46" s="41"/>
      <c r="B46" s="15" t="s">
        <v>168</v>
      </c>
      <c r="C46" s="16" t="s">
        <v>236</v>
      </c>
      <c r="D46" s="16" t="s">
        <v>196</v>
      </c>
      <c r="E46" s="14">
        <v>2.34</v>
      </c>
      <c r="F46" s="14">
        <v>2.34</v>
      </c>
      <c r="G46" s="14">
        <v>2.34</v>
      </c>
      <c r="H46" s="14">
        <v>2.41</v>
      </c>
      <c r="I46" s="14">
        <v>2.41</v>
      </c>
      <c r="J46" s="14">
        <v>2.19</v>
      </c>
      <c r="K46" s="14">
        <v>2.1800000000000002</v>
      </c>
      <c r="L46" s="14">
        <v>2.08</v>
      </c>
      <c r="M46" s="14">
        <v>2.08</v>
      </c>
      <c r="N46" s="14">
        <v>1.55</v>
      </c>
      <c r="O46" s="14">
        <v>1.68</v>
      </c>
    </row>
    <row r="47" spans="1:15" ht="18" x14ac:dyDescent="0.25">
      <c r="A47" s="41"/>
      <c r="B47" s="15" t="s">
        <v>169</v>
      </c>
      <c r="C47" s="16" t="s">
        <v>171</v>
      </c>
      <c r="D47" s="16" t="s">
        <v>196</v>
      </c>
      <c r="E47" s="14">
        <v>1.88</v>
      </c>
      <c r="F47" s="14">
        <v>1.88</v>
      </c>
      <c r="G47" s="14">
        <v>1.88</v>
      </c>
      <c r="H47" s="14">
        <v>1.88</v>
      </c>
      <c r="I47" s="14">
        <v>1.88</v>
      </c>
      <c r="J47" s="14">
        <v>1.83</v>
      </c>
      <c r="K47" s="14">
        <v>1.91</v>
      </c>
      <c r="L47" s="14">
        <v>1.83</v>
      </c>
      <c r="M47" s="14">
        <v>1.83</v>
      </c>
      <c r="N47" s="14">
        <v>1.5</v>
      </c>
      <c r="O47" s="14">
        <v>1.73</v>
      </c>
    </row>
    <row r="48" spans="1:15" ht="18" x14ac:dyDescent="0.25">
      <c r="A48" s="41"/>
      <c r="B48" s="15" t="s">
        <v>237</v>
      </c>
      <c r="C48" s="16" t="s">
        <v>239</v>
      </c>
      <c r="D48" s="16" t="s">
        <v>238</v>
      </c>
      <c r="E48" s="14">
        <v>44</v>
      </c>
      <c r="F48" s="14">
        <v>35.799999999999997</v>
      </c>
      <c r="G48" s="14">
        <v>29</v>
      </c>
      <c r="H48" s="14">
        <v>60.6</v>
      </c>
      <c r="I48" s="14">
        <v>53.29</v>
      </c>
      <c r="J48" s="14"/>
      <c r="K48" s="14">
        <v>26.5</v>
      </c>
      <c r="L48" s="14"/>
      <c r="M48" s="14"/>
      <c r="N48" s="14"/>
      <c r="O48" s="14"/>
    </row>
    <row r="49" spans="1:15" ht="18" x14ac:dyDescent="0.25">
      <c r="A49" s="41"/>
      <c r="B49" s="15" t="s">
        <v>302</v>
      </c>
      <c r="C49" s="16" t="s">
        <v>303</v>
      </c>
      <c r="D49" s="16" t="s">
        <v>238</v>
      </c>
      <c r="E49" s="14">
        <v>4</v>
      </c>
      <c r="F49" s="14">
        <v>3.6</v>
      </c>
      <c r="G49" s="14">
        <v>3.7</v>
      </c>
      <c r="H49" s="14">
        <v>5.52</v>
      </c>
      <c r="I49" s="14">
        <v>5.52</v>
      </c>
      <c r="J49" s="14">
        <v>3</v>
      </c>
      <c r="K49" s="14">
        <v>3.4</v>
      </c>
      <c r="L49" s="14">
        <v>4.25</v>
      </c>
      <c r="M49" s="14">
        <v>4.3890000000000002</v>
      </c>
      <c r="N49" s="14">
        <v>2.3786</v>
      </c>
      <c r="O49" s="14">
        <v>2.93</v>
      </c>
    </row>
    <row r="50" spans="1:15" ht="45" x14ac:dyDescent="0.25">
      <c r="A50" s="41"/>
      <c r="B50" s="15" t="s">
        <v>240</v>
      </c>
      <c r="C50" s="16" t="s">
        <v>34</v>
      </c>
      <c r="D50" s="16" t="s">
        <v>34</v>
      </c>
      <c r="E50" s="34" t="s">
        <v>288</v>
      </c>
      <c r="F50" s="34" t="s">
        <v>288</v>
      </c>
      <c r="G50" s="34" t="s">
        <v>288</v>
      </c>
      <c r="H50" s="34" t="s">
        <v>288</v>
      </c>
      <c r="I50" s="34" t="s">
        <v>288</v>
      </c>
      <c r="J50" s="34" t="s">
        <v>288</v>
      </c>
      <c r="K50" s="34" t="s">
        <v>288</v>
      </c>
      <c r="L50" s="34" t="s">
        <v>288</v>
      </c>
      <c r="M50" s="34" t="s">
        <v>288</v>
      </c>
      <c r="N50" s="34" t="s">
        <v>288</v>
      </c>
      <c r="O50" s="34" t="s">
        <v>288</v>
      </c>
    </row>
    <row r="51" spans="1:15" x14ac:dyDescent="0.25">
      <c r="A51" s="41"/>
      <c r="B51" s="15" t="s">
        <v>241</v>
      </c>
      <c r="C51" s="16" t="s">
        <v>34</v>
      </c>
      <c r="D51" s="16" t="s">
        <v>34</v>
      </c>
      <c r="F51" s="2"/>
      <c r="G51" s="2"/>
      <c r="H51" s="2"/>
      <c r="I51" s="2"/>
      <c r="J51" s="2"/>
      <c r="K51" s="2"/>
      <c r="L51" s="2"/>
      <c r="M51" s="2"/>
      <c r="N51" s="2"/>
      <c r="O51" s="2"/>
    </row>
    <row r="52" spans="1:15" ht="90" customHeight="1" x14ac:dyDescent="0.25">
      <c r="A52" s="41"/>
      <c r="B52" s="15" t="s">
        <v>170</v>
      </c>
      <c r="C52" s="16" t="s">
        <v>34</v>
      </c>
      <c r="D52" s="16" t="s">
        <v>34</v>
      </c>
      <c r="F52" s="2"/>
      <c r="K52" s="2"/>
      <c r="M52"/>
      <c r="N52" s="2"/>
      <c r="O52" s="2"/>
    </row>
    <row r="53" spans="1:15" s="42" customFormat="1" x14ac:dyDescent="0.25"/>
    <row r="54" spans="1:15" ht="18" x14ac:dyDescent="0.25">
      <c r="A54" s="41" t="s">
        <v>29</v>
      </c>
      <c r="B54" s="15" t="s">
        <v>41</v>
      </c>
      <c r="C54" s="16" t="s">
        <v>40</v>
      </c>
      <c r="D54" s="16" t="s">
        <v>196</v>
      </c>
      <c r="E54" s="14">
        <v>23.19</v>
      </c>
      <c r="F54" s="14">
        <v>20.23</v>
      </c>
      <c r="G54" s="14">
        <v>20.23</v>
      </c>
      <c r="H54" s="14">
        <v>30.3</v>
      </c>
      <c r="I54" s="14">
        <v>29.5</v>
      </c>
      <c r="J54" s="14">
        <v>20.9</v>
      </c>
      <c r="K54" s="14">
        <v>20.37</v>
      </c>
      <c r="L54" s="14">
        <v>19.68</v>
      </c>
      <c r="M54" s="14">
        <v>20.74</v>
      </c>
      <c r="N54" s="14">
        <v>15.64</v>
      </c>
      <c r="O54" s="14">
        <v>22.43</v>
      </c>
    </row>
    <row r="55" spans="1:15" ht="18" x14ac:dyDescent="0.25">
      <c r="A55" s="41"/>
      <c r="B55" s="17" t="s">
        <v>235</v>
      </c>
      <c r="C55" s="16" t="s">
        <v>49</v>
      </c>
      <c r="D55" s="16" t="s">
        <v>34</v>
      </c>
      <c r="E55" s="14">
        <f>E54/E67</f>
        <v>0.88477680274704318</v>
      </c>
      <c r="F55" s="14">
        <f t="shared" ref="F55" si="8">F54/F67</f>
        <v>0.94621141253507957</v>
      </c>
      <c r="G55" s="14">
        <f t="shared" ref="G55:H55" si="9">G54/G67</f>
        <v>0.94621141253507957</v>
      </c>
      <c r="H55" s="14">
        <f t="shared" si="9"/>
        <v>1.0575916230366493</v>
      </c>
      <c r="I55" s="14">
        <f t="shared" ref="I55:J55" si="10">I54/I67</f>
        <v>1.0296684118673649</v>
      </c>
      <c r="J55" s="14">
        <f t="shared" si="10"/>
        <v>0.99523809523809514</v>
      </c>
      <c r="K55" s="14">
        <f t="shared" ref="K55:M55" si="11">K54/K67</f>
        <v>1.0609375000000001</v>
      </c>
      <c r="L55" s="14">
        <f t="shared" si="11"/>
        <v>0.97185185185185186</v>
      </c>
      <c r="M55" s="14">
        <f t="shared" si="11"/>
        <v>1.0241975308641975</v>
      </c>
      <c r="N55" s="14">
        <f t="shared" ref="N55:O55" si="12">N54/N67</f>
        <v>0.98302954116907604</v>
      </c>
      <c r="O55" s="14">
        <f t="shared" si="12"/>
        <v>1.0635372214319583</v>
      </c>
    </row>
    <row r="56" spans="1:15" ht="18" x14ac:dyDescent="0.25">
      <c r="A56" s="41"/>
      <c r="B56" s="15" t="s">
        <v>215</v>
      </c>
      <c r="C56" s="16" t="s">
        <v>50</v>
      </c>
      <c r="D56" s="16" t="s">
        <v>34</v>
      </c>
      <c r="E56" s="14">
        <f t="shared" ref="E56:L56" si="13">E54/E8</f>
        <v>1</v>
      </c>
      <c r="F56" s="14">
        <f t="shared" si="13"/>
        <v>1</v>
      </c>
      <c r="G56" s="14">
        <f t="shared" si="13"/>
        <v>1</v>
      </c>
      <c r="H56" s="14">
        <f t="shared" si="13"/>
        <v>1</v>
      </c>
      <c r="I56" s="14">
        <f t="shared" si="13"/>
        <v>1</v>
      </c>
      <c r="J56" s="14">
        <f t="shared" si="13"/>
        <v>0.99904397705544923</v>
      </c>
      <c r="K56" s="14">
        <f t="shared" si="13"/>
        <v>1</v>
      </c>
      <c r="L56" s="14">
        <f t="shared" si="13"/>
        <v>1</v>
      </c>
      <c r="M56" s="14">
        <f>M54/M8</f>
        <v>1</v>
      </c>
      <c r="N56" s="14">
        <f>N54/N8</f>
        <v>1</v>
      </c>
      <c r="O56" s="14">
        <f>O54/O8</f>
        <v>1</v>
      </c>
    </row>
    <row r="57" spans="1:15" ht="18" x14ac:dyDescent="0.25">
      <c r="A57" s="41"/>
      <c r="B57" s="15" t="s">
        <v>42</v>
      </c>
      <c r="C57" s="16" t="s">
        <v>43</v>
      </c>
      <c r="D57" s="16" t="s">
        <v>196</v>
      </c>
      <c r="E57" s="14">
        <v>7.83</v>
      </c>
      <c r="F57" s="14">
        <v>2.5</v>
      </c>
      <c r="G57" s="14">
        <v>2.5</v>
      </c>
      <c r="H57" s="14">
        <v>2.69</v>
      </c>
      <c r="I57" s="14">
        <f>H57</f>
        <v>2.69</v>
      </c>
      <c r="J57" s="14"/>
      <c r="K57" s="14"/>
      <c r="L57" s="14"/>
      <c r="M57" s="14"/>
      <c r="N57" s="14"/>
      <c r="O57" s="14"/>
    </row>
    <row r="58" spans="1:15" ht="18" x14ac:dyDescent="0.25">
      <c r="A58" s="41"/>
      <c r="B58" s="15" t="s">
        <v>44</v>
      </c>
      <c r="C58" s="16" t="s">
        <v>45</v>
      </c>
      <c r="D58" s="16" t="s">
        <v>196</v>
      </c>
      <c r="E58" s="14">
        <v>2.5</v>
      </c>
      <c r="F58" s="14">
        <v>2.67</v>
      </c>
      <c r="G58" s="14">
        <v>2.5</v>
      </c>
      <c r="H58" s="14"/>
      <c r="I58" s="14"/>
      <c r="J58" s="14"/>
      <c r="K58" s="14"/>
      <c r="L58" s="14"/>
      <c r="M58" s="14"/>
      <c r="N58" s="14"/>
      <c r="O58" s="14"/>
    </row>
    <row r="59" spans="1:15" ht="18" x14ac:dyDescent="0.25">
      <c r="A59" s="41"/>
      <c r="B59" s="15" t="s">
        <v>46</v>
      </c>
      <c r="C59" s="16" t="s">
        <v>47</v>
      </c>
      <c r="D59" s="16" t="s">
        <v>208</v>
      </c>
      <c r="E59" s="14">
        <f>PI()*E57*E58/4</f>
        <v>15.374169048505051</v>
      </c>
      <c r="F59" s="14">
        <f t="shared" ref="F59:N59" si="14">PI()*F57*F58/4</f>
        <v>5.2425327406779667</v>
      </c>
      <c r="G59" s="14">
        <f t="shared" si="14"/>
        <v>4.908738521234052</v>
      </c>
      <c r="H59" s="14">
        <f t="shared" si="14"/>
        <v>0</v>
      </c>
      <c r="I59" s="14">
        <f t="shared" si="14"/>
        <v>0</v>
      </c>
      <c r="J59" s="14">
        <f t="shared" si="14"/>
        <v>0</v>
      </c>
      <c r="K59" s="14">
        <f t="shared" si="14"/>
        <v>0</v>
      </c>
      <c r="L59" s="14">
        <f t="shared" si="14"/>
        <v>0</v>
      </c>
      <c r="M59" s="14">
        <f t="shared" si="14"/>
        <v>0</v>
      </c>
      <c r="N59" s="14">
        <f t="shared" si="14"/>
        <v>0</v>
      </c>
      <c r="O59" s="14">
        <f t="shared" ref="O59" si="15">PI()*O57*O58/4</f>
        <v>0</v>
      </c>
    </row>
    <row r="60" spans="1:15" ht="30" customHeight="1" x14ac:dyDescent="0.25">
      <c r="A60" s="41"/>
      <c r="B60" s="15" t="s">
        <v>51</v>
      </c>
      <c r="C60" s="16" t="s">
        <v>48</v>
      </c>
      <c r="D60" s="16" t="s">
        <v>196</v>
      </c>
      <c r="E60" s="14"/>
      <c r="F60" s="14">
        <v>0.71</v>
      </c>
      <c r="G60" s="14"/>
      <c r="H60" s="14"/>
      <c r="I60" s="14"/>
      <c r="J60" s="14"/>
      <c r="K60" s="14"/>
      <c r="L60" s="14"/>
      <c r="M60" s="14"/>
      <c r="N60" s="14"/>
      <c r="O60" s="14"/>
    </row>
    <row r="61" spans="1:15" ht="18" customHeight="1" x14ac:dyDescent="0.25">
      <c r="A61" s="32"/>
      <c r="B61" s="15" t="s">
        <v>177</v>
      </c>
      <c r="C61" s="16" t="s">
        <v>178</v>
      </c>
      <c r="D61" s="16" t="s">
        <v>34</v>
      </c>
      <c r="E61" s="14">
        <f>E54/E57</f>
        <v>2.9616858237547894</v>
      </c>
      <c r="F61" s="14">
        <f t="shared" ref="F61" si="16">F54/F57</f>
        <v>8.0920000000000005</v>
      </c>
      <c r="G61" s="14">
        <f t="shared" ref="G61:H61" si="17">G54/G57</f>
        <v>8.0920000000000005</v>
      </c>
      <c r="H61" s="14">
        <f t="shared" si="17"/>
        <v>11.263940520446097</v>
      </c>
      <c r="I61" s="14">
        <f t="shared" ref="I61:J61" si="18">I54/I57</f>
        <v>10.966542750929369</v>
      </c>
      <c r="J61" s="14" t="e">
        <f t="shared" si="18"/>
        <v>#DIV/0!</v>
      </c>
      <c r="K61" s="14" t="e">
        <f t="shared" ref="K61:M61" si="19">K54/K57</f>
        <v>#DIV/0!</v>
      </c>
      <c r="L61" s="14" t="e">
        <f t="shared" si="19"/>
        <v>#DIV/0!</v>
      </c>
      <c r="M61" s="14" t="e">
        <f t="shared" si="19"/>
        <v>#DIV/0!</v>
      </c>
      <c r="N61" s="14" t="e">
        <f t="shared" ref="N61:O61" si="20">N54/N57</f>
        <v>#DIV/0!</v>
      </c>
      <c r="O61" s="14" t="e">
        <f t="shared" si="20"/>
        <v>#DIV/0!</v>
      </c>
    </row>
    <row r="62" spans="1:15" s="42" customFormat="1" x14ac:dyDescent="0.25"/>
    <row r="63" spans="1:15" x14ac:dyDescent="0.25">
      <c r="A63" s="41" t="s">
        <v>30</v>
      </c>
      <c r="B63" s="15" t="s">
        <v>11</v>
      </c>
      <c r="C63" s="16" t="s">
        <v>34</v>
      </c>
      <c r="D63" s="16" t="s">
        <v>34</v>
      </c>
      <c r="E63" s="2" t="s">
        <v>329</v>
      </c>
      <c r="F63" s="2" t="s">
        <v>329</v>
      </c>
      <c r="G63" s="2" t="s">
        <v>329</v>
      </c>
      <c r="H63" s="2" t="s">
        <v>329</v>
      </c>
      <c r="I63" s="2" t="s">
        <v>329</v>
      </c>
      <c r="J63" s="2" t="s">
        <v>329</v>
      </c>
      <c r="K63" s="2" t="s">
        <v>329</v>
      </c>
      <c r="L63" s="2" t="s">
        <v>329</v>
      </c>
      <c r="M63" s="2" t="s">
        <v>329</v>
      </c>
      <c r="N63" s="2" t="s">
        <v>329</v>
      </c>
      <c r="O63" s="2" t="s">
        <v>329</v>
      </c>
    </row>
    <row r="64" spans="1:15" ht="18" x14ac:dyDescent="0.25">
      <c r="A64" s="41"/>
      <c r="B64" s="15" t="s">
        <v>12</v>
      </c>
      <c r="C64" s="16" t="s">
        <v>84</v>
      </c>
      <c r="D64" s="16" t="s">
        <v>34</v>
      </c>
      <c r="F64" s="14"/>
      <c r="G64" s="14"/>
      <c r="H64" s="14"/>
      <c r="I64" s="14"/>
      <c r="J64" s="14"/>
      <c r="K64" s="14"/>
      <c r="L64" s="14"/>
      <c r="M64" s="14"/>
      <c r="N64" s="14"/>
      <c r="O64" s="14"/>
    </row>
    <row r="65" spans="1:15" ht="18" x14ac:dyDescent="0.25">
      <c r="A65" s="41"/>
      <c r="B65" s="15" t="s">
        <v>330</v>
      </c>
      <c r="C65" s="16" t="s">
        <v>331</v>
      </c>
      <c r="D65" s="16" t="s">
        <v>196</v>
      </c>
      <c r="F65" s="14">
        <v>8.73</v>
      </c>
      <c r="G65" s="14"/>
      <c r="H65" s="14"/>
      <c r="I65" s="14"/>
      <c r="J65" s="14"/>
      <c r="K65" s="14"/>
      <c r="L65" s="14"/>
      <c r="M65" s="14"/>
      <c r="N65" s="14"/>
      <c r="O65" s="14"/>
    </row>
    <row r="66" spans="1:15" ht="18" x14ac:dyDescent="0.25">
      <c r="A66" s="41"/>
      <c r="B66" s="15" t="s">
        <v>83</v>
      </c>
      <c r="C66" s="16" t="s">
        <v>63</v>
      </c>
      <c r="D66" s="16" t="s">
        <v>208</v>
      </c>
      <c r="E66" s="2">
        <v>70.7</v>
      </c>
      <c r="F66" s="14">
        <v>49</v>
      </c>
      <c r="G66" s="14">
        <v>49.02</v>
      </c>
      <c r="H66" s="14">
        <v>94.9</v>
      </c>
      <c r="I66" s="14">
        <f>H66</f>
        <v>94.9</v>
      </c>
      <c r="J66" s="14">
        <v>48.49</v>
      </c>
      <c r="K66" s="14">
        <v>46</v>
      </c>
      <c r="L66" s="14"/>
      <c r="M66" s="14"/>
      <c r="N66" s="14"/>
      <c r="O66" s="14">
        <v>48.96</v>
      </c>
    </row>
    <row r="67" spans="1:15" x14ac:dyDescent="0.25">
      <c r="A67" s="41"/>
      <c r="B67" s="15" t="s">
        <v>82</v>
      </c>
      <c r="C67" s="16" t="s">
        <v>64</v>
      </c>
      <c r="D67" s="16" t="s">
        <v>196</v>
      </c>
      <c r="E67" s="2">
        <v>26.21</v>
      </c>
      <c r="F67" s="14">
        <v>21.38</v>
      </c>
      <c r="G67" s="14">
        <v>21.38</v>
      </c>
      <c r="H67" s="14">
        <v>28.65</v>
      </c>
      <c r="I67" s="14">
        <f>H67</f>
        <v>28.65</v>
      </c>
      <c r="J67" s="14">
        <v>21</v>
      </c>
      <c r="K67" s="14">
        <v>19.2</v>
      </c>
      <c r="L67" s="14">
        <v>20.25</v>
      </c>
      <c r="M67" s="14">
        <v>20.25</v>
      </c>
      <c r="N67" s="14">
        <v>15.91</v>
      </c>
      <c r="O67" s="14">
        <v>21.09</v>
      </c>
    </row>
    <row r="68" spans="1:15" ht="18" x14ac:dyDescent="0.25">
      <c r="A68" s="41"/>
      <c r="B68" s="15" t="s">
        <v>65</v>
      </c>
      <c r="C68" s="16" t="s">
        <v>66</v>
      </c>
      <c r="D68" s="16" t="s">
        <v>196</v>
      </c>
      <c r="F68" s="14">
        <v>1.1200000000000001</v>
      </c>
      <c r="G68" s="14"/>
      <c r="H68" s="14">
        <v>1.24</v>
      </c>
      <c r="I68" s="14">
        <f>H68</f>
        <v>1.24</v>
      </c>
      <c r="J68" s="14"/>
      <c r="K68" s="14"/>
      <c r="L68" s="14"/>
      <c r="M68" s="14"/>
      <c r="N68" s="14"/>
      <c r="O68" s="14"/>
    </row>
    <row r="69" spans="1:15" ht="18" x14ac:dyDescent="0.25">
      <c r="A69" s="41"/>
      <c r="B69" s="15" t="s">
        <v>67</v>
      </c>
      <c r="C69" s="16" t="s">
        <v>68</v>
      </c>
      <c r="D69" s="16" t="s">
        <v>196</v>
      </c>
      <c r="F69" s="14">
        <v>4.08</v>
      </c>
      <c r="G69" s="14"/>
      <c r="H69" s="14">
        <v>6.43</v>
      </c>
      <c r="I69" s="14">
        <f>H69</f>
        <v>6.43</v>
      </c>
      <c r="J69" s="14"/>
      <c r="K69" s="14"/>
      <c r="L69" s="14"/>
      <c r="M69" s="14"/>
      <c r="N69" s="14"/>
      <c r="O69" s="14"/>
    </row>
    <row r="70" spans="1:15" x14ac:dyDescent="0.25">
      <c r="A70" s="41"/>
      <c r="B70" s="15" t="s">
        <v>13</v>
      </c>
      <c r="C70" s="16" t="s">
        <v>69</v>
      </c>
      <c r="D70" s="16" t="s">
        <v>196</v>
      </c>
      <c r="E70" s="14">
        <f t="shared" ref="E70" si="21">E68+(E69-E68)/2</f>
        <v>0</v>
      </c>
      <c r="F70" s="14">
        <f>F68+(F69-F68)/2</f>
        <v>2.6</v>
      </c>
      <c r="G70" s="14">
        <f t="shared" ref="G70:N70" si="22">G68+(G69-G68)/2</f>
        <v>0</v>
      </c>
      <c r="H70" s="14">
        <f t="shared" si="22"/>
        <v>3.835</v>
      </c>
      <c r="I70" s="14">
        <f t="shared" si="22"/>
        <v>3.835</v>
      </c>
      <c r="J70" s="14">
        <f t="shared" si="22"/>
        <v>0</v>
      </c>
      <c r="K70" s="14">
        <f t="shared" si="22"/>
        <v>0</v>
      </c>
      <c r="L70" s="14">
        <f t="shared" si="22"/>
        <v>0</v>
      </c>
      <c r="M70" s="14">
        <f t="shared" si="22"/>
        <v>0</v>
      </c>
      <c r="N70" s="14">
        <f t="shared" si="22"/>
        <v>0</v>
      </c>
      <c r="O70" s="14">
        <f t="shared" ref="O70" si="23">O68+(O69-O68)/2</f>
        <v>0</v>
      </c>
    </row>
    <row r="71" spans="1:15" ht="30" customHeight="1" x14ac:dyDescent="0.25">
      <c r="A71" s="41"/>
      <c r="B71" s="15" t="s">
        <v>14</v>
      </c>
      <c r="C71" s="16" t="s">
        <v>70</v>
      </c>
      <c r="D71" s="16" t="s">
        <v>196</v>
      </c>
      <c r="E71" s="14">
        <v>3.35</v>
      </c>
      <c r="F71" s="14">
        <f>F69-(2*(F69-F68)*(0.5*F69+F68)/(3*(F69+F68)))</f>
        <v>2.8808205128205131</v>
      </c>
      <c r="G71" s="14">
        <v>2.89</v>
      </c>
      <c r="H71" s="14">
        <f t="shared" ref="H71:N71" si="24">H69-(2*(H69-H68)*(0.5*H69+H68)/(3*(H69+H68)))</f>
        <v>4.4203129074315513</v>
      </c>
      <c r="I71" s="14">
        <f t="shared" si="24"/>
        <v>4.4203129074315513</v>
      </c>
      <c r="J71" s="14" t="e">
        <f t="shared" si="24"/>
        <v>#DIV/0!</v>
      </c>
      <c r="K71" s="14" t="e">
        <f t="shared" si="24"/>
        <v>#DIV/0!</v>
      </c>
      <c r="L71" s="14" t="e">
        <f t="shared" si="24"/>
        <v>#DIV/0!</v>
      </c>
      <c r="M71" s="14" t="e">
        <f t="shared" si="24"/>
        <v>#DIV/0!</v>
      </c>
      <c r="N71" s="14" t="e">
        <f t="shared" si="24"/>
        <v>#DIV/0!</v>
      </c>
      <c r="O71" s="14" t="e">
        <f t="shared" ref="O71" si="25">O69-(2*(O69-O68)*(0.5*O69+O68)/(3*(O69+O68)))</f>
        <v>#DIV/0!</v>
      </c>
    </row>
    <row r="72" spans="1:15" ht="30" x14ac:dyDescent="0.25">
      <c r="A72" s="41"/>
      <c r="B72" s="15" t="s">
        <v>75</v>
      </c>
      <c r="C72" s="16" t="s">
        <v>76</v>
      </c>
      <c r="D72" s="16" t="s">
        <v>196</v>
      </c>
      <c r="F72" s="2"/>
      <c r="G72" s="2"/>
      <c r="H72" s="2"/>
      <c r="I72" s="2"/>
      <c r="J72" s="2"/>
      <c r="K72" s="2"/>
      <c r="L72" s="2"/>
      <c r="M72" s="2"/>
      <c r="N72" s="2"/>
      <c r="O72" s="2"/>
    </row>
    <row r="73" spans="1:15" x14ac:dyDescent="0.25">
      <c r="A73" s="41"/>
      <c r="B73" s="15" t="s">
        <v>71</v>
      </c>
      <c r="C73" s="16" t="s">
        <v>74</v>
      </c>
      <c r="D73" s="16" t="s">
        <v>34</v>
      </c>
      <c r="E73" s="2">
        <v>9.6999999999999993</v>
      </c>
      <c r="F73" s="2">
        <v>7.6</v>
      </c>
      <c r="G73" s="2">
        <v>7.6</v>
      </c>
      <c r="H73" s="2">
        <v>8.6</v>
      </c>
      <c r="I73" s="2">
        <f>H73</f>
        <v>8.6</v>
      </c>
      <c r="J73" s="2"/>
      <c r="K73" s="2"/>
      <c r="L73" s="2"/>
      <c r="M73" s="2"/>
      <c r="N73" s="2"/>
      <c r="O73" s="2"/>
    </row>
    <row r="74" spans="1:15" ht="30" x14ac:dyDescent="0.25">
      <c r="A74" s="41"/>
      <c r="B74" s="15" t="s">
        <v>15</v>
      </c>
      <c r="C74" s="16" t="s">
        <v>72</v>
      </c>
      <c r="D74" s="16" t="s">
        <v>34</v>
      </c>
      <c r="F74" s="14">
        <f>F68/F69</f>
        <v>0.27450980392156865</v>
      </c>
      <c r="G74" s="14" t="e">
        <f t="shared" ref="G74:N74" si="26">G68/G69</f>
        <v>#DIV/0!</v>
      </c>
      <c r="H74" s="14">
        <f t="shared" si="26"/>
        <v>0.19284603421461899</v>
      </c>
      <c r="I74" s="14">
        <f t="shared" si="26"/>
        <v>0.19284603421461899</v>
      </c>
      <c r="J74" s="14" t="e">
        <f t="shared" si="26"/>
        <v>#DIV/0!</v>
      </c>
      <c r="K74" s="14" t="e">
        <f t="shared" si="26"/>
        <v>#DIV/0!</v>
      </c>
      <c r="L74" s="14" t="e">
        <f t="shared" si="26"/>
        <v>#DIV/0!</v>
      </c>
      <c r="M74" s="14" t="e">
        <f t="shared" si="26"/>
        <v>#DIV/0!</v>
      </c>
      <c r="N74" s="14" t="e">
        <f t="shared" si="26"/>
        <v>#DIV/0!</v>
      </c>
      <c r="O74" s="14" t="e">
        <f t="shared" ref="O74" si="27">O68/O69</f>
        <v>#DIV/0!</v>
      </c>
    </row>
    <row r="75" spans="1:15" ht="16.5" x14ac:dyDescent="0.25">
      <c r="A75" s="41"/>
      <c r="B75" s="15" t="s">
        <v>16</v>
      </c>
      <c r="C75" s="16" t="s">
        <v>73</v>
      </c>
      <c r="D75" s="16" t="s">
        <v>210</v>
      </c>
      <c r="F75" s="14">
        <v>25</v>
      </c>
      <c r="G75" s="14"/>
      <c r="H75" s="14"/>
      <c r="I75" s="14"/>
      <c r="J75" s="14">
        <v>27</v>
      </c>
      <c r="K75" s="14"/>
      <c r="L75" s="14"/>
      <c r="M75" s="14"/>
      <c r="N75" s="14"/>
      <c r="O75" s="14">
        <v>37</v>
      </c>
    </row>
    <row r="76" spans="1:15" x14ac:dyDescent="0.25">
      <c r="A76" s="41"/>
      <c r="B76" s="15" t="s">
        <v>17</v>
      </c>
      <c r="C76" s="16" t="s">
        <v>77</v>
      </c>
      <c r="D76" s="16" t="s">
        <v>211</v>
      </c>
      <c r="F76" s="14">
        <v>0.5</v>
      </c>
      <c r="G76" s="14"/>
      <c r="H76" s="14"/>
      <c r="I76" s="14"/>
      <c r="J76" s="14"/>
      <c r="K76" s="14"/>
      <c r="L76" s="14"/>
      <c r="M76" s="14"/>
      <c r="N76" s="14"/>
      <c r="O76" s="14"/>
    </row>
    <row r="77" spans="1:15" x14ac:dyDescent="0.25">
      <c r="A77" s="41"/>
      <c r="B77" s="15" t="s">
        <v>18</v>
      </c>
      <c r="C77" s="16" t="s">
        <v>34</v>
      </c>
      <c r="D77" s="16" t="s">
        <v>34</v>
      </c>
      <c r="F77" s="2"/>
      <c r="G77" s="2"/>
      <c r="H77" s="2"/>
      <c r="I77" s="2"/>
      <c r="J77" s="2" t="s">
        <v>341</v>
      </c>
      <c r="K77" s="2"/>
      <c r="L77" s="2"/>
      <c r="M77" s="2"/>
      <c r="N77" s="2"/>
      <c r="O77" s="2"/>
    </row>
    <row r="78" spans="1:15" ht="30" x14ac:dyDescent="0.25">
      <c r="A78" s="41"/>
      <c r="B78" s="15" t="s">
        <v>78</v>
      </c>
      <c r="C78" s="16" t="s">
        <v>79</v>
      </c>
      <c r="D78" s="16" t="s">
        <v>34</v>
      </c>
      <c r="F78" s="2"/>
      <c r="G78" s="2"/>
      <c r="H78" s="2"/>
      <c r="I78" s="2"/>
      <c r="J78" s="2"/>
      <c r="K78" s="2"/>
      <c r="L78" s="2"/>
      <c r="M78" s="2"/>
      <c r="N78" s="2"/>
      <c r="O78" s="2"/>
    </row>
    <row r="79" spans="1:15" ht="18" x14ac:dyDescent="0.25">
      <c r="A79" s="41"/>
      <c r="B79" s="15" t="s">
        <v>80</v>
      </c>
      <c r="C79" s="16" t="s">
        <v>81</v>
      </c>
      <c r="D79" s="16" t="s">
        <v>209</v>
      </c>
      <c r="E79" s="14">
        <f t="shared" ref="E79:N79" si="28">E25/E66</f>
        <v>449.10891089108907</v>
      </c>
      <c r="F79" s="14">
        <f t="shared" si="28"/>
        <v>453.57142857142856</v>
      </c>
      <c r="G79" s="14">
        <f t="shared" si="28"/>
        <v>396.0424316605467</v>
      </c>
      <c r="H79" s="14">
        <f t="shared" si="28"/>
        <v>475.55321390937826</v>
      </c>
      <c r="I79" s="14">
        <f t="shared" si="28"/>
        <v>442.11801896733402</v>
      </c>
      <c r="J79" s="14">
        <f t="shared" si="28"/>
        <v>379.78964734996907</v>
      </c>
      <c r="K79" s="14">
        <f t="shared" si="28"/>
        <v>390.47826086956519</v>
      </c>
      <c r="L79" s="14" t="e">
        <f t="shared" si="28"/>
        <v>#DIV/0!</v>
      </c>
      <c r="M79" s="14" t="e">
        <f t="shared" si="28"/>
        <v>#DIV/0!</v>
      </c>
      <c r="N79" s="14" t="e">
        <f t="shared" si="28"/>
        <v>#DIV/0!</v>
      </c>
      <c r="O79" s="14">
        <f t="shared" ref="O79" si="29">O25/O66</f>
        <v>341.8709150326797</v>
      </c>
    </row>
    <row r="80" spans="1:15" s="42" customFormat="1" x14ac:dyDescent="0.25"/>
    <row r="81" spans="1:15" x14ac:dyDescent="0.25">
      <c r="A81" s="41" t="s">
        <v>31</v>
      </c>
      <c r="B81" s="15" t="s">
        <v>19</v>
      </c>
      <c r="C81" s="16" t="s">
        <v>34</v>
      </c>
      <c r="D81" s="16" t="s">
        <v>34</v>
      </c>
      <c r="F81" s="2"/>
      <c r="G81" s="2"/>
      <c r="H81" s="2"/>
      <c r="I81" s="2"/>
      <c r="J81" s="2"/>
      <c r="K81" s="2"/>
      <c r="L81" s="2"/>
      <c r="M81" s="2"/>
      <c r="N81" s="2"/>
    </row>
    <row r="82" spans="1:15" ht="18" x14ac:dyDescent="0.25">
      <c r="A82" s="41"/>
      <c r="B82" s="15" t="s">
        <v>106</v>
      </c>
      <c r="C82" s="16" t="s">
        <v>43</v>
      </c>
      <c r="D82" s="16" t="s">
        <v>196</v>
      </c>
      <c r="F82" s="2"/>
      <c r="G82" s="2"/>
      <c r="H82" s="2"/>
      <c r="I82" s="2"/>
      <c r="J82" s="2"/>
      <c r="K82" s="2"/>
      <c r="L82" s="2"/>
      <c r="M82" s="2"/>
      <c r="N82" s="2"/>
    </row>
    <row r="83" spans="1:15" ht="18" x14ac:dyDescent="0.25">
      <c r="A83" s="41"/>
      <c r="B83" s="15" t="s">
        <v>244</v>
      </c>
      <c r="C83" s="16" t="s">
        <v>245</v>
      </c>
      <c r="D83" s="16" t="s">
        <v>34</v>
      </c>
      <c r="F83" s="2"/>
      <c r="G83" s="2"/>
      <c r="H83" s="2"/>
      <c r="I83" s="2"/>
      <c r="J83" s="2"/>
      <c r="K83" s="2"/>
      <c r="L83" s="2"/>
      <c r="M83" s="2"/>
      <c r="N83" s="2"/>
    </row>
    <row r="84" spans="1:15" ht="45" x14ac:dyDescent="0.25">
      <c r="A84" s="41"/>
      <c r="B84" s="15" t="s">
        <v>242</v>
      </c>
      <c r="C84" s="16" t="s">
        <v>243</v>
      </c>
      <c r="D84" s="16" t="s">
        <v>196</v>
      </c>
      <c r="F84" s="2"/>
      <c r="G84" s="2"/>
      <c r="H84" s="2"/>
      <c r="I84" s="2"/>
      <c r="J84" s="2"/>
      <c r="K84" s="2"/>
      <c r="L84" s="2"/>
      <c r="M84" s="2"/>
      <c r="N84" s="2"/>
    </row>
    <row r="85" spans="1:15" ht="18" x14ac:dyDescent="0.25">
      <c r="A85" s="41"/>
      <c r="B85" s="15" t="s">
        <v>248</v>
      </c>
      <c r="C85" s="16" t="s">
        <v>246</v>
      </c>
      <c r="D85" s="16" t="s">
        <v>34</v>
      </c>
      <c r="F85" s="2"/>
      <c r="G85" s="2"/>
      <c r="H85" s="2"/>
      <c r="I85" s="2"/>
      <c r="J85" s="2"/>
      <c r="K85" s="2"/>
      <c r="L85" s="2"/>
      <c r="M85" s="2"/>
      <c r="N85" s="2"/>
    </row>
    <row r="86" spans="1:15" ht="18" x14ac:dyDescent="0.25">
      <c r="A86" s="41"/>
      <c r="B86" s="15" t="s">
        <v>249</v>
      </c>
      <c r="C86" s="16" t="s">
        <v>247</v>
      </c>
      <c r="D86" s="16" t="s">
        <v>34</v>
      </c>
      <c r="F86" s="2"/>
      <c r="G86" s="2"/>
      <c r="H86" s="2"/>
      <c r="I86" s="2"/>
      <c r="J86" s="2"/>
      <c r="K86" s="2"/>
      <c r="L86" s="2"/>
      <c r="M86" s="2"/>
      <c r="N86" s="2"/>
    </row>
    <row r="87" spans="1:15" s="42" customFormat="1" x14ac:dyDescent="0.25"/>
    <row r="88" spans="1:15" ht="18" x14ac:dyDescent="0.25">
      <c r="A88" s="41" t="s">
        <v>32</v>
      </c>
      <c r="B88" s="15" t="s">
        <v>106</v>
      </c>
      <c r="C88" s="16" t="s">
        <v>250</v>
      </c>
      <c r="D88" s="16" t="s">
        <v>196</v>
      </c>
      <c r="F88" s="2"/>
      <c r="G88" s="2"/>
      <c r="H88" s="2"/>
      <c r="I88" s="2"/>
      <c r="J88" s="2"/>
      <c r="K88" s="2"/>
      <c r="L88" s="2"/>
      <c r="M88" s="2"/>
      <c r="N88" s="2"/>
    </row>
    <row r="89" spans="1:15" ht="18" x14ac:dyDescent="0.25">
      <c r="A89" s="41"/>
      <c r="B89" s="15" t="s">
        <v>258</v>
      </c>
      <c r="C89" s="16" t="s">
        <v>251</v>
      </c>
      <c r="D89" s="16" t="s">
        <v>34</v>
      </c>
      <c r="F89" s="2"/>
      <c r="G89" s="2"/>
      <c r="H89" s="2"/>
      <c r="I89" s="2"/>
      <c r="J89" s="2"/>
      <c r="K89" s="2"/>
      <c r="L89" s="2"/>
      <c r="M89" s="2"/>
      <c r="N89" s="2"/>
    </row>
    <row r="90" spans="1:15" ht="30" x14ac:dyDescent="0.25">
      <c r="A90" s="41"/>
      <c r="B90" s="15" t="s">
        <v>259</v>
      </c>
      <c r="C90" s="16" t="s">
        <v>252</v>
      </c>
      <c r="D90" s="16" t="s">
        <v>196</v>
      </c>
      <c r="F90" s="2"/>
      <c r="G90" s="2"/>
      <c r="H90" s="2"/>
      <c r="I90" s="2"/>
      <c r="J90" s="2"/>
      <c r="K90" s="2"/>
      <c r="L90" s="2"/>
      <c r="M90" s="2"/>
      <c r="N90" s="2"/>
    </row>
    <row r="91" spans="1:15" ht="18" x14ac:dyDescent="0.25">
      <c r="A91" s="41"/>
      <c r="B91" s="15" t="s">
        <v>256</v>
      </c>
      <c r="C91" s="16" t="s">
        <v>253</v>
      </c>
      <c r="D91" s="16" t="s">
        <v>34</v>
      </c>
      <c r="F91" s="2"/>
      <c r="G91" s="2"/>
      <c r="H91" s="2"/>
      <c r="I91" s="2"/>
      <c r="J91" s="2"/>
      <c r="K91" s="2"/>
      <c r="L91" s="2"/>
      <c r="M91" s="2"/>
      <c r="N91" s="2"/>
    </row>
    <row r="92" spans="1:15" ht="18" x14ac:dyDescent="0.25">
      <c r="A92" s="41"/>
      <c r="B92" s="15" t="s">
        <v>257</v>
      </c>
      <c r="C92" s="16" t="s">
        <v>254</v>
      </c>
      <c r="D92" s="16" t="s">
        <v>34</v>
      </c>
      <c r="F92" s="2"/>
      <c r="G92" s="2"/>
      <c r="H92" s="2"/>
      <c r="I92" s="2"/>
      <c r="J92" s="2"/>
      <c r="K92" s="2"/>
      <c r="L92" s="2"/>
      <c r="M92" s="2"/>
      <c r="N92" s="2"/>
    </row>
    <row r="93" spans="1:15" ht="18" x14ac:dyDescent="0.25">
      <c r="A93" s="41"/>
      <c r="B93" s="15" t="s">
        <v>216</v>
      </c>
      <c r="C93" s="16" t="s">
        <v>255</v>
      </c>
      <c r="D93" s="16" t="s">
        <v>34</v>
      </c>
      <c r="F93" s="2"/>
      <c r="G93" s="2"/>
      <c r="H93" s="2"/>
      <c r="I93" s="2"/>
      <c r="J93" s="2"/>
      <c r="K93" s="2"/>
      <c r="L93" s="2"/>
      <c r="M93" s="2"/>
      <c r="N93" s="2"/>
    </row>
    <row r="94" spans="1:15" s="42" customFormat="1" x14ac:dyDescent="0.25"/>
    <row r="95" spans="1:15" ht="18" x14ac:dyDescent="0.25">
      <c r="A95" s="41" t="s">
        <v>104</v>
      </c>
      <c r="B95" s="15" t="s">
        <v>93</v>
      </c>
      <c r="C95" s="16" t="s">
        <v>101</v>
      </c>
      <c r="D95" s="16" t="s">
        <v>34</v>
      </c>
      <c r="F95" s="2"/>
      <c r="G95" s="2"/>
      <c r="H95" s="2"/>
      <c r="I95" s="2"/>
      <c r="J95" s="2"/>
      <c r="K95" s="2"/>
      <c r="L95" s="2"/>
      <c r="M95" s="2"/>
      <c r="N95" s="2"/>
      <c r="O95" s="2"/>
    </row>
    <row r="96" spans="1:15" ht="18" x14ac:dyDescent="0.25">
      <c r="A96" s="41"/>
      <c r="B96" s="15" t="s">
        <v>92</v>
      </c>
      <c r="C96" s="16" t="s">
        <v>100</v>
      </c>
      <c r="D96" s="16" t="s">
        <v>34</v>
      </c>
      <c r="E96" s="14"/>
      <c r="F96" s="14"/>
      <c r="G96" s="14"/>
      <c r="H96" s="14"/>
      <c r="I96" s="14"/>
      <c r="J96" s="14"/>
      <c r="K96" s="14"/>
      <c r="L96" s="14"/>
      <c r="M96" s="14"/>
      <c r="N96" s="14"/>
      <c r="O96" s="14"/>
    </row>
    <row r="97" spans="1:15" ht="18" x14ac:dyDescent="0.25">
      <c r="A97" s="41"/>
      <c r="B97" s="15" t="s">
        <v>83</v>
      </c>
      <c r="C97" s="16" t="s">
        <v>91</v>
      </c>
      <c r="D97" s="16" t="s">
        <v>208</v>
      </c>
      <c r="E97" s="14">
        <f>(E99)*(E101+E102)/2</f>
        <v>0</v>
      </c>
      <c r="F97" s="14">
        <v>13.35</v>
      </c>
      <c r="G97" s="14">
        <f t="shared" ref="G97:N97" si="30">(G99)*(G101+G102)/2</f>
        <v>0</v>
      </c>
      <c r="H97" s="14">
        <v>22.76</v>
      </c>
      <c r="I97" s="14">
        <f>H97</f>
        <v>22.76</v>
      </c>
      <c r="J97" s="14">
        <v>11.39</v>
      </c>
      <c r="K97" s="14">
        <f t="shared" si="30"/>
        <v>0</v>
      </c>
      <c r="L97" s="14">
        <f t="shared" si="30"/>
        <v>0</v>
      </c>
      <c r="M97" s="14">
        <f t="shared" si="30"/>
        <v>0</v>
      </c>
      <c r="N97" s="14">
        <f t="shared" si="30"/>
        <v>0</v>
      </c>
      <c r="O97" s="14">
        <f t="shared" ref="O97" si="31">(O99)*(O101+O102)/2</f>
        <v>0</v>
      </c>
    </row>
    <row r="98" spans="1:15" ht="18" x14ac:dyDescent="0.25">
      <c r="A98" s="41"/>
      <c r="B98" s="15" t="s">
        <v>213</v>
      </c>
      <c r="C98" s="16" t="s">
        <v>90</v>
      </c>
      <c r="D98" s="16" t="s">
        <v>34</v>
      </c>
      <c r="E98" s="14">
        <f>E97/E66</f>
        <v>0</v>
      </c>
      <c r="F98" s="14">
        <f t="shared" ref="F98" si="32">F97/F66</f>
        <v>0.27244897959183673</v>
      </c>
      <c r="G98" s="14">
        <f t="shared" ref="G98:H98" si="33">G97/G66</f>
        <v>0</v>
      </c>
      <c r="H98" s="14">
        <f t="shared" si="33"/>
        <v>0.2398314014752371</v>
      </c>
      <c r="I98" s="14">
        <f t="shared" ref="I98:J98" si="34">I97/I66</f>
        <v>0.2398314014752371</v>
      </c>
      <c r="J98" s="14">
        <f t="shared" si="34"/>
        <v>0.23489379253454321</v>
      </c>
      <c r="K98" s="14">
        <f t="shared" ref="K98:M98" si="35">K97/K66</f>
        <v>0</v>
      </c>
      <c r="L98" s="14" t="e">
        <f t="shared" si="35"/>
        <v>#DIV/0!</v>
      </c>
      <c r="M98" s="14" t="e">
        <f t="shared" si="35"/>
        <v>#DIV/0!</v>
      </c>
      <c r="N98" s="14" t="e">
        <f t="shared" ref="N98:O98" si="36">N97/N66</f>
        <v>#DIV/0!</v>
      </c>
      <c r="O98" s="14">
        <f t="shared" si="36"/>
        <v>0</v>
      </c>
    </row>
    <row r="99" spans="1:15" ht="18" x14ac:dyDescent="0.25">
      <c r="A99" s="41"/>
      <c r="B99" s="15" t="s">
        <v>82</v>
      </c>
      <c r="C99" s="16" t="s">
        <v>89</v>
      </c>
      <c r="D99" s="16" t="s">
        <v>196</v>
      </c>
      <c r="E99" s="14"/>
      <c r="F99" s="14">
        <v>7.74</v>
      </c>
      <c r="G99" s="14"/>
      <c r="H99" s="14">
        <v>9.68</v>
      </c>
      <c r="I99" s="14">
        <f>H99</f>
        <v>9.68</v>
      </c>
      <c r="J99" s="14"/>
      <c r="K99" s="14"/>
      <c r="L99" s="14">
        <v>7.34</v>
      </c>
      <c r="M99" s="14">
        <v>7.34</v>
      </c>
      <c r="N99" s="14"/>
      <c r="O99" s="14"/>
    </row>
    <row r="100" spans="1:15" ht="18" x14ac:dyDescent="0.25">
      <c r="A100" s="41"/>
      <c r="B100" s="15" t="s">
        <v>214</v>
      </c>
      <c r="C100" s="16" t="s">
        <v>88</v>
      </c>
      <c r="D100" s="16" t="s">
        <v>34</v>
      </c>
      <c r="E100" s="14">
        <f>E99/E67</f>
        <v>0</v>
      </c>
      <c r="F100" s="14">
        <f t="shared" ref="F100" si="37">F99/F67</f>
        <v>0.36202057998129095</v>
      </c>
      <c r="G100" s="14">
        <f t="shared" ref="G100:H100" si="38">G99/G67</f>
        <v>0</v>
      </c>
      <c r="H100" s="14">
        <f t="shared" si="38"/>
        <v>0.33787085514834209</v>
      </c>
      <c r="I100" s="14">
        <f t="shared" ref="I100:J100" si="39">I99/I67</f>
        <v>0.33787085514834209</v>
      </c>
      <c r="J100" s="14">
        <f t="shared" si="39"/>
        <v>0</v>
      </c>
      <c r="K100" s="14">
        <f t="shared" ref="K100:M100" si="40">K99/K67</f>
        <v>0</v>
      </c>
      <c r="L100" s="14">
        <f t="shared" si="40"/>
        <v>0.36246913580246914</v>
      </c>
      <c r="M100" s="14">
        <f t="shared" si="40"/>
        <v>0.36246913580246914</v>
      </c>
      <c r="N100" s="14">
        <f t="shared" ref="N100:O100" si="41">N99/N67</f>
        <v>0</v>
      </c>
      <c r="O100" s="14">
        <f t="shared" si="41"/>
        <v>0</v>
      </c>
    </row>
    <row r="101" spans="1:15" ht="18" x14ac:dyDescent="0.25">
      <c r="A101" s="41"/>
      <c r="B101" s="15" t="s">
        <v>65</v>
      </c>
      <c r="C101" s="16" t="s">
        <v>87</v>
      </c>
      <c r="D101" s="16" t="s">
        <v>196</v>
      </c>
      <c r="E101" s="14"/>
      <c r="F101" s="14">
        <v>1.25</v>
      </c>
      <c r="G101" s="14"/>
      <c r="H101" s="14"/>
      <c r="I101" s="14"/>
      <c r="J101" s="14"/>
      <c r="K101" s="14"/>
      <c r="L101" s="14"/>
      <c r="M101" s="14"/>
      <c r="N101" s="14"/>
      <c r="O101" s="14"/>
    </row>
    <row r="102" spans="1:15" ht="18" x14ac:dyDescent="0.25">
      <c r="A102" s="41"/>
      <c r="B102" s="15" t="s">
        <v>67</v>
      </c>
      <c r="C102" s="16" t="s">
        <v>86</v>
      </c>
      <c r="D102" s="16" t="s">
        <v>196</v>
      </c>
      <c r="E102" s="14"/>
      <c r="F102" s="14">
        <v>2.3199999999999998</v>
      </c>
      <c r="G102" s="14"/>
      <c r="H102" s="14"/>
      <c r="I102" s="14"/>
      <c r="J102" s="14"/>
      <c r="K102" s="14"/>
      <c r="L102" s="14"/>
      <c r="M102" s="14"/>
      <c r="N102" s="14"/>
      <c r="O102" s="14"/>
    </row>
    <row r="103" spans="1:15" ht="18" x14ac:dyDescent="0.25">
      <c r="A103" s="41"/>
      <c r="B103" s="15" t="s">
        <v>13</v>
      </c>
      <c r="C103" s="16" t="s">
        <v>85</v>
      </c>
      <c r="D103" s="16" t="s">
        <v>196</v>
      </c>
      <c r="E103" s="14">
        <f>E101+(E102-E101)/2</f>
        <v>0</v>
      </c>
      <c r="F103" s="14">
        <f t="shared" ref="F103:N103" si="42">F101+(F102-F101)/2</f>
        <v>1.7849999999999999</v>
      </c>
      <c r="G103" s="14">
        <f t="shared" si="42"/>
        <v>0</v>
      </c>
      <c r="H103" s="14">
        <f t="shared" si="42"/>
        <v>0</v>
      </c>
      <c r="I103" s="14">
        <f t="shared" si="42"/>
        <v>0</v>
      </c>
      <c r="J103" s="14">
        <f t="shared" si="42"/>
        <v>0</v>
      </c>
      <c r="K103" s="14">
        <f t="shared" si="42"/>
        <v>0</v>
      </c>
      <c r="L103" s="14">
        <f t="shared" si="42"/>
        <v>0</v>
      </c>
      <c r="M103" s="14">
        <f t="shared" si="42"/>
        <v>0</v>
      </c>
      <c r="N103" s="14">
        <f t="shared" si="42"/>
        <v>0</v>
      </c>
      <c r="O103" s="14">
        <f t="shared" ref="O103" si="43">O101+(O102-O101)/2</f>
        <v>0</v>
      </c>
    </row>
    <row r="104" spans="1:15" ht="18" x14ac:dyDescent="0.25">
      <c r="A104" s="41"/>
      <c r="B104" s="15" t="s">
        <v>14</v>
      </c>
      <c r="C104" s="16" t="s">
        <v>94</v>
      </c>
      <c r="D104" s="16" t="s">
        <v>196</v>
      </c>
      <c r="E104" s="14" t="e">
        <f t="shared" ref="E104:N104" si="44">E102-(2*(E102-E101)*(0.5*E102+E101)/(3*(E102+E101)))</f>
        <v>#DIV/0!</v>
      </c>
      <c r="F104" s="14">
        <f>F102-(2*(F102-F101)*(0.5*F102+F101)/(3*(F102+F101)))</f>
        <v>1.8384500466853406</v>
      </c>
      <c r="G104" s="14" t="e">
        <f t="shared" si="44"/>
        <v>#DIV/0!</v>
      </c>
      <c r="H104" s="14" t="e">
        <f t="shared" si="44"/>
        <v>#DIV/0!</v>
      </c>
      <c r="I104" s="14" t="e">
        <f t="shared" si="44"/>
        <v>#DIV/0!</v>
      </c>
      <c r="J104" s="14" t="e">
        <f t="shared" si="44"/>
        <v>#DIV/0!</v>
      </c>
      <c r="K104" s="14" t="e">
        <f t="shared" si="44"/>
        <v>#DIV/0!</v>
      </c>
      <c r="L104" s="14" t="e">
        <f t="shared" si="44"/>
        <v>#DIV/0!</v>
      </c>
      <c r="M104" s="14" t="e">
        <f t="shared" si="44"/>
        <v>#DIV/0!</v>
      </c>
      <c r="N104" s="14" t="e">
        <f t="shared" si="44"/>
        <v>#DIV/0!</v>
      </c>
      <c r="O104" s="14" t="e">
        <f t="shared" ref="O104" si="45">O102-(2*(O102-O101)*(0.5*O102+O101)/(3*(O102+O101)))</f>
        <v>#DIV/0!</v>
      </c>
    </row>
    <row r="105" spans="1:15" ht="30" x14ac:dyDescent="0.25">
      <c r="A105" s="41"/>
      <c r="B105" s="15" t="s">
        <v>75</v>
      </c>
      <c r="C105" s="16" t="s">
        <v>117</v>
      </c>
      <c r="D105" s="16" t="s">
        <v>196</v>
      </c>
      <c r="E105" s="14"/>
      <c r="F105" s="14"/>
      <c r="G105" s="14"/>
      <c r="H105" s="14"/>
      <c r="I105" s="14"/>
      <c r="J105" s="14"/>
      <c r="K105" s="14"/>
      <c r="L105" s="14"/>
      <c r="M105" s="14"/>
      <c r="N105" s="14"/>
      <c r="O105" s="14"/>
    </row>
    <row r="106" spans="1:15" ht="18" x14ac:dyDescent="0.25">
      <c r="A106" s="41"/>
      <c r="B106" s="15" t="s">
        <v>71</v>
      </c>
      <c r="C106" s="16" t="s">
        <v>95</v>
      </c>
      <c r="D106" s="16" t="s">
        <v>34</v>
      </c>
      <c r="E106" s="14"/>
      <c r="F106" s="14"/>
      <c r="G106" s="14"/>
      <c r="H106" s="14"/>
      <c r="I106" s="14"/>
      <c r="J106" s="14"/>
      <c r="K106" s="14"/>
      <c r="L106" s="14"/>
      <c r="M106" s="14"/>
      <c r="N106" s="14"/>
      <c r="O106" s="14"/>
    </row>
    <row r="107" spans="1:15" ht="30" x14ac:dyDescent="0.25">
      <c r="A107" s="41"/>
      <c r="B107" s="15" t="s">
        <v>15</v>
      </c>
      <c r="C107" s="16" t="s">
        <v>96</v>
      </c>
      <c r="D107" s="16" t="s">
        <v>34</v>
      </c>
      <c r="E107" s="14"/>
      <c r="F107" s="14"/>
      <c r="G107" s="14"/>
      <c r="H107" s="14"/>
      <c r="I107" s="14"/>
      <c r="J107" s="14"/>
      <c r="K107" s="14"/>
      <c r="L107" s="14"/>
      <c r="M107" s="14"/>
      <c r="N107" s="14"/>
      <c r="O107" s="14"/>
    </row>
    <row r="108" spans="1:15" ht="18" x14ac:dyDescent="0.25">
      <c r="A108" s="41"/>
      <c r="B108" s="15" t="s">
        <v>16</v>
      </c>
      <c r="C108" s="16" t="s">
        <v>97</v>
      </c>
      <c r="D108" s="16" t="s">
        <v>212</v>
      </c>
      <c r="E108" s="14"/>
      <c r="F108" s="14"/>
      <c r="G108" s="14"/>
      <c r="H108" s="14"/>
      <c r="I108" s="14"/>
      <c r="J108" s="14"/>
      <c r="K108" s="14"/>
      <c r="L108" s="14"/>
      <c r="M108" s="14"/>
      <c r="N108" s="14"/>
      <c r="O108" s="14"/>
    </row>
    <row r="109" spans="1:15" ht="18" x14ac:dyDescent="0.25">
      <c r="A109" s="41"/>
      <c r="B109" s="15" t="s">
        <v>17</v>
      </c>
      <c r="C109" s="16" t="s">
        <v>98</v>
      </c>
      <c r="D109" s="16" t="s">
        <v>212</v>
      </c>
      <c r="F109" s="2"/>
      <c r="G109" s="2"/>
      <c r="H109" s="2"/>
      <c r="I109" s="2"/>
      <c r="J109" s="2"/>
      <c r="K109" s="2"/>
      <c r="L109" s="2"/>
      <c r="M109" s="2"/>
      <c r="N109" s="2"/>
      <c r="O109" s="2"/>
    </row>
    <row r="110" spans="1:15" x14ac:dyDescent="0.25">
      <c r="A110" s="41"/>
      <c r="B110" s="15" t="s">
        <v>18</v>
      </c>
      <c r="C110" s="16" t="s">
        <v>34</v>
      </c>
      <c r="D110" s="16" t="s">
        <v>34</v>
      </c>
      <c r="F110" s="2"/>
      <c r="G110" s="2"/>
      <c r="H110" s="2"/>
      <c r="I110" s="2"/>
      <c r="J110" s="2"/>
      <c r="K110" s="2"/>
      <c r="L110" s="2"/>
      <c r="M110" s="2"/>
      <c r="N110" s="2"/>
      <c r="O110" s="2"/>
    </row>
    <row r="111" spans="1:15" ht="30" x14ac:dyDescent="0.25">
      <c r="A111" s="41"/>
      <c r="B111" s="15" t="s">
        <v>78</v>
      </c>
      <c r="C111" s="16" t="s">
        <v>99</v>
      </c>
      <c r="D111" s="16" t="s">
        <v>34</v>
      </c>
      <c r="F111" s="2"/>
      <c r="G111" s="2"/>
      <c r="H111" s="2"/>
      <c r="I111" s="2"/>
      <c r="J111" s="2"/>
      <c r="K111" s="2"/>
      <c r="L111" s="2"/>
      <c r="M111" s="2"/>
      <c r="N111" s="2"/>
      <c r="O111" s="2"/>
    </row>
    <row r="112" spans="1:15" ht="18" x14ac:dyDescent="0.25">
      <c r="A112" s="41"/>
      <c r="B112" s="15" t="s">
        <v>102</v>
      </c>
      <c r="C112" s="16" t="s">
        <v>103</v>
      </c>
      <c r="D112" s="16" t="s">
        <v>209</v>
      </c>
      <c r="E112" s="2">
        <f>E97*E96/(E66*E71)</f>
        <v>0</v>
      </c>
      <c r="F112" s="2">
        <f t="shared" ref="F112" si="46">F97*F96/(F66*F71)</f>
        <v>0</v>
      </c>
      <c r="G112" s="2">
        <f t="shared" ref="G112:H112" si="47">G97*G96/(G66*G71)</f>
        <v>0</v>
      </c>
      <c r="H112" s="2">
        <f t="shared" si="47"/>
        <v>0</v>
      </c>
      <c r="I112" s="2">
        <f t="shared" ref="I112:J112" si="48">I97*I96/(I66*I71)</f>
        <v>0</v>
      </c>
      <c r="J112" s="2" t="e">
        <f t="shared" si="48"/>
        <v>#DIV/0!</v>
      </c>
      <c r="K112" s="2" t="e">
        <f t="shared" ref="K112:M112" si="49">K97*K96/(K66*K71)</f>
        <v>#DIV/0!</v>
      </c>
      <c r="L112" s="2" t="e">
        <f t="shared" si="49"/>
        <v>#DIV/0!</v>
      </c>
      <c r="M112" s="2" t="e">
        <f t="shared" si="49"/>
        <v>#DIV/0!</v>
      </c>
      <c r="N112" s="2" t="e">
        <f t="shared" ref="N112:O112" si="50">N97*N96/(N66*N71)</f>
        <v>#DIV/0!</v>
      </c>
      <c r="O112" s="2" t="e">
        <f t="shared" si="50"/>
        <v>#DIV/0!</v>
      </c>
    </row>
    <row r="113" spans="1:15" s="43" customFormat="1" x14ac:dyDescent="0.25"/>
    <row r="114" spans="1:15" ht="18" x14ac:dyDescent="0.25">
      <c r="A114" s="41" t="s">
        <v>105</v>
      </c>
      <c r="B114" s="15" t="s">
        <v>106</v>
      </c>
      <c r="C114" s="16" t="s">
        <v>108</v>
      </c>
      <c r="D114" s="16" t="s">
        <v>196</v>
      </c>
      <c r="F114" s="2"/>
      <c r="G114" s="2"/>
      <c r="H114" s="2"/>
      <c r="I114" s="2"/>
      <c r="J114" s="2"/>
      <c r="K114" s="2"/>
      <c r="L114" s="2"/>
      <c r="M114" s="2"/>
      <c r="N114" s="2"/>
      <c r="O114" s="2"/>
    </row>
    <row r="115" spans="1:15" ht="18" x14ac:dyDescent="0.25">
      <c r="A115" s="41"/>
      <c r="B115" s="15" t="s">
        <v>217</v>
      </c>
      <c r="C115" s="16" t="s">
        <v>109</v>
      </c>
      <c r="D115" s="16" t="s">
        <v>34</v>
      </c>
      <c r="E115" s="2" t="e">
        <f>E114/E99</f>
        <v>#DIV/0!</v>
      </c>
      <c r="F115" s="2">
        <f t="shared" ref="F115" si="51">F114/F99</f>
        <v>0</v>
      </c>
      <c r="G115" s="2" t="e">
        <f t="shared" ref="G115:H115" si="52">G114/G99</f>
        <v>#DIV/0!</v>
      </c>
      <c r="H115" s="2">
        <f t="shared" si="52"/>
        <v>0</v>
      </c>
      <c r="I115" s="2">
        <f t="shared" ref="I115:J115" si="53">I114/I99</f>
        <v>0</v>
      </c>
      <c r="J115" s="2" t="e">
        <f t="shared" si="53"/>
        <v>#DIV/0!</v>
      </c>
      <c r="K115" s="2" t="e">
        <f t="shared" ref="K115:M115" si="54">K114/K99</f>
        <v>#DIV/0!</v>
      </c>
      <c r="L115" s="2">
        <f t="shared" si="54"/>
        <v>0</v>
      </c>
      <c r="M115" s="2">
        <f t="shared" si="54"/>
        <v>0</v>
      </c>
      <c r="N115" s="2" t="e">
        <f t="shared" ref="N115:O115" si="55">N114/N99</f>
        <v>#DIV/0!</v>
      </c>
      <c r="O115" s="2" t="e">
        <f t="shared" si="55"/>
        <v>#DIV/0!</v>
      </c>
    </row>
    <row r="116" spans="1:15" ht="18" x14ac:dyDescent="0.25">
      <c r="A116" s="41"/>
      <c r="B116" s="15" t="s">
        <v>107</v>
      </c>
      <c r="C116" s="16" t="s">
        <v>110</v>
      </c>
      <c r="D116" s="16" t="s">
        <v>34</v>
      </c>
      <c r="F116" s="2"/>
      <c r="G116" s="2"/>
      <c r="H116" s="2"/>
      <c r="I116" s="2"/>
      <c r="J116" s="2"/>
      <c r="K116" s="2"/>
      <c r="L116" s="2"/>
      <c r="M116" s="2"/>
      <c r="N116" s="2"/>
      <c r="O116" s="2"/>
    </row>
    <row r="117" spans="1:15" s="42" customFormat="1" x14ac:dyDescent="0.25"/>
    <row r="118" spans="1:15" ht="15" customHeight="1" x14ac:dyDescent="0.25">
      <c r="A118" s="41" t="s">
        <v>111</v>
      </c>
      <c r="B118" s="15" t="s">
        <v>11</v>
      </c>
      <c r="C118" s="16" t="s">
        <v>118</v>
      </c>
      <c r="D118" s="16" t="s">
        <v>196</v>
      </c>
      <c r="F118" s="2"/>
      <c r="G118" s="2"/>
      <c r="H118" s="2"/>
      <c r="I118" s="2"/>
      <c r="J118" s="2"/>
      <c r="K118" s="2"/>
      <c r="L118" s="2"/>
      <c r="M118" s="2"/>
      <c r="N118" s="2"/>
      <c r="O118" s="2"/>
    </row>
    <row r="119" spans="1:15" ht="18" x14ac:dyDescent="0.25">
      <c r="A119" s="41"/>
      <c r="B119" s="15" t="s">
        <v>12</v>
      </c>
      <c r="C119" s="16" t="s">
        <v>119</v>
      </c>
      <c r="D119" s="16" t="s">
        <v>196</v>
      </c>
      <c r="F119" s="2"/>
      <c r="G119" s="2"/>
      <c r="H119" s="2"/>
      <c r="I119" s="2"/>
      <c r="J119" s="2"/>
      <c r="K119" s="2"/>
      <c r="L119" s="2"/>
      <c r="M119" s="2"/>
      <c r="N119" s="2"/>
      <c r="O119" s="2"/>
    </row>
    <row r="120" spans="1:15" ht="18" x14ac:dyDescent="0.25">
      <c r="A120" s="41"/>
      <c r="B120" s="15" t="s">
        <v>83</v>
      </c>
      <c r="C120" s="16" t="s">
        <v>120</v>
      </c>
      <c r="D120" s="16" t="s">
        <v>208</v>
      </c>
      <c r="E120" s="2">
        <f>E122*(E124+E125)/2</f>
        <v>0</v>
      </c>
      <c r="F120" s="2">
        <v>9.82</v>
      </c>
      <c r="G120" s="2">
        <f t="shared" ref="G120:N120" si="56">G122*(G124+G125)/2</f>
        <v>0</v>
      </c>
      <c r="H120" s="2">
        <v>17.28</v>
      </c>
      <c r="I120" s="2">
        <f>H120</f>
        <v>17.28</v>
      </c>
      <c r="J120" s="2">
        <f t="shared" si="56"/>
        <v>0</v>
      </c>
      <c r="K120" s="2">
        <f t="shared" si="56"/>
        <v>0</v>
      </c>
      <c r="L120" s="2">
        <f t="shared" si="56"/>
        <v>0</v>
      </c>
      <c r="M120" s="2">
        <f t="shared" si="56"/>
        <v>0</v>
      </c>
      <c r="N120" s="2">
        <f t="shared" si="56"/>
        <v>0</v>
      </c>
      <c r="O120" s="2">
        <f t="shared" ref="O120" si="57">O122*(O124+O125)/2</f>
        <v>0</v>
      </c>
    </row>
    <row r="121" spans="1:15" ht="18" x14ac:dyDescent="0.25">
      <c r="A121" s="41"/>
      <c r="B121" s="15" t="s">
        <v>218</v>
      </c>
      <c r="C121" s="16" t="s">
        <v>121</v>
      </c>
      <c r="D121" s="16" t="s">
        <v>34</v>
      </c>
      <c r="E121" s="2">
        <f>E120/E66</f>
        <v>0</v>
      </c>
      <c r="F121" s="2">
        <f t="shared" ref="F121" si="58">F120/F66</f>
        <v>0.20040816326530614</v>
      </c>
      <c r="G121" s="2">
        <f t="shared" ref="G121:H121" si="59">G120/G66</f>
        <v>0</v>
      </c>
      <c r="H121" s="2">
        <f t="shared" si="59"/>
        <v>0.182086406743941</v>
      </c>
      <c r="I121" s="2">
        <f t="shared" ref="I121:J121" si="60">I120/I66</f>
        <v>0.182086406743941</v>
      </c>
      <c r="J121" s="2">
        <f t="shared" si="60"/>
        <v>0</v>
      </c>
      <c r="K121" s="2">
        <f t="shared" ref="K121:M121" si="61">K120/K66</f>
        <v>0</v>
      </c>
      <c r="L121" s="2" t="e">
        <f t="shared" si="61"/>
        <v>#DIV/0!</v>
      </c>
      <c r="M121" s="2" t="e">
        <f t="shared" si="61"/>
        <v>#DIV/0!</v>
      </c>
      <c r="N121" s="2" t="e">
        <f t="shared" ref="N121:O121" si="62">N120/N66</f>
        <v>#DIV/0!</v>
      </c>
      <c r="O121" s="2">
        <f t="shared" si="62"/>
        <v>0</v>
      </c>
    </row>
    <row r="122" spans="1:15" ht="18" x14ac:dyDescent="0.25">
      <c r="A122" s="41"/>
      <c r="B122" s="15" t="s">
        <v>82</v>
      </c>
      <c r="C122" s="16" t="s">
        <v>122</v>
      </c>
      <c r="D122" s="16" t="s">
        <v>196</v>
      </c>
      <c r="F122" s="2"/>
      <c r="G122" s="2"/>
      <c r="H122" s="2"/>
      <c r="I122" s="2"/>
      <c r="J122" s="2"/>
      <c r="K122" s="2"/>
      <c r="L122" s="2"/>
      <c r="M122" s="2"/>
      <c r="N122" s="2"/>
      <c r="O122" s="2"/>
    </row>
    <row r="123" spans="1:15" ht="18" x14ac:dyDescent="0.25">
      <c r="A123" s="41"/>
      <c r="B123" s="15" t="s">
        <v>219</v>
      </c>
      <c r="C123" s="16" t="s">
        <v>123</v>
      </c>
      <c r="D123" s="16" t="s">
        <v>34</v>
      </c>
      <c r="E123" s="2">
        <f>E122/E67</f>
        <v>0</v>
      </c>
      <c r="F123" s="2">
        <f t="shared" ref="F123" si="63">F122/F67</f>
        <v>0</v>
      </c>
      <c r="G123" s="2">
        <f t="shared" ref="G123:H123" si="64">G122/G67</f>
        <v>0</v>
      </c>
      <c r="H123" s="2">
        <f t="shared" si="64"/>
        <v>0</v>
      </c>
      <c r="I123" s="2">
        <f t="shared" ref="I123:J123" si="65">I122/I67</f>
        <v>0</v>
      </c>
      <c r="J123" s="2">
        <f t="shared" si="65"/>
        <v>0</v>
      </c>
      <c r="K123" s="2">
        <f t="shared" ref="K123:M123" si="66">K122/K67</f>
        <v>0</v>
      </c>
      <c r="L123" s="2">
        <f t="shared" si="66"/>
        <v>0</v>
      </c>
      <c r="M123" s="2">
        <f t="shared" si="66"/>
        <v>0</v>
      </c>
      <c r="N123" s="2">
        <f t="shared" ref="N123:O123" si="67">N122/N67</f>
        <v>0</v>
      </c>
      <c r="O123" s="2">
        <f t="shared" si="67"/>
        <v>0</v>
      </c>
    </row>
    <row r="124" spans="1:15" ht="18" x14ac:dyDescent="0.25">
      <c r="A124" s="41"/>
      <c r="B124" s="15" t="s">
        <v>65</v>
      </c>
      <c r="C124" s="16" t="s">
        <v>124</v>
      </c>
      <c r="D124" s="16" t="s">
        <v>196</v>
      </c>
      <c r="F124" s="2"/>
      <c r="G124" s="2"/>
      <c r="H124" s="2"/>
      <c r="I124" s="2"/>
      <c r="J124" s="2"/>
      <c r="K124" s="2"/>
      <c r="L124" s="2"/>
      <c r="M124" s="2"/>
      <c r="N124" s="2"/>
      <c r="O124" s="2"/>
    </row>
    <row r="125" spans="1:15" ht="18" x14ac:dyDescent="0.25">
      <c r="A125" s="41"/>
      <c r="B125" s="15" t="s">
        <v>67</v>
      </c>
      <c r="C125" s="16" t="s">
        <v>125</v>
      </c>
      <c r="D125" s="16" t="s">
        <v>196</v>
      </c>
      <c r="F125" s="2"/>
      <c r="G125" s="2"/>
      <c r="H125" s="2"/>
      <c r="I125" s="2"/>
      <c r="J125" s="2"/>
      <c r="K125" s="2"/>
      <c r="L125" s="2"/>
      <c r="M125" s="2"/>
      <c r="N125" s="2"/>
      <c r="O125" s="2"/>
    </row>
    <row r="126" spans="1:15" ht="18" x14ac:dyDescent="0.25">
      <c r="A126" s="41"/>
      <c r="B126" s="15" t="s">
        <v>13</v>
      </c>
      <c r="C126" s="16" t="s">
        <v>126</v>
      </c>
      <c r="D126" s="16" t="s">
        <v>196</v>
      </c>
      <c r="F126" s="2"/>
      <c r="G126" s="2"/>
      <c r="H126" s="2"/>
      <c r="I126" s="2"/>
      <c r="J126" s="2"/>
      <c r="K126" s="2"/>
      <c r="L126" s="2"/>
      <c r="M126" s="2"/>
      <c r="N126" s="2"/>
      <c r="O126" s="2"/>
    </row>
    <row r="127" spans="1:15" ht="18" x14ac:dyDescent="0.25">
      <c r="A127" s="41"/>
      <c r="B127" s="15" t="s">
        <v>14</v>
      </c>
      <c r="C127" s="16" t="s">
        <v>127</v>
      </c>
      <c r="D127" s="16" t="s">
        <v>196</v>
      </c>
      <c r="F127" s="2"/>
      <c r="G127" s="2"/>
      <c r="H127" s="2"/>
      <c r="I127" s="2"/>
      <c r="J127" s="2"/>
      <c r="K127" s="2"/>
      <c r="L127" s="2"/>
      <c r="M127" s="2"/>
      <c r="N127" s="2"/>
      <c r="O127" s="2"/>
    </row>
    <row r="128" spans="1:15" ht="30" x14ac:dyDescent="0.25">
      <c r="A128" s="41"/>
      <c r="B128" s="15" t="s">
        <v>75</v>
      </c>
      <c r="C128" s="16" t="s">
        <v>128</v>
      </c>
      <c r="D128" s="16" t="s">
        <v>196</v>
      </c>
      <c r="F128" s="2"/>
      <c r="G128" s="2"/>
      <c r="H128" s="2"/>
      <c r="I128" s="2"/>
      <c r="J128" s="2"/>
      <c r="K128" s="2"/>
      <c r="L128" s="2"/>
      <c r="M128" s="2"/>
      <c r="N128" s="2"/>
      <c r="O128" s="2"/>
    </row>
    <row r="129" spans="1:15" ht="18" x14ac:dyDescent="0.25">
      <c r="A129" s="41"/>
      <c r="B129" s="15" t="s">
        <v>71</v>
      </c>
      <c r="C129" s="16" t="s">
        <v>134</v>
      </c>
      <c r="D129" s="16" t="s">
        <v>34</v>
      </c>
      <c r="F129" s="2"/>
      <c r="G129" s="2"/>
      <c r="H129" s="2"/>
      <c r="I129" s="2"/>
      <c r="J129" s="2"/>
      <c r="K129" s="2"/>
      <c r="L129" s="2"/>
      <c r="M129" s="2"/>
      <c r="N129" s="2"/>
      <c r="O129" s="2"/>
    </row>
    <row r="130" spans="1:15" ht="30" x14ac:dyDescent="0.25">
      <c r="A130" s="41"/>
      <c r="B130" s="15" t="s">
        <v>15</v>
      </c>
      <c r="C130" s="16" t="s">
        <v>133</v>
      </c>
      <c r="D130" s="16" t="s">
        <v>34</v>
      </c>
      <c r="F130" s="2"/>
      <c r="G130" s="2"/>
      <c r="H130" s="2"/>
      <c r="I130" s="2"/>
      <c r="J130" s="2"/>
      <c r="K130" s="2"/>
      <c r="L130" s="2"/>
      <c r="M130" s="2"/>
      <c r="N130" s="2"/>
      <c r="O130" s="2"/>
    </row>
    <row r="131" spans="1:15" ht="18" x14ac:dyDescent="0.25">
      <c r="A131" s="41"/>
      <c r="B131" s="15" t="s">
        <v>16</v>
      </c>
      <c r="C131" s="16" t="s">
        <v>132</v>
      </c>
      <c r="D131" s="16" t="s">
        <v>212</v>
      </c>
      <c r="F131" s="2"/>
      <c r="G131" s="2"/>
      <c r="H131" s="2"/>
      <c r="I131" s="2"/>
      <c r="J131" s="2"/>
      <c r="K131" s="2"/>
      <c r="L131" s="2"/>
      <c r="M131" s="2"/>
      <c r="N131" s="2"/>
      <c r="O131" s="2"/>
    </row>
    <row r="132" spans="1:15" ht="18" x14ac:dyDescent="0.25">
      <c r="A132" s="41"/>
      <c r="B132" s="15" t="s">
        <v>17</v>
      </c>
      <c r="C132" s="16" t="s">
        <v>131</v>
      </c>
      <c r="D132" s="16" t="s">
        <v>212</v>
      </c>
      <c r="F132" s="2"/>
      <c r="G132" s="2"/>
      <c r="H132" s="2"/>
      <c r="I132" s="2"/>
      <c r="J132" s="2"/>
      <c r="K132" s="2"/>
      <c r="L132" s="2"/>
      <c r="M132" s="2"/>
      <c r="N132" s="2"/>
      <c r="O132" s="2"/>
    </row>
    <row r="133" spans="1:15" x14ac:dyDescent="0.25">
      <c r="A133" s="41"/>
      <c r="B133" s="15" t="s">
        <v>18</v>
      </c>
      <c r="C133" s="16" t="s">
        <v>34</v>
      </c>
      <c r="D133" s="16" t="s">
        <v>34</v>
      </c>
      <c r="F133" s="2"/>
      <c r="G133" s="2"/>
      <c r="H133" s="2"/>
      <c r="I133" s="2"/>
      <c r="J133" s="2"/>
      <c r="K133" s="2"/>
      <c r="L133" s="2"/>
      <c r="M133" s="2"/>
      <c r="N133" s="2"/>
      <c r="O133" s="2"/>
    </row>
    <row r="134" spans="1:15" ht="30" x14ac:dyDescent="0.25">
      <c r="A134" s="41"/>
      <c r="B134" s="15" t="s">
        <v>78</v>
      </c>
      <c r="C134" s="16" t="s">
        <v>130</v>
      </c>
      <c r="D134" s="16" t="s">
        <v>34</v>
      </c>
      <c r="F134" s="2"/>
      <c r="G134" s="2"/>
      <c r="H134" s="2"/>
      <c r="I134" s="2"/>
      <c r="J134" s="2"/>
      <c r="K134" s="2"/>
      <c r="L134" s="2"/>
      <c r="M134" s="2"/>
      <c r="N134" s="2"/>
      <c r="O134" s="2"/>
    </row>
    <row r="135" spans="1:15" ht="18" x14ac:dyDescent="0.25">
      <c r="A135" s="41"/>
      <c r="B135" s="15" t="s">
        <v>102</v>
      </c>
      <c r="C135" s="16" t="s">
        <v>129</v>
      </c>
      <c r="D135" s="16" t="s">
        <v>209</v>
      </c>
      <c r="E135" s="2">
        <f>E120*E119/(E66*E67)</f>
        <v>0</v>
      </c>
      <c r="F135" s="2">
        <f t="shared" ref="F135" si="68">F120*F119/(F66*F67)</f>
        <v>0</v>
      </c>
      <c r="G135" s="2">
        <f t="shared" ref="G135:H135" si="69">G120*G119/(G66*G67)</f>
        <v>0</v>
      </c>
      <c r="H135" s="2">
        <f t="shared" si="69"/>
        <v>0</v>
      </c>
      <c r="I135" s="2">
        <f t="shared" ref="I135:J135" si="70">I120*I119/(I66*I67)</f>
        <v>0</v>
      </c>
      <c r="J135" s="2">
        <f t="shared" si="70"/>
        <v>0</v>
      </c>
      <c r="K135" s="2">
        <f t="shared" ref="K135:M135" si="71">K120*K119/(K66*K67)</f>
        <v>0</v>
      </c>
      <c r="L135" s="2" t="e">
        <f t="shared" si="71"/>
        <v>#DIV/0!</v>
      </c>
      <c r="M135" s="2" t="e">
        <f t="shared" si="71"/>
        <v>#DIV/0!</v>
      </c>
      <c r="N135" s="2" t="e">
        <f t="shared" ref="N135:O135" si="72">N120*N119/(N66*N67)</f>
        <v>#DIV/0!</v>
      </c>
      <c r="O135" s="2">
        <f t="shared" si="72"/>
        <v>0</v>
      </c>
    </row>
    <row r="136" spans="1:15" s="43" customFormat="1" x14ac:dyDescent="0.25"/>
    <row r="137" spans="1:15" ht="18" x14ac:dyDescent="0.25">
      <c r="A137" s="41" t="s">
        <v>112</v>
      </c>
      <c r="B137" s="15" t="s">
        <v>106</v>
      </c>
      <c r="C137" s="16" t="s">
        <v>114</v>
      </c>
      <c r="D137" s="16" t="s">
        <v>196</v>
      </c>
      <c r="F137" s="2"/>
      <c r="G137" s="2"/>
      <c r="H137" s="2"/>
      <c r="I137" s="2"/>
      <c r="J137" s="2"/>
      <c r="K137" s="2"/>
      <c r="L137" s="2"/>
      <c r="M137" s="2"/>
      <c r="N137" s="2"/>
      <c r="O137" s="2"/>
    </row>
    <row r="138" spans="1:15" ht="18" x14ac:dyDescent="0.25">
      <c r="A138" s="41"/>
      <c r="B138" s="15" t="s">
        <v>224</v>
      </c>
      <c r="C138" s="16" t="s">
        <v>115</v>
      </c>
      <c r="D138" s="16" t="s">
        <v>34</v>
      </c>
      <c r="E138" s="2" t="e">
        <f>E137/E122</f>
        <v>#DIV/0!</v>
      </c>
      <c r="F138" s="2" t="e">
        <f t="shared" ref="F138" si="73">F137/F122</f>
        <v>#DIV/0!</v>
      </c>
      <c r="G138" s="2" t="e">
        <f t="shared" ref="G138:H138" si="74">G137/G122</f>
        <v>#DIV/0!</v>
      </c>
      <c r="H138" s="2" t="e">
        <f t="shared" si="74"/>
        <v>#DIV/0!</v>
      </c>
      <c r="I138" s="2" t="e">
        <f t="shared" ref="I138:J138" si="75">I137/I122</f>
        <v>#DIV/0!</v>
      </c>
      <c r="J138" s="2" t="e">
        <f t="shared" si="75"/>
        <v>#DIV/0!</v>
      </c>
      <c r="K138" s="2" t="e">
        <f t="shared" ref="K138:M138" si="76">K137/K122</f>
        <v>#DIV/0!</v>
      </c>
      <c r="L138" s="2" t="e">
        <f t="shared" si="76"/>
        <v>#DIV/0!</v>
      </c>
      <c r="M138" s="2" t="e">
        <f t="shared" si="76"/>
        <v>#DIV/0!</v>
      </c>
      <c r="N138" s="2" t="e">
        <f t="shared" ref="N138:O138" si="77">N137/N122</f>
        <v>#DIV/0!</v>
      </c>
      <c r="O138" s="2" t="e">
        <f t="shared" si="77"/>
        <v>#DIV/0!</v>
      </c>
    </row>
    <row r="139" spans="1:15" ht="18" x14ac:dyDescent="0.25">
      <c r="A139" s="41"/>
      <c r="B139" s="15" t="s">
        <v>113</v>
      </c>
      <c r="C139" s="16" t="s">
        <v>116</v>
      </c>
      <c r="D139" s="16" t="s">
        <v>34</v>
      </c>
      <c r="F139" s="2"/>
      <c r="G139" s="2"/>
      <c r="H139" s="2"/>
      <c r="I139" s="2"/>
      <c r="J139" s="2"/>
      <c r="K139" s="2"/>
      <c r="L139" s="2"/>
      <c r="M139" s="2"/>
      <c r="N139" s="2"/>
      <c r="O139" s="2"/>
    </row>
    <row r="140" spans="1:15" s="42" customFormat="1" x14ac:dyDescent="0.25"/>
    <row r="141" spans="1:15" x14ac:dyDescent="0.25">
      <c r="A141" s="41" t="s">
        <v>33</v>
      </c>
      <c r="B141" s="15" t="s">
        <v>19</v>
      </c>
      <c r="C141" s="16" t="s">
        <v>34</v>
      </c>
      <c r="D141" s="16" t="s">
        <v>34</v>
      </c>
      <c r="E141" s="2" t="s">
        <v>315</v>
      </c>
      <c r="F141" s="2" t="s">
        <v>315</v>
      </c>
      <c r="G141" s="2" t="s">
        <v>315</v>
      </c>
      <c r="H141" s="2" t="s">
        <v>315</v>
      </c>
      <c r="I141" s="2" t="s">
        <v>315</v>
      </c>
      <c r="J141" s="2" t="s">
        <v>315</v>
      </c>
      <c r="K141" s="2" t="s">
        <v>315</v>
      </c>
      <c r="L141" s="2" t="s">
        <v>315</v>
      </c>
      <c r="M141" s="2" t="s">
        <v>315</v>
      </c>
      <c r="N141" s="2" t="s">
        <v>315</v>
      </c>
      <c r="O141" s="2" t="s">
        <v>315</v>
      </c>
    </row>
    <row r="142" spans="1:15" x14ac:dyDescent="0.25">
      <c r="A142" s="41"/>
      <c r="B142" s="15" t="s">
        <v>136</v>
      </c>
      <c r="C142" s="16" t="s">
        <v>137</v>
      </c>
      <c r="D142" s="16" t="s">
        <v>196</v>
      </c>
      <c r="E142" s="14">
        <v>4.32</v>
      </c>
      <c r="F142" s="14">
        <v>4.45</v>
      </c>
      <c r="G142" s="14">
        <v>4.45</v>
      </c>
      <c r="H142" s="14">
        <v>4.0599999999999996</v>
      </c>
      <c r="I142" s="14">
        <f>H142</f>
        <v>4.0599999999999996</v>
      </c>
      <c r="J142" s="14">
        <v>3.2</v>
      </c>
      <c r="K142" s="14"/>
      <c r="L142" s="14"/>
      <c r="M142" s="14"/>
      <c r="N142" s="14"/>
      <c r="O142" s="14">
        <v>3.23</v>
      </c>
    </row>
    <row r="143" spans="1:15" x14ac:dyDescent="0.25">
      <c r="A143" s="41"/>
      <c r="B143" s="15" t="s">
        <v>135</v>
      </c>
      <c r="C143" s="16" t="s">
        <v>138</v>
      </c>
      <c r="D143" s="16" t="s">
        <v>196</v>
      </c>
      <c r="E143" s="14">
        <v>9.74</v>
      </c>
      <c r="F143" s="14">
        <v>7.9</v>
      </c>
      <c r="G143" s="14">
        <v>7.39</v>
      </c>
      <c r="H143" s="14">
        <v>12.78</v>
      </c>
      <c r="I143" s="14">
        <f>H143</f>
        <v>12.78</v>
      </c>
      <c r="J143" s="14">
        <v>8.4600000000000009</v>
      </c>
      <c r="K143" s="14"/>
      <c r="L143" s="14"/>
      <c r="M143" s="14"/>
      <c r="N143" s="14"/>
      <c r="O143" s="14">
        <v>9.11</v>
      </c>
    </row>
    <row r="144" spans="1:15" x14ac:dyDescent="0.25">
      <c r="A144" s="41"/>
      <c r="B144" s="15" t="s">
        <v>142</v>
      </c>
      <c r="C144" s="16" t="s">
        <v>139</v>
      </c>
      <c r="D144" s="16" t="s">
        <v>34</v>
      </c>
      <c r="E144" s="14">
        <f>E142/E143</f>
        <v>0.44353182751540043</v>
      </c>
      <c r="F144" s="14">
        <f t="shared" ref="F144" si="78">F142/F143</f>
        <v>0.56329113924050633</v>
      </c>
      <c r="G144" s="14">
        <f t="shared" ref="G144:H144" si="79">G142/G143</f>
        <v>0.60216508795669832</v>
      </c>
      <c r="H144" s="14">
        <f t="shared" si="79"/>
        <v>0.31768388106416273</v>
      </c>
      <c r="I144" s="14">
        <f t="shared" ref="I144:J144" si="80">I142/I143</f>
        <v>0.31768388106416273</v>
      </c>
      <c r="J144" s="14">
        <f t="shared" si="80"/>
        <v>0.37825059101654845</v>
      </c>
      <c r="K144" s="14" t="e">
        <f t="shared" ref="K144:M144" si="81">K142/K143</f>
        <v>#DIV/0!</v>
      </c>
      <c r="L144" s="14" t="e">
        <f t="shared" si="81"/>
        <v>#DIV/0!</v>
      </c>
      <c r="M144" s="14" t="e">
        <f t="shared" si="81"/>
        <v>#DIV/0!</v>
      </c>
      <c r="N144" s="14" t="e">
        <f t="shared" ref="N144:O144" si="82">N142/N143</f>
        <v>#DIV/0!</v>
      </c>
      <c r="O144" s="14">
        <f t="shared" si="82"/>
        <v>0.35455543358946218</v>
      </c>
    </row>
    <row r="145" spans="1:15" x14ac:dyDescent="0.25">
      <c r="A145" s="41"/>
      <c r="B145" s="15" t="s">
        <v>141</v>
      </c>
      <c r="C145" s="16" t="s">
        <v>140</v>
      </c>
      <c r="D145" s="16" t="s">
        <v>34</v>
      </c>
      <c r="E145" s="14">
        <f>E142/E67</f>
        <v>0.16482258679893172</v>
      </c>
      <c r="F145" s="14">
        <f t="shared" ref="F145" si="83">F142/F67</f>
        <v>0.20813844714686625</v>
      </c>
      <c r="G145" s="14">
        <f t="shared" ref="G145:H145" si="84">G142/G67</f>
        <v>0.20813844714686625</v>
      </c>
      <c r="H145" s="14">
        <f t="shared" si="84"/>
        <v>0.14171029668411866</v>
      </c>
      <c r="I145" s="14">
        <f t="shared" ref="I145:J145" si="85">I142/I67</f>
        <v>0.14171029668411866</v>
      </c>
      <c r="J145" s="14">
        <f t="shared" si="85"/>
        <v>0.15238095238095239</v>
      </c>
      <c r="K145" s="14">
        <f t="shared" ref="K145:M145" si="86">K142/K67</f>
        <v>0</v>
      </c>
      <c r="L145" s="14">
        <f t="shared" si="86"/>
        <v>0</v>
      </c>
      <c r="M145" s="14">
        <f t="shared" si="86"/>
        <v>0</v>
      </c>
      <c r="N145" s="14">
        <f t="shared" ref="N145:O145" si="87">N142/N67</f>
        <v>0</v>
      </c>
      <c r="O145" s="14">
        <f t="shared" si="87"/>
        <v>0.15315315315315314</v>
      </c>
    </row>
    <row r="146" spans="1:15" ht="18" x14ac:dyDescent="0.25">
      <c r="A146" s="41"/>
      <c r="B146" s="15" t="s">
        <v>220</v>
      </c>
      <c r="C146" s="16" t="s">
        <v>143</v>
      </c>
      <c r="D146" s="16" t="s">
        <v>34</v>
      </c>
      <c r="E146" s="14">
        <f>E143/E54</f>
        <v>0.42000862440707198</v>
      </c>
      <c r="F146" s="14">
        <f t="shared" ref="F146" si="88">F143/F54</f>
        <v>0.39050914483440435</v>
      </c>
      <c r="G146" s="14">
        <f t="shared" ref="G146:H146" si="89">G143/G54</f>
        <v>0.36529906080079089</v>
      </c>
      <c r="H146" s="14">
        <f t="shared" si="89"/>
        <v>0.42178217821782177</v>
      </c>
      <c r="I146" s="14">
        <f t="shared" ref="I146:J146" si="90">I143/I54</f>
        <v>0.43322033898305085</v>
      </c>
      <c r="J146" s="14">
        <f t="shared" si="90"/>
        <v>0.40478468899521536</v>
      </c>
      <c r="K146" s="14">
        <f t="shared" ref="K146:M146" si="91">K143/K54</f>
        <v>0</v>
      </c>
      <c r="L146" s="14">
        <f t="shared" si="91"/>
        <v>0</v>
      </c>
      <c r="M146" s="14">
        <f t="shared" si="91"/>
        <v>0</v>
      </c>
      <c r="N146" s="14">
        <f t="shared" ref="N146:O146" si="92">N143/N54</f>
        <v>0</v>
      </c>
      <c r="O146" s="14">
        <f t="shared" si="92"/>
        <v>0.40615247436469015</v>
      </c>
    </row>
    <row r="147" spans="1:15" ht="18" x14ac:dyDescent="0.25">
      <c r="A147" s="41"/>
      <c r="B147" s="15" t="s">
        <v>145</v>
      </c>
      <c r="C147" s="16" t="s">
        <v>144</v>
      </c>
      <c r="D147" s="16" t="s">
        <v>34</v>
      </c>
      <c r="E147" s="2">
        <v>2</v>
      </c>
      <c r="F147" s="2">
        <v>2</v>
      </c>
      <c r="G147" s="2">
        <v>2</v>
      </c>
      <c r="H147" s="2"/>
      <c r="I147" s="2"/>
      <c r="J147" s="2">
        <v>2</v>
      </c>
      <c r="K147" s="2"/>
      <c r="L147" s="2"/>
      <c r="M147" s="2"/>
      <c r="N147" s="2"/>
      <c r="O147" s="2"/>
    </row>
    <row r="148" spans="1:15" ht="30" x14ac:dyDescent="0.25">
      <c r="A148" s="41"/>
      <c r="B148" s="15" t="s">
        <v>316</v>
      </c>
      <c r="C148" s="16" t="s">
        <v>319</v>
      </c>
      <c r="D148" s="16" t="s">
        <v>196</v>
      </c>
      <c r="E148" s="14">
        <v>0.81299999999999994</v>
      </c>
      <c r="F148" s="14">
        <v>0.73660000000000003</v>
      </c>
      <c r="G148" s="14">
        <v>0.66</v>
      </c>
      <c r="H148" s="14"/>
      <c r="I148" s="14"/>
      <c r="J148" s="14">
        <v>0.67310000000000003</v>
      </c>
      <c r="K148" s="14"/>
      <c r="L148" s="14"/>
      <c r="M148" s="14"/>
      <c r="N148" s="14"/>
      <c r="O148" s="14"/>
    </row>
    <row r="149" spans="1:15" ht="30" x14ac:dyDescent="0.25">
      <c r="A149" s="41"/>
      <c r="B149" s="15" t="s">
        <v>317</v>
      </c>
      <c r="C149" s="16" t="s">
        <v>320</v>
      </c>
      <c r="D149" s="16" t="s">
        <v>196</v>
      </c>
      <c r="E149" s="14">
        <v>0.26669999999999999</v>
      </c>
      <c r="F149" s="14">
        <v>0.19558</v>
      </c>
      <c r="G149" s="14">
        <v>0.16764000000000001</v>
      </c>
      <c r="H149" s="14"/>
      <c r="I149" s="14"/>
      <c r="J149" s="14">
        <v>0.20319999999999999</v>
      </c>
      <c r="K149" s="14"/>
      <c r="L149" s="14"/>
      <c r="M149" s="14"/>
      <c r="N149" s="14"/>
      <c r="O149" s="14"/>
    </row>
    <row r="150" spans="1:15" ht="30" x14ac:dyDescent="0.25">
      <c r="A150" s="41"/>
      <c r="B150" s="15" t="s">
        <v>318</v>
      </c>
      <c r="C150" s="16" t="s">
        <v>321</v>
      </c>
      <c r="D150" s="16" t="s">
        <v>325</v>
      </c>
      <c r="E150" s="14"/>
      <c r="F150" s="14">
        <v>13.8</v>
      </c>
      <c r="G150" s="14">
        <v>15.1</v>
      </c>
      <c r="H150" s="14"/>
      <c r="I150" s="14"/>
      <c r="J150" s="14"/>
      <c r="K150" s="14"/>
      <c r="L150" s="14"/>
      <c r="M150" s="14"/>
      <c r="N150" s="14"/>
      <c r="O150" s="14"/>
    </row>
    <row r="151" spans="1:15" ht="30" x14ac:dyDescent="0.25">
      <c r="A151" s="41"/>
      <c r="B151" s="15" t="s">
        <v>326</v>
      </c>
      <c r="C151" s="16" t="s">
        <v>322</v>
      </c>
      <c r="D151" s="16" t="s">
        <v>196</v>
      </c>
      <c r="E151" s="14">
        <v>0.40639999999999998</v>
      </c>
      <c r="F151" s="14">
        <v>0.44450000000000001</v>
      </c>
      <c r="G151" s="14">
        <v>0.36830000000000002</v>
      </c>
      <c r="H151" s="14"/>
      <c r="I151" s="14"/>
      <c r="J151" s="14">
        <v>0.4572</v>
      </c>
      <c r="K151" s="14"/>
      <c r="L151" s="14"/>
      <c r="M151" s="14"/>
      <c r="N151" s="14"/>
      <c r="O151" s="14"/>
    </row>
    <row r="152" spans="1:15" ht="18" x14ac:dyDescent="0.25">
      <c r="A152" s="41"/>
      <c r="B152" s="15" t="s">
        <v>327</v>
      </c>
      <c r="C152" s="16" t="s">
        <v>323</v>
      </c>
      <c r="D152" s="16" t="s">
        <v>196</v>
      </c>
      <c r="E152" s="14">
        <v>0.15240000000000001</v>
      </c>
      <c r="F152" s="14">
        <v>0.14477999999999999</v>
      </c>
      <c r="G152" s="14">
        <v>0.13969999999999999</v>
      </c>
      <c r="H152" s="14"/>
      <c r="I152" s="14"/>
      <c r="J152" s="14">
        <v>0.13969999999999999</v>
      </c>
      <c r="K152" s="14"/>
      <c r="L152" s="14"/>
      <c r="M152" s="14"/>
      <c r="N152" s="14"/>
      <c r="O152" s="14"/>
    </row>
    <row r="153" spans="1:15" ht="30" x14ac:dyDescent="0.25">
      <c r="A153" s="41"/>
      <c r="B153" s="15" t="s">
        <v>328</v>
      </c>
      <c r="C153" s="16" t="s">
        <v>324</v>
      </c>
      <c r="D153" s="16" t="s">
        <v>325</v>
      </c>
      <c r="E153" s="14"/>
      <c r="F153" s="14">
        <v>10.9</v>
      </c>
      <c r="G153" s="14">
        <v>12.6</v>
      </c>
      <c r="H153" s="14"/>
      <c r="I153" s="14"/>
      <c r="J153" s="14"/>
      <c r="K153" s="14"/>
      <c r="L153" s="14"/>
      <c r="M153" s="14"/>
      <c r="N153" s="14"/>
      <c r="O153" s="14"/>
    </row>
    <row r="154" spans="1:15" s="42" customFormat="1" x14ac:dyDescent="0.25"/>
    <row r="155" spans="1:15" ht="18" x14ac:dyDescent="0.25">
      <c r="A155" s="41" t="s">
        <v>25</v>
      </c>
      <c r="B155" s="15" t="s">
        <v>151</v>
      </c>
      <c r="C155" s="16" t="s">
        <v>150</v>
      </c>
      <c r="D155" s="16" t="s">
        <v>223</v>
      </c>
      <c r="E155" s="14">
        <f>294.9*E156</f>
        <v>265.40999999999997</v>
      </c>
      <c r="F155" s="14">
        <f t="shared" ref="F155:G155" si="93">294.9*F156</f>
        <v>256.56299999999999</v>
      </c>
      <c r="G155" s="14">
        <f t="shared" si="93"/>
        <v>254.20379999999997</v>
      </c>
      <c r="H155" s="14">
        <f>901/3.6</f>
        <v>250.27777777777777</v>
      </c>
      <c r="I155" s="14">
        <f>950/3.6</f>
        <v>263.88888888888886</v>
      </c>
      <c r="J155" s="14">
        <f>294.9*J156</f>
        <v>244.76699999999997</v>
      </c>
      <c r="K155" s="14">
        <f t="shared" ref="K155:L155" si="94">294.9*K156</f>
        <v>250.66499999999996</v>
      </c>
      <c r="L155" s="14">
        <f t="shared" si="94"/>
        <v>244.76699999999997</v>
      </c>
      <c r="M155" s="14">
        <f>294.9*M156</f>
        <v>244.76699999999997</v>
      </c>
      <c r="N155" s="14">
        <f>294.9*N156</f>
        <v>230.02199999999999</v>
      </c>
      <c r="O155" s="14">
        <f>978/3.6</f>
        <v>271.66666666666669</v>
      </c>
    </row>
    <row r="156" spans="1:15" x14ac:dyDescent="0.25">
      <c r="A156" s="41"/>
      <c r="B156" s="15" t="s">
        <v>292</v>
      </c>
      <c r="C156" s="16" t="s">
        <v>293</v>
      </c>
      <c r="D156" s="16" t="s">
        <v>34</v>
      </c>
      <c r="E156" s="14">
        <v>0.9</v>
      </c>
      <c r="F156" s="14">
        <v>0.87</v>
      </c>
      <c r="G156" s="14">
        <v>0.86199999999999999</v>
      </c>
      <c r="H156" s="14">
        <f>H155/294.9</f>
        <v>0.84868693719151511</v>
      </c>
      <c r="I156" s="14">
        <v>0.89</v>
      </c>
      <c r="J156" s="14">
        <v>0.83</v>
      </c>
      <c r="K156" s="14">
        <v>0.85</v>
      </c>
      <c r="L156" s="14">
        <v>0.83</v>
      </c>
      <c r="M156" s="14">
        <v>0.83</v>
      </c>
      <c r="N156" s="14">
        <v>0.78</v>
      </c>
      <c r="O156" s="14">
        <f>O155/294.9</f>
        <v>0.92121623149090104</v>
      </c>
    </row>
    <row r="157" spans="1:15" ht="26.25" customHeight="1" x14ac:dyDescent="0.25">
      <c r="A157" s="41"/>
      <c r="B157" s="15" t="s">
        <v>155</v>
      </c>
      <c r="C157" s="16" t="s">
        <v>154</v>
      </c>
      <c r="D157" s="16" t="s">
        <v>223</v>
      </c>
      <c r="E157" s="14">
        <f t="shared" ref="E157:F157" si="95">294.9*E158</f>
        <v>250.66499999999996</v>
      </c>
      <c r="F157" s="14">
        <f t="shared" si="95"/>
        <v>235.92</v>
      </c>
      <c r="G157" s="14">
        <f>294.9*G158</f>
        <v>250.66499999999996</v>
      </c>
      <c r="H157" s="14">
        <f>294.9*H158</f>
        <v>250.66499999999996</v>
      </c>
      <c r="I157" s="14">
        <f>904/3.6</f>
        <v>251.11111111111111</v>
      </c>
      <c r="J157" s="14">
        <f>294.9*J158</f>
        <v>235.92</v>
      </c>
      <c r="K157" s="14">
        <f>850/3.6</f>
        <v>236.11111111111111</v>
      </c>
      <c r="L157" s="14">
        <f>855.6/3.6</f>
        <v>237.66666666666666</v>
      </c>
      <c r="M157" s="14">
        <f>863/3.6</f>
        <v>239.72222222222223</v>
      </c>
      <c r="N157" s="14">
        <f>839/3.6</f>
        <v>233.05555555555554</v>
      </c>
      <c r="O157" s="14">
        <f>294.9*O158</f>
        <v>275.73149999999998</v>
      </c>
    </row>
    <row r="158" spans="1:15" ht="18" x14ac:dyDescent="0.25">
      <c r="A158" s="41"/>
      <c r="B158" s="15" t="s">
        <v>338</v>
      </c>
      <c r="C158" s="16" t="s">
        <v>339</v>
      </c>
      <c r="D158" s="16" t="s">
        <v>34</v>
      </c>
      <c r="E158" s="14">
        <v>0.85</v>
      </c>
      <c r="F158" s="14">
        <v>0.8</v>
      </c>
      <c r="G158" s="14">
        <v>0.85</v>
      </c>
      <c r="H158" s="14">
        <v>0.85</v>
      </c>
      <c r="I158" s="14">
        <v>0.85</v>
      </c>
      <c r="J158" s="14">
        <v>0.8</v>
      </c>
      <c r="K158" s="14">
        <v>0.8</v>
      </c>
      <c r="L158" s="14">
        <f>L157/294.9</f>
        <v>0.80592291172148756</v>
      </c>
      <c r="M158" s="14">
        <f t="shared" ref="M158:N158" si="96">M157/294.9</f>
        <v>0.81289325948532465</v>
      </c>
      <c r="N158" s="14">
        <f t="shared" si="96"/>
        <v>0.7902867261972043</v>
      </c>
      <c r="O158" s="14">
        <v>0.93500000000000005</v>
      </c>
    </row>
    <row r="159" spans="1:15" ht="18" x14ac:dyDescent="0.25">
      <c r="A159" s="41"/>
      <c r="B159" s="15" t="s">
        <v>152</v>
      </c>
      <c r="C159" s="16" t="s">
        <v>153</v>
      </c>
      <c r="D159" s="16" t="s">
        <v>223</v>
      </c>
      <c r="E159" s="14">
        <f>E161/1.3</f>
        <v>41.239316239316231</v>
      </c>
      <c r="F159" s="14">
        <f>F161/1.3</f>
        <v>43.589743589743584</v>
      </c>
      <c r="G159" s="14">
        <f>G161/1.3</f>
        <v>41.452991452991448</v>
      </c>
      <c r="H159" s="14">
        <f t="shared" ref="H159:O159" si="97">H161/1.3</f>
        <v>43.530769230769231</v>
      </c>
      <c r="I159" s="14">
        <f t="shared" si="97"/>
        <v>42.34615384615384</v>
      </c>
      <c r="J159" s="14">
        <f t="shared" si="97"/>
        <v>43.92307692307692</v>
      </c>
      <c r="K159" s="14">
        <f t="shared" si="97"/>
        <v>45.507692307692302</v>
      </c>
      <c r="L159" s="14">
        <f t="shared" si="97"/>
        <v>39.969230769230769</v>
      </c>
      <c r="M159" s="14">
        <f t="shared" si="97"/>
        <v>40.361538461538458</v>
      </c>
      <c r="N159" s="14">
        <f t="shared" si="97"/>
        <v>41.153846153846153</v>
      </c>
      <c r="O159" s="14">
        <f t="shared" si="97"/>
        <v>45.907692307692308</v>
      </c>
    </row>
    <row r="160" spans="1:15" ht="18" x14ac:dyDescent="0.25">
      <c r="A160" s="41"/>
      <c r="B160" s="15" t="s">
        <v>294</v>
      </c>
      <c r="C160" s="16" t="s">
        <v>156</v>
      </c>
      <c r="D160" s="16" t="s">
        <v>223</v>
      </c>
      <c r="E160" s="14">
        <v>68.42</v>
      </c>
      <c r="F160" s="14">
        <v>68.94</v>
      </c>
      <c r="G160" s="14">
        <v>64.819999999999993</v>
      </c>
      <c r="H160" s="14">
        <v>73.05</v>
      </c>
      <c r="I160" s="14">
        <v>68.42</v>
      </c>
      <c r="J160" s="14">
        <v>68.42</v>
      </c>
      <c r="K160" s="14">
        <v>70.48</v>
      </c>
      <c r="L160" s="14">
        <v>60.19</v>
      </c>
      <c r="M160" s="14">
        <v>61.73</v>
      </c>
      <c r="N160" s="14">
        <v>58.13</v>
      </c>
      <c r="O160" s="14">
        <v>71.510000000000005</v>
      </c>
    </row>
    <row r="161" spans="1:15" ht="33" customHeight="1" x14ac:dyDescent="0.25">
      <c r="A161" s="41"/>
      <c r="B161" s="15" t="s">
        <v>289</v>
      </c>
      <c r="C161" s="16" t="s">
        <v>379</v>
      </c>
      <c r="D161" s="16" t="s">
        <v>223</v>
      </c>
      <c r="E161" s="14">
        <f>193/3.6</f>
        <v>53.611111111111107</v>
      </c>
      <c r="F161" s="14">
        <f>204/3.6</f>
        <v>56.666666666666664</v>
      </c>
      <c r="G161" s="14">
        <f>194/3.6</f>
        <v>53.888888888888886</v>
      </c>
      <c r="H161" s="14">
        <v>56.59</v>
      </c>
      <c r="I161" s="14">
        <v>55.05</v>
      </c>
      <c r="J161" s="14">
        <v>57.1</v>
      </c>
      <c r="K161" s="14">
        <v>59.16</v>
      </c>
      <c r="L161" s="14">
        <v>51.96</v>
      </c>
      <c r="M161" s="14">
        <v>52.47</v>
      </c>
      <c r="N161" s="14">
        <v>53.5</v>
      </c>
      <c r="O161" s="14">
        <v>59.68</v>
      </c>
    </row>
    <row r="162" spans="1:15" ht="18" x14ac:dyDescent="0.25">
      <c r="A162" s="41"/>
      <c r="B162" s="15" t="s">
        <v>158</v>
      </c>
      <c r="C162" s="16" t="s">
        <v>159</v>
      </c>
      <c r="D162" s="16" t="s">
        <v>223</v>
      </c>
      <c r="E162" s="14">
        <v>9.89</v>
      </c>
      <c r="F162" s="14">
        <v>9.89</v>
      </c>
      <c r="G162" s="14">
        <v>11.06</v>
      </c>
      <c r="H162" s="14">
        <v>8.89</v>
      </c>
      <c r="I162" s="14">
        <v>10.42</v>
      </c>
      <c r="J162" s="14">
        <v>13.43</v>
      </c>
      <c r="K162" s="14">
        <v>13.43</v>
      </c>
      <c r="L162" s="14">
        <v>13.43</v>
      </c>
      <c r="M162" s="14">
        <v>13.43</v>
      </c>
      <c r="N162" s="14">
        <v>12.53</v>
      </c>
      <c r="O162" s="14">
        <v>14.46</v>
      </c>
    </row>
    <row r="163" spans="1:15" x14ac:dyDescent="0.25">
      <c r="A163" s="41"/>
      <c r="B163" s="15" t="s">
        <v>162</v>
      </c>
      <c r="C163" s="16" t="s">
        <v>160</v>
      </c>
      <c r="D163" s="16" t="s">
        <v>222</v>
      </c>
      <c r="E163" s="2">
        <v>11019</v>
      </c>
      <c r="F163" s="2">
        <v>8797</v>
      </c>
      <c r="G163" s="2">
        <v>7408</v>
      </c>
      <c r="H163" s="2">
        <v>11112</v>
      </c>
      <c r="I163" s="2">
        <v>9630</v>
      </c>
      <c r="J163" s="2">
        <v>5926</v>
      </c>
      <c r="K163" s="2">
        <v>6667</v>
      </c>
      <c r="L163" s="2">
        <v>5371</v>
      </c>
      <c r="M163" s="2">
        <v>5788</v>
      </c>
      <c r="N163" s="2">
        <v>3650</v>
      </c>
      <c r="O163" s="2">
        <v>6408</v>
      </c>
    </row>
    <row r="164" spans="1:15" x14ac:dyDescent="0.25">
      <c r="A164" s="41"/>
      <c r="B164" s="15" t="s">
        <v>163</v>
      </c>
      <c r="C164" s="16" t="s">
        <v>161</v>
      </c>
      <c r="D164" s="16" t="s">
        <v>221</v>
      </c>
      <c r="F164" s="2"/>
      <c r="G164" s="2"/>
      <c r="H164" s="2">
        <v>13.5</v>
      </c>
      <c r="I164" s="2"/>
      <c r="J164" s="2"/>
      <c r="K164" s="2"/>
      <c r="L164" s="2"/>
      <c r="M164" s="2"/>
      <c r="N164" s="2"/>
    </row>
    <row r="165" spans="1:15" ht="18" x14ac:dyDescent="0.25">
      <c r="A165" s="41"/>
      <c r="B165" s="15" t="s">
        <v>290</v>
      </c>
      <c r="C165" s="16" t="s">
        <v>291</v>
      </c>
      <c r="D165" s="16" t="s">
        <v>196</v>
      </c>
      <c r="E165" s="2">
        <v>15545</v>
      </c>
      <c r="F165" s="2">
        <v>15545</v>
      </c>
      <c r="G165" s="2">
        <v>14326</v>
      </c>
      <c r="H165" s="2">
        <v>15545</v>
      </c>
      <c r="I165" s="2">
        <v>15545</v>
      </c>
      <c r="J165" s="2">
        <v>13715</v>
      </c>
      <c r="K165" s="2">
        <v>13716</v>
      </c>
      <c r="L165" s="2">
        <v>13716</v>
      </c>
      <c r="M165" s="2">
        <v>13716</v>
      </c>
      <c r="N165" s="2">
        <v>13716</v>
      </c>
      <c r="O165" s="2">
        <v>15545</v>
      </c>
    </row>
    <row r="166" spans="1:15" ht="18" x14ac:dyDescent="0.25">
      <c r="A166" s="41"/>
      <c r="B166" s="15" t="s">
        <v>300</v>
      </c>
      <c r="C166" s="16" t="s">
        <v>301</v>
      </c>
      <c r="D166" s="16" t="s">
        <v>196</v>
      </c>
      <c r="E166" s="2">
        <f>45000*0.3048</f>
        <v>13716</v>
      </c>
      <c r="F166" s="2">
        <f>39000*0.3048</f>
        <v>11887.2</v>
      </c>
      <c r="G166" s="2">
        <f>45000*0.3048</f>
        <v>13716</v>
      </c>
      <c r="H166" s="2">
        <v>12495</v>
      </c>
      <c r="I166" s="2">
        <v>12497</v>
      </c>
      <c r="J166" s="2">
        <v>13105</v>
      </c>
      <c r="K166" s="2">
        <v>13106</v>
      </c>
      <c r="L166" s="2"/>
      <c r="M166" s="2"/>
      <c r="N166" s="2"/>
    </row>
    <row r="167" spans="1:15" x14ac:dyDescent="0.25">
      <c r="A167" s="41"/>
      <c r="B167" s="15" t="s">
        <v>22</v>
      </c>
      <c r="C167" s="16" t="s">
        <v>34</v>
      </c>
      <c r="D167" s="16" t="s">
        <v>34</v>
      </c>
      <c r="F167" s="2"/>
      <c r="G167" s="2"/>
      <c r="H167" s="2"/>
      <c r="I167" s="2"/>
      <c r="J167" s="2"/>
      <c r="K167" s="2"/>
      <c r="L167" s="2"/>
      <c r="M167" s="2"/>
      <c r="N167" s="2"/>
    </row>
    <row r="168" spans="1:15" ht="18" x14ac:dyDescent="0.25">
      <c r="A168" s="41"/>
      <c r="B168" s="15" t="s">
        <v>23</v>
      </c>
      <c r="C168" s="16" t="s">
        <v>176</v>
      </c>
      <c r="D168" s="16" t="s">
        <v>196</v>
      </c>
      <c r="E168" s="2">
        <v>1740</v>
      </c>
      <c r="F168" s="2">
        <v>1633</v>
      </c>
      <c r="G168" s="2">
        <v>1425</v>
      </c>
      <c r="H168" s="2">
        <v>1972</v>
      </c>
      <c r="I168" s="2">
        <v>1689</v>
      </c>
      <c r="J168" s="2">
        <v>1474</v>
      </c>
      <c r="K168" s="2">
        <v>1448</v>
      </c>
      <c r="L168" s="2">
        <v>1191</v>
      </c>
      <c r="M168" s="2">
        <v>1245</v>
      </c>
      <c r="N168" s="2">
        <v>956</v>
      </c>
      <c r="O168" s="2">
        <v>1600</v>
      </c>
    </row>
    <row r="169" spans="1:15" ht="18" x14ac:dyDescent="0.25">
      <c r="A169" s="41"/>
      <c r="B169" s="15" t="s">
        <v>24</v>
      </c>
      <c r="C169" s="16" t="s">
        <v>175</v>
      </c>
      <c r="D169" s="16" t="s">
        <v>196</v>
      </c>
      <c r="E169" s="2">
        <v>631</v>
      </c>
      <c r="F169" s="2">
        <v>736</v>
      </c>
      <c r="G169" s="2">
        <v>689</v>
      </c>
      <c r="H169" s="2">
        <v>682</v>
      </c>
      <c r="I169" s="2">
        <v>673</v>
      </c>
      <c r="J169" s="2">
        <v>721</v>
      </c>
      <c r="K169" s="2">
        <v>829</v>
      </c>
      <c r="L169" s="2">
        <v>637</v>
      </c>
      <c r="M169" s="2">
        <v>647</v>
      </c>
      <c r="N169" s="2">
        <v>799</v>
      </c>
      <c r="O169" s="2">
        <v>1015</v>
      </c>
    </row>
    <row r="170" spans="1:15" s="45" customFormat="1" x14ac:dyDescent="0.25"/>
    <row r="171" spans="1:15" s="2" customFormat="1" x14ac:dyDescent="0.25"/>
    <row r="172" spans="1:15" s="2" customFormat="1" x14ac:dyDescent="0.25">
      <c r="A172" s="39"/>
      <c r="B172" s="39"/>
      <c r="C172" s="44" t="s">
        <v>267</v>
      </c>
      <c r="D172" s="44"/>
      <c r="E172" s="18" t="e">
        <f t="shared" ref="E172:L172" si="98">SUM(SUMPRODUCT(1*(E3:E4="")),SUMPRODUCT(1*(E6:E9="")),SUMPRODUCT(1*(E11:E23="")),SUMPRODUCT(1*(E25:E39="")),SUMPRODUCT(1*(E42:E51="")),SUMPRODUCT(1*(E54:E61="")),SUMPRODUCT(1*(E63:E79="")),SUMPRODUCT(1*(E81:E86="")),SUMPRODUCT(1*(E88:E93="")),SUMPRODUCT(1*(E95:E112="")),SUMPRODUCT(1*(E114:E116="")),SUMPRODUCT(1*(E118:E135="")),SUMPRODUCT(1*(E137:E139="")),SUMPRODUCT(1*(E141:E153="")),SUMPRODUCT(1*(E155:E169="")))</f>
        <v>#DIV/0!</v>
      </c>
      <c r="F172" s="18" t="e">
        <f t="shared" si="98"/>
        <v>#DIV/0!</v>
      </c>
      <c r="G172" s="18" t="e">
        <f t="shared" si="98"/>
        <v>#DIV/0!</v>
      </c>
      <c r="H172" s="18" t="e">
        <f t="shared" si="98"/>
        <v>#DIV/0!</v>
      </c>
      <c r="I172" s="18" t="e">
        <f t="shared" si="98"/>
        <v>#DIV/0!</v>
      </c>
      <c r="J172" s="18" t="e">
        <f t="shared" si="98"/>
        <v>#DIV/0!</v>
      </c>
      <c r="K172" s="18" t="e">
        <f t="shared" si="98"/>
        <v>#DIV/0!</v>
      </c>
      <c r="L172" s="18" t="e">
        <f t="shared" si="98"/>
        <v>#DIV/0!</v>
      </c>
      <c r="M172" s="18" t="e">
        <f>SUM(SUMPRODUCT(1*(M3:M4="")),SUMPRODUCT(1*(N6:N9="")),SUMPRODUCT(1*(N11:N23="")),SUMPRODUCT(1*(M25:M39="")),SUMPRODUCT(1*(M42:M51="")),SUMPRODUCT(1*(M54:M61="")),SUMPRODUCT(1*(M63:M79="")),SUMPRODUCT(1*(M81:M86="")),SUMPRODUCT(1*(M88:M93="")),SUMPRODUCT(1*(M95:M112="")),SUMPRODUCT(1*(M114:M116="")),SUMPRODUCT(1*(M118:M135="")),SUMPRODUCT(1*(M137:M139="")),SUMPRODUCT(1*(M141:M153="")),SUMPRODUCT(1*(M155:M169="")))</f>
        <v>#DIV/0!</v>
      </c>
      <c r="N172" s="18" t="e">
        <f>SUM(SUMPRODUCT(1*(N3:N4="")),SUMPRODUCT(1*(#REF!="")),SUMPRODUCT(1*(O11:O23="")),SUMPRODUCT(1*(N25:N39="")),SUMPRODUCT(1*(N49:N51="")),SUMPRODUCT(1*(N54:N61="")),SUMPRODUCT(1*(N63:N79="")),SUMPRODUCT(1*(N81:N86="")),SUMPRODUCT(1*(N88:N93="")),SUMPRODUCT(1*(N95:N112="")),SUMPRODUCT(1*(N114:N116="")),SUMPRODUCT(1*(N118:N135="")),SUMPRODUCT(1*(N137:N139="")),SUMPRODUCT(1*(N141:N153="")),SUMPRODUCT(1*(N155:N169="")))</f>
        <v>#REF!</v>
      </c>
      <c r="O172" s="18" t="e">
        <f>SUM(SUMPRODUCT(1*(O3:O4="")),SUMPRODUCT(1*(O6:O9="")),SUMPRODUCT(1*(P11:P23="")),SUMPRODUCT(1*(O25:O39="")),SUMPRODUCT(1*(O42:O51="")),SUMPRODUCT(1*(O54:O61="")),SUMPRODUCT(1*(O63:O79="")),SUMPRODUCT(1*(O81:O86="")),SUMPRODUCT(1*(O88:O93="")),SUMPRODUCT(1*(O95:O112="")),SUMPRODUCT(1*(O114:O116="")),SUMPRODUCT(1*(O118:O135="")),SUMPRODUCT(1*(O137:O139="")),SUMPRODUCT(1*(O141:O153="")),SUMPRODUCT(1*(O155:O169="")))</f>
        <v>#DIV/0!</v>
      </c>
    </row>
    <row r="173" spans="1:15" s="2" customFormat="1" x14ac:dyDescent="0.25"/>
    <row r="174" spans="1:15" x14ac:dyDescent="0.25">
      <c r="B174" s="42"/>
      <c r="C174" s="42"/>
      <c r="D174" s="42"/>
      <c r="E174" s="42"/>
      <c r="F174" s="33"/>
      <c r="G174" s="33"/>
      <c r="H174" s="33"/>
      <c r="I174" s="33"/>
      <c r="J174" s="33"/>
      <c r="K174" s="33"/>
      <c r="L174" s="33"/>
      <c r="M174" s="33"/>
      <c r="N174" s="33"/>
    </row>
    <row r="175" spans="1:15" x14ac:dyDescent="0.25">
      <c r="B175" s="42"/>
      <c r="C175" s="42"/>
      <c r="D175" s="42"/>
      <c r="E175" s="42"/>
      <c r="F175" s="33"/>
      <c r="G175" s="33"/>
      <c r="H175" s="33"/>
      <c r="I175" s="33"/>
      <c r="J175" s="33"/>
      <c r="K175" s="33"/>
      <c r="L175" s="33"/>
      <c r="M175" s="33"/>
      <c r="N175" s="33"/>
    </row>
    <row r="176" spans="1:15" x14ac:dyDescent="0.25">
      <c r="B176" s="42"/>
      <c r="C176" s="42"/>
      <c r="D176" s="42"/>
      <c r="E176" s="42"/>
      <c r="F176" s="33"/>
      <c r="G176" s="33">
        <f>158</f>
        <v>158</v>
      </c>
      <c r="H176" s="33"/>
      <c r="I176" s="33"/>
      <c r="J176" s="33"/>
      <c r="K176" s="33"/>
      <c r="L176" s="33"/>
      <c r="M176" s="33"/>
      <c r="N176" s="33"/>
    </row>
    <row r="177" spans="2:14" x14ac:dyDescent="0.25">
      <c r="B177" s="42"/>
      <c r="C177" s="42"/>
      <c r="D177" s="42"/>
      <c r="E177" s="42"/>
      <c r="F177" s="33"/>
      <c r="G177" s="33"/>
      <c r="H177" s="33"/>
      <c r="I177" s="33"/>
      <c r="J177" s="33"/>
      <c r="K177" s="33"/>
      <c r="L177" s="33"/>
      <c r="M177" s="33"/>
      <c r="N177" s="33"/>
    </row>
    <row r="178" spans="2:14" x14ac:dyDescent="0.25">
      <c r="B178" s="42"/>
      <c r="C178" s="42"/>
      <c r="D178" s="42"/>
      <c r="E178" s="42"/>
      <c r="F178" s="33"/>
      <c r="G178" s="33"/>
      <c r="H178" s="33"/>
      <c r="I178" s="33"/>
      <c r="J178" s="33"/>
      <c r="K178" s="33"/>
      <c r="L178" s="33"/>
      <c r="M178" s="33"/>
      <c r="N178" s="33"/>
    </row>
    <row r="179" spans="2:14" x14ac:dyDescent="0.25">
      <c r="B179" s="42"/>
      <c r="C179" s="42"/>
      <c r="D179" s="42"/>
      <c r="E179" s="42"/>
      <c r="F179" s="33"/>
      <c r="G179" s="33"/>
      <c r="H179" s="33"/>
      <c r="I179" s="33"/>
      <c r="J179" s="33"/>
      <c r="K179" s="33"/>
      <c r="L179" s="33"/>
      <c r="M179" s="33"/>
      <c r="N179" s="33"/>
    </row>
    <row r="180" spans="2:14" x14ac:dyDescent="0.25">
      <c r="B180" s="42"/>
      <c r="C180" s="42"/>
      <c r="D180" s="42"/>
      <c r="E180" s="42"/>
      <c r="F180" s="33"/>
      <c r="G180" s="33"/>
      <c r="H180" s="33"/>
      <c r="I180" s="33"/>
      <c r="J180" s="33"/>
      <c r="K180" s="33"/>
      <c r="L180" s="33"/>
      <c r="M180" s="33"/>
      <c r="N180" s="33"/>
    </row>
    <row r="181" spans="2:14" x14ac:dyDescent="0.25">
      <c r="B181" s="42"/>
      <c r="C181" s="42"/>
      <c r="D181" s="42"/>
      <c r="E181" s="42"/>
      <c r="F181" s="33"/>
      <c r="G181" s="33"/>
      <c r="H181" s="33"/>
      <c r="I181" s="33"/>
      <c r="J181" s="33"/>
      <c r="K181" s="33"/>
      <c r="L181" s="33"/>
      <c r="M181" s="33"/>
      <c r="N181" s="33"/>
    </row>
    <row r="182" spans="2:14" x14ac:dyDescent="0.25">
      <c r="B182" s="42"/>
      <c r="C182" s="42"/>
      <c r="D182" s="42"/>
      <c r="E182" s="42"/>
      <c r="F182" s="33"/>
      <c r="G182" s="33"/>
      <c r="H182" s="33"/>
      <c r="I182" s="33"/>
      <c r="J182" s="33"/>
      <c r="K182" s="33"/>
      <c r="L182" s="33"/>
      <c r="M182" s="33"/>
      <c r="N182" s="33"/>
    </row>
    <row r="183" spans="2:14" x14ac:dyDescent="0.25">
      <c r="B183" s="42"/>
      <c r="C183" s="42"/>
      <c r="D183" s="42"/>
      <c r="E183" s="42"/>
      <c r="F183" s="33"/>
      <c r="G183" s="33"/>
      <c r="H183" s="33"/>
      <c r="I183" s="33"/>
      <c r="J183" s="33"/>
      <c r="K183" s="33"/>
      <c r="L183" s="33"/>
      <c r="M183" s="33"/>
      <c r="N183" s="33"/>
    </row>
    <row r="184" spans="2:14" x14ac:dyDescent="0.25">
      <c r="B184" s="42"/>
      <c r="C184" s="42"/>
      <c r="D184" s="42"/>
      <c r="E184" s="42"/>
      <c r="F184" s="33"/>
      <c r="G184" s="33"/>
      <c r="H184" s="33"/>
      <c r="I184" s="33"/>
      <c r="J184" s="33"/>
      <c r="K184" s="33"/>
      <c r="L184" s="33"/>
      <c r="M184" s="33"/>
      <c r="N184" s="33"/>
    </row>
    <row r="185" spans="2:14" x14ac:dyDescent="0.25">
      <c r="B185" s="42"/>
      <c r="C185" s="42"/>
      <c r="D185" s="42"/>
      <c r="E185" s="42"/>
      <c r="F185" s="33"/>
      <c r="G185" s="33"/>
      <c r="H185" s="33"/>
      <c r="I185" s="33"/>
      <c r="J185" s="33"/>
      <c r="K185" s="33"/>
      <c r="L185" s="33"/>
      <c r="M185" s="33"/>
      <c r="N185" s="33"/>
    </row>
    <row r="186" spans="2:14" x14ac:dyDescent="0.25">
      <c r="B186" s="42"/>
      <c r="C186" s="42"/>
      <c r="D186" s="42"/>
      <c r="E186" s="42"/>
      <c r="F186" s="33"/>
      <c r="G186" s="33"/>
      <c r="H186" s="33"/>
      <c r="I186" s="33"/>
      <c r="J186" s="33"/>
      <c r="K186" s="33"/>
      <c r="L186" s="33"/>
      <c r="M186" s="33"/>
      <c r="N186" s="33"/>
    </row>
    <row r="187" spans="2:14" x14ac:dyDescent="0.25">
      <c r="B187" s="42"/>
      <c r="C187" s="42"/>
      <c r="D187" s="42"/>
      <c r="E187" s="42"/>
      <c r="F187" s="33"/>
      <c r="G187" s="33"/>
      <c r="H187" s="33"/>
      <c r="I187" s="33"/>
      <c r="J187" s="33"/>
      <c r="K187" s="33"/>
      <c r="L187" s="33"/>
      <c r="M187" s="33"/>
      <c r="N187" s="33"/>
    </row>
    <row r="188" spans="2:14" x14ac:dyDescent="0.25">
      <c r="B188" s="42"/>
      <c r="C188" s="42"/>
      <c r="D188" s="42"/>
      <c r="E188" s="42"/>
      <c r="F188" s="33"/>
      <c r="G188" s="33"/>
      <c r="H188" s="33"/>
      <c r="I188" s="33"/>
      <c r="J188" s="33"/>
      <c r="K188" s="33"/>
      <c r="L188" s="33"/>
      <c r="M188" s="33"/>
      <c r="N188" s="33"/>
    </row>
    <row r="189" spans="2:14" x14ac:dyDescent="0.25">
      <c r="B189" s="42"/>
      <c r="C189" s="42"/>
      <c r="D189" s="42"/>
      <c r="E189" s="42"/>
      <c r="F189" s="33"/>
      <c r="G189" s="33"/>
      <c r="H189" s="33"/>
      <c r="I189" s="33"/>
      <c r="J189" s="33"/>
      <c r="K189" s="33"/>
      <c r="L189" s="33"/>
      <c r="M189" s="33"/>
      <c r="N189" s="33"/>
    </row>
    <row r="190" spans="2:14" x14ac:dyDescent="0.25">
      <c r="B190" s="33"/>
      <c r="C190" s="33"/>
      <c r="D190" s="33"/>
      <c r="E190" s="33"/>
      <c r="F190" s="33"/>
      <c r="G190" s="33"/>
      <c r="H190" s="33"/>
      <c r="I190" s="33"/>
      <c r="J190" s="33"/>
      <c r="K190" s="33"/>
      <c r="L190" s="33"/>
      <c r="M190" s="33"/>
      <c r="N190" s="33"/>
    </row>
    <row r="191" spans="2:14" x14ac:dyDescent="0.25">
      <c r="B191" s="33"/>
      <c r="C191" s="33"/>
      <c r="D191" s="33"/>
      <c r="E191" s="33"/>
      <c r="F191" s="33"/>
      <c r="G191" s="33"/>
      <c r="H191" s="33"/>
      <c r="I191" s="33"/>
      <c r="J191" s="33"/>
      <c r="K191" s="33"/>
      <c r="L191" s="33"/>
      <c r="M191" s="33"/>
      <c r="N191" s="33"/>
    </row>
    <row r="192" spans="2:14" x14ac:dyDescent="0.25">
      <c r="B192" s="33"/>
      <c r="C192" s="33"/>
      <c r="D192" s="33"/>
      <c r="E192" s="33"/>
      <c r="F192" s="33"/>
      <c r="G192" s="33"/>
      <c r="H192" s="33"/>
      <c r="I192" s="33"/>
      <c r="J192" s="33"/>
      <c r="K192" s="33"/>
      <c r="L192" s="33"/>
      <c r="M192" s="33"/>
      <c r="N192" s="33"/>
    </row>
    <row r="193" spans="2:14" x14ac:dyDescent="0.25">
      <c r="B193" s="33"/>
      <c r="C193" s="33"/>
      <c r="D193" s="33"/>
      <c r="E193" s="33"/>
      <c r="F193" s="33"/>
      <c r="G193" s="33"/>
      <c r="H193" s="33"/>
      <c r="I193" s="33"/>
      <c r="J193" s="33"/>
      <c r="K193" s="33"/>
      <c r="L193" s="33"/>
      <c r="M193" s="33"/>
      <c r="N193" s="33"/>
    </row>
    <row r="194" spans="2:14" x14ac:dyDescent="0.25">
      <c r="B194" s="33"/>
      <c r="C194" s="33"/>
      <c r="D194" s="33"/>
      <c r="E194" s="33"/>
      <c r="F194" s="33"/>
      <c r="G194" s="33"/>
      <c r="H194" s="33"/>
      <c r="I194" s="33"/>
      <c r="J194" s="33"/>
      <c r="K194" s="33"/>
      <c r="L194" s="33"/>
      <c r="M194" s="33"/>
      <c r="N194" s="33"/>
    </row>
    <row r="195" spans="2:14" x14ac:dyDescent="0.25">
      <c r="B195" s="33"/>
      <c r="C195" s="33"/>
      <c r="D195" s="33"/>
      <c r="E195" s="33"/>
      <c r="F195" s="33"/>
      <c r="G195" s="33"/>
      <c r="H195" s="33"/>
      <c r="I195" s="33"/>
      <c r="J195" s="33"/>
      <c r="K195" s="33"/>
      <c r="L195" s="33"/>
      <c r="M195" s="33"/>
      <c r="N195" s="33"/>
    </row>
    <row r="196" spans="2:14" x14ac:dyDescent="0.25">
      <c r="B196" s="33"/>
      <c r="C196" s="33"/>
      <c r="D196" s="33"/>
      <c r="E196" s="33"/>
      <c r="F196" s="33"/>
      <c r="G196" s="33"/>
      <c r="H196" s="33"/>
      <c r="I196" s="33"/>
      <c r="J196" s="33"/>
      <c r="K196" s="33"/>
      <c r="L196" s="33"/>
      <c r="M196" s="33"/>
      <c r="N196" s="33"/>
    </row>
  </sheetData>
  <mergeCells count="31">
    <mergeCell ref="C172:D172"/>
    <mergeCell ref="B174:E189"/>
    <mergeCell ref="A154:XFD154"/>
    <mergeCell ref="A170:XFD170"/>
    <mergeCell ref="A3:A9"/>
    <mergeCell ref="A10:XFD10"/>
    <mergeCell ref="A24:XFD24"/>
    <mergeCell ref="A40:XFD40"/>
    <mergeCell ref="A53:XFD53"/>
    <mergeCell ref="A62:XFD62"/>
    <mergeCell ref="A80:XFD80"/>
    <mergeCell ref="A87:XFD87"/>
    <mergeCell ref="A94:XFD94"/>
    <mergeCell ref="A81:A86"/>
    <mergeCell ref="A155:A169"/>
    <mergeCell ref="A11:A23"/>
    <mergeCell ref="A2:XFD2"/>
    <mergeCell ref="A25:A39"/>
    <mergeCell ref="A141:A153"/>
    <mergeCell ref="A88:A93"/>
    <mergeCell ref="A117:XFD117"/>
    <mergeCell ref="A140:XFD140"/>
    <mergeCell ref="A54:A60"/>
    <mergeCell ref="A63:A79"/>
    <mergeCell ref="A95:A112"/>
    <mergeCell ref="A114:A116"/>
    <mergeCell ref="A113:XFD113"/>
    <mergeCell ref="A118:A135"/>
    <mergeCell ref="A137:A139"/>
    <mergeCell ref="A136:XFD136"/>
    <mergeCell ref="A41:A52"/>
  </mergeCells>
  <conditionalFormatting sqref="E32:O32">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1 F166 I98"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24" zoomScale="85" zoomScaleNormal="85" workbookViewId="0">
      <selection activeCell="A23" sqref="A23:A32"/>
    </sheetView>
  </sheetViews>
  <sheetFormatPr defaultColWidth="9.140625" defaultRowHeight="15" x14ac:dyDescent="0.2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x14ac:dyDescent="0.25">
      <c r="A1" s="12" t="s">
        <v>189</v>
      </c>
      <c r="B1" s="13" t="s">
        <v>192</v>
      </c>
      <c r="C1" s="12" t="s">
        <v>190</v>
      </c>
      <c r="D1" s="12" t="s">
        <v>191</v>
      </c>
      <c r="E1" s="12" t="s">
        <v>193</v>
      </c>
      <c r="F1" s="12" t="s">
        <v>194</v>
      </c>
      <c r="G1" s="12" t="s">
        <v>195</v>
      </c>
    </row>
    <row r="2" spans="1:7" s="48" customFormat="1" x14ac:dyDescent="0.25"/>
    <row r="3" spans="1:7" x14ac:dyDescent="0.25">
      <c r="A3" s="46" t="s">
        <v>26</v>
      </c>
      <c r="B3" s="11" t="s">
        <v>0</v>
      </c>
      <c r="C3" s="4" t="s">
        <v>34</v>
      </c>
      <c r="D3" s="4" t="s">
        <v>34</v>
      </c>
      <c r="E3" s="3" t="s">
        <v>359</v>
      </c>
      <c r="F3" s="30" t="s">
        <v>371</v>
      </c>
      <c r="G3" t="s">
        <v>183</v>
      </c>
    </row>
    <row r="4" spans="1:7" ht="15" customHeight="1" x14ac:dyDescent="0.25">
      <c r="A4" s="46"/>
      <c r="B4" s="6" t="s">
        <v>1</v>
      </c>
      <c r="C4" s="4" t="s">
        <v>34</v>
      </c>
      <c r="D4" s="4" t="s">
        <v>34</v>
      </c>
      <c r="E4" s="3" t="s">
        <v>360</v>
      </c>
      <c r="F4" s="30" t="s">
        <v>184</v>
      </c>
      <c r="G4" t="s">
        <v>184</v>
      </c>
    </row>
    <row r="5" spans="1:7" ht="90" customHeight="1" x14ac:dyDescent="0.25">
      <c r="A5" s="46"/>
      <c r="B5" s="6" t="s">
        <v>225</v>
      </c>
      <c r="C5" s="4" t="s">
        <v>34</v>
      </c>
      <c r="D5" s="4" t="s">
        <v>34</v>
      </c>
      <c r="E5" s="3"/>
    </row>
    <row r="6" spans="1:7" x14ac:dyDescent="0.25">
      <c r="A6" s="46"/>
      <c r="B6" s="6" t="s">
        <v>2</v>
      </c>
      <c r="C6" s="4" t="s">
        <v>34</v>
      </c>
      <c r="D6" s="4" t="s">
        <v>34</v>
      </c>
      <c r="E6" s="5">
        <v>27349</v>
      </c>
    </row>
    <row r="7" spans="1:7" ht="18" x14ac:dyDescent="0.25">
      <c r="A7" s="46"/>
      <c r="B7" s="6" t="s">
        <v>3</v>
      </c>
      <c r="C7" s="4" t="s">
        <v>35</v>
      </c>
      <c r="D7" s="4" t="s">
        <v>196</v>
      </c>
      <c r="E7" s="9">
        <v>9.9499999999999993</v>
      </c>
      <c r="F7" s="31">
        <v>9.07</v>
      </c>
      <c r="G7" s="10"/>
    </row>
    <row r="8" spans="1:7" ht="18" x14ac:dyDescent="0.25">
      <c r="A8" s="46"/>
      <c r="B8" s="6" t="s">
        <v>4</v>
      </c>
      <c r="C8" s="4" t="s">
        <v>36</v>
      </c>
      <c r="D8" s="4" t="s">
        <v>196</v>
      </c>
      <c r="E8" s="9">
        <v>33.46</v>
      </c>
      <c r="F8" s="31">
        <v>19.82</v>
      </c>
      <c r="G8" s="10"/>
    </row>
    <row r="9" spans="1:7" ht="18" x14ac:dyDescent="0.25">
      <c r="A9" s="46"/>
      <c r="B9" s="6" t="s">
        <v>5</v>
      </c>
      <c r="C9" s="4" t="s">
        <v>37</v>
      </c>
      <c r="D9" s="4" t="s">
        <v>196</v>
      </c>
      <c r="E9" s="9">
        <v>33.15</v>
      </c>
      <c r="F9" s="31">
        <v>28.63</v>
      </c>
      <c r="G9" s="10"/>
    </row>
    <row r="10" spans="1:7" s="43" customFormat="1" x14ac:dyDescent="0.25"/>
    <row r="11" spans="1:7" ht="18" customHeight="1" x14ac:dyDescent="0.25">
      <c r="A11" s="41" t="s">
        <v>27</v>
      </c>
      <c r="B11" s="15" t="s">
        <v>6</v>
      </c>
      <c r="C11" s="16" t="s">
        <v>52</v>
      </c>
      <c r="D11" s="16" t="s">
        <v>34</v>
      </c>
      <c r="E11" s="2">
        <v>4</v>
      </c>
      <c r="F11" s="30">
        <v>2</v>
      </c>
    </row>
    <row r="12" spans="1:7" x14ac:dyDescent="0.25">
      <c r="A12" s="41"/>
      <c r="B12" s="15" t="s">
        <v>7</v>
      </c>
      <c r="C12" s="16" t="s">
        <v>34</v>
      </c>
      <c r="D12" s="16" t="s">
        <v>34</v>
      </c>
      <c r="E12" s="2" t="s">
        <v>361</v>
      </c>
      <c r="F12" s="2" t="s">
        <v>361</v>
      </c>
    </row>
    <row r="13" spans="1:7" x14ac:dyDescent="0.25">
      <c r="A13" s="41"/>
      <c r="B13" s="15" t="s">
        <v>8</v>
      </c>
      <c r="C13" s="16" t="s">
        <v>34</v>
      </c>
      <c r="D13" s="16" t="s">
        <v>34</v>
      </c>
      <c r="E13" s="2" t="s">
        <v>362</v>
      </c>
      <c r="F13" s="2" t="s">
        <v>362</v>
      </c>
    </row>
    <row r="14" spans="1:7" x14ac:dyDescent="0.25">
      <c r="A14" s="41"/>
      <c r="B14" s="15" t="s">
        <v>9</v>
      </c>
      <c r="C14" s="16" t="s">
        <v>34</v>
      </c>
      <c r="D14" s="16" t="s">
        <v>34</v>
      </c>
      <c r="E14" s="2" t="s">
        <v>363</v>
      </c>
      <c r="F14" s="30" t="s">
        <v>372</v>
      </c>
    </row>
    <row r="15" spans="1:7" x14ac:dyDescent="0.25">
      <c r="A15" s="41"/>
      <c r="B15" s="15" t="s">
        <v>1</v>
      </c>
      <c r="C15" s="16" t="s">
        <v>34</v>
      </c>
      <c r="D15" s="16" t="s">
        <v>34</v>
      </c>
      <c r="E15" s="2" t="s">
        <v>364</v>
      </c>
      <c r="F15" s="30" t="s">
        <v>373</v>
      </c>
    </row>
    <row r="16" spans="1:7" ht="18" x14ac:dyDescent="0.25">
      <c r="A16" s="41"/>
      <c r="B16" s="15" t="s">
        <v>10</v>
      </c>
      <c r="C16" s="16" t="s">
        <v>39</v>
      </c>
      <c r="D16" s="16" t="s">
        <v>197</v>
      </c>
      <c r="E16" s="2">
        <v>538</v>
      </c>
    </row>
    <row r="17" spans="1:7" ht="18" x14ac:dyDescent="0.25">
      <c r="A17" s="41"/>
      <c r="B17" s="15" t="s">
        <v>365</v>
      </c>
      <c r="C17" s="16" t="s">
        <v>366</v>
      </c>
      <c r="D17" s="16" t="s">
        <v>367</v>
      </c>
      <c r="E17" s="14">
        <v>2535</v>
      </c>
      <c r="F17" s="31">
        <v>1775</v>
      </c>
      <c r="G17" s="10"/>
    </row>
    <row r="18" spans="1:7" ht="18" x14ac:dyDescent="0.25">
      <c r="A18" s="41"/>
      <c r="B18" s="15" t="s">
        <v>226</v>
      </c>
      <c r="C18" s="16" t="s">
        <v>227</v>
      </c>
      <c r="D18" s="16" t="s">
        <v>228</v>
      </c>
      <c r="E18" s="14"/>
      <c r="F18" s="31">
        <v>0.47</v>
      </c>
      <c r="G18" s="10"/>
    </row>
    <row r="19" spans="1:7" ht="18" x14ac:dyDescent="0.25">
      <c r="A19" s="41"/>
      <c r="B19" s="15" t="s">
        <v>198</v>
      </c>
      <c r="C19" s="16" t="s">
        <v>200</v>
      </c>
      <c r="D19" s="16" t="s">
        <v>196</v>
      </c>
      <c r="E19" s="21">
        <v>0.68300000000000005</v>
      </c>
      <c r="F19" s="31"/>
      <c r="G19" s="10"/>
    </row>
    <row r="20" spans="1:7" ht="18" x14ac:dyDescent="0.25">
      <c r="A20" s="41"/>
      <c r="B20" s="15" t="s">
        <v>199</v>
      </c>
      <c r="C20" s="16" t="s">
        <v>201</v>
      </c>
      <c r="D20" s="16" t="s">
        <v>196</v>
      </c>
      <c r="E20" s="21">
        <v>2.7930000000000001</v>
      </c>
      <c r="F20" s="31"/>
      <c r="G20" s="10"/>
    </row>
    <row r="21" spans="1:7" ht="18" x14ac:dyDescent="0.25">
      <c r="A21" s="41"/>
      <c r="B21" s="15" t="s">
        <v>229</v>
      </c>
      <c r="C21" s="16" t="s">
        <v>230</v>
      </c>
      <c r="D21" s="16" t="s">
        <v>202</v>
      </c>
      <c r="E21" s="14"/>
      <c r="F21" s="31"/>
      <c r="G21" s="10"/>
    </row>
    <row r="22" spans="1:7" s="42" customFormat="1" ht="18.75" customHeight="1" x14ac:dyDescent="0.25"/>
    <row r="23" spans="1:7" ht="18" customHeight="1" x14ac:dyDescent="0.25">
      <c r="A23" s="41" t="s">
        <v>28</v>
      </c>
      <c r="B23" s="15" t="s">
        <v>54</v>
      </c>
      <c r="C23" s="16" t="s">
        <v>53</v>
      </c>
      <c r="D23" s="16" t="s">
        <v>197</v>
      </c>
      <c r="E23" s="2">
        <v>43000</v>
      </c>
      <c r="F23" s="30">
        <v>17168</v>
      </c>
    </row>
    <row r="24" spans="1:7" x14ac:dyDescent="0.25">
      <c r="A24" s="41"/>
      <c r="B24" s="15" t="s">
        <v>55</v>
      </c>
      <c r="C24" s="16" t="s">
        <v>56</v>
      </c>
      <c r="D24" s="16" t="s">
        <v>197</v>
      </c>
      <c r="E24" s="2">
        <v>25630</v>
      </c>
      <c r="F24" s="30">
        <v>12882</v>
      </c>
    </row>
    <row r="25" spans="1:7" x14ac:dyDescent="0.25">
      <c r="A25" s="41"/>
      <c r="B25" s="15" t="s">
        <v>61</v>
      </c>
      <c r="C25" s="16" t="s">
        <v>57</v>
      </c>
      <c r="D25" s="16" t="s">
        <v>197</v>
      </c>
      <c r="F25" s="30">
        <v>6123</v>
      </c>
    </row>
    <row r="26" spans="1:7" ht="30" x14ac:dyDescent="0.25">
      <c r="A26" s="41"/>
      <c r="B26" s="15" t="s">
        <v>60</v>
      </c>
      <c r="C26" s="16" t="s">
        <v>59</v>
      </c>
      <c r="D26" s="16" t="s">
        <v>197</v>
      </c>
      <c r="E26" s="2">
        <v>18397</v>
      </c>
      <c r="F26" s="30">
        <v>4649</v>
      </c>
    </row>
    <row r="27" spans="1:7" ht="30" x14ac:dyDescent="0.25">
      <c r="A27" s="41"/>
      <c r="B27" s="15" t="s">
        <v>205</v>
      </c>
      <c r="C27" s="16" t="s">
        <v>231</v>
      </c>
      <c r="D27" s="16" t="s">
        <v>197</v>
      </c>
      <c r="F27" s="30">
        <v>19504</v>
      </c>
    </row>
    <row r="28" spans="1:7" x14ac:dyDescent="0.25">
      <c r="A28" s="41"/>
      <c r="B28" s="15" t="s">
        <v>203</v>
      </c>
      <c r="C28" s="16" t="s">
        <v>204</v>
      </c>
      <c r="D28" s="16" t="s">
        <v>197</v>
      </c>
      <c r="E28" s="2">
        <v>28304</v>
      </c>
      <c r="F28" s="30">
        <v>16783</v>
      </c>
    </row>
    <row r="29" spans="1:7" x14ac:dyDescent="0.25">
      <c r="A29" s="41"/>
      <c r="B29" s="15" t="s">
        <v>62</v>
      </c>
      <c r="C29" s="16" t="s">
        <v>58</v>
      </c>
      <c r="D29" s="16" t="s">
        <v>34</v>
      </c>
      <c r="E29" s="2">
        <f>E24/E23</f>
        <v>0.59604651162790701</v>
      </c>
      <c r="F29" s="2">
        <f t="shared" ref="F29:G29" si="0">F24/F23</f>
        <v>0.75034948741845298</v>
      </c>
      <c r="G29" s="2" t="e">
        <f t="shared" si="0"/>
        <v>#DIV/0!</v>
      </c>
    </row>
    <row r="30" spans="1:7" x14ac:dyDescent="0.25">
      <c r="A30" s="41"/>
      <c r="B30" s="15" t="s">
        <v>180</v>
      </c>
      <c r="C30" s="16" t="s">
        <v>179</v>
      </c>
      <c r="D30" s="16" t="s">
        <v>34</v>
      </c>
      <c r="E30" s="2">
        <f>E25/E23</f>
        <v>0</v>
      </c>
      <c r="F30" s="2">
        <f t="shared" ref="F30:G30" si="1">F25/F23</f>
        <v>0.35665191053122086</v>
      </c>
      <c r="G30" s="2" t="e">
        <f t="shared" si="1"/>
        <v>#DIV/0!</v>
      </c>
    </row>
    <row r="31" spans="1:7" x14ac:dyDescent="0.25">
      <c r="A31" s="41"/>
      <c r="B31" s="15" t="s">
        <v>181</v>
      </c>
      <c r="C31" s="16" t="s">
        <v>182</v>
      </c>
      <c r="D31" s="16" t="s">
        <v>34</v>
      </c>
      <c r="E31" s="2">
        <f>E26/E23</f>
        <v>0.42783720930232561</v>
      </c>
      <c r="F31" s="2">
        <f t="shared" ref="F31:G31" si="2">F26/F23</f>
        <v>0.27079450139794969</v>
      </c>
      <c r="G31" s="2" t="e">
        <f t="shared" si="2"/>
        <v>#DIV/0!</v>
      </c>
    </row>
    <row r="32" spans="1:7" ht="18" x14ac:dyDescent="0.25">
      <c r="A32" s="41"/>
      <c r="B32" s="15" t="s">
        <v>232</v>
      </c>
      <c r="C32" s="16" t="s">
        <v>233</v>
      </c>
      <c r="D32" s="16" t="s">
        <v>234</v>
      </c>
      <c r="F32" s="2"/>
      <c r="G32" s="2"/>
    </row>
    <row r="33" spans="1:7" s="42" customFormat="1" x14ac:dyDescent="0.25"/>
    <row r="34" spans="1:7" ht="15" customHeight="1" x14ac:dyDescent="0.25">
      <c r="A34" s="41" t="s">
        <v>164</v>
      </c>
      <c r="B34" s="15" t="s">
        <v>165</v>
      </c>
      <c r="C34" s="16" t="s">
        <v>174</v>
      </c>
      <c r="D34" s="16" t="s">
        <v>34</v>
      </c>
    </row>
    <row r="35" spans="1:7" ht="18" x14ac:dyDescent="0.25">
      <c r="A35" s="41"/>
      <c r="B35" s="15" t="s">
        <v>166</v>
      </c>
      <c r="C35" s="16" t="s">
        <v>173</v>
      </c>
      <c r="D35" s="16" t="s">
        <v>34</v>
      </c>
      <c r="E35" s="2">
        <v>28</v>
      </c>
    </row>
    <row r="36" spans="1:7" ht="18" x14ac:dyDescent="0.25">
      <c r="A36" s="41"/>
      <c r="B36" s="15" t="s">
        <v>167</v>
      </c>
      <c r="C36" s="16" t="s">
        <v>172</v>
      </c>
      <c r="D36" s="16" t="s">
        <v>196</v>
      </c>
    </row>
    <row r="37" spans="1:7" ht="18" x14ac:dyDescent="0.25">
      <c r="A37" s="41"/>
      <c r="B37" s="15" t="s">
        <v>168</v>
      </c>
      <c r="C37" s="16" t="s">
        <v>236</v>
      </c>
      <c r="D37" s="16" t="s">
        <v>196</v>
      </c>
    </row>
    <row r="38" spans="1:7" ht="18" x14ac:dyDescent="0.25">
      <c r="A38" s="41"/>
      <c r="B38" s="15" t="s">
        <v>169</v>
      </c>
      <c r="C38" s="16" t="s">
        <v>171</v>
      </c>
      <c r="D38" s="16" t="s">
        <v>196</v>
      </c>
    </row>
    <row r="39" spans="1:7" ht="18" x14ac:dyDescent="0.25">
      <c r="A39" s="41"/>
      <c r="B39" s="15" t="s">
        <v>237</v>
      </c>
      <c r="C39" s="16" t="s">
        <v>239</v>
      </c>
      <c r="D39" s="16" t="s">
        <v>238</v>
      </c>
    </row>
    <row r="40" spans="1:7" ht="45" x14ac:dyDescent="0.25">
      <c r="A40" s="41"/>
      <c r="B40" s="15" t="s">
        <v>240</v>
      </c>
      <c r="C40" s="16" t="s">
        <v>34</v>
      </c>
      <c r="D40" s="16" t="s">
        <v>34</v>
      </c>
    </row>
    <row r="41" spans="1:7" x14ac:dyDescent="0.25">
      <c r="A41" s="41"/>
      <c r="B41" s="15" t="s">
        <v>241</v>
      </c>
      <c r="C41" s="16" t="s">
        <v>34</v>
      </c>
      <c r="D41" s="16" t="s">
        <v>34</v>
      </c>
    </row>
    <row r="42" spans="1:7" ht="90" customHeight="1" x14ac:dyDescent="0.25">
      <c r="A42" s="41"/>
      <c r="B42" s="15" t="s">
        <v>170</v>
      </c>
      <c r="C42" s="16" t="s">
        <v>34</v>
      </c>
      <c r="D42" s="16" t="s">
        <v>34</v>
      </c>
    </row>
    <row r="43" spans="1:7" s="42" customFormat="1" x14ac:dyDescent="0.25"/>
    <row r="44" spans="1:7" ht="18" x14ac:dyDescent="0.25">
      <c r="A44" s="41" t="s">
        <v>29</v>
      </c>
      <c r="B44" s="15" t="s">
        <v>41</v>
      </c>
      <c r="C44" s="16" t="s">
        <v>40</v>
      </c>
      <c r="D44" s="16" t="s">
        <v>196</v>
      </c>
    </row>
    <row r="45" spans="1:7" ht="18" x14ac:dyDescent="0.25">
      <c r="A45" s="41"/>
      <c r="B45" s="17" t="s">
        <v>235</v>
      </c>
      <c r="C45" s="16" t="s">
        <v>49</v>
      </c>
      <c r="D45" s="16" t="s">
        <v>34</v>
      </c>
      <c r="E45" s="2" t="e">
        <f>E44/E56</f>
        <v>#DIV/0!</v>
      </c>
      <c r="F45" s="2" t="e">
        <f t="shared" ref="F45:G45" si="3">F44/F56</f>
        <v>#DIV/0!</v>
      </c>
      <c r="G45" s="2" t="e">
        <f t="shared" si="3"/>
        <v>#DIV/0!</v>
      </c>
    </row>
    <row r="46" spans="1:7" ht="18" x14ac:dyDescent="0.25">
      <c r="A46" s="41"/>
      <c r="B46" s="15" t="s">
        <v>215</v>
      </c>
      <c r="C46" s="16" t="s">
        <v>50</v>
      </c>
      <c r="D46" s="16" t="s">
        <v>34</v>
      </c>
      <c r="E46" s="2">
        <f>E44/E8</f>
        <v>0</v>
      </c>
      <c r="F46" s="2">
        <f t="shared" ref="F46:G46" si="4">F44/F8</f>
        <v>0</v>
      </c>
      <c r="G46" s="2" t="e">
        <f t="shared" si="4"/>
        <v>#DIV/0!</v>
      </c>
    </row>
    <row r="47" spans="1:7" ht="18" x14ac:dyDescent="0.25">
      <c r="A47" s="41"/>
      <c r="B47" s="15" t="s">
        <v>42</v>
      </c>
      <c r="C47" s="16" t="s">
        <v>43</v>
      </c>
      <c r="D47" s="16" t="s">
        <v>196</v>
      </c>
    </row>
    <row r="48" spans="1:7" ht="18" x14ac:dyDescent="0.25">
      <c r="A48" s="41"/>
      <c r="B48" s="15" t="s">
        <v>44</v>
      </c>
      <c r="C48" s="16" t="s">
        <v>45</v>
      </c>
      <c r="D48" s="16" t="s">
        <v>196</v>
      </c>
    </row>
    <row r="49" spans="1:7" ht="18" x14ac:dyDescent="0.25">
      <c r="A49" s="41"/>
      <c r="B49" s="15" t="s">
        <v>46</v>
      </c>
      <c r="C49" s="16" t="s">
        <v>47</v>
      </c>
      <c r="D49" s="16" t="s">
        <v>208</v>
      </c>
    </row>
    <row r="50" spans="1:7" ht="30" customHeight="1" x14ac:dyDescent="0.25">
      <c r="A50" s="41"/>
      <c r="B50" s="15" t="s">
        <v>51</v>
      </c>
      <c r="C50" s="16" t="s">
        <v>48</v>
      </c>
      <c r="D50" s="16" t="s">
        <v>196</v>
      </c>
    </row>
    <row r="51" spans="1:7" ht="18" customHeight="1" x14ac:dyDescent="0.25">
      <c r="A51" s="7"/>
      <c r="B51" s="15" t="s">
        <v>177</v>
      </c>
      <c r="C51" s="16" t="s">
        <v>178</v>
      </c>
      <c r="D51" s="16" t="s">
        <v>34</v>
      </c>
      <c r="E51" s="2" t="e">
        <f>E44/E47</f>
        <v>#DIV/0!</v>
      </c>
      <c r="F51" s="2" t="e">
        <f t="shared" ref="F51:G51" si="5">F44/F47</f>
        <v>#DIV/0!</v>
      </c>
      <c r="G51" s="2" t="e">
        <f t="shared" si="5"/>
        <v>#DIV/0!</v>
      </c>
    </row>
    <row r="52" spans="1:7" s="42" customFormat="1" x14ac:dyDescent="0.25"/>
    <row r="53" spans="1:7" x14ac:dyDescent="0.25">
      <c r="A53" s="41" t="s">
        <v>30</v>
      </c>
      <c r="B53" s="15" t="s">
        <v>11</v>
      </c>
      <c r="C53" s="16" t="s">
        <v>34</v>
      </c>
      <c r="D53" s="16" t="s">
        <v>34</v>
      </c>
    </row>
    <row r="54" spans="1:7" ht="18" x14ac:dyDescent="0.25">
      <c r="A54" s="41"/>
      <c r="B54" s="15" t="s">
        <v>12</v>
      </c>
      <c r="C54" s="16" t="s">
        <v>84</v>
      </c>
      <c r="D54" s="16" t="s">
        <v>34</v>
      </c>
    </row>
    <row r="55" spans="1:7" ht="18" x14ac:dyDescent="0.25">
      <c r="A55" s="41"/>
      <c r="B55" s="15" t="s">
        <v>83</v>
      </c>
      <c r="C55" s="16" t="s">
        <v>63</v>
      </c>
      <c r="D55" s="16" t="s">
        <v>208</v>
      </c>
    </row>
    <row r="56" spans="1:7" x14ac:dyDescent="0.25">
      <c r="A56" s="41"/>
      <c r="B56" s="15" t="s">
        <v>82</v>
      </c>
      <c r="C56" s="16" t="s">
        <v>64</v>
      </c>
      <c r="D56" s="16" t="s">
        <v>196</v>
      </c>
    </row>
    <row r="57" spans="1:7" ht="18" x14ac:dyDescent="0.25">
      <c r="A57" s="41"/>
      <c r="B57" s="15" t="s">
        <v>65</v>
      </c>
      <c r="C57" s="16" t="s">
        <v>66</v>
      </c>
      <c r="D57" s="16" t="s">
        <v>196</v>
      </c>
    </row>
    <row r="58" spans="1:7" ht="18" x14ac:dyDescent="0.25">
      <c r="A58" s="41"/>
      <c r="B58" s="15" t="s">
        <v>67</v>
      </c>
      <c r="C58" s="16" t="s">
        <v>68</v>
      </c>
      <c r="D58" s="16" t="s">
        <v>196</v>
      </c>
    </row>
    <row r="59" spans="1:7" x14ac:dyDescent="0.25">
      <c r="A59" s="41"/>
      <c r="B59" s="15" t="s">
        <v>13</v>
      </c>
      <c r="C59" s="16" t="s">
        <v>69</v>
      </c>
      <c r="D59" s="16" t="s">
        <v>196</v>
      </c>
    </row>
    <row r="60" spans="1:7" ht="30" customHeight="1" x14ac:dyDescent="0.25">
      <c r="A60" s="41"/>
      <c r="B60" s="15" t="s">
        <v>14</v>
      </c>
      <c r="C60" s="16" t="s">
        <v>70</v>
      </c>
      <c r="D60" s="16" t="s">
        <v>196</v>
      </c>
    </row>
    <row r="61" spans="1:7" ht="30" x14ac:dyDescent="0.25">
      <c r="A61" s="41"/>
      <c r="B61" s="15" t="s">
        <v>75</v>
      </c>
      <c r="C61" s="16" t="s">
        <v>76</v>
      </c>
      <c r="D61" s="16" t="s">
        <v>196</v>
      </c>
    </row>
    <row r="62" spans="1:7" x14ac:dyDescent="0.25">
      <c r="A62" s="41"/>
      <c r="B62" s="15" t="s">
        <v>71</v>
      </c>
      <c r="C62" s="16" t="s">
        <v>74</v>
      </c>
      <c r="D62" s="16" t="s">
        <v>34</v>
      </c>
    </row>
    <row r="63" spans="1:7" ht="30" x14ac:dyDescent="0.25">
      <c r="A63" s="41"/>
      <c r="B63" s="15" t="s">
        <v>15</v>
      </c>
      <c r="C63" s="16" t="s">
        <v>72</v>
      </c>
      <c r="D63" s="16" t="s">
        <v>34</v>
      </c>
    </row>
    <row r="64" spans="1:7" ht="16.5" x14ac:dyDescent="0.25">
      <c r="A64" s="41"/>
      <c r="B64" s="15" t="s">
        <v>16</v>
      </c>
      <c r="C64" s="16" t="s">
        <v>73</v>
      </c>
      <c r="D64" s="16" t="s">
        <v>210</v>
      </c>
    </row>
    <row r="65" spans="1:7" x14ac:dyDescent="0.25">
      <c r="A65" s="41"/>
      <c r="B65" s="15" t="s">
        <v>17</v>
      </c>
      <c r="C65" s="16" t="s">
        <v>77</v>
      </c>
      <c r="D65" s="16" t="s">
        <v>211</v>
      </c>
    </row>
    <row r="66" spans="1:7" x14ac:dyDescent="0.25">
      <c r="A66" s="41"/>
      <c r="B66" s="15" t="s">
        <v>18</v>
      </c>
      <c r="C66" s="16" t="s">
        <v>34</v>
      </c>
      <c r="D66" s="16" t="s">
        <v>34</v>
      </c>
    </row>
    <row r="67" spans="1:7" ht="30" x14ac:dyDescent="0.25">
      <c r="A67" s="41"/>
      <c r="B67" s="15" t="s">
        <v>78</v>
      </c>
      <c r="C67" s="16" t="s">
        <v>79</v>
      </c>
      <c r="D67" s="16" t="s">
        <v>34</v>
      </c>
    </row>
    <row r="68" spans="1:7" ht="18" x14ac:dyDescent="0.25">
      <c r="A68" s="41"/>
      <c r="B68" s="15" t="s">
        <v>80</v>
      </c>
      <c r="C68" s="16" t="s">
        <v>81</v>
      </c>
      <c r="D68" s="16" t="s">
        <v>209</v>
      </c>
      <c r="E68" s="2" t="e">
        <f>E23/E55</f>
        <v>#DIV/0!</v>
      </c>
      <c r="F68" s="2" t="e">
        <f t="shared" ref="F68:G68" si="6">F23/F55</f>
        <v>#DIV/0!</v>
      </c>
      <c r="G68" s="2" t="e">
        <f t="shared" si="6"/>
        <v>#DIV/0!</v>
      </c>
    </row>
    <row r="69" spans="1:7" s="42" customFormat="1" x14ac:dyDescent="0.25"/>
    <row r="70" spans="1:7" x14ac:dyDescent="0.25">
      <c r="A70" s="41" t="s">
        <v>31</v>
      </c>
      <c r="B70" s="15" t="s">
        <v>19</v>
      </c>
      <c r="C70" s="16" t="s">
        <v>34</v>
      </c>
      <c r="D70" s="16" t="s">
        <v>34</v>
      </c>
    </row>
    <row r="71" spans="1:7" ht="18" x14ac:dyDescent="0.25">
      <c r="A71" s="41"/>
      <c r="B71" s="15" t="s">
        <v>106</v>
      </c>
      <c r="C71" s="16" t="s">
        <v>43</v>
      </c>
      <c r="D71" s="16" t="s">
        <v>196</v>
      </c>
    </row>
    <row r="72" spans="1:7" ht="18" x14ac:dyDescent="0.25">
      <c r="A72" s="41"/>
      <c r="B72" s="15" t="s">
        <v>244</v>
      </c>
      <c r="C72" s="16" t="s">
        <v>245</v>
      </c>
      <c r="D72" s="16" t="s">
        <v>34</v>
      </c>
    </row>
    <row r="73" spans="1:7" ht="45" x14ac:dyDescent="0.25">
      <c r="A73" s="41"/>
      <c r="B73" s="15" t="s">
        <v>242</v>
      </c>
      <c r="C73" s="16" t="s">
        <v>243</v>
      </c>
      <c r="D73" s="16" t="s">
        <v>196</v>
      </c>
    </row>
    <row r="74" spans="1:7" ht="18" x14ac:dyDescent="0.25">
      <c r="A74" s="41"/>
      <c r="B74" s="15" t="s">
        <v>248</v>
      </c>
      <c r="C74" s="16" t="s">
        <v>246</v>
      </c>
      <c r="D74" s="16" t="s">
        <v>34</v>
      </c>
    </row>
    <row r="75" spans="1:7" ht="18" x14ac:dyDescent="0.25">
      <c r="A75" s="41"/>
      <c r="B75" s="15" t="s">
        <v>249</v>
      </c>
      <c r="C75" s="16" t="s">
        <v>247</v>
      </c>
      <c r="D75" s="16" t="s">
        <v>34</v>
      </c>
    </row>
    <row r="76" spans="1:7" s="42" customFormat="1" x14ac:dyDescent="0.25"/>
    <row r="77" spans="1:7" ht="18" x14ac:dyDescent="0.25">
      <c r="A77" s="41" t="s">
        <v>32</v>
      </c>
      <c r="B77" s="15" t="s">
        <v>106</v>
      </c>
      <c r="C77" s="16" t="s">
        <v>250</v>
      </c>
      <c r="D77" s="16" t="s">
        <v>196</v>
      </c>
    </row>
    <row r="78" spans="1:7" ht="18" x14ac:dyDescent="0.25">
      <c r="A78" s="41"/>
      <c r="B78" s="15" t="s">
        <v>258</v>
      </c>
      <c r="C78" s="16" t="s">
        <v>251</v>
      </c>
      <c r="D78" s="16" t="s">
        <v>34</v>
      </c>
    </row>
    <row r="79" spans="1:7" ht="30" x14ac:dyDescent="0.25">
      <c r="A79" s="41"/>
      <c r="B79" s="15" t="s">
        <v>259</v>
      </c>
      <c r="C79" s="16" t="s">
        <v>252</v>
      </c>
      <c r="D79" s="16" t="s">
        <v>196</v>
      </c>
    </row>
    <row r="80" spans="1:7" ht="18" x14ac:dyDescent="0.25">
      <c r="A80" s="41"/>
      <c r="B80" s="15" t="s">
        <v>256</v>
      </c>
      <c r="C80" s="16" t="s">
        <v>253</v>
      </c>
      <c r="D80" s="16" t="s">
        <v>34</v>
      </c>
    </row>
    <row r="81" spans="1:7" ht="18" x14ac:dyDescent="0.25">
      <c r="A81" s="41"/>
      <c r="B81" s="15" t="s">
        <v>257</v>
      </c>
      <c r="C81" s="16" t="s">
        <v>254</v>
      </c>
      <c r="D81" s="16" t="s">
        <v>34</v>
      </c>
    </row>
    <row r="82" spans="1:7" ht="18" x14ac:dyDescent="0.25">
      <c r="A82" s="41"/>
      <c r="B82" s="15" t="s">
        <v>216</v>
      </c>
      <c r="C82" s="16" t="s">
        <v>255</v>
      </c>
      <c r="D82" s="16" t="s">
        <v>34</v>
      </c>
    </row>
    <row r="83" spans="1:7" s="42" customFormat="1" x14ac:dyDescent="0.25"/>
    <row r="84" spans="1:7" ht="18" x14ac:dyDescent="0.25">
      <c r="A84" s="41" t="s">
        <v>104</v>
      </c>
      <c r="B84" s="15" t="s">
        <v>93</v>
      </c>
      <c r="C84" s="16" t="s">
        <v>101</v>
      </c>
      <c r="D84" s="16" t="s">
        <v>34</v>
      </c>
    </row>
    <row r="85" spans="1:7" ht="18" x14ac:dyDescent="0.25">
      <c r="A85" s="41"/>
      <c r="B85" s="15" t="s">
        <v>92</v>
      </c>
      <c r="C85" s="16" t="s">
        <v>100</v>
      </c>
      <c r="D85" s="16" t="s">
        <v>34</v>
      </c>
    </row>
    <row r="86" spans="1:7" ht="18" x14ac:dyDescent="0.25">
      <c r="A86" s="41"/>
      <c r="B86" s="15" t="s">
        <v>83</v>
      </c>
      <c r="C86" s="16" t="s">
        <v>91</v>
      </c>
      <c r="D86" s="16" t="s">
        <v>208</v>
      </c>
    </row>
    <row r="87" spans="1:7" ht="18" x14ac:dyDescent="0.25">
      <c r="A87" s="41"/>
      <c r="B87" s="15" t="s">
        <v>213</v>
      </c>
      <c r="C87" s="16" t="s">
        <v>90</v>
      </c>
      <c r="D87" s="16" t="s">
        <v>34</v>
      </c>
      <c r="E87" s="2" t="e">
        <f>E86/E55</f>
        <v>#DIV/0!</v>
      </c>
      <c r="F87" s="2" t="e">
        <f t="shared" ref="F87:G87" si="7">F86/F55</f>
        <v>#DIV/0!</v>
      </c>
      <c r="G87" s="2" t="e">
        <f t="shared" si="7"/>
        <v>#DIV/0!</v>
      </c>
    </row>
    <row r="88" spans="1:7" ht="18" x14ac:dyDescent="0.25">
      <c r="A88" s="41"/>
      <c r="B88" s="15" t="s">
        <v>82</v>
      </c>
      <c r="C88" s="16" t="s">
        <v>89</v>
      </c>
      <c r="D88" s="16" t="s">
        <v>196</v>
      </c>
    </row>
    <row r="89" spans="1:7" ht="18" x14ac:dyDescent="0.25">
      <c r="A89" s="41"/>
      <c r="B89" s="15" t="s">
        <v>214</v>
      </c>
      <c r="C89" s="16" t="s">
        <v>88</v>
      </c>
      <c r="D89" s="16" t="s">
        <v>34</v>
      </c>
      <c r="E89" s="2" t="e">
        <f>E88/E56</f>
        <v>#DIV/0!</v>
      </c>
      <c r="F89" s="2" t="e">
        <f t="shared" ref="F89:G89" si="8">F88/F56</f>
        <v>#DIV/0!</v>
      </c>
      <c r="G89" s="2" t="e">
        <f t="shared" si="8"/>
        <v>#DIV/0!</v>
      </c>
    </row>
    <row r="90" spans="1:7" ht="18" x14ac:dyDescent="0.25">
      <c r="A90" s="41"/>
      <c r="B90" s="15" t="s">
        <v>65</v>
      </c>
      <c r="C90" s="16" t="s">
        <v>87</v>
      </c>
      <c r="D90" s="16" t="s">
        <v>196</v>
      </c>
    </row>
    <row r="91" spans="1:7" ht="18" x14ac:dyDescent="0.25">
      <c r="A91" s="41"/>
      <c r="B91" s="15" t="s">
        <v>67</v>
      </c>
      <c r="C91" s="16" t="s">
        <v>86</v>
      </c>
      <c r="D91" s="16" t="s">
        <v>196</v>
      </c>
    </row>
    <row r="92" spans="1:7" ht="18" x14ac:dyDescent="0.25">
      <c r="A92" s="41"/>
      <c r="B92" s="15" t="s">
        <v>13</v>
      </c>
      <c r="C92" s="16" t="s">
        <v>85</v>
      </c>
      <c r="D92" s="16" t="s">
        <v>196</v>
      </c>
    </row>
    <row r="93" spans="1:7" ht="30" x14ac:dyDescent="0.25">
      <c r="A93" s="41"/>
      <c r="B93" s="15" t="s">
        <v>14</v>
      </c>
      <c r="C93" s="16" t="s">
        <v>94</v>
      </c>
      <c r="D93" s="16" t="s">
        <v>196</v>
      </c>
    </row>
    <row r="94" spans="1:7" ht="30" x14ac:dyDescent="0.25">
      <c r="A94" s="41"/>
      <c r="B94" s="15" t="s">
        <v>75</v>
      </c>
      <c r="C94" s="16" t="s">
        <v>117</v>
      </c>
      <c r="D94" s="16" t="s">
        <v>196</v>
      </c>
    </row>
    <row r="95" spans="1:7" ht="18" x14ac:dyDescent="0.25">
      <c r="A95" s="41"/>
      <c r="B95" s="15" t="s">
        <v>71</v>
      </c>
      <c r="C95" s="16" t="s">
        <v>95</v>
      </c>
      <c r="D95" s="16" t="s">
        <v>34</v>
      </c>
    </row>
    <row r="96" spans="1:7" ht="30" x14ac:dyDescent="0.25">
      <c r="A96" s="41"/>
      <c r="B96" s="15" t="s">
        <v>15</v>
      </c>
      <c r="C96" s="16" t="s">
        <v>96</v>
      </c>
      <c r="D96" s="16" t="s">
        <v>34</v>
      </c>
    </row>
    <row r="97" spans="1:7" ht="18" x14ac:dyDescent="0.25">
      <c r="A97" s="41"/>
      <c r="B97" s="15" t="s">
        <v>16</v>
      </c>
      <c r="C97" s="16" t="s">
        <v>97</v>
      </c>
      <c r="D97" s="16" t="s">
        <v>212</v>
      </c>
    </row>
    <row r="98" spans="1:7" ht="18" x14ac:dyDescent="0.25">
      <c r="A98" s="41"/>
      <c r="B98" s="15" t="s">
        <v>17</v>
      </c>
      <c r="C98" s="16" t="s">
        <v>98</v>
      </c>
      <c r="D98" s="16" t="s">
        <v>212</v>
      </c>
    </row>
    <row r="99" spans="1:7" x14ac:dyDescent="0.25">
      <c r="A99" s="41"/>
      <c r="B99" s="15" t="s">
        <v>18</v>
      </c>
      <c r="C99" s="16" t="s">
        <v>34</v>
      </c>
      <c r="D99" s="16" t="s">
        <v>34</v>
      </c>
    </row>
    <row r="100" spans="1:7" ht="30" x14ac:dyDescent="0.25">
      <c r="A100" s="41"/>
      <c r="B100" s="15" t="s">
        <v>78</v>
      </c>
      <c r="C100" s="16" t="s">
        <v>99</v>
      </c>
      <c r="D100" s="16" t="s">
        <v>34</v>
      </c>
    </row>
    <row r="101" spans="1:7" ht="18" x14ac:dyDescent="0.25">
      <c r="A101" s="41"/>
      <c r="B101" s="15" t="s">
        <v>102</v>
      </c>
      <c r="C101" s="16" t="s">
        <v>103</v>
      </c>
      <c r="D101" s="16" t="s">
        <v>209</v>
      </c>
      <c r="E101" s="2" t="e">
        <f>E86*E85/(E55*E60)</f>
        <v>#DIV/0!</v>
      </c>
      <c r="F101" s="2" t="e">
        <f t="shared" ref="F101:G101" si="9">F86*F85/(F55*F60)</f>
        <v>#DIV/0!</v>
      </c>
      <c r="G101" s="2" t="e">
        <f t="shared" si="9"/>
        <v>#DIV/0!</v>
      </c>
    </row>
    <row r="102" spans="1:7" s="43" customFormat="1" x14ac:dyDescent="0.25"/>
    <row r="103" spans="1:7" ht="18" x14ac:dyDescent="0.25">
      <c r="A103" s="41" t="s">
        <v>105</v>
      </c>
      <c r="B103" s="15" t="s">
        <v>106</v>
      </c>
      <c r="C103" s="16" t="s">
        <v>108</v>
      </c>
      <c r="D103" s="16" t="s">
        <v>196</v>
      </c>
    </row>
    <row r="104" spans="1:7" ht="18" x14ac:dyDescent="0.25">
      <c r="A104" s="41"/>
      <c r="B104" s="15" t="s">
        <v>217</v>
      </c>
      <c r="C104" s="16" t="s">
        <v>109</v>
      </c>
      <c r="D104" s="16" t="s">
        <v>34</v>
      </c>
      <c r="E104" s="2" t="e">
        <f>E103/E88</f>
        <v>#DIV/0!</v>
      </c>
      <c r="F104" s="2" t="e">
        <f t="shared" ref="F104:G104" si="10">F103/F88</f>
        <v>#DIV/0!</v>
      </c>
      <c r="G104" s="2" t="e">
        <f t="shared" si="10"/>
        <v>#DIV/0!</v>
      </c>
    </row>
    <row r="105" spans="1:7" ht="18" x14ac:dyDescent="0.25">
      <c r="A105" s="41"/>
      <c r="B105" s="15" t="s">
        <v>107</v>
      </c>
      <c r="C105" s="16" t="s">
        <v>110</v>
      </c>
      <c r="D105" s="16" t="s">
        <v>34</v>
      </c>
    </row>
    <row r="106" spans="1:7" s="42" customFormat="1" x14ac:dyDescent="0.25"/>
    <row r="107" spans="1:7" ht="15" customHeight="1" x14ac:dyDescent="0.25">
      <c r="A107" s="41" t="s">
        <v>111</v>
      </c>
      <c r="B107" s="15" t="s">
        <v>11</v>
      </c>
      <c r="C107" s="16" t="s">
        <v>118</v>
      </c>
      <c r="D107" s="16" t="s">
        <v>196</v>
      </c>
    </row>
    <row r="108" spans="1:7" ht="18" x14ac:dyDescent="0.25">
      <c r="A108" s="41"/>
      <c r="B108" s="15" t="s">
        <v>12</v>
      </c>
      <c r="C108" s="16" t="s">
        <v>119</v>
      </c>
      <c r="D108" s="16" t="s">
        <v>196</v>
      </c>
    </row>
    <row r="109" spans="1:7" ht="18" x14ac:dyDescent="0.25">
      <c r="A109" s="41"/>
      <c r="B109" s="15" t="s">
        <v>83</v>
      </c>
      <c r="C109" s="16" t="s">
        <v>120</v>
      </c>
      <c r="D109" s="16" t="s">
        <v>208</v>
      </c>
    </row>
    <row r="110" spans="1:7" ht="18" x14ac:dyDescent="0.25">
      <c r="A110" s="41"/>
      <c r="B110" s="15" t="s">
        <v>218</v>
      </c>
      <c r="C110" s="16" t="s">
        <v>121</v>
      </c>
      <c r="D110" s="16" t="s">
        <v>34</v>
      </c>
      <c r="E110" s="2" t="e">
        <f>E109/E55</f>
        <v>#DIV/0!</v>
      </c>
      <c r="F110" s="2" t="e">
        <f t="shared" ref="F110:G110" si="11">F109/F55</f>
        <v>#DIV/0!</v>
      </c>
      <c r="G110" s="2" t="e">
        <f t="shared" si="11"/>
        <v>#DIV/0!</v>
      </c>
    </row>
    <row r="111" spans="1:7" ht="18" x14ac:dyDescent="0.25">
      <c r="A111" s="41"/>
      <c r="B111" s="15" t="s">
        <v>82</v>
      </c>
      <c r="C111" s="16" t="s">
        <v>122</v>
      </c>
      <c r="D111" s="16" t="s">
        <v>196</v>
      </c>
    </row>
    <row r="112" spans="1:7" ht="18" x14ac:dyDescent="0.25">
      <c r="A112" s="41"/>
      <c r="B112" s="15" t="s">
        <v>219</v>
      </c>
      <c r="C112" s="16" t="s">
        <v>123</v>
      </c>
      <c r="D112" s="16" t="s">
        <v>34</v>
      </c>
      <c r="E112" s="2" t="e">
        <f>E111/E56</f>
        <v>#DIV/0!</v>
      </c>
      <c r="F112" s="2" t="e">
        <f t="shared" ref="F112:G112" si="12">F111/F56</f>
        <v>#DIV/0!</v>
      </c>
      <c r="G112" s="2" t="e">
        <f t="shared" si="12"/>
        <v>#DIV/0!</v>
      </c>
    </row>
    <row r="113" spans="1:7" ht="18" x14ac:dyDescent="0.25">
      <c r="A113" s="41"/>
      <c r="B113" s="15" t="s">
        <v>65</v>
      </c>
      <c r="C113" s="16" t="s">
        <v>124</v>
      </c>
      <c r="D113" s="16" t="s">
        <v>196</v>
      </c>
    </row>
    <row r="114" spans="1:7" ht="18" x14ac:dyDescent="0.25">
      <c r="A114" s="41"/>
      <c r="B114" s="15" t="s">
        <v>67</v>
      </c>
      <c r="C114" s="16" t="s">
        <v>125</v>
      </c>
      <c r="D114" s="16" t="s">
        <v>196</v>
      </c>
    </row>
    <row r="115" spans="1:7" ht="18" x14ac:dyDescent="0.25">
      <c r="A115" s="41"/>
      <c r="B115" s="15" t="s">
        <v>13</v>
      </c>
      <c r="C115" s="16" t="s">
        <v>126</v>
      </c>
      <c r="D115" s="16" t="s">
        <v>196</v>
      </c>
    </row>
    <row r="116" spans="1:7" ht="30" x14ac:dyDescent="0.25">
      <c r="A116" s="41"/>
      <c r="B116" s="15" t="s">
        <v>14</v>
      </c>
      <c r="C116" s="16" t="s">
        <v>127</v>
      </c>
      <c r="D116" s="16" t="s">
        <v>196</v>
      </c>
    </row>
    <row r="117" spans="1:7" ht="30" x14ac:dyDescent="0.25">
      <c r="A117" s="41"/>
      <c r="B117" s="15" t="s">
        <v>75</v>
      </c>
      <c r="C117" s="16" t="s">
        <v>128</v>
      </c>
      <c r="D117" s="16" t="s">
        <v>196</v>
      </c>
    </row>
    <row r="118" spans="1:7" ht="18" x14ac:dyDescent="0.25">
      <c r="A118" s="41"/>
      <c r="B118" s="15" t="s">
        <v>71</v>
      </c>
      <c r="C118" s="16" t="s">
        <v>134</v>
      </c>
      <c r="D118" s="16" t="s">
        <v>34</v>
      </c>
    </row>
    <row r="119" spans="1:7" ht="30" x14ac:dyDescent="0.25">
      <c r="A119" s="41"/>
      <c r="B119" s="15" t="s">
        <v>15</v>
      </c>
      <c r="C119" s="16" t="s">
        <v>133</v>
      </c>
      <c r="D119" s="16" t="s">
        <v>34</v>
      </c>
    </row>
    <row r="120" spans="1:7" ht="18" x14ac:dyDescent="0.25">
      <c r="A120" s="41"/>
      <c r="B120" s="15" t="s">
        <v>16</v>
      </c>
      <c r="C120" s="16" t="s">
        <v>132</v>
      </c>
      <c r="D120" s="16" t="s">
        <v>212</v>
      </c>
    </row>
    <row r="121" spans="1:7" ht="18" x14ac:dyDescent="0.25">
      <c r="A121" s="41"/>
      <c r="B121" s="15" t="s">
        <v>17</v>
      </c>
      <c r="C121" s="16" t="s">
        <v>131</v>
      </c>
      <c r="D121" s="16" t="s">
        <v>212</v>
      </c>
    </row>
    <row r="122" spans="1:7" x14ac:dyDescent="0.25">
      <c r="A122" s="41"/>
      <c r="B122" s="15" t="s">
        <v>18</v>
      </c>
      <c r="C122" s="16" t="s">
        <v>34</v>
      </c>
      <c r="D122" s="16" t="s">
        <v>34</v>
      </c>
    </row>
    <row r="123" spans="1:7" ht="30" x14ac:dyDescent="0.25">
      <c r="A123" s="41"/>
      <c r="B123" s="15" t="s">
        <v>78</v>
      </c>
      <c r="C123" s="16" t="s">
        <v>130</v>
      </c>
      <c r="D123" s="16" t="s">
        <v>34</v>
      </c>
    </row>
    <row r="124" spans="1:7" ht="18" x14ac:dyDescent="0.25">
      <c r="A124" s="41"/>
      <c r="B124" s="15" t="s">
        <v>102</v>
      </c>
      <c r="C124" s="16" t="s">
        <v>129</v>
      </c>
      <c r="D124" s="16" t="s">
        <v>209</v>
      </c>
      <c r="E124" s="2" t="e">
        <f>E109*E108/(E55*E56)</f>
        <v>#DIV/0!</v>
      </c>
      <c r="F124" s="2" t="e">
        <f t="shared" ref="F124:G124" si="13">F109*F108/(F55*F56)</f>
        <v>#DIV/0!</v>
      </c>
      <c r="G124" s="2" t="e">
        <f t="shared" si="13"/>
        <v>#DIV/0!</v>
      </c>
    </row>
    <row r="125" spans="1:7" s="43" customFormat="1" x14ac:dyDescent="0.25"/>
    <row r="126" spans="1:7" ht="18" x14ac:dyDescent="0.25">
      <c r="A126" s="41" t="s">
        <v>112</v>
      </c>
      <c r="B126" s="15" t="s">
        <v>106</v>
      </c>
      <c r="C126" s="16" t="s">
        <v>114</v>
      </c>
      <c r="D126" s="16" t="s">
        <v>196</v>
      </c>
    </row>
    <row r="127" spans="1:7" ht="18" x14ac:dyDescent="0.25">
      <c r="A127" s="41"/>
      <c r="B127" s="15" t="s">
        <v>224</v>
      </c>
      <c r="C127" s="16" t="s">
        <v>115</v>
      </c>
      <c r="D127" s="16" t="s">
        <v>34</v>
      </c>
      <c r="E127" s="2" t="e">
        <f>E126/E111</f>
        <v>#DIV/0!</v>
      </c>
      <c r="F127" s="2" t="e">
        <f t="shared" ref="F127:G127" si="14">F126/F111</f>
        <v>#DIV/0!</v>
      </c>
      <c r="G127" s="2" t="e">
        <f t="shared" si="14"/>
        <v>#DIV/0!</v>
      </c>
    </row>
    <row r="128" spans="1:7" ht="18" x14ac:dyDescent="0.25">
      <c r="A128" s="41"/>
      <c r="B128" s="15" t="s">
        <v>113</v>
      </c>
      <c r="C128" s="16" t="s">
        <v>116</v>
      </c>
      <c r="D128" s="16" t="s">
        <v>34</v>
      </c>
    </row>
    <row r="129" spans="1:7" s="42" customFormat="1" x14ac:dyDescent="0.25"/>
    <row r="130" spans="1:7" x14ac:dyDescent="0.25">
      <c r="A130" s="41" t="s">
        <v>33</v>
      </c>
      <c r="B130" s="15" t="s">
        <v>19</v>
      </c>
      <c r="C130" s="16" t="s">
        <v>34</v>
      </c>
      <c r="D130" s="16" t="s">
        <v>34</v>
      </c>
    </row>
    <row r="131" spans="1:7" x14ac:dyDescent="0.25">
      <c r="A131" s="41"/>
      <c r="B131" s="15" t="s">
        <v>136</v>
      </c>
      <c r="C131" s="16" t="s">
        <v>137</v>
      </c>
      <c r="D131" s="16" t="s">
        <v>196</v>
      </c>
    </row>
    <row r="132" spans="1:7" x14ac:dyDescent="0.25">
      <c r="A132" s="41"/>
      <c r="B132" s="15" t="s">
        <v>135</v>
      </c>
      <c r="C132" s="16" t="s">
        <v>138</v>
      </c>
      <c r="D132" s="16" t="s">
        <v>196</v>
      </c>
    </row>
    <row r="133" spans="1:7" x14ac:dyDescent="0.25">
      <c r="A133" s="41"/>
      <c r="B133" s="15" t="s">
        <v>142</v>
      </c>
      <c r="C133" s="16" t="s">
        <v>139</v>
      </c>
      <c r="D133" s="16" t="s">
        <v>34</v>
      </c>
      <c r="E133" s="2" t="e">
        <f>E131/E132</f>
        <v>#DIV/0!</v>
      </c>
      <c r="F133" s="2" t="e">
        <f t="shared" ref="F133:G133" si="15">F131/F132</f>
        <v>#DIV/0!</v>
      </c>
      <c r="G133" s="2" t="e">
        <f t="shared" si="15"/>
        <v>#DIV/0!</v>
      </c>
    </row>
    <row r="134" spans="1:7" x14ac:dyDescent="0.25">
      <c r="A134" s="41"/>
      <c r="B134" s="15" t="s">
        <v>141</v>
      </c>
      <c r="C134" s="16" t="s">
        <v>140</v>
      </c>
      <c r="D134" s="16" t="s">
        <v>34</v>
      </c>
      <c r="E134" s="2" t="e">
        <f>E131/E56</f>
        <v>#DIV/0!</v>
      </c>
      <c r="F134" s="2" t="e">
        <f t="shared" ref="F134:G134" si="16">F131/F56</f>
        <v>#DIV/0!</v>
      </c>
      <c r="G134" s="2" t="e">
        <f t="shared" si="16"/>
        <v>#DIV/0!</v>
      </c>
    </row>
    <row r="135" spans="1:7" ht="18" x14ac:dyDescent="0.25">
      <c r="A135" s="41"/>
      <c r="B135" s="15" t="s">
        <v>220</v>
      </c>
      <c r="C135" s="16" t="s">
        <v>143</v>
      </c>
      <c r="D135" s="16" t="s">
        <v>34</v>
      </c>
      <c r="E135" s="2" t="e">
        <f>E132/E44</f>
        <v>#DIV/0!</v>
      </c>
      <c r="F135" s="2" t="e">
        <f t="shared" ref="F135:G135" si="17">F132/F44</f>
        <v>#DIV/0!</v>
      </c>
      <c r="G135" s="2" t="e">
        <f t="shared" si="17"/>
        <v>#DIV/0!</v>
      </c>
    </row>
    <row r="136" spans="1:7" ht="18" x14ac:dyDescent="0.25">
      <c r="A136" s="41"/>
      <c r="B136" s="15" t="s">
        <v>145</v>
      </c>
      <c r="C136" s="16" t="s">
        <v>144</v>
      </c>
      <c r="D136" s="16" t="s">
        <v>34</v>
      </c>
    </row>
    <row r="137" spans="1:7" ht="18" x14ac:dyDescent="0.25">
      <c r="A137" s="41"/>
      <c r="B137" s="15" t="s">
        <v>146</v>
      </c>
      <c r="C137" s="16" t="s">
        <v>147</v>
      </c>
      <c r="D137" s="16" t="s">
        <v>196</v>
      </c>
    </row>
    <row r="138" spans="1:7" ht="18" x14ac:dyDescent="0.25">
      <c r="A138" s="41"/>
      <c r="B138" s="15" t="s">
        <v>148</v>
      </c>
      <c r="C138" s="16" t="s">
        <v>149</v>
      </c>
      <c r="D138" s="16" t="s">
        <v>196</v>
      </c>
    </row>
    <row r="139" spans="1:7" ht="18" x14ac:dyDescent="0.25">
      <c r="A139" s="41"/>
      <c r="B139" s="15" t="s">
        <v>260</v>
      </c>
      <c r="C139" s="16" t="s">
        <v>261</v>
      </c>
      <c r="D139" s="16" t="s">
        <v>262</v>
      </c>
    </row>
    <row r="140" spans="1:7" s="42" customFormat="1" x14ac:dyDescent="0.25"/>
    <row r="141" spans="1:7" ht="18" x14ac:dyDescent="0.25">
      <c r="A141" s="41" t="s">
        <v>25</v>
      </c>
      <c r="B141" s="15" t="s">
        <v>151</v>
      </c>
      <c r="C141" s="16" t="s">
        <v>150</v>
      </c>
      <c r="D141" s="16" t="s">
        <v>223</v>
      </c>
      <c r="E141" s="2">
        <f>522/3.6</f>
        <v>145</v>
      </c>
    </row>
    <row r="142" spans="1:7" ht="30" x14ac:dyDescent="0.25">
      <c r="A142" s="41"/>
      <c r="B142" s="15" t="s">
        <v>155</v>
      </c>
      <c r="C142" s="16" t="s">
        <v>154</v>
      </c>
      <c r="D142" s="16" t="s">
        <v>223</v>
      </c>
      <c r="E142" s="2">
        <f>426/3.6</f>
        <v>118.33333333333333</v>
      </c>
    </row>
    <row r="143" spans="1:7" ht="18" x14ac:dyDescent="0.25">
      <c r="A143" s="41"/>
      <c r="B143" s="15" t="s">
        <v>152</v>
      </c>
      <c r="C143" s="16" t="s">
        <v>153</v>
      </c>
      <c r="D143" s="16" t="s">
        <v>223</v>
      </c>
    </row>
    <row r="144" spans="1:7" ht="18" x14ac:dyDescent="0.25">
      <c r="A144" s="41"/>
      <c r="B144" s="15" t="s">
        <v>20</v>
      </c>
      <c r="C144" s="16" t="s">
        <v>156</v>
      </c>
      <c r="D144" s="16" t="s">
        <v>223</v>
      </c>
    </row>
    <row r="145" spans="1:7" ht="18" x14ac:dyDescent="0.25">
      <c r="A145" s="41"/>
      <c r="B145" s="15" t="s">
        <v>21</v>
      </c>
      <c r="C145" s="16" t="s">
        <v>157</v>
      </c>
      <c r="D145" s="16" t="s">
        <v>223</v>
      </c>
    </row>
    <row r="146" spans="1:7" ht="18" x14ac:dyDescent="0.25">
      <c r="A146" s="41"/>
      <c r="B146" s="15" t="s">
        <v>158</v>
      </c>
      <c r="C146" s="16" t="s">
        <v>159</v>
      </c>
      <c r="D146" s="16" t="s">
        <v>223</v>
      </c>
      <c r="E146" s="2">
        <f>488/60</f>
        <v>8.1333333333333329</v>
      </c>
    </row>
    <row r="147" spans="1:7" x14ac:dyDescent="0.25">
      <c r="A147" s="41"/>
      <c r="B147" s="15" t="s">
        <v>162</v>
      </c>
      <c r="C147" s="16" t="s">
        <v>160</v>
      </c>
      <c r="D147" s="16" t="s">
        <v>222</v>
      </c>
      <c r="E147" s="2">
        <v>3815</v>
      </c>
    </row>
    <row r="148" spans="1:7" x14ac:dyDescent="0.25">
      <c r="A148" s="41"/>
      <c r="B148" s="15" t="s">
        <v>163</v>
      </c>
      <c r="C148" s="16" t="s">
        <v>161</v>
      </c>
      <c r="D148" s="16" t="s">
        <v>221</v>
      </c>
    </row>
    <row r="149" spans="1:7" x14ac:dyDescent="0.25">
      <c r="A149" s="41"/>
      <c r="B149" s="15" t="s">
        <v>22</v>
      </c>
      <c r="C149" s="16" t="s">
        <v>34</v>
      </c>
      <c r="D149" s="16" t="s">
        <v>34</v>
      </c>
      <c r="E149" s="2" t="s">
        <v>370</v>
      </c>
    </row>
    <row r="150" spans="1:7" ht="18" x14ac:dyDescent="0.25">
      <c r="A150" s="41"/>
      <c r="B150" s="15" t="s">
        <v>23</v>
      </c>
      <c r="C150" s="16" t="s">
        <v>176</v>
      </c>
      <c r="D150" s="16" t="s">
        <v>196</v>
      </c>
      <c r="E150" s="2">
        <v>735</v>
      </c>
    </row>
    <row r="151" spans="1:7" ht="18" x14ac:dyDescent="0.25">
      <c r="A151" s="41"/>
      <c r="B151" s="15" t="s">
        <v>24</v>
      </c>
      <c r="C151" s="16" t="s">
        <v>175</v>
      </c>
      <c r="D151" s="16" t="s">
        <v>196</v>
      </c>
      <c r="E151" s="2">
        <v>561</v>
      </c>
    </row>
    <row r="152" spans="1:7" s="47" customFormat="1" x14ac:dyDescent="0.25"/>
    <row r="153" spans="1:7" x14ac:dyDescent="0.25">
      <c r="C153" s="1"/>
      <c r="D153" s="1"/>
      <c r="E153" s="1"/>
      <c r="F153" s="29"/>
      <c r="G153" s="8"/>
    </row>
    <row r="154" spans="1:7" x14ac:dyDescent="0.25">
      <c r="C154" s="1"/>
      <c r="D154" s="1"/>
      <c r="E154" s="1"/>
      <c r="F154" s="29"/>
      <c r="G154" s="8"/>
    </row>
    <row r="155" spans="1:7" x14ac:dyDescent="0.25">
      <c r="C155" s="1"/>
      <c r="D155" s="1"/>
      <c r="E155" s="1"/>
      <c r="F155" s="29"/>
      <c r="G155" s="8"/>
    </row>
    <row r="156" spans="1:7" x14ac:dyDescent="0.25">
      <c r="C156" s="1"/>
      <c r="D156" s="1"/>
      <c r="E156" s="1"/>
      <c r="F156" s="29"/>
      <c r="G156" s="8"/>
    </row>
    <row r="157" spans="1:7" x14ac:dyDescent="0.25">
      <c r="C157" s="1"/>
      <c r="D157" s="1"/>
      <c r="E157" s="1"/>
      <c r="F157" s="29"/>
      <c r="G157" s="8"/>
    </row>
    <row r="158" spans="1:7" x14ac:dyDescent="0.25">
      <c r="C158" s="1"/>
      <c r="D158" s="1"/>
      <c r="E158" s="1"/>
      <c r="F158" s="29"/>
      <c r="G158" s="8"/>
    </row>
    <row r="159" spans="1:7" x14ac:dyDescent="0.25">
      <c r="C159" s="1"/>
      <c r="D159" s="1"/>
      <c r="E159" s="1"/>
      <c r="F159" s="29"/>
      <c r="G159" s="8"/>
    </row>
    <row r="160" spans="1:7" x14ac:dyDescent="0.25">
      <c r="C160" s="1"/>
      <c r="D160" s="1"/>
      <c r="E160" s="1"/>
      <c r="F160" s="29"/>
      <c r="G160" s="8"/>
    </row>
    <row r="161" spans="2:7" x14ac:dyDescent="0.25">
      <c r="C161" s="1"/>
      <c r="D161" s="1"/>
      <c r="E161" s="1"/>
      <c r="F161" s="29"/>
      <c r="G161" s="8"/>
    </row>
    <row r="162" spans="2:7" x14ac:dyDescent="0.25">
      <c r="C162" s="1"/>
      <c r="D162" s="1"/>
      <c r="E162" s="1"/>
      <c r="F162" s="29"/>
      <c r="G162" s="8"/>
    </row>
    <row r="163" spans="2:7" x14ac:dyDescent="0.25">
      <c r="C163" s="1"/>
      <c r="D163" s="1"/>
      <c r="E163" s="1"/>
      <c r="F163" s="29"/>
      <c r="G163" s="8"/>
    </row>
    <row r="164" spans="2:7" x14ac:dyDescent="0.25">
      <c r="C164" s="1"/>
      <c r="D164" s="1"/>
      <c r="E164" s="1"/>
      <c r="F164" s="29"/>
      <c r="G164" s="8"/>
    </row>
    <row r="165" spans="2:7" x14ac:dyDescent="0.25">
      <c r="C165" s="1"/>
      <c r="D165" s="1"/>
      <c r="E165" s="1"/>
      <c r="F165" s="29"/>
      <c r="G165" s="8"/>
    </row>
    <row r="166" spans="2:7" x14ac:dyDescent="0.25">
      <c r="C166" s="1"/>
      <c r="D166" s="1"/>
      <c r="E166" s="1"/>
      <c r="F166" s="29"/>
      <c r="G166" s="8"/>
    </row>
    <row r="167" spans="2:7" x14ac:dyDescent="0.25">
      <c r="C167" s="1"/>
      <c r="D167" s="1"/>
      <c r="E167" s="1"/>
      <c r="F167" s="29"/>
      <c r="G167" s="8"/>
    </row>
    <row r="168" spans="2:7" x14ac:dyDescent="0.25">
      <c r="C168" s="1"/>
      <c r="D168" s="1"/>
      <c r="E168" s="1"/>
      <c r="F168" s="29"/>
      <c r="G168" s="8"/>
    </row>
    <row r="169" spans="2:7" x14ac:dyDescent="0.25">
      <c r="B169" s="8"/>
      <c r="C169" s="8"/>
      <c r="D169" s="8"/>
      <c r="E169" s="8"/>
      <c r="F169" s="29"/>
      <c r="G169" s="8"/>
    </row>
    <row r="170" spans="2:7" x14ac:dyDescent="0.25">
      <c r="B170" s="8"/>
      <c r="C170" s="8"/>
      <c r="D170" s="8"/>
      <c r="E170" s="8"/>
      <c r="F170" s="29"/>
      <c r="G170" s="8"/>
    </row>
    <row r="171" spans="2:7" x14ac:dyDescent="0.25">
      <c r="B171" s="8"/>
      <c r="C171" s="8"/>
      <c r="D171" s="8"/>
      <c r="E171" s="8"/>
      <c r="F171" s="29"/>
      <c r="G171" s="8"/>
    </row>
    <row r="172" spans="2:7" x14ac:dyDescent="0.25">
      <c r="B172" s="8"/>
      <c r="C172" s="8"/>
      <c r="D172" s="8"/>
      <c r="E172" s="8"/>
      <c r="F172" s="29"/>
      <c r="G172" s="8"/>
    </row>
    <row r="173" spans="2:7" x14ac:dyDescent="0.25">
      <c r="B173" s="8"/>
      <c r="C173" s="8"/>
      <c r="D173" s="8"/>
      <c r="E173" s="8"/>
      <c r="F173" s="29"/>
      <c r="G173" s="8"/>
    </row>
    <row r="174" spans="2:7" x14ac:dyDescent="0.25">
      <c r="B174" s="8"/>
      <c r="C174" s="8"/>
      <c r="D174" s="8"/>
      <c r="E174" s="8"/>
      <c r="F174" s="29"/>
      <c r="G174" s="8"/>
    </row>
    <row r="175" spans="2:7" x14ac:dyDescent="0.25">
      <c r="B175" s="8"/>
      <c r="C175" s="8"/>
      <c r="D175" s="8"/>
      <c r="E175" s="8"/>
      <c r="F175" s="29"/>
      <c r="G175" s="8"/>
    </row>
    <row r="214" spans="2:2" x14ac:dyDescent="0.25">
      <c r="B214" s="1" t="s">
        <v>368</v>
      </c>
    </row>
    <row r="254" spans="3:3" x14ac:dyDescent="0.25">
      <c r="C254" s="2" t="s">
        <v>369</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25" t="s">
        <v>346</v>
      </c>
      <c r="B1" s="26" t="s">
        <v>344</v>
      </c>
      <c r="C1" s="10">
        <v>9.8066499999999994</v>
      </c>
    </row>
    <row r="2" spans="1:3" ht="17.25" x14ac:dyDescent="0.25">
      <c r="A2" s="25" t="s">
        <v>345</v>
      </c>
      <c r="B2" s="26" t="s">
        <v>347</v>
      </c>
      <c r="C2" s="10">
        <v>32.173999999999999</v>
      </c>
    </row>
    <row r="3" spans="1:3" x14ac:dyDescent="0.25">
      <c r="A3" s="25" t="s">
        <v>356</v>
      </c>
      <c r="B3" s="26" t="s">
        <v>197</v>
      </c>
      <c r="C3" s="10">
        <f>CONVERT(C4,"lbm","kg")</f>
        <v>90.718474000000001</v>
      </c>
    </row>
    <row r="4" spans="1:3" x14ac:dyDescent="0.25">
      <c r="A4" s="25" t="s">
        <v>351</v>
      </c>
      <c r="B4" s="26" t="s">
        <v>348</v>
      </c>
      <c r="C4" s="10">
        <v>200</v>
      </c>
    </row>
    <row r="5" spans="1:3" x14ac:dyDescent="0.25">
      <c r="A5" s="25" t="s">
        <v>357</v>
      </c>
      <c r="B5" s="26" t="s">
        <v>197</v>
      </c>
      <c r="C5" s="10">
        <f>CONVERT(C6,"lbm","kg")</f>
        <v>79.378664749999999</v>
      </c>
    </row>
    <row r="6" spans="1:3" x14ac:dyDescent="0.25">
      <c r="A6" s="25" t="s">
        <v>352</v>
      </c>
      <c r="B6" s="26" t="s">
        <v>348</v>
      </c>
      <c r="C6" s="10">
        <v>175</v>
      </c>
    </row>
    <row r="7" spans="1:3" x14ac:dyDescent="0.25">
      <c r="A7" s="25" t="s">
        <v>358</v>
      </c>
      <c r="B7" s="26" t="s">
        <v>197</v>
      </c>
      <c r="C7" s="10">
        <f>CONVERT(C8,"lbm","kg")</f>
        <v>18.143694800000002</v>
      </c>
    </row>
    <row r="8" spans="1:3" x14ac:dyDescent="0.25">
      <c r="A8" s="25" t="s">
        <v>353</v>
      </c>
      <c r="B8" s="26" t="s">
        <v>348</v>
      </c>
      <c r="C8" s="10">
        <v>40</v>
      </c>
    </row>
    <row r="9" spans="1:3" x14ac:dyDescent="0.25">
      <c r="A9" s="25" t="s">
        <v>355</v>
      </c>
      <c r="B9" s="26" t="s">
        <v>197</v>
      </c>
      <c r="C9" s="10">
        <f>CONVERT(C10,"lbm","kg")</f>
        <v>13.607771100000001</v>
      </c>
    </row>
    <row r="10" spans="1:3" x14ac:dyDescent="0.25">
      <c r="A10" s="25" t="s">
        <v>354</v>
      </c>
      <c r="B10" s="26" t="s">
        <v>348</v>
      </c>
      <c r="C10" s="10">
        <v>30</v>
      </c>
    </row>
    <row r="11" spans="1:3" x14ac:dyDescent="0.25">
      <c r="A11" s="25"/>
      <c r="B11" s="26"/>
    </row>
    <row r="12" spans="1:3" x14ac:dyDescent="0.25">
      <c r="A12" s="25"/>
      <c r="B12" s="26"/>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Aviones Semejantes Long-Range</vt:lpstr>
      <vt:lpstr>Aviones Semejantes Anfibio</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2017-07-10T03:10:37Z</dcterms:modified>
</cp:coreProperties>
</file>