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3500" windowHeight="9060"/>
  </bookViews>
  <sheets>
    <sheet name="Aviones Semejantes" sheetId="1" r:id="rId1"/>
    <sheet name="Constants" sheetId="5" r:id="rId2"/>
    <sheet name="Motores" sheetId="6" r:id="rId3"/>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49" i="1" l="1"/>
  <c r="I149" i="1"/>
  <c r="J149" i="1"/>
  <c r="K149" i="1"/>
  <c r="L149" i="1"/>
  <c r="M149" i="1"/>
  <c r="N149" i="1"/>
  <c r="O149" i="1"/>
  <c r="P149" i="1"/>
  <c r="Q149" i="1"/>
  <c r="G149" i="1"/>
  <c r="I194" i="1" l="1"/>
  <c r="J194" i="1"/>
  <c r="K194" i="1"/>
  <c r="L194" i="1"/>
  <c r="M194" i="1"/>
  <c r="H179" i="1"/>
  <c r="G172" i="1"/>
  <c r="H172" i="1"/>
  <c r="F173" i="1"/>
  <c r="G173" i="1"/>
  <c r="G194" i="1" s="1"/>
  <c r="G174" i="1"/>
  <c r="H174" i="1"/>
  <c r="F175" i="1"/>
  <c r="G175" i="1"/>
  <c r="H175" i="1"/>
  <c r="H177" i="1"/>
  <c r="H173" i="1" s="1"/>
  <c r="H194" i="1" s="1"/>
  <c r="H167" i="1"/>
  <c r="G181" i="1"/>
  <c r="C6" i="6"/>
  <c r="D6" i="6"/>
  <c r="B6" i="6"/>
  <c r="E85" i="1" l="1"/>
  <c r="F178" i="1" l="1"/>
  <c r="F174" i="1" s="1"/>
  <c r="F176" i="1"/>
  <c r="F172" i="1" s="1"/>
  <c r="F181" i="1"/>
  <c r="F185" i="1"/>
  <c r="F169" i="1"/>
  <c r="F167" i="1"/>
  <c r="F85" i="1"/>
  <c r="F194" i="1" s="1"/>
  <c r="F57" i="1"/>
  <c r="F58" i="1"/>
  <c r="F61" i="1"/>
  <c r="F63" i="1"/>
  <c r="F147" i="1"/>
  <c r="F149" i="1" s="1"/>
  <c r="B4" i="6"/>
  <c r="B2" i="6"/>
  <c r="Q179" i="1"/>
  <c r="Q178" i="1"/>
  <c r="Q176" i="1"/>
  <c r="Q177" i="1"/>
  <c r="E179" i="1"/>
  <c r="E175" i="1" s="1"/>
  <c r="E178" i="1"/>
  <c r="E174" i="1" s="1"/>
  <c r="E177" i="1"/>
  <c r="E173" i="1" s="1"/>
  <c r="E194" i="1" s="1"/>
  <c r="E176" i="1"/>
  <c r="E172" i="1" s="1"/>
  <c r="E185" i="1" l="1"/>
  <c r="E181" i="1"/>
  <c r="E169" i="1"/>
  <c r="E57" i="1"/>
  <c r="E58" i="1"/>
  <c r="E61" i="1"/>
  <c r="E63" i="1"/>
  <c r="E73" i="1"/>
  <c r="F24" i="1"/>
  <c r="F40" i="1" s="1"/>
  <c r="E24" i="1"/>
  <c r="E40" i="1" s="1"/>
  <c r="E23" i="1" l="1"/>
  <c r="E36" i="1"/>
  <c r="E37" i="1"/>
  <c r="E38" i="1"/>
  <c r="E39" i="1" l="1"/>
  <c r="E41" i="1"/>
  <c r="F77" i="1" l="1"/>
  <c r="E77" i="1"/>
  <c r="F75" i="1"/>
  <c r="E75" i="1"/>
  <c r="E80" i="1"/>
  <c r="F74" i="1"/>
  <c r="E74" i="1"/>
  <c r="F79" i="1"/>
  <c r="E79" i="1"/>
  <c r="F73" i="1"/>
  <c r="E76" i="1" l="1"/>
  <c r="E66" i="1" s="1"/>
  <c r="F76" i="1"/>
  <c r="C9" i="5" l="1"/>
  <c r="C7" i="5"/>
  <c r="C5" i="5"/>
  <c r="C3" i="5"/>
  <c r="F28" i="1" s="1"/>
  <c r="E126" i="1" l="1"/>
  <c r="E103" i="1"/>
  <c r="E110" i="1"/>
  <c r="F110" i="1"/>
  <c r="F109" i="1"/>
  <c r="E109" i="1"/>
  <c r="F80" i="1" l="1"/>
  <c r="F23" i="1" l="1"/>
  <c r="F39" i="1" l="1"/>
  <c r="F41" i="1"/>
  <c r="F156" i="1" l="1"/>
  <c r="F157" i="1"/>
  <c r="F158" i="1"/>
  <c r="F144" i="1"/>
  <c r="F141" i="1"/>
  <c r="F129" i="1"/>
  <c r="F127" i="1"/>
  <c r="F121" i="1"/>
  <c r="F118" i="1"/>
  <c r="F106" i="1"/>
  <c r="F104" i="1"/>
  <c r="F36" i="1"/>
  <c r="F37" i="1"/>
  <c r="F38" i="1"/>
  <c r="F192" i="1" l="1"/>
  <c r="E158" i="1"/>
  <c r="E157" i="1"/>
  <c r="E156" i="1"/>
  <c r="E141" i="1"/>
  <c r="E129" i="1"/>
  <c r="E144" i="1"/>
  <c r="E106" i="1"/>
  <c r="E121" i="1"/>
  <c r="E127" i="1"/>
  <c r="E104" i="1"/>
  <c r="E118" i="1"/>
  <c r="E192" i="1" l="1"/>
</calcChain>
</file>

<file path=xl/comments1.xml><?xml version="1.0" encoding="utf-8"?>
<comments xmlns="http://schemas.openxmlformats.org/spreadsheetml/2006/main">
  <authors>
    <author>Autor</author>
  </authors>
  <commentList>
    <comment ref="B7" authorId="0" shapeId="0">
      <text>
        <r>
          <rPr>
            <b/>
            <sz val="9"/>
            <color indexed="81"/>
            <rFont val="Tahoma"/>
            <family val="2"/>
          </rPr>
          <t>Autor:</t>
        </r>
        <r>
          <rPr>
            <sz val="9"/>
            <color indexed="81"/>
            <rFont val="Tahoma"/>
            <family val="2"/>
          </rPr>
          <t xml:space="preserve">
Distancia del punto más alto del avión al suelo.</t>
        </r>
      </text>
    </comment>
    <comment ref="B8" authorId="0" shapeId="0">
      <text>
        <r>
          <rPr>
            <b/>
            <sz val="9"/>
            <color indexed="81"/>
            <rFont val="Tahoma"/>
            <family val="2"/>
          </rPr>
          <t>Autor: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Autor:</t>
        </r>
        <r>
          <rPr>
            <sz val="9"/>
            <color indexed="81"/>
            <rFont val="Tahoma"/>
            <family val="2"/>
          </rPr>
          <t xml:space="preserve">
Distancia entre los extremos izquierdo y derecho del avión.</t>
        </r>
      </text>
    </comment>
    <comment ref="B12" authorId="0" shapeId="0">
      <text>
        <r>
          <rPr>
            <b/>
            <sz val="9"/>
            <color indexed="81"/>
            <rFont val="Tahoma"/>
            <family val="2"/>
          </rPr>
          <t>Autor: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Autor:</t>
        </r>
        <r>
          <rPr>
            <sz val="9"/>
            <color indexed="81"/>
            <rFont val="Tahoma"/>
            <family val="2"/>
          </rPr>
          <t xml:space="preserve">
Turbofán, turbohélice, eléctrico, etc.</t>
        </r>
      </text>
    </comment>
    <comment ref="E14" authorId="0" shapeId="0">
      <text>
        <r>
          <rPr>
            <b/>
            <sz val="9"/>
            <color indexed="81"/>
            <rFont val="Tahoma"/>
            <charset val="1"/>
          </rPr>
          <t>Uxío:</t>
        </r>
        <r>
          <rPr>
            <sz val="9"/>
            <color indexed="81"/>
            <rFont val="Tahoma"/>
            <charset val="1"/>
          </rPr>
          <t xml:space="preserve">
Ishikawajma-built</t>
        </r>
      </text>
    </comment>
    <comment ref="E15" authorId="0" shapeId="0">
      <text>
        <r>
          <rPr>
            <b/>
            <sz val="9"/>
            <color indexed="81"/>
            <rFont val="Tahoma"/>
            <family val="2"/>
          </rPr>
          <t>Autor:</t>
        </r>
        <r>
          <rPr>
            <sz val="9"/>
            <color indexed="81"/>
            <rFont val="Tahoma"/>
            <family val="2"/>
          </rPr>
          <t xml:space="preserve">
4 2.535 kW Ishikawajima-built General Electric turboprops, each driving a Sumitomo-built Hamilton Sundstrand 63E60-27 three-blade constant-speed reversible-pitch propeller</t>
        </r>
      </text>
    </comment>
    <comment ref="E16" authorId="0" shapeId="0">
      <text>
        <r>
          <rPr>
            <b/>
            <sz val="9"/>
            <color indexed="81"/>
            <rFont val="Tahoma"/>
            <family val="2"/>
          </rPr>
          <t>Autor:</t>
        </r>
        <r>
          <rPr>
            <sz val="9"/>
            <color indexed="81"/>
            <rFont val="Tahoma"/>
            <family val="2"/>
          </rPr>
          <t xml:space="preserve">
Dry weight including standard equipment</t>
        </r>
      </text>
    </comment>
    <comment ref="B19" authorId="0" shapeId="0">
      <text>
        <r>
          <rPr>
            <b/>
            <sz val="9"/>
            <color indexed="81"/>
            <rFont val="Tahoma"/>
            <family val="2"/>
          </rPr>
          <t>Autor:</t>
        </r>
        <r>
          <rPr>
            <sz val="9"/>
            <color indexed="81"/>
            <rFont val="Tahoma"/>
            <family val="2"/>
          </rPr>
          <t xml:space="preserve">
Thrust specific fuel consumption.
Indicando las condiciones de operación; por ej. "máximo continuo a 30000 ft de altitud y Mach 0,82" o "máximo en despegue en condiciones estáticas al nivel del mar"</t>
        </r>
      </text>
    </comment>
    <comment ref="F19" authorId="0" shapeId="0">
      <text>
        <r>
          <rPr>
            <b/>
            <sz val="9"/>
            <color indexed="81"/>
            <rFont val="Tahoma"/>
            <family val="2"/>
          </rPr>
          <t>Autor:</t>
        </r>
        <r>
          <rPr>
            <sz val="9"/>
            <color indexed="81"/>
            <rFont val="Tahoma"/>
            <family val="2"/>
          </rPr>
          <t xml:space="preserve">
Takeoff, Sea Level, Static (Available to 87° F) ---&gt; 0,405 [lb/(lbf·h)]
Max Cruise, 40,000 ft, Mach 0.8 (ISA) ---&gt; 0,679 [lb/(lbf·h)]</t>
        </r>
      </text>
    </comment>
    <comment ref="J19" authorId="0" shapeId="0">
      <text>
        <r>
          <rPr>
            <b/>
            <sz val="9"/>
            <color indexed="81"/>
            <rFont val="Tahoma"/>
            <family val="2"/>
          </rPr>
          <t>Autor:</t>
        </r>
        <r>
          <rPr>
            <sz val="9"/>
            <color indexed="81"/>
            <rFont val="Tahoma"/>
            <family val="2"/>
          </rPr>
          <t xml:space="preserve">
TO --&gt; 0,42
Cruise --&gt; 0,684</t>
        </r>
      </text>
    </comment>
    <comment ref="F21" authorId="0" shapeId="0">
      <text>
        <r>
          <rPr>
            <b/>
            <sz val="9"/>
            <color indexed="81"/>
            <rFont val="Tahoma"/>
            <family val="2"/>
          </rPr>
          <t>Autor:</t>
        </r>
        <r>
          <rPr>
            <b/>
            <sz val="9"/>
            <color indexed="81"/>
            <rFont val="Tahoma"/>
            <charset val="1"/>
          </rPr>
          <t xml:space="preserve">
</t>
        </r>
      </text>
    </comment>
    <comment ref="B23" authorId="0" shapeId="0">
      <text>
        <r>
          <rPr>
            <b/>
            <sz val="9"/>
            <color indexed="81"/>
            <rFont val="Tahoma"/>
            <family val="2"/>
          </rPr>
          <t>Autor:</t>
        </r>
        <r>
          <rPr>
            <sz val="9"/>
            <color indexed="81"/>
            <rFont val="Tahoma"/>
            <family val="2"/>
          </rPr>
          <t xml:space="preserve">
En el despegue con todos los motores encendidos.</t>
        </r>
      </text>
    </comment>
    <comment ref="B24" authorId="0" shapeId="0">
      <text>
        <r>
          <rPr>
            <b/>
            <sz val="9"/>
            <color indexed="81"/>
            <rFont val="Tahoma"/>
            <family val="2"/>
          </rPr>
          <t>Autor:</t>
        </r>
        <r>
          <rPr>
            <sz val="9"/>
            <color indexed="81"/>
            <rFont val="Tahoma"/>
            <family val="2"/>
          </rPr>
          <t xml:space="preserve">
En el despegue con todos los motores encendidos.</t>
        </r>
      </text>
    </comment>
    <comment ref="F26" authorId="0" shapeId="0">
      <text>
        <r>
          <rPr>
            <b/>
            <sz val="9"/>
            <color indexed="81"/>
            <rFont val="Tahoma"/>
            <charset val="1"/>
          </rPr>
          <t>Autor:</t>
        </r>
        <r>
          <rPr>
            <sz val="9"/>
            <color indexed="81"/>
            <rFont val="Tahoma"/>
            <charset val="1"/>
          </rPr>
          <t xml:space="preserve">
All weights from B configuration
</t>
        </r>
      </text>
    </comment>
    <comment ref="B27" authorId="0" shapeId="0">
      <text>
        <r>
          <rPr>
            <b/>
            <sz val="9"/>
            <color indexed="81"/>
            <rFont val="Tahoma"/>
            <family val="2"/>
          </rPr>
          <t>Autor:</t>
        </r>
        <r>
          <rPr>
            <sz val="9"/>
            <color indexed="81"/>
            <rFont val="Tahoma"/>
            <charset val="1"/>
          </rPr>
          <t xml:space="preserve">
Tambien conocido como peso máximo de taxi</t>
        </r>
      </text>
    </comment>
    <comment ref="B29" authorId="0" shapeId="0">
      <text>
        <r>
          <rPr>
            <b/>
            <sz val="9"/>
            <color indexed="81"/>
            <rFont val="Tahoma"/>
            <family val="2"/>
          </rPr>
          <t>Autor:</t>
        </r>
        <r>
          <rPr>
            <sz val="9"/>
            <color indexed="81"/>
            <rFont val="Tahoma"/>
            <family val="2"/>
          </rPr>
          <t xml:space="preserve">
Mejor el peso vacío operativo OEW, pero de carecer de este dato, se puede dar otro peso vacío aclarando de cuál se trata.</t>
        </r>
      </text>
    </comment>
    <comment ref="B30" authorId="0" shapeId="0">
      <text>
        <r>
          <rPr>
            <b/>
            <sz val="9"/>
            <color indexed="81"/>
            <rFont val="Tahoma"/>
            <family val="2"/>
          </rPr>
          <t>Autor:</t>
        </r>
        <r>
          <rPr>
            <sz val="9"/>
            <color indexed="81"/>
            <rFont val="Tahoma"/>
            <family val="2"/>
          </rPr>
          <t xml:space="preserve">
BOW (Basic Operational Weight)
Basic Operating Weight is shown
for turbine-powered airplanes. BOW is
based on the average EOW weight of
the last 10 commercial deliveries, plus
200 lb. for each required crewmember.</t>
        </r>
      </text>
    </comment>
    <comment ref="O32" authorId="0" shapeId="0">
      <text>
        <r>
          <rPr>
            <b/>
            <sz val="9"/>
            <color indexed="81"/>
            <rFont val="Tahoma"/>
            <family val="2"/>
          </rPr>
          <t>Autor:</t>
        </r>
        <r>
          <rPr>
            <sz val="9"/>
            <color indexed="81"/>
            <rFont val="Tahoma"/>
            <family val="2"/>
          </rPr>
          <t xml:space="preserve">
7,306 l</t>
        </r>
      </text>
    </comment>
    <comment ref="B34" authorId="0" shapeId="0">
      <text>
        <r>
          <rPr>
            <b/>
            <sz val="9"/>
            <color indexed="81"/>
            <rFont val="Tahoma"/>
            <family val="2"/>
          </rPr>
          <t>Autor: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H43" authorId="0" shapeId="0">
      <text>
        <r>
          <rPr>
            <b/>
            <sz val="9"/>
            <color indexed="81"/>
            <rFont val="Tahoma"/>
            <family val="2"/>
          </rPr>
          <t>Autor:</t>
        </r>
        <r>
          <rPr>
            <sz val="9"/>
            <color indexed="81"/>
            <rFont val="Tahoma"/>
            <charset val="1"/>
          </rPr>
          <t xml:space="preserve">
3 or 4 including cabin attendant</t>
        </r>
      </text>
    </comment>
    <comment ref="F44" authorId="0" shapeId="0">
      <text>
        <r>
          <rPr>
            <b/>
            <sz val="9"/>
            <color indexed="81"/>
            <rFont val="Tahoma"/>
            <family val="2"/>
          </rPr>
          <t>Autor:</t>
        </r>
        <r>
          <rPr>
            <sz val="9"/>
            <color indexed="81"/>
            <rFont val="Tahoma"/>
            <family val="2"/>
          </rPr>
          <t xml:space="preserve">
tiene dormitorio trasero</t>
        </r>
      </text>
    </comment>
    <comment ref="E45" authorId="0" shapeId="0">
      <text>
        <r>
          <rPr>
            <b/>
            <sz val="9"/>
            <color indexed="81"/>
            <rFont val="Tahoma"/>
            <family val="2"/>
          </rPr>
          <t>Autor:</t>
        </r>
        <r>
          <rPr>
            <sz val="9"/>
            <color indexed="81"/>
            <rFont val="Tahoma"/>
            <family val="2"/>
          </rPr>
          <t xml:space="preserve">
Crew: 3 + navigator+ radio operator+ medic in main cabin.
20 seated surivors or 12 stretchers + 1 auxiliary seat + 2 observer's seats</t>
        </r>
      </text>
    </comment>
    <comment ref="E47" authorId="0" shapeId="0">
      <text>
        <r>
          <rPr>
            <b/>
            <sz val="9"/>
            <color indexed="81"/>
            <rFont val="Tahoma"/>
            <family val="2"/>
          </rPr>
          <t>Autor:</t>
        </r>
        <r>
          <rPr>
            <sz val="9"/>
            <color indexed="81"/>
            <rFont val="Tahoma"/>
            <family val="2"/>
          </rPr>
          <t xml:space="preserve">
Cabin length (excluding cockpit and baggage)</t>
        </r>
      </text>
    </comment>
    <comment ref="F47" authorId="0" shapeId="0">
      <text>
        <r>
          <rPr>
            <b/>
            <sz val="9"/>
            <color indexed="81"/>
            <rFont val="Tahoma"/>
            <family val="2"/>
          </rPr>
          <t>Autor:</t>
        </r>
        <r>
          <rPr>
            <sz val="9"/>
            <color indexed="81"/>
            <rFont val="Tahoma"/>
            <family val="2"/>
          </rPr>
          <t xml:space="preserve">
Cabin length (excluding cockpit and baggage)</t>
        </r>
      </text>
    </comment>
    <comment ref="G47" authorId="0" shapeId="0">
      <text>
        <r>
          <rPr>
            <b/>
            <sz val="9"/>
            <color indexed="81"/>
            <rFont val="Tahoma"/>
            <family val="2"/>
          </rPr>
          <t>Autor:</t>
        </r>
        <r>
          <rPr>
            <sz val="9"/>
            <color indexed="81"/>
            <rFont val="Tahoma"/>
            <family val="2"/>
          </rPr>
          <t xml:space="preserve">
Cabin length (excluding cockpit and baggage)</t>
        </r>
      </text>
    </comment>
    <comment ref="J47" authorId="0" shapeId="0">
      <text>
        <r>
          <rPr>
            <b/>
            <sz val="9"/>
            <color indexed="81"/>
            <rFont val="Tahoma"/>
            <family val="2"/>
          </rPr>
          <t>Autor:</t>
        </r>
        <r>
          <rPr>
            <sz val="9"/>
            <color indexed="81"/>
            <rFont val="Tahoma"/>
            <family val="2"/>
          </rPr>
          <t xml:space="preserve">
rom cockpit divider to aft most cabin without baggage compartment. </t>
        </r>
      </text>
    </comment>
    <comment ref="K47" authorId="0" shapeId="0">
      <text>
        <r>
          <rPr>
            <b/>
            <sz val="9"/>
            <color indexed="81"/>
            <rFont val="Tahoma"/>
            <family val="2"/>
          </rPr>
          <t>Autor:</t>
        </r>
        <r>
          <rPr>
            <sz val="9"/>
            <color indexed="81"/>
            <rFont val="Tahoma"/>
            <family val="2"/>
          </rPr>
          <t xml:space="preserve">
Total Interior Length: 9,83m
Cabin Length (excluding baggage): 7,87m</t>
        </r>
      </text>
    </comment>
    <comment ref="E50" authorId="0" shapeId="0">
      <text>
        <r>
          <rPr>
            <b/>
            <sz val="9"/>
            <color indexed="81"/>
            <rFont val="Tahoma"/>
            <family val="2"/>
          </rPr>
          <t>Autor:</t>
        </r>
        <r>
          <rPr>
            <sz val="9"/>
            <color indexed="81"/>
            <rFont val="Tahoma"/>
            <family val="2"/>
          </rPr>
          <t xml:space="preserve">
Cabin volume (excluding cockpit and baggage)</t>
        </r>
      </text>
    </comment>
    <comment ref="F50" authorId="0" shapeId="0">
      <text>
        <r>
          <rPr>
            <b/>
            <sz val="9"/>
            <color indexed="81"/>
            <rFont val="Tahoma"/>
            <family val="2"/>
          </rPr>
          <t>Autor:</t>
        </r>
        <r>
          <rPr>
            <sz val="9"/>
            <color indexed="81"/>
            <rFont val="Tahoma"/>
            <family val="2"/>
          </rPr>
          <t xml:space="preserve">
Cabin volume (excluding cockpit and baggage)</t>
        </r>
      </text>
    </comment>
    <comment ref="G50" authorId="0" shapeId="0">
      <text>
        <r>
          <rPr>
            <b/>
            <sz val="9"/>
            <color indexed="81"/>
            <rFont val="Tahoma"/>
            <family val="2"/>
          </rPr>
          <t>Autor:</t>
        </r>
        <r>
          <rPr>
            <sz val="9"/>
            <color indexed="81"/>
            <rFont val="Tahoma"/>
            <family val="2"/>
          </rPr>
          <t xml:space="preserve">
Cabin volume (excluding cockpit and baggage)</t>
        </r>
      </text>
    </comment>
    <comment ref="H50" authorId="0" shapeId="0">
      <text>
        <r>
          <rPr>
            <b/>
            <sz val="9"/>
            <color indexed="81"/>
            <rFont val="Tahoma"/>
            <family val="2"/>
          </rPr>
          <t>Autor:</t>
        </r>
        <r>
          <rPr>
            <sz val="9"/>
            <color indexed="81"/>
            <rFont val="Tahoma"/>
            <charset val="1"/>
          </rPr>
          <t xml:space="preserve">
including baggagge</t>
        </r>
      </text>
    </comment>
    <comment ref="L51" authorId="0" shapeId="0">
      <text>
        <r>
          <rPr>
            <b/>
            <sz val="9"/>
            <color indexed="81"/>
            <rFont val="Tahoma"/>
            <family val="2"/>
          </rPr>
          <t>Autor:</t>
        </r>
        <r>
          <rPr>
            <sz val="9"/>
            <color indexed="81"/>
            <rFont val="Tahoma"/>
            <charset val="1"/>
          </rPr>
          <t xml:space="preserve">
1,13 internal + 3,11 external</t>
        </r>
      </text>
    </comment>
    <comment ref="O51" authorId="0" shapeId="0">
      <text>
        <r>
          <rPr>
            <b/>
            <sz val="9"/>
            <color indexed="81"/>
            <rFont val="Tahoma"/>
            <family val="2"/>
          </rPr>
          <t>Autor:</t>
        </r>
        <r>
          <rPr>
            <sz val="9"/>
            <color indexed="81"/>
            <rFont val="Tahoma"/>
            <family val="2"/>
          </rPr>
          <t xml:space="preserve">
496.7 kg max</t>
        </r>
      </text>
    </comment>
    <comment ref="B52" authorId="0" shapeId="0">
      <text>
        <r>
          <rPr>
            <b/>
            <sz val="9"/>
            <color indexed="81"/>
            <rFont val="Tahoma"/>
            <family val="2"/>
          </rPr>
          <t>Autor:</t>
        </r>
        <r>
          <rPr>
            <sz val="9"/>
            <color indexed="81"/>
            <rFont val="Tahoma"/>
            <family val="2"/>
          </rPr>
          <t xml:space="preserve">
Identificando los diferentes comparimentos si son varios.</t>
        </r>
      </text>
    </comment>
    <comment ref="B53" authorId="0" shapeId="0">
      <text>
        <r>
          <rPr>
            <b/>
            <sz val="9"/>
            <color indexed="81"/>
            <rFont val="Tahoma"/>
            <family val="2"/>
          </rPr>
          <t>Autor: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56" authorId="0" shapeId="0">
      <text>
        <r>
          <rPr>
            <b/>
            <sz val="9"/>
            <color indexed="81"/>
            <rFont val="Tahoma"/>
            <family val="2"/>
          </rPr>
          <t>Autor: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60" authorId="0" shapeId="0">
      <text>
        <r>
          <rPr>
            <b/>
            <sz val="9"/>
            <color indexed="81"/>
            <rFont val="Tahoma"/>
            <family val="2"/>
          </rPr>
          <t>Autor:</t>
        </r>
        <r>
          <rPr>
            <sz val="9"/>
            <color indexed="81"/>
            <rFont val="Tahoma"/>
            <family val="2"/>
          </rPr>
          <t xml:space="preserve">
Dimensiones máximas en dirección horizontal y vertical, respectivamente, de la proyección del fuselaje sobre un plano perpendicular a su línea de referencia.</t>
        </r>
      </text>
    </comment>
    <comment ref="B61" authorId="0" shapeId="0">
      <text>
        <r>
          <rPr>
            <b/>
            <sz val="9"/>
            <color indexed="81"/>
            <rFont val="Tahoma"/>
            <family val="2"/>
          </rPr>
          <t>Autor:</t>
        </r>
        <r>
          <rPr>
            <sz val="9"/>
            <color indexed="81"/>
            <rFont val="Tahoma"/>
            <family val="2"/>
          </rPr>
          <t xml:space="preserve">
El área de la anterior proyección.</t>
        </r>
      </text>
    </comment>
    <comment ref="B63" authorId="0" shapeId="0">
      <text>
        <r>
          <rPr>
            <b/>
            <sz val="9"/>
            <color indexed="81"/>
            <rFont val="Tahoma"/>
            <family val="2"/>
          </rPr>
          <t>Autor:</t>
        </r>
        <r>
          <rPr>
            <sz val="9"/>
            <color indexed="81"/>
            <rFont val="Tahoma"/>
            <family val="2"/>
          </rPr>
          <t xml:space="preserve">
La esbeltez del fuselaje es la comparación de la longitud de fuselaje con el un parámetro característico de las dimensiones transversales --&gt; lambdaf=(lf/af)</t>
        </r>
      </text>
    </comment>
    <comment ref="B65" authorId="0" shapeId="0">
      <text>
        <r>
          <rPr>
            <b/>
            <sz val="9"/>
            <color indexed="81"/>
            <rFont val="Tahoma"/>
            <family val="2"/>
          </rPr>
          <t>Autor:</t>
        </r>
        <r>
          <rPr>
            <sz val="9"/>
            <color indexed="81"/>
            <rFont val="Tahoma"/>
            <family val="2"/>
          </rPr>
          <t xml:space="preserve">
Alta, media, baja, etc.</t>
        </r>
      </text>
    </comment>
    <comment ref="B66" authorId="0" shapeId="0">
      <text>
        <r>
          <rPr>
            <b/>
            <sz val="9"/>
            <color indexed="81"/>
            <rFont val="Tahoma"/>
            <family val="2"/>
          </rPr>
          <t>Autor:</t>
        </r>
        <r>
          <rPr>
            <sz val="9"/>
            <color indexed="81"/>
            <rFont val="Tahoma"/>
            <family val="2"/>
          </rPr>
          <t xml:space="preserve">
Definida como el cociente entre la distancia longitudinal del punto un cuarto de la cuerda media aerodinámica al morro del avión y la longitud del fuselaje.</t>
        </r>
      </text>
    </comment>
    <comment ref="B68" authorId="0" shapeId="0">
      <text>
        <r>
          <rPr>
            <b/>
            <sz val="9"/>
            <color indexed="81"/>
            <rFont val="Tahoma"/>
            <family val="2"/>
          </rPr>
          <t>Autor: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69" authorId="0" shapeId="0">
      <text>
        <r>
          <rPr>
            <b/>
            <sz val="9"/>
            <color indexed="81"/>
            <rFont val="Tahoma"/>
            <family val="2"/>
          </rPr>
          <t>Autor:</t>
        </r>
        <r>
          <rPr>
            <sz val="9"/>
            <color indexed="81"/>
            <rFont val="Tahoma"/>
            <family val="2"/>
          </rPr>
          <t xml:space="preserve">
Distancia entre los extremos izquierdo y derecho del ala, excluyendo los winglets de haberlos, pero incluyendo carenados de punta de ala.</t>
        </r>
      </text>
    </comment>
    <comment ref="B73" authorId="0" shapeId="0">
      <text>
        <r>
          <rPr>
            <b/>
            <sz val="9"/>
            <color indexed="81"/>
            <rFont val="Tahoma"/>
            <family val="2"/>
          </rPr>
          <t>Autor:</t>
        </r>
        <r>
          <rPr>
            <sz val="9"/>
            <color indexed="81"/>
            <rFont val="Tahoma"/>
            <family val="2"/>
          </rPr>
          <t xml:space="preserve">
Cociente de Sw dividido entre b.</t>
        </r>
      </text>
    </comment>
    <comment ref="B74" authorId="0" shapeId="0">
      <text>
        <r>
          <rPr>
            <b/>
            <sz val="9"/>
            <color indexed="81"/>
            <rFont val="Tahoma"/>
            <family val="2"/>
          </rPr>
          <t>Autor:</t>
        </r>
        <r>
          <rPr>
            <sz val="9"/>
            <color indexed="81"/>
            <rFont val="Tahoma"/>
            <family val="2"/>
          </rPr>
          <t xml:space="preserve">
Cociente de la integral a lo largo de la envergadura de los cuadrados de las cuerdas dividida entre Sw .</t>
        </r>
      </text>
    </comment>
    <comment ref="B76" authorId="0" shapeId="0">
      <text>
        <r>
          <rPr>
            <b/>
            <sz val="9"/>
            <color indexed="81"/>
            <rFont val="Tahoma"/>
            <family val="2"/>
          </rPr>
          <t>Autor: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78" authorId="0" shapeId="0">
      <text>
        <r>
          <rPr>
            <b/>
            <sz val="9"/>
            <color indexed="81"/>
            <rFont val="Tahoma"/>
            <family val="2"/>
          </rPr>
          <t>Autor:</t>
        </r>
        <r>
          <rPr>
            <sz val="9"/>
            <color indexed="81"/>
            <rFont val="Tahoma"/>
            <family val="2"/>
          </rPr>
          <t xml:space="preserve">
Distancia longitudinal del borde de ataque en la raiz, al borde de ataque en la punta [m]</t>
        </r>
      </text>
    </comment>
    <comment ref="B79" authorId="0" shapeId="0">
      <text>
        <r>
          <rPr>
            <b/>
            <sz val="9"/>
            <color indexed="81"/>
            <rFont val="Tahoma"/>
            <family val="2"/>
          </rPr>
          <t>Autor:</t>
        </r>
        <r>
          <rPr>
            <sz val="9"/>
            <color indexed="81"/>
            <rFont val="Tahoma"/>
            <family val="2"/>
          </rPr>
          <t xml:space="preserve">
Cociente de b dividido entre CMG. (b^2/Sw)</t>
        </r>
      </text>
    </comment>
    <comment ref="B80" authorId="0" shapeId="0">
      <text>
        <r>
          <rPr>
            <b/>
            <sz val="9"/>
            <color indexed="81"/>
            <rFont val="Tahoma"/>
            <family val="2"/>
          </rPr>
          <t>Autor:</t>
        </r>
        <r>
          <rPr>
            <sz val="9"/>
            <color indexed="81"/>
            <rFont val="Tahoma"/>
            <family val="2"/>
          </rPr>
          <t xml:space="preserve">
Cociente de ct dividido entre cr </t>
        </r>
      </text>
    </comment>
    <comment ref="B81" authorId="0" shapeId="0">
      <text>
        <r>
          <rPr>
            <b/>
            <sz val="9"/>
            <color indexed="81"/>
            <rFont val="Tahoma"/>
            <family val="2"/>
          </rPr>
          <t>Autor: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82" authorId="0" shapeId="0">
      <text>
        <r>
          <rPr>
            <b/>
            <sz val="9"/>
            <color indexed="81"/>
            <rFont val="Tahoma"/>
            <family val="2"/>
          </rPr>
          <t>Autor:</t>
        </r>
        <r>
          <rPr>
            <sz val="9"/>
            <color indexed="81"/>
            <rFont val="Tahoma"/>
            <family val="2"/>
          </rPr>
          <t xml:space="preserve">
Ángulo que forma la proyección de la línea de puntos un cuarto sobre un plano perpendicular al eje longitudinal del del avión con un plano horizontal.</t>
        </r>
      </text>
    </comment>
    <comment ref="B83" authorId="0" shapeId="0">
      <text>
        <r>
          <rPr>
            <b/>
            <sz val="9"/>
            <color indexed="81"/>
            <rFont val="Tahoma"/>
            <family val="2"/>
          </rPr>
          <t>Autor:</t>
        </r>
        <r>
          <rPr>
            <sz val="9"/>
            <color indexed="81"/>
            <rFont val="Tahoma"/>
            <family val="2"/>
          </rPr>
          <t xml:space="preserve">
Tipo y, en su caso, denominación, p.ej., NACA 64-410.</t>
        </r>
      </text>
    </comment>
    <comment ref="A87" authorId="0" shapeId="0">
      <text>
        <r>
          <rPr>
            <b/>
            <sz val="9"/>
            <color indexed="81"/>
            <rFont val="Tahoma"/>
            <family val="2"/>
          </rPr>
          <t>Autor: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87" authorId="0" shapeId="0">
      <text>
        <r>
          <rPr>
            <b/>
            <sz val="9"/>
            <color indexed="81"/>
            <rFont val="Tahoma"/>
            <family val="2"/>
          </rPr>
          <t>Autor:</t>
        </r>
        <r>
          <rPr>
            <sz val="9"/>
            <color indexed="81"/>
            <rFont val="Tahoma"/>
            <family val="2"/>
          </rPr>
          <t xml:space="preserve">
Flap simple, Fowler, doble ranurado, slat, Krueger, etc</t>
        </r>
      </text>
    </comment>
    <comment ref="A94" authorId="0" shapeId="0">
      <text>
        <r>
          <rPr>
            <b/>
            <sz val="9"/>
            <color indexed="81"/>
            <rFont val="Tahoma"/>
            <family val="2"/>
          </rPr>
          <t>Autor: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101" authorId="0" shapeId="0">
      <text>
        <r>
          <rPr>
            <b/>
            <sz val="9"/>
            <color indexed="81"/>
            <rFont val="Tahoma"/>
            <family val="2"/>
          </rPr>
          <t>Autor:</t>
        </r>
        <r>
          <rPr>
            <sz val="9"/>
            <color indexed="81"/>
            <rFont val="Tahoma"/>
            <family val="2"/>
          </rPr>
          <t xml:space="preserve">
Con palabras o, mejor, con un esquema.</t>
        </r>
      </text>
    </comment>
    <comment ref="B102"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20" authorId="0" shapeId="0">
      <text>
        <r>
          <rPr>
            <b/>
            <sz val="9"/>
            <color indexed="81"/>
            <rFont val="Tahoma"/>
            <family val="2"/>
          </rPr>
          <t>Autor: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22" authorId="0" shapeId="0">
      <text>
        <r>
          <rPr>
            <b/>
            <sz val="9"/>
            <color indexed="81"/>
            <rFont val="Tahoma"/>
            <family val="2"/>
          </rPr>
          <t>Autor: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25"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26" authorId="0" shapeId="0">
      <text>
        <r>
          <rPr>
            <b/>
            <sz val="9"/>
            <color indexed="81"/>
            <rFont val="Tahoma"/>
            <family val="2"/>
          </rPr>
          <t>Autor:</t>
        </r>
        <r>
          <rPr>
            <sz val="9"/>
            <color indexed="81"/>
            <rFont val="Tahoma"/>
            <family val="2"/>
          </rPr>
          <t xml:space="preserve">
La mitad de la del ala correspondiente.</t>
        </r>
      </text>
    </comment>
    <comment ref="B128" authorId="0" shapeId="0">
      <text>
        <r>
          <rPr>
            <b/>
            <sz val="9"/>
            <color indexed="81"/>
            <rFont val="Tahoma"/>
            <family val="2"/>
          </rPr>
          <t>Autor:</t>
        </r>
        <r>
          <rPr>
            <sz val="9"/>
            <color indexed="81"/>
            <rFont val="Tahoma"/>
            <family val="2"/>
          </rPr>
          <t xml:space="preserve">
La mitad de la del ala correspondiente.</t>
        </r>
      </text>
    </comment>
    <comment ref="B132" authorId="0" shapeId="0">
      <text>
        <r>
          <rPr>
            <b/>
            <sz val="9"/>
            <color indexed="81"/>
            <rFont val="Tahoma"/>
            <family val="2"/>
          </rPr>
          <t>Autor:</t>
        </r>
        <r>
          <rPr>
            <sz val="9"/>
            <color indexed="81"/>
            <rFont val="Tahoma"/>
            <family val="2"/>
          </rPr>
          <t xml:space="preserve">
Cociente de Sv dividido entre bv .</t>
        </r>
      </text>
    </comment>
    <comment ref="B135" authorId="0" shapeId="0">
      <text>
        <r>
          <rPr>
            <b/>
            <sz val="9"/>
            <color indexed="81"/>
            <rFont val="Tahoma"/>
            <family val="2"/>
          </rPr>
          <t>Autor:</t>
        </r>
        <r>
          <rPr>
            <sz val="9"/>
            <color indexed="81"/>
            <rFont val="Tahoma"/>
            <family val="2"/>
          </rPr>
          <t xml:space="preserve">
Definido como el cociente 2bv /CMGv, para que sea el del ala correspondiente.</t>
        </r>
      </text>
    </comment>
    <comment ref="B141" authorId="0" shapeId="0">
      <text>
        <r>
          <rPr>
            <b/>
            <sz val="9"/>
            <color indexed="81"/>
            <rFont val="Tahoma"/>
            <family val="2"/>
          </rPr>
          <t>Autor:</t>
        </r>
        <r>
          <rPr>
            <sz val="9"/>
            <color indexed="81"/>
            <rFont val="Tahoma"/>
            <family val="2"/>
          </rPr>
          <t xml:space="preserve">
Obsérvese que se usa b en lugar de CMA.</t>
        </r>
      </text>
    </comment>
    <comment ref="B143" authorId="0" shapeId="0">
      <text>
        <r>
          <rPr>
            <b/>
            <sz val="9"/>
            <color indexed="81"/>
            <rFont val="Tahoma"/>
            <family val="2"/>
          </rPr>
          <t>Autor:</t>
        </r>
        <r>
          <rPr>
            <sz val="9"/>
            <color indexed="81"/>
            <rFont val="Tahoma"/>
            <family val="2"/>
          </rPr>
          <t xml:space="preserve">
La distancia vertical entre los extremos inferior y superior del timón.</t>
        </r>
      </text>
    </comment>
    <comment ref="B145" authorId="0" shapeId="0">
      <text>
        <r>
          <rPr>
            <b/>
            <sz val="9"/>
            <color indexed="81"/>
            <rFont val="Tahoma"/>
            <family val="2"/>
          </rPr>
          <t>Autor:</t>
        </r>
        <r>
          <rPr>
            <sz val="9"/>
            <color indexed="81"/>
            <rFont val="Tahoma"/>
            <family val="2"/>
          </rPr>
          <t xml:space="preserve">
Cociente de la cuerda del timón dividida entre la cuerda del estabilizador, medidas ambas a la altura del punto medio del timón.</t>
        </r>
      </text>
    </comment>
    <comment ref="A153" authorId="0" shapeId="0">
      <text>
        <r>
          <rPr>
            <b/>
            <sz val="9"/>
            <color indexed="81"/>
            <rFont val="Tahoma"/>
            <family val="2"/>
          </rPr>
          <t>Autor:</t>
        </r>
        <r>
          <rPr>
            <sz val="9"/>
            <color indexed="81"/>
            <rFont val="Tahoma"/>
            <family val="2"/>
          </rPr>
          <t xml:space="preserve">
Para el tren auxiliar se debe sustituir el subíndice p de principal por el subíndice a de auxiliar.</t>
        </r>
      </text>
    </comment>
    <comment ref="B153" authorId="0" shapeId="0">
      <text>
        <r>
          <rPr>
            <b/>
            <sz val="9"/>
            <color indexed="81"/>
            <rFont val="Tahoma"/>
            <family val="2"/>
          </rPr>
          <t>Autor:</t>
        </r>
        <r>
          <rPr>
            <sz val="9"/>
            <color indexed="81"/>
            <rFont val="Tahoma"/>
            <family val="2"/>
          </rPr>
          <t xml:space="preserve">
Triciclo, retráctil, con rueda de cola, etc.</t>
        </r>
      </text>
    </comment>
    <comment ref="B154" authorId="0" shapeId="0">
      <text>
        <r>
          <rPr>
            <b/>
            <sz val="9"/>
            <color indexed="81"/>
            <rFont val="Tahoma"/>
            <family val="2"/>
          </rPr>
          <t>Autor:</t>
        </r>
        <r>
          <rPr>
            <sz val="9"/>
            <color indexed="81"/>
            <rFont val="Tahoma"/>
            <family val="2"/>
          </rPr>
          <t xml:space="preserve">
Distancia entre el centro de las huellas de los trenes principales; si estos son más de dos, se tomarán los más alejados del plano de simetría del avión.</t>
        </r>
      </text>
    </comment>
    <comment ref="B155" authorId="0" shapeId="0">
      <text>
        <r>
          <rPr>
            <b/>
            <sz val="9"/>
            <color indexed="81"/>
            <rFont val="Tahoma"/>
            <family val="2"/>
          </rPr>
          <t>Autor: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F160" authorId="0" shapeId="0">
      <text>
        <r>
          <rPr>
            <b/>
            <sz val="9"/>
            <color indexed="81"/>
            <rFont val="Tahoma"/>
            <family val="2"/>
          </rPr>
          <t>Autor:</t>
        </r>
        <r>
          <rPr>
            <sz val="9"/>
            <color indexed="81"/>
            <rFont val="Tahoma"/>
            <family val="2"/>
          </rPr>
          <t xml:space="preserve">
29 in</t>
        </r>
      </text>
    </comment>
    <comment ref="F161" authorId="0" shapeId="0">
      <text>
        <r>
          <rPr>
            <b/>
            <sz val="9"/>
            <color indexed="81"/>
            <rFont val="Tahoma"/>
            <family val="2"/>
          </rPr>
          <t>Autor:</t>
        </r>
        <r>
          <rPr>
            <sz val="9"/>
            <color indexed="81"/>
            <rFont val="Tahoma"/>
            <family val="2"/>
          </rPr>
          <t xml:space="preserve">
7,7 in</t>
        </r>
      </text>
    </comment>
    <comment ref="F163" authorId="0" shapeId="0">
      <text>
        <r>
          <rPr>
            <b/>
            <sz val="9"/>
            <color indexed="81"/>
            <rFont val="Tahoma"/>
            <family val="2"/>
          </rPr>
          <t>Autor:</t>
        </r>
        <r>
          <rPr>
            <sz val="9"/>
            <color indexed="81"/>
            <rFont val="Tahoma"/>
            <family val="2"/>
          </rPr>
          <t xml:space="preserve">
17,5 in</t>
        </r>
      </text>
    </comment>
    <comment ref="F164" authorId="0" shapeId="0">
      <text>
        <r>
          <rPr>
            <b/>
            <sz val="9"/>
            <color indexed="81"/>
            <rFont val="Tahoma"/>
            <family val="2"/>
          </rPr>
          <t>Autor:</t>
        </r>
        <r>
          <rPr>
            <sz val="9"/>
            <color indexed="81"/>
            <rFont val="Tahoma"/>
            <family val="2"/>
          </rPr>
          <t xml:space="preserve">
5,7 in</t>
        </r>
      </text>
    </comment>
    <comment ref="F167" authorId="0" shapeId="0">
      <text>
        <r>
          <rPr>
            <b/>
            <sz val="9"/>
            <color indexed="81"/>
            <rFont val="Tahoma"/>
            <charset val="1"/>
          </rPr>
          <t>Autor:</t>
        </r>
        <r>
          <rPr>
            <sz val="9"/>
            <color indexed="81"/>
            <rFont val="Tahoma"/>
            <charset val="1"/>
          </rPr>
          <t xml:space="preserve">
AUW = 16329kg
</t>
        </r>
      </text>
    </comment>
    <comment ref="B168" authorId="0" shapeId="0">
      <text>
        <r>
          <rPr>
            <b/>
            <sz val="9"/>
            <color indexed="81"/>
            <rFont val="Tahoma"/>
            <family val="2"/>
          </rPr>
          <t>Autor:</t>
        </r>
        <r>
          <rPr>
            <sz val="9"/>
            <color indexed="81"/>
            <rFont val="Tahoma"/>
            <family val="2"/>
          </rPr>
          <t xml:space="preserve">
Maximum Operating Mach</t>
        </r>
      </text>
    </comment>
    <comment ref="B169" authorId="0" shapeId="0">
      <text>
        <r>
          <rPr>
            <b/>
            <sz val="9"/>
            <color indexed="81"/>
            <rFont val="Tahoma"/>
            <family val="2"/>
          </rPr>
          <t>Autor:</t>
        </r>
        <r>
          <rPr>
            <sz val="9"/>
            <color indexed="81"/>
            <rFont val="Tahoma"/>
            <family val="2"/>
          </rPr>
          <t xml:space="preserve">
Indicando condiciones como régimen de crucero, altitud, etc.</t>
        </r>
      </text>
    </comment>
    <comment ref="F169" authorId="0" shapeId="0">
      <text>
        <r>
          <rPr>
            <b/>
            <sz val="9"/>
            <color indexed="81"/>
            <rFont val="Tahoma"/>
            <charset val="1"/>
          </rPr>
          <t>Autor:</t>
        </r>
        <r>
          <rPr>
            <sz val="9"/>
            <color indexed="81"/>
            <rFont val="Tahoma"/>
            <charset val="1"/>
          </rPr>
          <t xml:space="preserve">
AUW 16329 kg
</t>
        </r>
      </text>
    </comment>
    <comment ref="E171" authorId="0" shapeId="0">
      <text>
        <r>
          <rPr>
            <b/>
            <sz val="9"/>
            <color indexed="81"/>
            <rFont val="Tahoma"/>
            <charset val="1"/>
          </rPr>
          <t>Autor:</t>
        </r>
        <r>
          <rPr>
            <sz val="9"/>
            <color indexed="81"/>
            <rFont val="Tahoma"/>
            <charset val="1"/>
          </rPr>
          <t xml:space="preserve">
Obtained from V2</t>
        </r>
      </text>
    </comment>
    <comment ref="E172" authorId="0" shapeId="0">
      <text>
        <r>
          <rPr>
            <b/>
            <sz val="9"/>
            <color indexed="81"/>
            <rFont val="Tahoma"/>
            <charset val="1"/>
          </rPr>
          <t>Autor:</t>
        </r>
        <r>
          <rPr>
            <sz val="9"/>
            <color indexed="81"/>
            <rFont val="Tahoma"/>
            <charset val="1"/>
          </rPr>
          <t xml:space="preserve">
Obtained from V2</t>
        </r>
      </text>
    </comment>
    <comment ref="E173" authorId="0" shapeId="0">
      <text>
        <r>
          <rPr>
            <b/>
            <sz val="9"/>
            <color indexed="81"/>
            <rFont val="Tahoma"/>
            <charset val="1"/>
          </rPr>
          <t>Autor:</t>
        </r>
        <r>
          <rPr>
            <sz val="9"/>
            <color indexed="81"/>
            <rFont val="Tahoma"/>
            <charset val="1"/>
          </rPr>
          <t xml:space="preserve">
Obtained from V2</t>
        </r>
      </text>
    </comment>
    <comment ref="B174" authorId="0" shapeId="0">
      <text>
        <r>
          <rPr>
            <b/>
            <sz val="9"/>
            <color indexed="81"/>
            <rFont val="Tahoma"/>
            <family val="2"/>
          </rPr>
          <t>Autor:</t>
        </r>
        <r>
          <rPr>
            <sz val="9"/>
            <color indexed="81"/>
            <rFont val="Tahoma"/>
            <family val="2"/>
          </rPr>
          <t xml:space="preserve">
En configuraciones limpia, de despegue o aterrizaje, indicando peso y altitud, si son conocidos.</t>
        </r>
      </text>
    </comment>
    <comment ref="E174" authorId="0" shapeId="0">
      <text>
        <r>
          <rPr>
            <b/>
            <sz val="9"/>
            <color indexed="81"/>
            <rFont val="Tahoma"/>
            <charset val="1"/>
          </rPr>
          <t>Autor:</t>
        </r>
        <r>
          <rPr>
            <sz val="9"/>
            <color indexed="81"/>
            <rFont val="Tahoma"/>
            <charset val="1"/>
          </rPr>
          <t xml:space="preserve">
</t>
        </r>
      </text>
    </comment>
    <comment ref="B175" authorId="0" shapeId="0">
      <text>
        <r>
          <rPr>
            <b/>
            <sz val="9"/>
            <color indexed="81"/>
            <rFont val="Tahoma"/>
            <family val="2"/>
          </rPr>
          <t>Autor:</t>
        </r>
        <r>
          <rPr>
            <sz val="9"/>
            <color indexed="81"/>
            <rFont val="Tahoma"/>
            <family val="2"/>
          </rPr>
          <t xml:space="preserve">
En configuraciones limpia, de despegue o aterrizaje, indicando peso y altitud, si son conocidos.</t>
        </r>
      </text>
    </comment>
    <comment ref="E175" authorId="0" shapeId="0">
      <text>
        <r>
          <rPr>
            <b/>
            <sz val="9"/>
            <color indexed="81"/>
            <rFont val="Tahoma"/>
            <charset val="1"/>
          </rPr>
          <t>Autor:</t>
        </r>
        <r>
          <rPr>
            <sz val="9"/>
            <color indexed="81"/>
            <rFont val="Tahoma"/>
            <charset val="1"/>
          </rPr>
          <t xml:space="preserve">
</t>
        </r>
      </text>
    </comment>
    <comment ref="B176" authorId="0" shapeId="0">
      <text>
        <r>
          <rPr>
            <b/>
            <sz val="9"/>
            <color indexed="81"/>
            <rFont val="Tahoma"/>
            <family val="2"/>
          </rPr>
          <t>Autor:</t>
        </r>
        <r>
          <rPr>
            <sz val="9"/>
            <color indexed="81"/>
            <rFont val="Tahoma"/>
            <family val="2"/>
          </rPr>
          <t xml:space="preserve">
Velocidad de seguridad en el despegue.</t>
        </r>
      </text>
    </comment>
    <comment ref="E176" authorId="0" shapeId="0">
      <text>
        <r>
          <rPr>
            <b/>
            <sz val="9"/>
            <color indexed="81"/>
            <rFont val="Tahoma"/>
            <charset val="1"/>
          </rPr>
          <t>Autor:</t>
        </r>
        <r>
          <rPr>
            <sz val="9"/>
            <color indexed="81"/>
            <rFont val="Tahoma"/>
            <charset val="1"/>
          </rPr>
          <t xml:space="preserve">
From US-1A development paper</t>
        </r>
      </text>
    </comment>
    <comment ref="B177" authorId="0" shapeId="0">
      <text>
        <r>
          <rPr>
            <b/>
            <sz val="9"/>
            <color indexed="81"/>
            <rFont val="Tahoma"/>
            <family val="2"/>
          </rPr>
          <t>Autor:</t>
        </r>
        <r>
          <rPr>
            <sz val="9"/>
            <color indexed="81"/>
            <rFont val="Tahoma"/>
            <family val="2"/>
          </rPr>
          <t xml:space="preserve">
Velocidad de seguridad en el despegue.</t>
        </r>
      </text>
    </comment>
    <comment ref="E177" authorId="0" shapeId="0">
      <text>
        <r>
          <rPr>
            <b/>
            <sz val="9"/>
            <color indexed="81"/>
            <rFont val="Tahoma"/>
            <charset val="1"/>
          </rPr>
          <t>Autor:</t>
        </r>
        <r>
          <rPr>
            <sz val="9"/>
            <color indexed="81"/>
            <rFont val="Tahoma"/>
            <charset val="1"/>
          </rPr>
          <t xml:space="preserve">
From US-1A development paper</t>
        </r>
      </text>
    </comment>
    <comment ref="B178" authorId="0" shapeId="0">
      <text>
        <r>
          <rPr>
            <b/>
            <sz val="9"/>
            <color indexed="81"/>
            <rFont val="Tahoma"/>
            <family val="2"/>
          </rPr>
          <t>Autor:</t>
        </r>
        <r>
          <rPr>
            <sz val="9"/>
            <color indexed="81"/>
            <rFont val="Tahoma"/>
            <family val="2"/>
          </rPr>
          <t xml:space="preserve">
Velocidad de aproximación final.</t>
        </r>
      </text>
    </comment>
    <comment ref="B179" authorId="0" shapeId="0">
      <text>
        <r>
          <rPr>
            <b/>
            <sz val="9"/>
            <color indexed="81"/>
            <rFont val="Tahoma"/>
            <family val="2"/>
          </rPr>
          <t>Autor:</t>
        </r>
        <r>
          <rPr>
            <sz val="9"/>
            <color indexed="81"/>
            <rFont val="Tahoma"/>
            <family val="2"/>
          </rPr>
          <t xml:space="preserve">
Velocidad de aproximación final.</t>
        </r>
      </text>
    </comment>
    <comment ref="B180" authorId="0" shapeId="0">
      <text>
        <r>
          <rPr>
            <b/>
            <sz val="9"/>
            <color indexed="81"/>
            <rFont val="Tahoma"/>
            <family val="2"/>
          </rPr>
          <t>Autor:</t>
        </r>
        <r>
          <rPr>
            <sz val="9"/>
            <color indexed="81"/>
            <rFont val="Tahoma"/>
            <family val="2"/>
          </rPr>
          <t xml:space="preserve">
Velocidad de aproximación final.</t>
        </r>
      </text>
    </comment>
    <comment ref="F182" authorId="0" shapeId="0">
      <text>
        <r>
          <rPr>
            <b/>
            <sz val="9"/>
            <color indexed="81"/>
            <rFont val="Tahoma"/>
            <charset val="1"/>
          </rPr>
          <t>Autor:</t>
        </r>
        <r>
          <rPr>
            <sz val="9"/>
            <color indexed="81"/>
            <rFont val="Tahoma"/>
            <charset val="1"/>
          </rPr>
          <t xml:space="preserve">
with 998 kg of payload
</t>
        </r>
      </text>
    </comment>
    <comment ref="H182" authorId="0" shapeId="0">
      <text>
        <r>
          <rPr>
            <b/>
            <sz val="9"/>
            <color indexed="81"/>
            <rFont val="Tahoma"/>
            <family val="2"/>
          </rPr>
          <t>Autor:</t>
        </r>
        <r>
          <rPr>
            <sz val="9"/>
            <color indexed="81"/>
            <rFont val="Tahoma"/>
            <family val="2"/>
          </rPr>
          <t xml:space="preserve">
With max fuel
</t>
        </r>
      </text>
    </comment>
    <comment ref="N182" authorId="0" shapeId="0">
      <text>
        <r>
          <rPr>
            <b/>
            <sz val="9"/>
            <color indexed="81"/>
            <rFont val="Tahoma"/>
            <family val="2"/>
          </rPr>
          <t>Autor:</t>
        </r>
        <r>
          <rPr>
            <sz val="9"/>
            <color indexed="81"/>
            <rFont val="Tahoma"/>
            <family val="2"/>
          </rPr>
          <t xml:space="preserve">
Range: LRC, 6 occupants at 200 lb/each, NBAA IFR reserves, 100 nm alternate airport, baseline aircraft.</t>
        </r>
      </text>
    </comment>
    <comment ref="B187" authorId="0" shapeId="0">
      <text>
        <r>
          <rPr>
            <b/>
            <sz val="9"/>
            <color indexed="81"/>
            <rFont val="Tahoma"/>
            <family val="2"/>
          </rPr>
          <t>Autor:</t>
        </r>
        <r>
          <rPr>
            <sz val="9"/>
            <color indexed="81"/>
            <rFont val="Tahoma"/>
            <family val="2"/>
          </rPr>
          <t xml:space="preserve">
Especificando condiciones como peso, altitud, etc.</t>
        </r>
      </text>
    </comment>
    <comment ref="E187" authorId="0" shapeId="0">
      <text>
        <r>
          <rPr>
            <b/>
            <sz val="9"/>
            <color indexed="81"/>
            <rFont val="Tahoma"/>
            <family val="2"/>
          </rPr>
          <t>Autor:</t>
        </r>
        <r>
          <rPr>
            <sz val="9"/>
            <color indexed="81"/>
            <rFont val="Tahoma"/>
            <family val="2"/>
          </rPr>
          <t xml:space="preserve">
BFL at MTOW: SL - ISA</t>
        </r>
      </text>
    </comment>
    <comment ref="F187" authorId="0" shapeId="0">
      <text>
        <r>
          <rPr>
            <b/>
            <sz val="9"/>
            <color indexed="81"/>
            <rFont val="Tahoma"/>
            <charset val="1"/>
          </rPr>
          <t>Autor:</t>
        </r>
        <r>
          <rPr>
            <sz val="9"/>
            <color indexed="81"/>
            <rFont val="Tahoma"/>
            <charset val="1"/>
          </rPr>
          <t xml:space="preserve">
AUW = 18597kg
</t>
        </r>
      </text>
    </comment>
    <comment ref="B188" authorId="0" shapeId="0">
      <text>
        <r>
          <rPr>
            <b/>
            <sz val="9"/>
            <color indexed="81"/>
            <rFont val="Tahoma"/>
            <family val="2"/>
          </rPr>
          <t>Autor:</t>
        </r>
        <r>
          <rPr>
            <sz val="9"/>
            <color indexed="81"/>
            <rFont val="Tahoma"/>
            <family val="2"/>
          </rPr>
          <t xml:space="preserve">
Especificando condiciones como peso, altitud, etc.</t>
        </r>
      </text>
    </comment>
    <comment ref="E188" authorId="0" shapeId="0">
      <text>
        <r>
          <rPr>
            <b/>
            <sz val="9"/>
            <color indexed="81"/>
            <rFont val="Tahoma"/>
            <family val="2"/>
          </rPr>
          <t>Autor:</t>
        </r>
        <r>
          <rPr>
            <sz val="9"/>
            <color indexed="81"/>
            <rFont val="Tahoma"/>
            <family val="2"/>
          </rPr>
          <t xml:space="preserve">
FAR 91 landing distance at typical landing weight </t>
        </r>
      </text>
    </comment>
    <comment ref="F188" authorId="0" shapeId="0">
      <text>
        <r>
          <rPr>
            <b/>
            <sz val="9"/>
            <color indexed="81"/>
            <rFont val="Tahoma"/>
            <charset val="1"/>
          </rPr>
          <t>Autor:</t>
        </r>
        <r>
          <rPr>
            <sz val="9"/>
            <color indexed="81"/>
            <rFont val="Tahoma"/>
            <charset val="1"/>
          </rPr>
          <t xml:space="preserve">
at AUW = 16783
</t>
        </r>
      </text>
    </comment>
    <comment ref="B189" authorId="0" shapeId="0">
      <text>
        <r>
          <rPr>
            <b/>
            <sz val="9"/>
            <color indexed="81"/>
            <rFont val="Tahoma"/>
            <family val="2"/>
          </rPr>
          <t>Autor:</t>
        </r>
        <r>
          <rPr>
            <sz val="9"/>
            <color indexed="81"/>
            <rFont val="Tahoma"/>
            <family val="2"/>
          </rPr>
          <t xml:space="preserve">
Especificando condiciones como peso, altitud, etc.</t>
        </r>
      </text>
    </comment>
    <comment ref="E189" authorId="0" shapeId="0">
      <text>
        <r>
          <rPr>
            <b/>
            <sz val="9"/>
            <color indexed="81"/>
            <rFont val="Tahoma"/>
            <family val="2"/>
          </rPr>
          <t>Autor:</t>
        </r>
        <r>
          <rPr>
            <sz val="9"/>
            <color indexed="81"/>
            <rFont val="Tahoma"/>
            <family val="2"/>
          </rPr>
          <t xml:space="preserve">
BFL at MTOW: SL - ISA</t>
        </r>
      </text>
    </comment>
    <comment ref="F189" authorId="0" shapeId="0">
      <text>
        <r>
          <rPr>
            <b/>
            <sz val="9"/>
            <color indexed="81"/>
            <rFont val="Tahoma"/>
            <charset val="1"/>
          </rPr>
          <t>Autor:</t>
        </r>
        <r>
          <rPr>
            <sz val="9"/>
            <color indexed="81"/>
            <rFont val="Tahoma"/>
            <charset val="1"/>
          </rPr>
          <t xml:space="preserve">
AUW= 17168kg</t>
        </r>
      </text>
    </comment>
    <comment ref="B190" authorId="0" shapeId="0">
      <text>
        <r>
          <rPr>
            <b/>
            <sz val="9"/>
            <color indexed="81"/>
            <rFont val="Tahoma"/>
            <family val="2"/>
          </rPr>
          <t>Autor:</t>
        </r>
        <r>
          <rPr>
            <sz val="9"/>
            <color indexed="81"/>
            <rFont val="Tahoma"/>
            <family val="2"/>
          </rPr>
          <t xml:space="preserve">
Especificando condiciones como peso, altitud, etc.</t>
        </r>
      </text>
    </comment>
    <comment ref="E190" authorId="0" shapeId="0">
      <text>
        <r>
          <rPr>
            <b/>
            <sz val="9"/>
            <color indexed="81"/>
            <rFont val="Tahoma"/>
            <family val="2"/>
          </rPr>
          <t>Autor:</t>
        </r>
        <r>
          <rPr>
            <sz val="9"/>
            <color indexed="81"/>
            <rFont val="Tahoma"/>
            <family val="2"/>
          </rPr>
          <t xml:space="preserve">
BFL at MTOW: SL - ISA</t>
        </r>
      </text>
    </comment>
    <comment ref="F190" authorId="0" shapeId="0">
      <text>
        <r>
          <rPr>
            <b/>
            <sz val="9"/>
            <color indexed="81"/>
            <rFont val="Tahoma"/>
            <charset val="1"/>
          </rPr>
          <t>Autor:</t>
        </r>
        <r>
          <rPr>
            <sz val="9"/>
            <color indexed="81"/>
            <rFont val="Tahoma"/>
            <charset val="1"/>
          </rPr>
          <t xml:space="preserve">
16783kg
</t>
        </r>
      </text>
    </comment>
  </commentList>
</comments>
</file>

<file path=xl/comments2.xml><?xml version="1.0" encoding="utf-8"?>
<comments xmlns="http://schemas.openxmlformats.org/spreadsheetml/2006/main">
  <authors>
    <author>Autor</author>
  </authors>
  <commentList>
    <comment ref="C4" authorId="0" shapeId="0">
      <text>
        <r>
          <rPr>
            <b/>
            <sz val="9"/>
            <color indexed="81"/>
            <rFont val="Tahoma"/>
            <family val="2"/>
          </rPr>
          <t>Autor:</t>
        </r>
        <r>
          <rPr>
            <sz val="9"/>
            <color indexed="81"/>
            <rFont val="Tahoma"/>
            <family val="2"/>
          </rPr>
          <t xml:space="preserve">
contionuos in cruise conditions!
</t>
        </r>
      </text>
    </comment>
  </commentList>
</comments>
</file>

<file path=xl/sharedStrings.xml><?xml version="1.0" encoding="utf-8"?>
<sst xmlns="http://schemas.openxmlformats.org/spreadsheetml/2006/main" count="637" uniqueCount="390">
  <si>
    <t>Nombre</t>
  </si>
  <si>
    <t>Fabricante</t>
  </si>
  <si>
    <t>Fecha Primer Vuelo</t>
  </si>
  <si>
    <t>Altura máxima</t>
  </si>
  <si>
    <t>Longitud máxima</t>
  </si>
  <si>
    <t>Envergadura máxima</t>
  </si>
  <si>
    <t>Nº de Motores</t>
  </si>
  <si>
    <t xml:space="preserve">Posición </t>
  </si>
  <si>
    <t>Tipo de Motor</t>
  </si>
  <si>
    <t>Modelo</t>
  </si>
  <si>
    <t>Peso de un motor</t>
  </si>
  <si>
    <t>Posición Vertical</t>
  </si>
  <si>
    <t>Posición Longitudinal</t>
  </si>
  <si>
    <t>Cuerda Media Geométrica</t>
  </si>
  <si>
    <t>Cuerda Media Aerodinámica</t>
  </si>
  <si>
    <t>Parámetro de Estrechamiento</t>
  </si>
  <si>
    <t>Flecha línea puntos 1/4</t>
  </si>
  <si>
    <t>Diedro</t>
  </si>
  <si>
    <t>Perfiles Aerodinámicos</t>
  </si>
  <si>
    <t>Tipo</t>
  </si>
  <si>
    <t>Condiciones de Crucero</t>
  </si>
  <si>
    <t>Distancia Despegue</t>
  </si>
  <si>
    <t>Distancia Aterrizaje</t>
  </si>
  <si>
    <t>ACTUACIONES</t>
  </si>
  <si>
    <t>DATOS GENERALES DEL AVIÓN</t>
  </si>
  <si>
    <t>GRUPO MOTOPROPULSOR</t>
  </si>
  <si>
    <t>PESOS</t>
  </si>
  <si>
    <t>FUSELAJE</t>
  </si>
  <si>
    <t>ALA</t>
  </si>
  <si>
    <t>DISPOSITIVOS HIPERSUSTENTADORES</t>
  </si>
  <si>
    <t>ALERONES Y SPOILERS</t>
  </si>
  <si>
    <t>TREN DE ATERRIZAJE</t>
  </si>
  <si>
    <t>[-]</t>
  </si>
  <si>
    <r>
      <t>[h</t>
    </r>
    <r>
      <rPr>
        <vertAlign val="subscript"/>
        <sz val="11"/>
        <color theme="1"/>
        <rFont val="Calibri"/>
        <family val="2"/>
        <scheme val="minor"/>
      </rPr>
      <t>max</t>
    </r>
    <r>
      <rPr>
        <sz val="11"/>
        <color theme="1"/>
        <rFont val="Calibri"/>
        <family val="2"/>
        <scheme val="minor"/>
      </rPr>
      <t>]</t>
    </r>
  </si>
  <si>
    <r>
      <t>[l</t>
    </r>
    <r>
      <rPr>
        <vertAlign val="subscript"/>
        <sz val="11"/>
        <color theme="1"/>
        <rFont val="Calibri"/>
        <family val="2"/>
        <scheme val="minor"/>
      </rPr>
      <t>max</t>
    </r>
    <r>
      <rPr>
        <sz val="11"/>
        <color theme="1"/>
        <rFont val="Calibri"/>
        <family val="2"/>
        <scheme val="minor"/>
      </rPr>
      <t>]</t>
    </r>
  </si>
  <si>
    <r>
      <t>[b</t>
    </r>
    <r>
      <rPr>
        <vertAlign val="subscript"/>
        <sz val="11"/>
        <color theme="1"/>
        <rFont val="Calibri"/>
        <family val="2"/>
        <scheme val="minor"/>
      </rPr>
      <t>max</t>
    </r>
    <r>
      <rPr>
        <sz val="11"/>
        <color theme="1"/>
        <rFont val="Calibri"/>
        <family val="2"/>
        <scheme val="minor"/>
      </rPr>
      <t>]</t>
    </r>
  </si>
  <si>
    <r>
      <t>[W</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</si>
  <si>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t>
    </r>
  </si>
  <si>
    <t>Longitud fuselaje</t>
  </si>
  <si>
    <t>Anchura fuselaje</t>
  </si>
  <si>
    <r>
      <t>[b</t>
    </r>
    <r>
      <rPr>
        <vertAlign val="subscript"/>
        <sz val="11"/>
        <color theme="1"/>
        <rFont val="Calibri"/>
        <family val="2"/>
        <scheme val="minor"/>
      </rPr>
      <t>f</t>
    </r>
    <r>
      <rPr>
        <sz val="11"/>
        <color theme="1"/>
        <rFont val="Calibri"/>
        <family val="2"/>
        <scheme val="minor"/>
      </rPr>
      <t>]</t>
    </r>
  </si>
  <si>
    <t>Altura fuselaje</t>
  </si>
  <si>
    <r>
      <t>[h</t>
    </r>
    <r>
      <rPr>
        <vertAlign val="subscript"/>
        <sz val="11"/>
        <color theme="1"/>
        <rFont val="Calibri"/>
        <family val="2"/>
        <scheme val="minor"/>
      </rPr>
      <t>f</t>
    </r>
    <r>
      <rPr>
        <sz val="11"/>
        <color theme="1"/>
        <rFont val="Calibri"/>
        <family val="2"/>
        <scheme val="minor"/>
      </rPr>
      <t>]</t>
    </r>
  </si>
  <si>
    <t>Área frontal máxima</t>
  </si>
  <si>
    <r>
      <t>[S</t>
    </r>
    <r>
      <rPr>
        <vertAlign val="subscript"/>
        <sz val="11"/>
        <color theme="1"/>
        <rFont val="Calibri"/>
        <family val="2"/>
        <scheme val="minor"/>
      </rPr>
      <t>ff</t>
    </r>
    <r>
      <rPr>
        <sz val="11"/>
        <color theme="1"/>
        <rFont val="Calibri"/>
        <family val="2"/>
        <scheme val="minor"/>
      </rPr>
      <t>]</t>
    </r>
  </si>
  <si>
    <r>
      <t>[d</t>
    </r>
    <r>
      <rPr>
        <vertAlign val="subscript"/>
        <sz val="11"/>
        <color theme="1"/>
        <rFont val="Calibri"/>
        <family val="2"/>
        <scheme val="minor"/>
      </rPr>
      <t>min</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</si>
  <si>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/b]</t>
    </r>
  </si>
  <si>
    <r>
      <t>[l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r>
      <rPr>
        <sz val="11"/>
        <color theme="1"/>
        <rFont val="Calibri"/>
        <family val="2"/>
        <scheme val="minor"/>
      </rPr>
      <t>]</t>
    </r>
  </si>
  <si>
    <t>Distancia Mínima del fuselaje al Suelo</t>
  </si>
  <si>
    <r>
      <t>[N</t>
    </r>
    <r>
      <rPr>
        <vertAlign val="subscript"/>
        <sz val="11"/>
        <color theme="1"/>
        <rFont val="Calibri"/>
        <family val="2"/>
        <scheme val="minor"/>
      </rPr>
      <t>eng</t>
    </r>
    <r>
      <rPr>
        <sz val="11"/>
        <color theme="1"/>
        <rFont val="Calibri"/>
        <family val="2"/>
        <scheme val="minor"/>
      </rPr>
      <t>]</t>
    </r>
  </si>
  <si>
    <t>[MTOW]</t>
  </si>
  <si>
    <t>Peso Máximo al Despegue</t>
  </si>
  <si>
    <t>Peso Operativo en Vacío</t>
  </si>
  <si>
    <t>[OEW]</t>
  </si>
  <si>
    <t>[MPL]</t>
  </si>
  <si>
    <t>[OEW/MTOW]</t>
  </si>
  <si>
    <t>[MFW]</t>
  </si>
  <si>
    <t>Peso Máximo del Combustible</t>
  </si>
  <si>
    <t>Carga de Pago Máxima</t>
  </si>
  <si>
    <t>Relación OEW/MTOW</t>
  </si>
  <si>
    <r>
      <t>[S</t>
    </r>
    <r>
      <rPr>
        <vertAlign val="subscript"/>
        <sz val="11"/>
        <color theme="1"/>
        <rFont val="Calibri"/>
        <family val="2"/>
        <scheme val="minor"/>
      </rPr>
      <t>w</t>
    </r>
    <r>
      <rPr>
        <sz val="11"/>
        <color theme="1"/>
        <rFont val="Calibri"/>
        <family val="2"/>
        <scheme val="minor"/>
      </rPr>
      <t>]</t>
    </r>
  </si>
  <si>
    <t>[b]</t>
  </si>
  <si>
    <t>Cuerda en la punta</t>
  </si>
  <si>
    <r>
      <t>[c</t>
    </r>
    <r>
      <rPr>
        <vertAlign val="subscript"/>
        <sz val="11"/>
        <color theme="1"/>
        <rFont val="Calibri"/>
        <family val="2"/>
        <scheme val="minor"/>
      </rPr>
      <t>t</t>
    </r>
    <r>
      <rPr>
        <sz val="11"/>
        <color theme="1"/>
        <rFont val="Calibri"/>
        <family val="2"/>
        <scheme val="minor"/>
      </rPr>
      <t>]</t>
    </r>
  </si>
  <si>
    <t>Cuerda en la raíz</t>
  </si>
  <si>
    <r>
      <t>[c</t>
    </r>
    <r>
      <rPr>
        <vertAlign val="subscript"/>
        <sz val="11"/>
        <color theme="1"/>
        <rFont val="Calibri"/>
        <family val="2"/>
        <scheme val="minor"/>
      </rPr>
      <t>r</t>
    </r>
    <r>
      <rPr>
        <sz val="11"/>
        <color theme="1"/>
        <rFont val="Calibri"/>
        <family val="2"/>
        <scheme val="minor"/>
      </rPr>
      <t>]</t>
    </r>
  </si>
  <si>
    <t>[CMG]</t>
  </si>
  <si>
    <t>[CMA]</t>
  </si>
  <si>
    <t>Alargamiento</t>
  </si>
  <si>
    <r>
      <t>[</t>
    </r>
    <r>
      <rPr>
        <sz val="11"/>
        <color theme="1"/>
        <rFont val="Symbol"/>
        <family val="1"/>
        <charset val="2"/>
      </rPr>
      <t>l</t>
    </r>
    <r>
      <rPr>
        <sz val="11"/>
        <color theme="1"/>
        <rFont val="Calibri"/>
        <family val="2"/>
        <scheme val="minor"/>
      </rPr>
      <t>]</t>
    </r>
  </si>
  <si>
    <r>
      <t>[</t>
    </r>
    <r>
      <rPr>
        <sz val="11"/>
        <color theme="1"/>
        <rFont val="Symbol"/>
        <family val="1"/>
        <charset val="2"/>
      </rPr>
      <t>L</t>
    </r>
    <r>
      <rPr>
        <vertAlign val="subscript"/>
        <sz val="11"/>
        <color theme="1"/>
        <rFont val="Symbol"/>
        <family val="1"/>
        <charset val="2"/>
      </rPr>
      <t>1/4</t>
    </r>
    <r>
      <rPr>
        <sz val="11"/>
        <color theme="1"/>
        <rFont val="Calibri"/>
        <family val="2"/>
        <scheme val="minor"/>
      </rPr>
      <t>]</t>
    </r>
  </si>
  <si>
    <r>
      <t>[</t>
    </r>
    <r>
      <rPr>
        <sz val="11"/>
        <color theme="1"/>
        <rFont val="Symbol"/>
        <family val="1"/>
        <charset val="2"/>
      </rPr>
      <t>L</t>
    </r>
    <r>
      <rPr>
        <sz val="11"/>
        <color theme="1"/>
        <rFont val="Calibri"/>
        <family val="2"/>
        <scheme val="minor"/>
      </rPr>
      <t>]</t>
    </r>
  </si>
  <si>
    <t>Posicion Longitudinal del punto un cuarto de CMA</t>
  </si>
  <si>
    <r>
      <t>[CMA</t>
    </r>
    <r>
      <rPr>
        <vertAlign val="subscript"/>
        <sz val="11"/>
        <color theme="1"/>
        <rFont val="Calibri"/>
        <family val="2"/>
        <scheme val="minor"/>
      </rPr>
      <t>1/4</t>
    </r>
    <r>
      <rPr>
        <sz val="11"/>
        <color theme="1"/>
        <rFont val="Calibri"/>
        <family val="2"/>
        <scheme val="minor"/>
      </rPr>
      <t>]</t>
    </r>
  </si>
  <si>
    <r>
      <t>[</t>
    </r>
    <r>
      <rPr>
        <sz val="11"/>
        <color theme="1"/>
        <rFont val="Symbol"/>
        <family val="1"/>
        <charset val="2"/>
      </rPr>
      <t>G</t>
    </r>
    <r>
      <rPr>
        <sz val="11"/>
        <color theme="1"/>
        <rFont val="Calibri"/>
        <family val="2"/>
        <scheme val="minor"/>
      </rPr>
      <t>]</t>
    </r>
  </si>
  <si>
    <t>Espesor relativo de los perfiles (en %)</t>
  </si>
  <si>
    <r>
      <t>[</t>
    </r>
    <r>
      <rPr>
        <sz val="11"/>
        <color theme="1"/>
        <rFont val="Symbol"/>
        <family val="1"/>
        <charset val="2"/>
      </rPr>
      <t>t</t>
    </r>
    <r>
      <rPr>
        <sz val="11"/>
        <color theme="1"/>
        <rFont val="Calibri"/>
        <family val="2"/>
        <scheme val="minor"/>
      </rPr>
      <t>]</t>
    </r>
  </si>
  <si>
    <t>Carga alar en despegue</t>
  </si>
  <si>
    <r>
      <t>[MTOW/S</t>
    </r>
    <r>
      <rPr>
        <vertAlign val="subscript"/>
        <sz val="11"/>
        <color theme="1"/>
        <rFont val="Calibri"/>
        <family val="2"/>
        <scheme val="minor"/>
      </rPr>
      <t>w</t>
    </r>
    <r>
      <rPr>
        <sz val="11"/>
        <color theme="1"/>
        <rFont val="Calibri"/>
        <family val="2"/>
        <scheme val="minor"/>
      </rPr>
      <t>]</t>
    </r>
  </si>
  <si>
    <t>Envergadura alar</t>
  </si>
  <si>
    <t>Superficie alar</t>
  </si>
  <si>
    <r>
      <t>[l</t>
    </r>
    <r>
      <rPr>
        <vertAlign val="subscript"/>
        <sz val="11"/>
        <color theme="1"/>
        <rFont val="Calibri"/>
        <family val="2"/>
        <scheme val="minor"/>
      </rPr>
      <t>w</t>
    </r>
    <r>
      <rPr>
        <sz val="11"/>
        <color theme="1"/>
        <rFont val="Calibri"/>
        <family val="2"/>
        <scheme val="minor"/>
      </rPr>
      <t>]</t>
    </r>
  </si>
  <si>
    <r>
      <t>[CMG</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</si>
  <si>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rh</t>
    </r>
    <r>
      <rPr>
        <sz val="11"/>
        <color theme="1"/>
        <rFont val="Calibri"/>
        <family val="2"/>
        <scheme val="minor"/>
      </rPr>
      <t>]</t>
    </r>
  </si>
  <si>
    <r>
      <t>[c</t>
    </r>
    <r>
      <rPr>
        <vertAlign val="subscript"/>
        <sz val="11"/>
        <color theme="1"/>
        <rFont val="Calibri"/>
        <family val="2"/>
        <scheme val="minor"/>
      </rPr>
      <t>th</t>
    </r>
    <r>
      <rPr>
        <sz val="11"/>
        <color theme="1"/>
        <rFont val="Calibri"/>
        <family val="2"/>
        <scheme val="minor"/>
      </rPr>
      <t>]</t>
    </r>
  </si>
  <si>
    <r>
      <t>[b</t>
    </r>
    <r>
      <rPr>
        <vertAlign val="subscript"/>
        <sz val="11"/>
        <color theme="1"/>
        <rFont val="Calibri"/>
        <family val="2"/>
        <scheme val="minor"/>
      </rPr>
      <t>h</t>
    </r>
    <r>
      <rPr>
        <sz val="11"/>
        <color theme="1"/>
        <rFont val="Calibri"/>
        <family val="2"/>
        <scheme val="minor"/>
      </rPr>
      <t>/b]</t>
    </r>
  </si>
  <si>
    <r>
      <t>[b</t>
    </r>
    <r>
      <rPr>
        <vertAlign val="subscript"/>
        <sz val="11"/>
        <color theme="1"/>
        <rFont val="Calibri"/>
        <family val="2"/>
        <scheme val="minor"/>
      </rPr>
      <t>h</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</si>
  <si>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</si>
  <si>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t>
    </r>
  </si>
  <si>
    <t>Posición longitudinal</t>
  </si>
  <si>
    <t>Posición vertical</t>
  </si>
  <si>
    <r>
      <t>[CMA</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</si>
  <si>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SpaceClaim ASME CB"/>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</si>
  <si>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</si>
  <si>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1/4h</t>
    </r>
    <r>
      <rPr>
        <sz val="11"/>
        <color theme="1"/>
        <rFont val="Calibri"/>
        <family val="2"/>
        <scheme val="minor"/>
      </rPr>
      <t>]</t>
    </r>
  </si>
  <si>
    <r>
      <t>[</t>
    </r>
    <r>
      <rPr>
        <sz val="11"/>
        <color theme="1"/>
        <rFont val="Symbol"/>
        <family val="1"/>
        <charset val="2"/>
      </rPr>
      <t>G</t>
    </r>
    <r>
      <rPr>
        <vertAlign val="subscript"/>
        <sz val="11"/>
        <color theme="1"/>
        <rFont val="Calibri"/>
        <family val="2"/>
        <scheme val="minor"/>
      </rPr>
      <t>h</t>
    </r>
    <r>
      <rPr>
        <sz val="11"/>
        <color theme="1"/>
        <rFont val="Calibri"/>
        <family val="2"/>
        <scheme val="minor"/>
      </rPr>
      <t>]</t>
    </r>
  </si>
  <si>
    <r>
      <t>[</t>
    </r>
    <r>
      <rPr>
        <sz val="11"/>
        <color theme="1"/>
        <rFont val="Symbol"/>
        <family val="1"/>
        <charset val="2"/>
      </rPr>
      <t>t</t>
    </r>
    <r>
      <rPr>
        <vertAlign val="subscript"/>
        <sz val="11"/>
        <color theme="1"/>
        <rFont val="Calibri"/>
        <family val="2"/>
        <scheme val="minor"/>
      </rPr>
      <t>h</t>
    </r>
    <r>
      <rPr>
        <sz val="11"/>
        <color theme="1"/>
        <rFont val="Calibri"/>
        <family val="2"/>
        <scheme val="minor"/>
      </rPr>
      <t>]</t>
    </r>
  </si>
  <si>
    <r>
      <t>[l</t>
    </r>
    <r>
      <rPr>
        <vertAlign val="subscript"/>
        <sz val="11"/>
        <color theme="1"/>
        <rFont val="Calibri"/>
        <family val="2"/>
        <scheme val="minor"/>
      </rPr>
      <t>h</t>
    </r>
    <r>
      <rPr>
        <sz val="11"/>
        <color theme="1"/>
        <rFont val="Calibri"/>
        <family val="2"/>
        <scheme val="minor"/>
      </rPr>
      <t>]</t>
    </r>
  </si>
  <si>
    <r>
      <t>[v</t>
    </r>
    <r>
      <rPr>
        <vertAlign val="subscript"/>
        <sz val="11"/>
        <color theme="1"/>
        <rFont val="Calibri"/>
        <family val="2"/>
        <scheme val="minor"/>
      </rPr>
      <t>h</t>
    </r>
    <r>
      <rPr>
        <sz val="11"/>
        <color theme="1"/>
        <rFont val="Calibri"/>
        <family val="2"/>
        <scheme val="minor"/>
      </rPr>
      <t>]</t>
    </r>
  </si>
  <si>
    <t>Coeficiente de Volumen</t>
  </si>
  <si>
    <r>
      <t>[S</t>
    </r>
    <r>
      <rPr>
        <vertAlign val="subscript"/>
        <sz val="11"/>
        <color theme="1"/>
        <rFont val="Calibri"/>
        <family val="2"/>
        <scheme val="minor"/>
      </rPr>
      <t>h</t>
    </r>
    <r>
      <rPr>
        <sz val="11"/>
        <color theme="1"/>
        <rFont val="Calibri"/>
        <family val="2"/>
        <scheme val="minor"/>
      </rPr>
      <t>l</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CMA)]</t>
    </r>
  </si>
  <si>
    <t>ESTABILIZADOR HORIZONTAL</t>
  </si>
  <si>
    <t>TIMÓN DE PROFUNDIDAD</t>
  </si>
  <si>
    <t>Envergadura</t>
  </si>
  <si>
    <t>Fracción de la cuerda</t>
  </si>
  <si>
    <r>
      <t>[b</t>
    </r>
    <r>
      <rPr>
        <vertAlign val="subscript"/>
        <sz val="11"/>
        <color theme="1"/>
        <rFont val="Calibri"/>
        <family val="2"/>
        <scheme val="minor"/>
      </rPr>
      <t>e</t>
    </r>
    <r>
      <rPr>
        <sz val="11"/>
        <color theme="1"/>
        <rFont val="Calibri"/>
        <family val="2"/>
        <scheme val="minor"/>
      </rPr>
      <t>]</t>
    </r>
  </si>
  <si>
    <r>
      <t>[b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</si>
  <si>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e</t>
    </r>
    <r>
      <rPr>
        <sz val="11"/>
        <color theme="1"/>
        <rFont val="Calibri"/>
        <family val="2"/>
        <scheme val="minor"/>
      </rPr>
      <t>/c</t>
    </r>
    <r>
      <rPr>
        <vertAlign val="subscript"/>
        <sz val="11"/>
        <color theme="1"/>
        <rFont val="Calibri"/>
        <family val="2"/>
        <scheme val="minor"/>
      </rPr>
      <t>h</t>
    </r>
    <r>
      <rPr>
        <sz val="11"/>
        <color theme="1"/>
        <rFont val="Calibri"/>
        <family val="2"/>
        <scheme val="minor"/>
      </rPr>
      <t>]</t>
    </r>
  </si>
  <si>
    <t>ESTABILIZADOR VERTICAL</t>
  </si>
  <si>
    <t>TIMÓN DE DIRECCIÓN</t>
  </si>
  <si>
    <t>Fracción de cuerda</t>
  </si>
  <si>
    <r>
      <t>[b</t>
    </r>
    <r>
      <rPr>
        <vertAlign val="subscript"/>
        <sz val="11"/>
        <color theme="1"/>
        <rFont val="Calibri"/>
        <family val="2"/>
        <scheme val="minor"/>
      </rPr>
      <t>r</t>
    </r>
    <r>
      <rPr>
        <sz val="11"/>
        <color theme="1"/>
        <rFont val="Calibri"/>
        <family val="2"/>
        <scheme val="minor"/>
      </rPr>
      <t>]</t>
    </r>
  </si>
  <si>
    <r>
      <t>[b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v</t>
    </r>
    <r>
      <rPr>
        <sz val="11"/>
        <color theme="1"/>
        <rFont val="Calibri"/>
        <family val="2"/>
        <scheme val="minor"/>
      </rPr>
      <t>]</t>
    </r>
  </si>
  <si>
    <r>
      <t>[c</t>
    </r>
    <r>
      <rPr>
        <vertAlign val="subscript"/>
        <sz val="11"/>
        <color theme="1"/>
        <rFont val="Calibri"/>
        <family val="2"/>
        <scheme val="minor"/>
      </rPr>
      <t>r</t>
    </r>
    <r>
      <rPr>
        <sz val="11"/>
        <color theme="1"/>
        <rFont val="Calibri"/>
        <family val="2"/>
        <scheme val="minor"/>
      </rPr>
      <t>/c</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</si>
  <si>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1/4h</t>
    </r>
    <r>
      <rPr>
        <sz val="11"/>
        <color theme="1"/>
        <rFont val="Calibri"/>
        <family val="2"/>
        <scheme val="minor"/>
      </rPr>
      <t>]</t>
    </r>
  </si>
  <si>
    <r>
      <t>[v</t>
    </r>
    <r>
      <rPr>
        <vertAlign val="subscript"/>
        <sz val="11"/>
        <color theme="1"/>
        <rFont val="Calibri"/>
        <family val="2"/>
        <scheme val="minor"/>
      </rPr>
      <t>v</t>
    </r>
    <r>
      <rPr>
        <sz val="11"/>
        <color theme="1"/>
        <rFont val="Calibri"/>
        <family val="2"/>
        <scheme val="minor"/>
      </rPr>
      <t>]</t>
    </r>
  </si>
  <si>
    <r>
      <t>[l</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</si>
  <si>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</si>
  <si>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</si>
  <si>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</si>
  <si>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/b]</t>
    </r>
  </si>
  <si>
    <r>
      <t>[c</t>
    </r>
    <r>
      <rPr>
        <vertAlign val="subscript"/>
        <sz val="11"/>
        <color theme="1"/>
        <rFont val="Calibri"/>
        <family val="2"/>
        <scheme val="minor"/>
      </rPr>
      <t>tv</t>
    </r>
    <r>
      <rPr>
        <sz val="11"/>
        <color theme="1"/>
        <rFont val="Calibri"/>
        <family val="2"/>
        <scheme val="minor"/>
      </rPr>
      <t>]</t>
    </r>
  </si>
  <si>
    <r>
      <t>[c</t>
    </r>
    <r>
      <rPr>
        <vertAlign val="subscript"/>
        <sz val="11"/>
        <color theme="1"/>
        <rFont val="Calibri"/>
        <family val="2"/>
        <scheme val="minor"/>
      </rPr>
      <t>rv</t>
    </r>
    <r>
      <rPr>
        <sz val="11"/>
        <color theme="1"/>
        <rFont val="Calibri"/>
        <family val="2"/>
        <scheme val="minor"/>
      </rPr>
      <t>]</t>
    </r>
  </si>
  <si>
    <r>
      <t>[CMG</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</si>
  <si>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</si>
  <si>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</si>
  <si>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l</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</si>
  <si>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t>
    </r>
    <r>
      <rPr>
        <sz val="11"/>
        <color theme="1"/>
        <rFont val="Symbol"/>
        <family val="1"/>
        <charset val="2"/>
      </rPr>
      <t>t</t>
    </r>
    <r>
      <rPr>
        <vertAlign val="subscript"/>
        <sz val="11"/>
        <color theme="1"/>
        <rFont val="Calibri"/>
        <family val="2"/>
        <scheme val="minor"/>
      </rPr>
      <t>v</t>
    </r>
    <r>
      <rPr>
        <sz val="11"/>
        <color theme="1"/>
        <rFont val="Calibri"/>
        <family val="2"/>
        <scheme val="minor"/>
      </rPr>
      <t>]</t>
    </r>
  </si>
  <si>
    <r>
      <t>[</t>
    </r>
    <r>
      <rPr>
        <sz val="11"/>
        <color theme="1"/>
        <rFont val="Symbol"/>
        <family val="1"/>
        <charset val="2"/>
      </rPr>
      <t>G</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</si>
  <si>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</si>
  <si>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</si>
  <si>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</si>
  <si>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t>Batalla</t>
  </si>
  <si>
    <t>Vía</t>
  </si>
  <si>
    <t>[T]</t>
  </si>
  <si>
    <t>[B]</t>
  </si>
  <si>
    <t>[T/B]</t>
  </si>
  <si>
    <t>[T/b]</t>
  </si>
  <si>
    <t>Relación T/b</t>
  </si>
  <si>
    <t>Relación T/B</t>
  </si>
  <si>
    <r>
      <t>[B/l</t>
    </r>
    <r>
      <rPr>
        <vertAlign val="subscript"/>
        <sz val="11"/>
        <color theme="1"/>
        <rFont val="Calibri"/>
        <family val="2"/>
        <scheme val="minor"/>
      </rPr>
      <t>f</t>
    </r>
    <r>
      <rPr>
        <sz val="11"/>
        <color theme="1"/>
        <rFont val="Calibri"/>
        <family val="2"/>
        <scheme val="minor"/>
      </rPr>
      <t>]</t>
    </r>
  </si>
  <si>
    <r>
      <t>[N</t>
    </r>
    <r>
      <rPr>
        <vertAlign val="subscript"/>
        <sz val="11"/>
        <color theme="1"/>
        <rFont val="Calibri"/>
        <family val="2"/>
        <scheme val="minor"/>
      </rPr>
      <t>p</t>
    </r>
    <r>
      <rPr>
        <sz val="11"/>
        <color theme="1"/>
        <rFont val="Calibri"/>
        <family val="2"/>
        <scheme val="minor"/>
      </rPr>
      <t>]</t>
    </r>
  </si>
  <si>
    <t>Nº Neumáticos por pata</t>
  </si>
  <si>
    <r>
      <t>[V</t>
    </r>
    <r>
      <rPr>
        <vertAlign val="subscript"/>
        <sz val="11"/>
        <color theme="1"/>
        <rFont val="Calibri"/>
        <family val="2"/>
        <scheme val="minor"/>
      </rPr>
      <t>max</t>
    </r>
    <r>
      <rPr>
        <sz val="11"/>
        <color theme="1"/>
        <rFont val="Calibri"/>
        <family val="2"/>
        <scheme val="minor"/>
      </rPr>
      <t>]</t>
    </r>
  </si>
  <si>
    <t>Velocida Máxima</t>
  </si>
  <si>
    <r>
      <t>[V</t>
    </r>
    <r>
      <rPr>
        <vertAlign val="subscript"/>
        <sz val="11"/>
        <color theme="1"/>
        <rFont val="Calibri"/>
        <family val="2"/>
        <scheme val="minor"/>
      </rPr>
      <t>cruise</t>
    </r>
    <r>
      <rPr>
        <sz val="11"/>
        <color theme="1"/>
        <rFont val="Calibri"/>
        <family val="2"/>
        <scheme val="minor"/>
      </rPr>
      <t>]</t>
    </r>
  </si>
  <si>
    <t>Velocidad Crucero de Diseño</t>
  </si>
  <si>
    <r>
      <t>[V</t>
    </r>
    <r>
      <rPr>
        <vertAlign val="subscript"/>
        <sz val="11"/>
        <color theme="1"/>
        <rFont val="Calibri"/>
        <family val="2"/>
        <scheme val="minor"/>
      </rPr>
      <t>2</t>
    </r>
    <r>
      <rPr>
        <sz val="11"/>
        <color theme="1"/>
        <rFont val="Calibri"/>
        <family val="2"/>
        <scheme val="minor"/>
      </rPr>
      <t>]</t>
    </r>
  </si>
  <si>
    <t>Vel Ascensional</t>
  </si>
  <si>
    <r>
      <t>[V</t>
    </r>
    <r>
      <rPr>
        <vertAlign val="subscript"/>
        <sz val="11"/>
        <color theme="1"/>
        <rFont val="Calibri"/>
        <family val="2"/>
        <scheme val="minor"/>
      </rPr>
      <t>asc</t>
    </r>
    <r>
      <rPr>
        <sz val="11"/>
        <color theme="1"/>
        <rFont val="Calibri"/>
        <family val="2"/>
        <scheme val="minor"/>
      </rPr>
      <t>]</t>
    </r>
  </si>
  <si>
    <t>[R]</t>
  </si>
  <si>
    <t>[E]</t>
  </si>
  <si>
    <t>Alcance</t>
  </si>
  <si>
    <t>Autonomía</t>
  </si>
  <si>
    <t>CARGA DE PAGO (CABINA Y PASAJEROS)</t>
  </si>
  <si>
    <t>Nº mínimo de pasajeros</t>
  </si>
  <si>
    <t>Nº máximo de pasajeros</t>
  </si>
  <si>
    <t>Longitud de cabina</t>
  </si>
  <si>
    <t>Ancho de cabina</t>
  </si>
  <si>
    <t>Alto de cabina</t>
  </si>
  <si>
    <t>Planta</t>
  </si>
  <si>
    <r>
      <t>[h</t>
    </r>
    <r>
      <rPr>
        <vertAlign val="subscript"/>
        <sz val="11"/>
        <color theme="1"/>
        <rFont val="Calibri"/>
        <family val="2"/>
        <scheme val="minor"/>
      </rPr>
      <t>c</t>
    </r>
    <r>
      <rPr>
        <sz val="11"/>
        <color theme="1"/>
        <rFont val="Calibri"/>
        <family val="2"/>
        <scheme val="minor"/>
      </rPr>
      <t>]</t>
    </r>
  </si>
  <si>
    <r>
      <t>[l</t>
    </r>
    <r>
      <rPr>
        <vertAlign val="subscript"/>
        <sz val="11"/>
        <color theme="1"/>
        <rFont val="Calibri"/>
        <family val="2"/>
        <scheme val="minor"/>
      </rPr>
      <t>c</t>
    </r>
    <r>
      <rPr>
        <sz val="11"/>
        <color theme="1"/>
        <rFont val="Calibri"/>
        <family val="2"/>
        <scheme val="minor"/>
      </rPr>
      <t>]</t>
    </r>
  </si>
  <si>
    <r>
      <t>[pax</t>
    </r>
    <r>
      <rPr>
        <vertAlign val="subscript"/>
        <sz val="11"/>
        <color theme="1"/>
        <rFont val="Calibri"/>
        <family val="2"/>
        <scheme val="minor"/>
      </rPr>
      <t>max</t>
    </r>
    <r>
      <rPr>
        <sz val="11"/>
        <color theme="1"/>
        <rFont val="Calibri"/>
        <family val="2"/>
        <scheme val="minor"/>
      </rPr>
      <t>]</t>
    </r>
  </si>
  <si>
    <r>
      <t>[pax</t>
    </r>
    <r>
      <rPr>
        <vertAlign val="subscript"/>
        <sz val="11"/>
        <color theme="1"/>
        <rFont val="Calibri"/>
        <family val="2"/>
        <scheme val="minor"/>
      </rPr>
      <t>min</t>
    </r>
    <r>
      <rPr>
        <sz val="11"/>
        <color theme="1"/>
        <rFont val="Calibri"/>
        <family val="2"/>
        <scheme val="minor"/>
      </rPr>
      <t>]</t>
    </r>
  </si>
  <si>
    <r>
      <t>[S</t>
    </r>
    <r>
      <rPr>
        <vertAlign val="subscript"/>
        <sz val="11"/>
        <color theme="1"/>
        <rFont val="Calibri"/>
        <family val="2"/>
        <scheme val="minor"/>
      </rPr>
      <t>L</t>
    </r>
    <r>
      <rPr>
        <sz val="11"/>
        <color theme="1"/>
        <rFont val="Calibri"/>
        <family val="2"/>
        <scheme val="minor"/>
      </rPr>
      <t>]</t>
    </r>
  </si>
  <si>
    <r>
      <t>[S</t>
    </r>
    <r>
      <rPr>
        <vertAlign val="subscript"/>
        <sz val="11"/>
        <color theme="1"/>
        <rFont val="Calibri"/>
        <family val="2"/>
        <scheme val="minor"/>
      </rPr>
      <t>to</t>
    </r>
    <r>
      <rPr>
        <sz val="11"/>
        <color theme="1"/>
        <rFont val="Calibri"/>
        <family val="2"/>
        <scheme val="minor"/>
      </rPr>
      <t>]</t>
    </r>
  </si>
  <si>
    <t>Esbeltez del fuselaje</t>
  </si>
  <si>
    <r>
      <t>[</t>
    </r>
    <r>
      <rPr>
        <sz val="11"/>
        <color theme="1"/>
        <rFont val="Symbol"/>
        <family val="1"/>
        <charset val="2"/>
      </rPr>
      <t>l</t>
    </r>
    <r>
      <rPr>
        <vertAlign val="subscript"/>
        <sz val="11"/>
        <color theme="1"/>
        <rFont val="Calibri"/>
        <family val="2"/>
        <scheme val="minor"/>
      </rPr>
      <t>f</t>
    </r>
    <r>
      <rPr>
        <sz val="11"/>
        <color theme="1"/>
        <rFont val="Calibri"/>
        <family val="2"/>
        <scheme val="minor"/>
      </rPr>
      <t>]</t>
    </r>
  </si>
  <si>
    <t>[MPL/MTOW]</t>
  </si>
  <si>
    <t>Relación MPL/MTOW</t>
  </si>
  <si>
    <t>Relación MFW/MTOW</t>
  </si>
  <si>
    <t>[MFW/MTOW]</t>
  </si>
  <si>
    <t>Bombardier</t>
  </si>
  <si>
    <t>CATEGORÍA</t>
  </si>
  <si>
    <t>Acrónimo</t>
  </si>
  <si>
    <t>Unidades</t>
  </si>
  <si>
    <t>Dato</t>
  </si>
  <si>
    <t>[m]</t>
  </si>
  <si>
    <t>[kg]</t>
  </si>
  <si>
    <t>Diámetro máximo motor</t>
  </si>
  <si>
    <t>Longitud máxima motor</t>
  </si>
  <si>
    <r>
      <t>[D</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</si>
  <si>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eng</t>
    </r>
    <r>
      <rPr>
        <sz val="11"/>
        <color theme="1"/>
        <rFont val="Calibri"/>
        <family val="2"/>
        <scheme val="minor"/>
      </rPr>
      <t>]</t>
    </r>
  </si>
  <si>
    <t>[kN]</t>
  </si>
  <si>
    <t>Peso Máximo al Aterrizaje</t>
  </si>
  <si>
    <t>[MLW]</t>
  </si>
  <si>
    <t>Peso Máximo sin Combustible</t>
  </si>
  <si>
    <r>
      <t>[T</t>
    </r>
    <r>
      <rPr>
        <vertAlign val="subscript"/>
        <sz val="11"/>
        <color theme="1"/>
        <rFont val="Calibri"/>
        <family val="2"/>
        <scheme val="minor"/>
      </rPr>
      <t>eng</t>
    </r>
    <r>
      <rPr>
        <sz val="11"/>
        <color theme="1"/>
        <rFont val="Calibri"/>
        <family val="2"/>
        <scheme val="minor"/>
      </rPr>
      <t>]</t>
    </r>
  </si>
  <si>
    <t>Empuje del motor</t>
  </si>
  <si>
    <r>
      <t>[m</t>
    </r>
    <r>
      <rPr>
        <vertAlign val="superscript"/>
        <sz val="11"/>
        <color theme="1"/>
        <rFont val="Calibri"/>
        <family val="2"/>
        <scheme val="minor"/>
      </rPr>
      <t>2</t>
    </r>
    <r>
      <rPr>
        <sz val="11"/>
        <color theme="1"/>
        <rFont val="Calibri"/>
        <family val="2"/>
        <scheme val="minor"/>
      </rPr>
      <t>]</t>
    </r>
  </si>
  <si>
    <r>
      <t>[kg/m</t>
    </r>
    <r>
      <rPr>
        <vertAlign val="superscript"/>
        <sz val="11"/>
        <color theme="1"/>
        <rFont val="Calibri"/>
        <family val="2"/>
        <scheme val="minor"/>
      </rPr>
      <t>2</t>
    </r>
    <r>
      <rPr>
        <sz val="11"/>
        <color theme="1"/>
        <rFont val="Calibri"/>
        <family val="2"/>
        <scheme val="minor"/>
      </rPr>
      <t>]</t>
    </r>
  </si>
  <si>
    <r>
      <t>[</t>
    </r>
    <r>
      <rPr>
        <sz val="11"/>
        <color theme="1"/>
        <rFont val="Symbol"/>
        <family val="1"/>
        <charset val="2"/>
      </rPr>
      <t>°</t>
    </r>
    <r>
      <rPr>
        <sz val="11"/>
        <color theme="1"/>
        <rFont val="Calibri"/>
        <family val="2"/>
        <scheme val="minor"/>
      </rPr>
      <t>]</t>
    </r>
  </si>
  <si>
    <r>
      <t>[</t>
    </r>
    <r>
      <rPr>
        <sz val="11"/>
        <color theme="1"/>
        <rFont val="Symbol"/>
        <family val="1"/>
        <charset val="2"/>
      </rPr>
      <t>°</t>
    </r>
    <r>
      <rPr>
        <sz val="11"/>
        <color theme="1"/>
        <rFont val="Calibri"/>
        <family val="2"/>
      </rPr>
      <t>]</t>
    </r>
  </si>
  <si>
    <t>[°]</t>
  </si>
  <si>
    <r>
      <t>Relación 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</si>
  <si>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h</t>
    </r>
    <r>
      <rPr>
        <sz val="11"/>
        <color theme="1"/>
        <rFont val="Calibri"/>
        <family val="2"/>
        <scheme val="minor"/>
      </rPr>
      <t>/b</t>
    </r>
  </si>
  <si>
    <r>
      <t>Relación 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</si>
  <si>
    <r>
      <t>Coef volumen 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</si>
  <si>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</si>
  <si>
    <r>
      <t>Relación 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</si>
  <si>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v</t>
    </r>
    <r>
      <rPr>
        <sz val="11"/>
        <color theme="1"/>
        <rFont val="Calibri"/>
        <family val="2"/>
        <scheme val="minor"/>
      </rPr>
      <t>/b</t>
    </r>
  </si>
  <si>
    <r>
      <t>Relación B/l</t>
    </r>
    <r>
      <rPr>
        <vertAlign val="subscript"/>
        <sz val="11"/>
        <color theme="1"/>
        <rFont val="Calibri"/>
        <family val="2"/>
        <scheme val="minor"/>
      </rPr>
      <t>f</t>
    </r>
  </si>
  <si>
    <t>[h]</t>
  </si>
  <si>
    <t>[km]</t>
  </si>
  <si>
    <t>[m/s]</t>
  </si>
  <si>
    <r>
      <t>Relación 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h</t>
    </r>
  </si>
  <si>
    <t>Imagen</t>
  </si>
  <si>
    <t>Consumo específico</t>
  </si>
  <si>
    <t>Empuje total al despegue</t>
  </si>
  <si>
    <r>
      <t>[T</t>
    </r>
    <r>
      <rPr>
        <vertAlign val="subscript"/>
        <sz val="11"/>
        <color theme="1"/>
        <rFont val="Calibri"/>
        <family val="2"/>
        <scheme val="minor"/>
      </rPr>
      <t>to</t>
    </r>
    <r>
      <rPr>
        <sz val="11"/>
        <color theme="1"/>
        <rFont val="Calibri"/>
        <family val="2"/>
        <scheme val="minor"/>
      </rPr>
      <t>]</t>
    </r>
  </si>
  <si>
    <t>[MZFW]</t>
  </si>
  <si>
    <r>
      <t>Relación T</t>
    </r>
    <r>
      <rPr>
        <vertAlign val="subscript"/>
        <sz val="11"/>
        <color theme="1"/>
        <rFont val="Calibri"/>
        <family val="2"/>
        <scheme val="minor"/>
      </rPr>
      <t>to</t>
    </r>
    <r>
      <rPr>
        <sz val="11"/>
        <color theme="1"/>
        <rFont val="Calibri"/>
        <family val="2"/>
        <scheme val="minor"/>
      </rPr>
      <t>/MTOW</t>
    </r>
  </si>
  <si>
    <r>
      <t>[T</t>
    </r>
    <r>
      <rPr>
        <vertAlign val="subscript"/>
        <sz val="11"/>
        <color theme="1"/>
        <rFont val="Calibri"/>
        <family val="2"/>
        <scheme val="minor"/>
      </rPr>
      <t>to</t>
    </r>
    <r>
      <rPr>
        <sz val="11"/>
        <color theme="1"/>
        <rFont val="Calibri"/>
        <family val="2"/>
        <scheme val="minor"/>
      </rPr>
      <t>/MTOW]</t>
    </r>
  </si>
  <si>
    <r>
      <rPr>
        <sz val="11"/>
        <color theme="1"/>
        <rFont val="Calibri"/>
        <family val="2"/>
        <scheme val="minor"/>
      </rPr>
      <t>Relación l</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</si>
  <si>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c</t>
    </r>
    <r>
      <rPr>
        <sz val="11"/>
        <color theme="1"/>
        <rFont val="Calibri"/>
        <family val="2"/>
        <scheme val="minor"/>
      </rPr>
      <t>]</t>
    </r>
  </si>
  <si>
    <t>Volumen de cabina</t>
  </si>
  <si>
    <r>
      <t>[m</t>
    </r>
    <r>
      <rPr>
        <vertAlign val="superscript"/>
        <sz val="11"/>
        <color theme="1"/>
        <rFont val="Calibri"/>
        <family val="2"/>
        <scheme val="minor"/>
      </rPr>
      <t>3</t>
    </r>
    <r>
      <rPr>
        <sz val="11"/>
        <color theme="1"/>
        <rFont val="Calibri"/>
        <family val="2"/>
        <scheme val="minor"/>
      </rPr>
      <t>]</t>
    </r>
  </si>
  <si>
    <r>
      <t>[Vol</t>
    </r>
    <r>
      <rPr>
        <vertAlign val="subscript"/>
        <sz val="11"/>
        <color theme="1"/>
        <rFont val="Calibri"/>
        <family val="2"/>
        <scheme val="minor"/>
      </rPr>
      <t>c</t>
    </r>
    <r>
      <rPr>
        <sz val="11"/>
        <color theme="1"/>
        <rFont val="Calibri"/>
        <family val="2"/>
        <scheme val="minor"/>
      </rPr>
      <t>]</t>
    </r>
  </si>
  <si>
    <t>Posición de los compartimentos de equipajes y carga</t>
  </si>
  <si>
    <t>Disposición transversal</t>
  </si>
  <si>
    <t>Distancia al plano de simetria desde el centro del dispositivo</t>
  </si>
  <si>
    <r>
      <t>[y</t>
    </r>
    <r>
      <rPr>
        <vertAlign val="subscript"/>
        <sz val="11"/>
        <color theme="1"/>
        <rFont val="Calibri"/>
        <family val="2"/>
        <scheme val="minor"/>
      </rPr>
      <t>f</t>
    </r>
    <r>
      <rPr>
        <sz val="11"/>
        <color theme="1"/>
        <rFont val="Calibri"/>
        <family val="2"/>
        <scheme val="minor"/>
      </rPr>
      <t>]</t>
    </r>
  </si>
  <si>
    <r>
      <t>Relación b</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</si>
  <si>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f</t>
    </r>
    <r>
      <rPr>
        <sz val="11"/>
        <color theme="1"/>
        <rFont val="Calibri"/>
        <family val="2"/>
        <scheme val="minor"/>
      </rPr>
      <t>/b]</t>
    </r>
  </si>
  <si>
    <r>
      <t>[y</t>
    </r>
    <r>
      <rPr>
        <vertAlign val="subscript"/>
        <sz val="11"/>
        <color theme="1"/>
        <rFont val="Calibri"/>
        <family val="2"/>
        <scheme val="minor"/>
      </rPr>
      <t>f</t>
    </r>
    <r>
      <rPr>
        <sz val="11"/>
        <color theme="1"/>
        <rFont val="Calibri"/>
        <family val="2"/>
        <scheme val="minor"/>
      </rPr>
      <t>/b]</t>
    </r>
  </si>
  <si>
    <r>
      <t>[c</t>
    </r>
    <r>
      <rPr>
        <vertAlign val="subscript"/>
        <sz val="11"/>
        <color theme="1"/>
        <rFont val="Calibri"/>
        <family val="2"/>
        <scheme val="minor"/>
      </rPr>
      <t>f</t>
    </r>
    <r>
      <rPr>
        <sz val="11"/>
        <color theme="1"/>
        <rFont val="Calibri"/>
        <family val="2"/>
        <scheme val="minor"/>
      </rPr>
      <t>/c]</t>
    </r>
  </si>
  <si>
    <r>
      <t>Relación y</t>
    </r>
    <r>
      <rPr>
        <vertAlign val="subscript"/>
        <sz val="11"/>
        <color theme="1"/>
        <rFont val="Calibri"/>
        <family val="2"/>
        <scheme val="minor"/>
      </rPr>
      <t>f</t>
    </r>
    <r>
      <rPr>
        <sz val="11"/>
        <color theme="1"/>
        <rFont val="Calibri"/>
        <family val="2"/>
        <scheme val="minor"/>
      </rPr>
      <t>/b</t>
    </r>
  </si>
  <si>
    <r>
      <t>Relación c</t>
    </r>
    <r>
      <rPr>
        <vertAlign val="subscript"/>
        <sz val="11"/>
        <color theme="1"/>
        <rFont val="Calibri"/>
        <family val="2"/>
        <scheme val="minor"/>
      </rPr>
      <t>f</t>
    </r>
    <r>
      <rPr>
        <sz val="11"/>
        <color theme="1"/>
        <rFont val="Calibri"/>
        <family val="2"/>
        <scheme val="minor"/>
      </rPr>
      <t>/c</t>
    </r>
  </si>
  <si>
    <r>
      <t>[b</t>
    </r>
    <r>
      <rPr>
        <vertAlign val="subscript"/>
        <sz val="11"/>
        <color theme="1"/>
        <rFont val="Calibri"/>
        <family val="2"/>
        <scheme val="minor"/>
      </rPr>
      <t>a</t>
    </r>
    <r>
      <rPr>
        <sz val="11"/>
        <color theme="1"/>
        <rFont val="Calibri"/>
        <family val="2"/>
        <scheme val="minor"/>
      </rPr>
      <t>]</t>
    </r>
  </si>
  <si>
    <r>
      <t>[b</t>
    </r>
    <r>
      <rPr>
        <vertAlign val="subscript"/>
        <sz val="11"/>
        <color theme="1"/>
        <rFont val="Calibri"/>
        <family val="2"/>
        <scheme val="minor"/>
      </rPr>
      <t>a</t>
    </r>
    <r>
      <rPr>
        <sz val="11"/>
        <color theme="1"/>
        <rFont val="Calibri"/>
        <family val="2"/>
        <scheme val="minor"/>
      </rPr>
      <t>/b]</t>
    </r>
  </si>
  <si>
    <r>
      <t>[y</t>
    </r>
    <r>
      <rPr>
        <vertAlign val="subscript"/>
        <sz val="11"/>
        <color theme="1"/>
        <rFont val="Calibri"/>
        <family val="2"/>
        <scheme val="minor"/>
      </rPr>
      <t>a</t>
    </r>
    <r>
      <rPr>
        <sz val="11"/>
        <color theme="1"/>
        <rFont val="Calibri"/>
        <family val="2"/>
        <scheme val="minor"/>
      </rPr>
      <t>]</t>
    </r>
  </si>
  <si>
    <r>
      <t>[y</t>
    </r>
    <r>
      <rPr>
        <vertAlign val="subscript"/>
        <sz val="11"/>
        <color theme="1"/>
        <rFont val="Calibri"/>
        <family val="2"/>
        <scheme val="minor"/>
      </rPr>
      <t>a</t>
    </r>
    <r>
      <rPr>
        <sz val="11"/>
        <color theme="1"/>
        <rFont val="Calibri"/>
        <family val="2"/>
        <scheme val="minor"/>
      </rPr>
      <t>/b]</t>
    </r>
  </si>
  <si>
    <r>
      <t>[c</t>
    </r>
    <r>
      <rPr>
        <vertAlign val="subscript"/>
        <sz val="11"/>
        <color theme="1"/>
        <rFont val="Calibri"/>
        <family val="2"/>
        <scheme val="minor"/>
      </rPr>
      <t>a</t>
    </r>
    <r>
      <rPr>
        <sz val="11"/>
        <color theme="1"/>
        <rFont val="Calibri"/>
        <family val="2"/>
        <scheme val="minor"/>
      </rPr>
      <t>/c]</t>
    </r>
  </si>
  <si>
    <r>
      <t>[y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</si>
  <si>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y</t>
    </r>
    <r>
      <rPr>
        <vertAlign val="subscript"/>
        <sz val="11"/>
        <color theme="1"/>
        <rFont val="Calibri"/>
        <family val="2"/>
        <scheme val="minor"/>
      </rPr>
      <t>a</t>
    </r>
    <r>
      <rPr>
        <sz val="11"/>
        <color theme="1"/>
        <rFont val="Calibri"/>
        <family val="2"/>
        <scheme val="minor"/>
      </rPr>
      <t>/b</t>
    </r>
  </si>
  <si>
    <r>
      <t>Relación c</t>
    </r>
    <r>
      <rPr>
        <vertAlign val="subscript"/>
        <sz val="11"/>
        <color theme="1"/>
        <rFont val="Calibri"/>
        <family val="2"/>
        <scheme val="minor"/>
      </rPr>
      <t>a</t>
    </r>
    <r>
      <rPr>
        <sz val="11"/>
        <color theme="1"/>
        <rFont val="Calibri"/>
        <family val="2"/>
        <scheme val="minor"/>
      </rPr>
      <t>/c</t>
    </r>
  </si>
  <si>
    <r>
      <t>Relación b</t>
    </r>
    <r>
      <rPr>
        <vertAlign val="subscript"/>
        <sz val="11"/>
        <color theme="1"/>
        <rFont val="Calibri"/>
        <family val="2"/>
        <scheme val="minor"/>
      </rPr>
      <t>a</t>
    </r>
    <r>
      <rPr>
        <sz val="11"/>
        <color theme="1"/>
        <rFont val="Calibri"/>
        <family val="2"/>
        <scheme val="minor"/>
      </rPr>
      <t>/b</t>
    </r>
  </si>
  <si>
    <t>Distancia al plano de simetría del avión</t>
  </si>
  <si>
    <t>Semejante ACT 1</t>
  </si>
  <si>
    <t>Semejante ACT 3</t>
  </si>
  <si>
    <t>Semejante ACT 4</t>
  </si>
  <si>
    <t>Semejante ACT 5</t>
  </si>
  <si>
    <t>Empty Cells:</t>
  </si>
  <si>
    <t>Semejante ACT 6</t>
  </si>
  <si>
    <t>Semejante ACT 7</t>
  </si>
  <si>
    <t>Semejante ACT 8</t>
  </si>
  <si>
    <t>Semejante ACT 9</t>
  </si>
  <si>
    <t>Semejante ACT 10</t>
  </si>
  <si>
    <t>[TSFC]</t>
  </si>
  <si>
    <t>Velocidad de aproximación</t>
  </si>
  <si>
    <t>Altura máxima operativa</t>
  </si>
  <si>
    <r>
      <t>[H</t>
    </r>
    <r>
      <rPr>
        <vertAlign val="subscript"/>
        <sz val="11"/>
        <color theme="1"/>
        <rFont val="Calibri"/>
        <family val="2"/>
        <scheme val="minor"/>
      </rPr>
      <t>max</t>
    </r>
    <r>
      <rPr>
        <sz val="11"/>
        <color theme="1"/>
        <rFont val="Calibri"/>
        <family val="2"/>
        <scheme val="minor"/>
      </rPr>
      <t>]</t>
    </r>
  </si>
  <si>
    <t>Mach máximo operativo</t>
  </si>
  <si>
    <t>[MMO]</t>
  </si>
  <si>
    <t>Velocidad de despegue</t>
  </si>
  <si>
    <r>
      <t>[</t>
    </r>
    <r>
      <rPr>
        <sz val="11"/>
        <color theme="1"/>
        <rFont val="Symbol"/>
        <family val="1"/>
        <charset val="2"/>
      </rPr>
      <t>h</t>
    </r>
    <r>
      <rPr>
        <vertAlign val="subscript"/>
        <sz val="11"/>
        <color theme="1"/>
        <rFont val="Calibri"/>
        <family val="2"/>
        <scheme val="minor"/>
      </rPr>
      <t>prop</t>
    </r>
    <r>
      <rPr>
        <sz val="11"/>
        <color theme="1"/>
        <rFont val="Calibri"/>
        <family val="2"/>
        <scheme val="minor"/>
      </rPr>
      <t>]</t>
    </r>
  </si>
  <si>
    <t>Rendimiento Propulsivo</t>
  </si>
  <si>
    <t>[lb/(lbf·h)]</t>
  </si>
  <si>
    <t>Altura típica de crucero</t>
  </si>
  <si>
    <r>
      <t>[H</t>
    </r>
    <r>
      <rPr>
        <vertAlign val="subscript"/>
        <sz val="11"/>
        <color theme="1"/>
        <rFont val="Calibri"/>
        <family val="2"/>
        <scheme val="minor"/>
      </rPr>
      <t>cruise</t>
    </r>
    <r>
      <rPr>
        <sz val="11"/>
        <color theme="1"/>
        <rFont val="Calibri"/>
        <family val="2"/>
        <scheme val="minor"/>
      </rPr>
      <t>]</t>
    </r>
  </si>
  <si>
    <t>Volumen de equipaje</t>
  </si>
  <si>
    <r>
      <t>[Vol</t>
    </r>
    <r>
      <rPr>
        <vertAlign val="subscript"/>
        <sz val="11"/>
        <color theme="1"/>
        <rFont val="Calibri"/>
        <family val="2"/>
        <scheme val="minor"/>
      </rPr>
      <t>bag</t>
    </r>
    <r>
      <rPr>
        <sz val="11"/>
        <color theme="1"/>
        <rFont val="Calibri"/>
        <family val="2"/>
        <scheme val="minor"/>
      </rPr>
      <t>]</t>
    </r>
  </si>
  <si>
    <t>Tripulación</t>
  </si>
  <si>
    <t>[crew]</t>
  </si>
  <si>
    <t>Peso Máximo en Rampa</t>
  </si>
  <si>
    <t>[MRW]</t>
  </si>
  <si>
    <t>Carga Útil Total</t>
  </si>
  <si>
    <t>[TUL]</t>
  </si>
  <si>
    <t>-</t>
  </si>
  <si>
    <t>Nº de Camas</t>
  </si>
  <si>
    <t>[beds]</t>
  </si>
  <si>
    <t>Díametro de Neumáticos Principales</t>
  </si>
  <si>
    <t>Ancho Neumáticos Principales</t>
  </si>
  <si>
    <t>Presión de Inflado Tren Principal</t>
  </si>
  <si>
    <r>
      <t>[D</t>
    </r>
    <r>
      <rPr>
        <vertAlign val="subscript"/>
        <sz val="11"/>
        <color theme="1"/>
        <rFont val="Calibri"/>
        <family val="2"/>
        <scheme val="minor"/>
      </rPr>
      <t>mw</t>
    </r>
    <r>
      <rPr>
        <sz val="11"/>
        <color theme="1"/>
        <rFont val="Calibri"/>
        <family val="2"/>
        <scheme val="minor"/>
      </rPr>
      <t>]</t>
    </r>
  </si>
  <si>
    <r>
      <t>[b</t>
    </r>
    <r>
      <rPr>
        <vertAlign val="subscript"/>
        <sz val="11"/>
        <color theme="1"/>
        <rFont val="Calibri"/>
        <family val="2"/>
        <scheme val="minor"/>
      </rPr>
      <t>mw</t>
    </r>
    <r>
      <rPr>
        <sz val="11"/>
        <color theme="1"/>
        <rFont val="Calibri"/>
        <family val="2"/>
        <scheme val="minor"/>
      </rPr>
      <t>]</t>
    </r>
  </si>
  <si>
    <r>
      <t>[p</t>
    </r>
    <r>
      <rPr>
        <vertAlign val="subscript"/>
        <sz val="11"/>
        <color theme="1"/>
        <rFont val="Calibri"/>
        <family val="2"/>
        <scheme val="minor"/>
      </rPr>
      <t>mw</t>
    </r>
    <r>
      <rPr>
        <sz val="11"/>
        <color theme="1"/>
        <rFont val="Calibri"/>
        <family val="2"/>
        <scheme val="minor"/>
      </rPr>
      <t>]</t>
    </r>
  </si>
  <si>
    <r>
      <t>[D</t>
    </r>
    <r>
      <rPr>
        <vertAlign val="subscript"/>
        <sz val="11"/>
        <color theme="1"/>
        <rFont val="Calibri"/>
        <family val="2"/>
        <scheme val="minor"/>
      </rPr>
      <t>nw</t>
    </r>
    <r>
      <rPr>
        <sz val="11"/>
        <color theme="1"/>
        <rFont val="Calibri"/>
        <family val="2"/>
        <scheme val="minor"/>
      </rPr>
      <t>]</t>
    </r>
  </si>
  <si>
    <r>
      <t>[b</t>
    </r>
    <r>
      <rPr>
        <vertAlign val="subscript"/>
        <sz val="11"/>
        <color theme="1"/>
        <rFont val="Calibri"/>
        <family val="2"/>
        <scheme val="minor"/>
      </rPr>
      <t>nw</t>
    </r>
    <r>
      <rPr>
        <sz val="11"/>
        <color theme="1"/>
        <rFont val="Calibri"/>
        <family val="2"/>
        <scheme val="minor"/>
      </rPr>
      <t>]</t>
    </r>
  </si>
  <si>
    <r>
      <t>[p</t>
    </r>
    <r>
      <rPr>
        <vertAlign val="subscript"/>
        <sz val="11"/>
        <color theme="1"/>
        <rFont val="Calibri"/>
        <family val="2"/>
        <scheme val="minor"/>
      </rPr>
      <t>nw</t>
    </r>
    <r>
      <rPr>
        <sz val="11"/>
        <color theme="1"/>
        <rFont val="Calibri"/>
        <family val="2"/>
        <scheme val="minor"/>
      </rPr>
      <t>]</t>
    </r>
  </si>
  <si>
    <t>[bar]</t>
  </si>
  <si>
    <t>Díametro de Neumáticos Morro</t>
  </si>
  <si>
    <t>Ancho Neumáticos Morro</t>
  </si>
  <si>
    <t>Presión de Inflado Tren de Morro</t>
  </si>
  <si>
    <t>Posición borde ataque raiz</t>
  </si>
  <si>
    <r>
      <t>[l</t>
    </r>
    <r>
      <rPr>
        <vertAlign val="subscript"/>
        <sz val="11"/>
        <color theme="1"/>
        <rFont val="Calibri"/>
        <family val="2"/>
        <scheme val="minor"/>
      </rPr>
      <t>wr</t>
    </r>
    <r>
      <rPr>
        <sz val="11"/>
        <color theme="1"/>
        <rFont val="Calibri"/>
        <family val="2"/>
        <scheme val="minor"/>
      </rPr>
      <t>]</t>
    </r>
  </si>
  <si>
    <t>[BOW]</t>
  </si>
  <si>
    <t>[EW]</t>
  </si>
  <si>
    <t>Basic Operational Weight</t>
  </si>
  <si>
    <t>Peso Vacío, equipado</t>
  </si>
  <si>
    <t>Max Thrust loading</t>
  </si>
  <si>
    <t>[MTOW/Tto]</t>
  </si>
  <si>
    <t>Mach de Crucero</t>
  </si>
  <si>
    <r>
      <t>[M</t>
    </r>
    <r>
      <rPr>
        <vertAlign val="subscript"/>
        <sz val="11"/>
        <color theme="1"/>
        <rFont val="Calibri"/>
        <family val="2"/>
        <scheme val="minor"/>
      </rPr>
      <t>cruise</t>
    </r>
    <r>
      <rPr>
        <sz val="11"/>
        <color theme="1"/>
        <rFont val="Calibri"/>
        <family val="2"/>
        <scheme val="minor"/>
      </rPr>
      <t>]</t>
    </r>
  </si>
  <si>
    <r>
      <t>[m/s</t>
    </r>
    <r>
      <rPr>
        <vertAlign val="superscript"/>
        <sz val="11"/>
        <color theme="1"/>
        <rFont val="Calibri"/>
        <family val="2"/>
        <scheme val="minor"/>
      </rPr>
      <t>2</t>
    </r>
    <r>
      <rPr>
        <sz val="11"/>
        <color theme="1"/>
        <rFont val="Calibri"/>
        <family val="2"/>
        <scheme val="minor"/>
      </rPr>
      <t>]</t>
    </r>
  </si>
  <si>
    <t>GravityIMP</t>
  </si>
  <si>
    <t>GravitySI</t>
  </si>
  <si>
    <r>
      <t>[ft/s</t>
    </r>
    <r>
      <rPr>
        <vertAlign val="superscript"/>
        <sz val="11"/>
        <color theme="1"/>
        <rFont val="Calibri"/>
        <family val="2"/>
        <scheme val="minor"/>
      </rPr>
      <t>2</t>
    </r>
    <r>
      <rPr>
        <sz val="11"/>
        <color theme="1"/>
        <rFont val="Calibri"/>
        <family val="2"/>
        <scheme val="minor"/>
      </rPr>
      <t>]</t>
    </r>
  </si>
  <si>
    <t>[lb]</t>
  </si>
  <si>
    <t>CrewWeightLb</t>
  </si>
  <si>
    <t>PassengerWeightLb</t>
  </si>
  <si>
    <t>PassBaggWeightLb</t>
  </si>
  <si>
    <t>CrewBaggWeightLB</t>
  </si>
  <si>
    <t>CrewBaggWeightSI</t>
  </si>
  <si>
    <t>CrewWeightSI</t>
  </si>
  <si>
    <t>PassengerWeightSI</t>
  </si>
  <si>
    <t>PassBaggWeightSI</t>
  </si>
  <si>
    <t>ShinMaywa US-1A</t>
  </si>
  <si>
    <t>ShinMaywa</t>
  </si>
  <si>
    <t>Bajo el  ala</t>
  </si>
  <si>
    <t>Turboprop</t>
  </si>
  <si>
    <t>T64-IHI-10J</t>
  </si>
  <si>
    <t xml:space="preserve">General Electric </t>
  </si>
  <si>
    <t>Potencia del motor</t>
  </si>
  <si>
    <r>
      <t>[P</t>
    </r>
    <r>
      <rPr>
        <vertAlign val="subscript"/>
        <sz val="11"/>
        <color theme="1"/>
        <rFont val="Calibri"/>
        <family val="2"/>
        <scheme val="minor"/>
      </rPr>
      <t>eng</t>
    </r>
    <r>
      <rPr>
        <sz val="11"/>
        <color theme="1"/>
        <rFont val="Calibri"/>
        <family val="2"/>
        <scheme val="minor"/>
      </rPr>
      <t>]</t>
    </r>
  </si>
  <si>
    <t>[kW]</t>
  </si>
  <si>
    <t>FL100</t>
  </si>
  <si>
    <t>Bombardier 415</t>
  </si>
  <si>
    <t>PW123AF</t>
  </si>
  <si>
    <t>Pratt &amp; Whitney</t>
  </si>
  <si>
    <t>Semejante ACT 2</t>
  </si>
  <si>
    <t>Semejante ACT 11</t>
  </si>
  <si>
    <r>
      <t>[V</t>
    </r>
    <r>
      <rPr>
        <vertAlign val="subscript"/>
        <sz val="11"/>
        <color theme="1"/>
        <rFont val="Calibri"/>
        <family val="2"/>
        <scheme val="minor"/>
      </rPr>
      <t>ref</t>
    </r>
    <r>
      <rPr>
        <sz val="11"/>
        <color theme="1"/>
        <rFont val="Calibri"/>
        <family val="2"/>
        <scheme val="minor"/>
      </rPr>
      <t>]</t>
    </r>
  </si>
  <si>
    <t>[S]</t>
  </si>
  <si>
    <r>
      <t>[b</t>
    </r>
    <r>
      <rPr>
        <vertAlign val="subscript"/>
        <sz val="11"/>
        <color theme="1"/>
        <rFont val="Calibri"/>
        <family val="2"/>
        <scheme val="minor"/>
      </rPr>
      <t>1/2</t>
    </r>
    <r>
      <rPr>
        <sz val="11"/>
        <color theme="1"/>
        <rFont val="Calibri"/>
        <family val="2"/>
        <scheme val="minor"/>
      </rPr>
      <t>]</t>
    </r>
  </si>
  <si>
    <t>Semienvergadura alar real</t>
  </si>
  <si>
    <t>Posición Longitudinal del borde de ataque de la CMA</t>
  </si>
  <si>
    <r>
      <t>[l</t>
    </r>
    <r>
      <rPr>
        <vertAlign val="subscript"/>
        <sz val="11"/>
        <color theme="1"/>
        <rFont val="Calibri"/>
        <family val="2"/>
        <scheme val="minor"/>
      </rPr>
      <t>CMA</t>
    </r>
    <r>
      <rPr>
        <sz val="11"/>
        <color theme="1"/>
        <rFont val="Calibri"/>
        <family val="2"/>
        <scheme val="minor"/>
      </rPr>
      <t>]</t>
    </r>
  </si>
  <si>
    <t>Distancia horizontal de la cuerda en la raíz a la CMA</t>
  </si>
  <si>
    <r>
      <t>[b</t>
    </r>
    <r>
      <rPr>
        <vertAlign val="subscript"/>
        <sz val="11"/>
        <color theme="1"/>
        <rFont val="Calibri"/>
        <family val="2"/>
        <scheme val="minor"/>
      </rPr>
      <t>CMA</t>
    </r>
    <r>
      <rPr>
        <sz val="11"/>
        <color theme="1"/>
        <rFont val="Calibri"/>
        <family val="2"/>
        <scheme val="minor"/>
      </rPr>
      <t>]</t>
    </r>
  </si>
  <si>
    <t>Distancia de flecha en la punta del ala</t>
  </si>
  <si>
    <t>Velocidad de entrada en pérdida en aterrizaje</t>
  </si>
  <si>
    <t>Velocidad de entrada en pérdida en despegue</t>
  </si>
  <si>
    <r>
      <t>[V</t>
    </r>
    <r>
      <rPr>
        <vertAlign val="subscript"/>
        <sz val="11"/>
        <color theme="1"/>
        <rFont val="Calibri"/>
        <family val="2"/>
        <scheme val="minor"/>
      </rPr>
      <t>stall_L</t>
    </r>
    <r>
      <rPr>
        <sz val="11"/>
        <color theme="1"/>
        <rFont val="Calibri"/>
        <family val="2"/>
        <scheme val="minor"/>
      </rPr>
      <t>]</t>
    </r>
  </si>
  <si>
    <r>
      <t>[V</t>
    </r>
    <r>
      <rPr>
        <vertAlign val="subscript"/>
        <sz val="11"/>
        <color theme="1"/>
        <rFont val="Calibri"/>
        <family val="2"/>
        <scheme val="minor"/>
      </rPr>
      <t>stall_TO</t>
    </r>
    <r>
      <rPr>
        <sz val="11"/>
        <color theme="1"/>
        <rFont val="Calibri"/>
        <family val="2"/>
        <scheme val="minor"/>
      </rPr>
      <t>]</t>
    </r>
  </si>
  <si>
    <t>CASCO</t>
  </si>
  <si>
    <t>Hull length</t>
  </si>
  <si>
    <r>
      <t>[L</t>
    </r>
    <r>
      <rPr>
        <vertAlign val="subscript"/>
        <sz val="11"/>
        <color theme="1"/>
        <rFont val="Calibri"/>
        <family val="2"/>
        <scheme val="minor"/>
      </rPr>
      <t>hull</t>
    </r>
    <r>
      <rPr>
        <sz val="11"/>
        <color theme="1"/>
        <rFont val="Calibri"/>
        <family val="2"/>
        <scheme val="minor"/>
      </rPr>
      <t>]</t>
    </r>
  </si>
  <si>
    <t>Beam</t>
  </si>
  <si>
    <r>
      <t>[P</t>
    </r>
    <r>
      <rPr>
        <vertAlign val="subscript"/>
        <sz val="11"/>
        <color theme="1"/>
        <rFont val="Calibri"/>
        <family val="2"/>
        <scheme val="minor"/>
      </rPr>
      <t>to</t>
    </r>
    <r>
      <rPr>
        <sz val="11"/>
        <color theme="1"/>
        <rFont val="Calibri"/>
        <family val="2"/>
        <scheme val="minor"/>
      </rPr>
      <t>]</t>
    </r>
  </si>
  <si>
    <r>
      <t>Relación P</t>
    </r>
    <r>
      <rPr>
        <vertAlign val="subscript"/>
        <sz val="11"/>
        <color theme="1"/>
        <rFont val="Calibri"/>
        <family val="2"/>
        <scheme val="minor"/>
      </rPr>
      <t>to</t>
    </r>
    <r>
      <rPr>
        <sz val="11"/>
        <color theme="1"/>
        <rFont val="Calibri"/>
        <family val="2"/>
        <scheme val="minor"/>
      </rPr>
      <t>/MTOW</t>
    </r>
  </si>
  <si>
    <r>
      <t>[P</t>
    </r>
    <r>
      <rPr>
        <vertAlign val="subscript"/>
        <sz val="11"/>
        <color theme="1"/>
        <rFont val="Calibri"/>
        <family val="2"/>
        <scheme val="minor"/>
      </rPr>
      <t>to</t>
    </r>
    <r>
      <rPr>
        <sz val="11"/>
        <color theme="1"/>
        <rFont val="Calibri"/>
        <family val="2"/>
        <scheme val="minor"/>
      </rPr>
      <t>/MTOW]</t>
    </r>
  </si>
  <si>
    <t>[W/N]</t>
  </si>
  <si>
    <t>Potencia total al despegue</t>
  </si>
  <si>
    <r>
      <t>[L</t>
    </r>
    <r>
      <rPr>
        <vertAlign val="subscript"/>
        <sz val="11"/>
        <color theme="1"/>
        <rFont val="Calibri"/>
        <family val="2"/>
        <scheme val="minor"/>
      </rPr>
      <t>hull</t>
    </r>
    <r>
      <rPr>
        <sz val="11"/>
        <color theme="1"/>
        <rFont val="Calibri"/>
        <family val="2"/>
        <scheme val="minor"/>
      </rPr>
      <t>/B]</t>
    </r>
  </si>
  <si>
    <t>Hull length to beam ratio</t>
  </si>
  <si>
    <t>Distancia Despegue Water</t>
  </si>
  <si>
    <r>
      <t>[S</t>
    </r>
    <r>
      <rPr>
        <vertAlign val="subscript"/>
        <sz val="11"/>
        <color theme="1"/>
        <rFont val="Calibri"/>
        <family val="2"/>
        <scheme val="minor"/>
      </rPr>
      <t>tow</t>
    </r>
    <r>
      <rPr>
        <sz val="11"/>
        <color theme="1"/>
        <rFont val="Calibri"/>
        <family val="2"/>
        <scheme val="minor"/>
      </rPr>
      <t>]</t>
    </r>
  </si>
  <si>
    <t>Distancia Aterrizaje Water</t>
  </si>
  <si>
    <r>
      <t>[S</t>
    </r>
    <r>
      <rPr>
        <vertAlign val="subscript"/>
        <sz val="11"/>
        <color theme="1"/>
        <rFont val="Calibri"/>
        <family val="2"/>
        <scheme val="minor"/>
      </rPr>
      <t>Lw</t>
    </r>
    <r>
      <rPr>
        <sz val="11"/>
        <color theme="1"/>
        <rFont val="Calibri"/>
        <family val="2"/>
        <scheme val="minor"/>
      </rPr>
      <t>]</t>
    </r>
  </si>
  <si>
    <t>Velocidad de despegue water</t>
  </si>
  <si>
    <r>
      <t>[V</t>
    </r>
    <r>
      <rPr>
        <vertAlign val="subscript"/>
        <sz val="11"/>
        <color theme="1"/>
        <rFont val="Calibri"/>
        <family val="2"/>
        <scheme val="minor"/>
      </rPr>
      <t>2w</t>
    </r>
    <r>
      <rPr>
        <sz val="11"/>
        <color theme="1"/>
        <rFont val="Calibri"/>
        <family val="2"/>
        <scheme val="minor"/>
      </rPr>
      <t>]</t>
    </r>
  </si>
  <si>
    <t>kts2ms</t>
  </si>
  <si>
    <t>Velocidad de entrada en pérdida en despegue water</t>
  </si>
  <si>
    <r>
      <t>[V</t>
    </r>
    <r>
      <rPr>
        <vertAlign val="subscript"/>
        <sz val="11"/>
        <color theme="1"/>
        <rFont val="Calibri"/>
        <family val="2"/>
        <scheme val="minor"/>
      </rPr>
      <t>stall_TOw</t>
    </r>
    <r>
      <rPr>
        <sz val="11"/>
        <color theme="1"/>
        <rFont val="Calibri"/>
        <family val="2"/>
        <scheme val="minor"/>
      </rPr>
      <t>]</t>
    </r>
  </si>
  <si>
    <t>Velocidad de aterrizaje</t>
  </si>
  <si>
    <r>
      <t>[V</t>
    </r>
    <r>
      <rPr>
        <vertAlign val="subscript"/>
        <sz val="11"/>
        <color theme="1"/>
        <rFont val="Calibri"/>
        <family val="2"/>
        <scheme val="minor"/>
      </rPr>
      <t>l</t>
    </r>
    <r>
      <rPr>
        <sz val="11"/>
        <color theme="1"/>
        <rFont val="Calibri"/>
        <family val="2"/>
        <scheme val="minor"/>
      </rPr>
      <t>]</t>
    </r>
  </si>
  <si>
    <r>
      <t>[V</t>
    </r>
    <r>
      <rPr>
        <vertAlign val="subscript"/>
        <sz val="11"/>
        <color theme="1"/>
        <rFont val="Calibri"/>
        <family val="2"/>
        <scheme val="minor"/>
      </rPr>
      <t>lw</t>
    </r>
    <r>
      <rPr>
        <sz val="11"/>
        <color theme="1"/>
        <rFont val="Calibri"/>
        <family val="2"/>
        <scheme val="minor"/>
      </rPr>
      <t>]</t>
    </r>
  </si>
  <si>
    <t>Velocidad de aterrizaje water</t>
  </si>
  <si>
    <t>Velocidad de entrada en pérdida en aterrizaje water</t>
  </si>
  <si>
    <t>Conventional flying boat</t>
  </si>
  <si>
    <t>hp2w</t>
  </si>
  <si>
    <t>Take off power W</t>
  </si>
  <si>
    <t>Maximum continuous power W</t>
  </si>
  <si>
    <t>Take of SFC</t>
  </si>
  <si>
    <t>Maximum continuous power SFC</t>
  </si>
  <si>
    <t>alta</t>
  </si>
  <si>
    <r>
      <t>[N/m</t>
    </r>
    <r>
      <rPr>
        <vertAlign val="superscript"/>
        <sz val="11"/>
        <color theme="1"/>
        <rFont val="Calibri"/>
        <family val="2"/>
        <scheme val="minor"/>
      </rPr>
      <t>2</t>
    </r>
    <r>
      <rPr>
        <sz val="11"/>
        <color theme="1"/>
        <rFont val="Calibri"/>
        <family val="2"/>
        <scheme val="minor"/>
      </rPr>
      <t>]</t>
    </r>
  </si>
  <si>
    <t>Beriev B-12</t>
  </si>
  <si>
    <t>Beriev</t>
  </si>
  <si>
    <t>Sobre el ala</t>
  </si>
  <si>
    <t> Ivchenko Progress AI-20D</t>
  </si>
  <si>
    <t>Pratt &amp; Whitney Canada PW127 </t>
  </si>
  <si>
    <t>Cruise/Take of</t>
  </si>
  <si>
    <t>Harbin SH-5</t>
  </si>
  <si>
    <t>Harbin</t>
  </si>
  <si>
    <t>ShinMaywa US-2</t>
  </si>
  <si>
    <t>Gruman Albatross</t>
  </si>
  <si>
    <t>Beriev Be-200</t>
  </si>
  <si>
    <t>Velocidad de entrada en pérdida</t>
  </si>
  <si>
    <r>
      <t>[V</t>
    </r>
    <r>
      <rPr>
        <vertAlign val="subscript"/>
        <sz val="11"/>
        <color theme="1"/>
        <rFont val="Calibri"/>
        <family val="2"/>
        <scheme val="minor"/>
      </rPr>
      <t>stall</t>
    </r>
    <r>
      <rPr>
        <sz val="11"/>
        <color theme="1"/>
        <rFont val="Calibri"/>
        <family val="2"/>
        <scheme val="minor"/>
      </rPr>
      <t>]</t>
    </r>
  </si>
  <si>
    <r>
      <t>[V</t>
    </r>
    <r>
      <rPr>
        <vertAlign val="subscript"/>
        <sz val="11"/>
        <color theme="1"/>
        <rFont val="Calibri"/>
        <family val="2"/>
        <scheme val="minor"/>
      </rPr>
      <t>stall_Lw</t>
    </r>
    <r>
      <rPr>
        <sz val="11"/>
        <color theme="1"/>
        <rFont val="Calibri"/>
        <family val="2"/>
        <scheme val="minor"/>
      </rPr>
      <t>]</t>
    </r>
  </si>
  <si>
    <t>Clmax_to</t>
  </si>
  <si>
    <t>WaterDensity</t>
  </si>
  <si>
    <t>[kg/m^3]</t>
  </si>
  <si>
    <t>Forebody length</t>
  </si>
  <si>
    <t>Deadrise Angle</t>
  </si>
  <si>
    <t>[Beta]</t>
  </si>
  <si>
    <t>[º]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</si>
</sst>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dd\-mmm\-yy;@"/>
    <numFmt numFmtId="165" formatCode="0.0000"/>
    <numFmt numFmtId="166" formatCode="0.000"/>
  </numFmts>
  <fonts count="13" x14ac:knownFonts="1">
    <font>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Symbol"/>
      <family val="1"/>
      <charset val="2"/>
    </font>
    <font>
      <vertAlign val="subscript"/>
      <sz val="11"/>
      <color theme="1"/>
      <name val="Symbol"/>
      <family val="1"/>
      <charset val="2"/>
    </font>
    <font>
      <vertAlign val="subscript"/>
      <sz val="11"/>
      <color theme="1"/>
      <name val="SpaceClaim ASME CB"/>
    </font>
    <font>
      <b/>
      <sz val="11"/>
      <color theme="1"/>
      <name val="Calibri"/>
      <family val="2"/>
      <scheme val="minor"/>
    </font>
    <font>
      <vertAlign val="superscript"/>
      <sz val="11"/>
      <color theme="1"/>
      <name val="Calibri"/>
      <family val="2"/>
      <scheme val="minor"/>
    </font>
    <font>
      <sz val="11"/>
      <color theme="1"/>
      <name val="Calibri"/>
      <family val="2"/>
    </font>
    <font>
      <sz val="9"/>
      <color indexed="81"/>
      <name val="Tahoma"/>
      <charset val="1"/>
    </font>
    <font>
      <b/>
      <sz val="9"/>
      <color indexed="81"/>
      <name val="Tahoma"/>
      <charset val="1"/>
    </font>
    <font>
      <b/>
      <sz val="11"/>
      <color rgb="FF3F3F3F"/>
      <name val="Calibri"/>
      <family val="2"/>
      <scheme val="minor"/>
    </font>
  </fonts>
  <fills count="10">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rgb="FFF2F2F2"/>
      </patternFill>
    </fill>
  </fills>
  <borders count="2">
    <border>
      <left/>
      <right/>
      <top/>
      <bottom/>
      <diagonal/>
    </border>
    <border>
      <left style="thin">
        <color rgb="FF3F3F3F"/>
      </left>
      <right style="thin">
        <color rgb="FF3F3F3F"/>
      </right>
      <top style="thin">
        <color rgb="FF3F3F3F"/>
      </top>
      <bottom style="thin">
        <color rgb="FF3F3F3F"/>
      </bottom>
      <diagonal/>
    </border>
  </borders>
  <cellStyleXfs count="2">
    <xf numFmtId="0" fontId="0" fillId="0" borderId="0"/>
    <xf numFmtId="0" fontId="12" fillId="9" borderId="1" applyNumberFormat="0" applyAlignment="0" applyProtection="0"/>
  </cellStyleXfs>
  <cellXfs count="56">
    <xf numFmtId="0" fontId="0" fillId="0" borderId="0" xfId="0"/>
    <xf numFmtId="0" fontId="0" fillId="0" borderId="0" xfId="0" applyAlignment="1">
      <alignment horizontal="center" vertical="center"/>
    </xf>
    <xf numFmtId="0" fontId="0" fillId="0" borderId="0" xfId="0" applyFill="1" applyAlignment="1">
      <alignment horizontal="center" vertical="center"/>
    </xf>
    <xf numFmtId="0" fontId="0" fillId="2" borderId="0" xfId="0" applyFill="1" applyBorder="1" applyAlignment="1">
      <alignment horizontal="center" vertical="center"/>
    </xf>
    <xf numFmtId="0" fontId="0" fillId="2" borderId="0" xfId="0" applyFill="1" applyBorder="1" applyAlignment="1">
      <alignment horizontal="left" vertical="center" wrapText="1"/>
    </xf>
    <xf numFmtId="2" fontId="0" fillId="0" borderId="0" xfId="0" applyNumberFormat="1" applyFill="1" applyAlignment="1">
      <alignment horizontal="center" vertical="center"/>
    </xf>
    <xf numFmtId="2" fontId="0" fillId="0" borderId="0" xfId="0" applyNumberFormat="1"/>
    <xf numFmtId="0" fontId="7" fillId="4" borderId="0" xfId="0" applyFont="1" applyFill="1" applyAlignment="1">
      <alignment horizontal="center" vertical="center"/>
    </xf>
    <xf numFmtId="0" fontId="7" fillId="4" borderId="0" xfId="0" applyFont="1" applyFill="1" applyAlignment="1">
      <alignment horizontal="center" vertical="center" wrapText="1"/>
    </xf>
    <xf numFmtId="2" fontId="0" fillId="0" borderId="0" xfId="0" applyNumberFormat="1" applyAlignment="1">
      <alignment horizontal="center" vertical="center"/>
    </xf>
    <xf numFmtId="0" fontId="0" fillId="2" borderId="0" xfId="0" applyFill="1" applyAlignment="1">
      <alignment horizontal="left" vertical="center" wrapText="1"/>
    </xf>
    <xf numFmtId="0" fontId="0" fillId="2" borderId="0" xfId="0" applyFill="1" applyAlignment="1">
      <alignment horizontal="center" vertical="center"/>
    </xf>
    <xf numFmtId="0" fontId="1" fillId="2" borderId="0" xfId="0" applyFont="1" applyFill="1" applyAlignment="1">
      <alignment horizontal="left" vertical="center" wrapText="1"/>
    </xf>
    <xf numFmtId="0" fontId="0" fillId="5" borderId="0" xfId="0" applyFill="1" applyAlignment="1">
      <alignment horizontal="center" vertical="center"/>
    </xf>
    <xf numFmtId="164" fontId="0" fillId="0" borderId="0" xfId="0" applyNumberFormat="1" applyFill="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vertical="center"/>
    </xf>
    <xf numFmtId="0" fontId="0" fillId="2" borderId="0" xfId="0" applyFill="1" applyAlignment="1">
      <alignment horizontal="center" vertical="center" wrapText="1"/>
    </xf>
    <xf numFmtId="165" fontId="0" fillId="0" borderId="0" xfId="0" applyNumberFormat="1" applyFill="1" applyAlignment="1">
      <alignment horizontal="center" vertical="center"/>
    </xf>
    <xf numFmtId="0" fontId="0" fillId="3" borderId="0" xfId="0" applyFill="1"/>
    <xf numFmtId="0" fontId="0" fillId="2" borderId="0" xfId="0" applyFill="1"/>
    <xf numFmtId="1" fontId="0" fillId="0" borderId="0" xfId="0" applyNumberFormat="1" applyAlignment="1">
      <alignment horizontal="center" vertical="center"/>
    </xf>
    <xf numFmtId="1" fontId="0" fillId="0" borderId="0" xfId="0" applyNumberFormat="1" applyFill="1" applyAlignment="1">
      <alignment horizontal="center" vertical="center"/>
    </xf>
    <xf numFmtId="2" fontId="0" fillId="0" borderId="0" xfId="0" applyNumberFormat="1" applyAlignment="1">
      <alignment horizontal="center"/>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vertical="center"/>
    </xf>
    <xf numFmtId="0" fontId="0" fillId="2" borderId="0" xfId="0" applyFill="1" applyBorder="1" applyAlignment="1">
      <alignment vertical="center" wrapText="1"/>
    </xf>
    <xf numFmtId="0" fontId="0" fillId="0" borderId="0" xfId="0" applyAlignment="1">
      <alignment horizontal="center" vertical="center"/>
    </xf>
    <xf numFmtId="0" fontId="0" fillId="0" borderId="0" xfId="0" applyFill="1" applyAlignment="1">
      <alignment horizontal="right" vertical="center"/>
    </xf>
    <xf numFmtId="0" fontId="0" fillId="0" borderId="0" xfId="0" applyAlignment="1">
      <alignment horizontal="center" vertical="center"/>
    </xf>
    <xf numFmtId="0" fontId="0" fillId="8" borderId="0" xfId="0" applyFill="1" applyAlignment="1">
      <alignment horizontal="left" vertical="center" wrapText="1"/>
    </xf>
    <xf numFmtId="0" fontId="0" fillId="0" borderId="0" xfId="0" applyAlignment="1">
      <alignment horizontal="center" vertical="center"/>
    </xf>
    <xf numFmtId="0" fontId="0" fillId="0" borderId="0" xfId="0" applyAlignment="1">
      <alignment horizontal="center" vertical="center"/>
    </xf>
    <xf numFmtId="0" fontId="0" fillId="3" borderId="0" xfId="0" applyFill="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3" fontId="0" fillId="0" borderId="0" xfId="0" applyNumberFormat="1"/>
    <xf numFmtId="0" fontId="0" fillId="3" borderId="0" xfId="0" applyFill="1" applyAlignment="1">
      <alignment horizontal="center" vertical="center" wrapText="1"/>
    </xf>
    <xf numFmtId="0" fontId="12" fillId="9" borderId="1" xfId="1" applyAlignment="1">
      <alignment horizontal="center" vertical="center"/>
    </xf>
    <xf numFmtId="0" fontId="12" fillId="9" borderId="1" xfId="1" applyAlignment="1">
      <alignment vertical="center"/>
    </xf>
    <xf numFmtId="164" fontId="12" fillId="9" borderId="1" xfId="1" applyNumberFormat="1" applyAlignment="1">
      <alignment horizontal="center" vertical="center"/>
    </xf>
    <xf numFmtId="2" fontId="12" fillId="9" borderId="1" xfId="1" applyNumberFormat="1" applyAlignment="1">
      <alignment horizontal="center" vertical="center"/>
    </xf>
    <xf numFmtId="166" fontId="12" fillId="9" borderId="1" xfId="1" applyNumberFormat="1" applyAlignment="1">
      <alignment horizontal="center" vertical="center"/>
    </xf>
    <xf numFmtId="1" fontId="12" fillId="9" borderId="1" xfId="1" applyNumberFormat="1" applyAlignment="1">
      <alignment horizontal="center" vertical="center"/>
    </xf>
    <xf numFmtId="165" fontId="12" fillId="9" borderId="1" xfId="1" applyNumberFormat="1" applyAlignment="1">
      <alignment horizontal="center" vertical="center"/>
    </xf>
    <xf numFmtId="0" fontId="12" fillId="9" borderId="1" xfId="1" applyAlignment="1">
      <alignment horizontal="center" vertical="center" wrapText="1"/>
    </xf>
    <xf numFmtId="0" fontId="12" fillId="9" borderId="1" xfId="1" applyAlignment="1">
      <alignment vertical="center" wrapText="1"/>
    </xf>
    <xf numFmtId="0" fontId="0" fillId="3" borderId="0" xfId="0" applyFill="1" applyAlignment="1">
      <alignment horizontal="center" vertical="center" wrapText="1"/>
    </xf>
    <xf numFmtId="0" fontId="0" fillId="6" borderId="0" xfId="0" applyFill="1" applyAlignment="1">
      <alignment horizontal="center" vertical="center"/>
    </xf>
    <xf numFmtId="0" fontId="0" fillId="7" borderId="0" xfId="0" applyFill="1" applyAlignment="1">
      <alignment horizontal="center" vertical="center" wrapText="1"/>
    </xf>
    <xf numFmtId="0" fontId="0" fillId="3" borderId="0" xfId="0" applyFill="1" applyBorder="1" applyAlignment="1">
      <alignment horizontal="center" vertical="center" wrapText="1"/>
    </xf>
    <xf numFmtId="0" fontId="7" fillId="0" borderId="0" xfId="0" applyFont="1" applyFill="1" applyAlignment="1">
      <alignment horizontal="center" vertical="center"/>
    </xf>
  </cellXfs>
  <cellStyles count="2">
    <cellStyle name="Normal" xfId="0" builtinId="0"/>
    <cellStyle name="Salida" xfId="1" builtinId="21"/>
  </cellStyles>
  <dxfs count="2">
    <dxf>
      <fill>
        <patternFill>
          <bgColor rgb="FFE79991"/>
        </patternFill>
      </fill>
    </dxf>
    <dxf>
      <fill>
        <patternFill>
          <bgColor rgb="FFE39595"/>
        </patternFill>
      </fill>
    </dxf>
  </dxfs>
  <tableStyles count="0" defaultTableStyle="TableStyleMedium2" defaultPivotStyle="PivotStyleLight16"/>
  <colors>
    <mruColors>
      <color rgb="FFE39595"/>
      <color rgb="FFE799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7" Type="http://schemas.openxmlformats.org/officeDocument/2006/relationships/image" Target="../media/image7.jpeg"/><Relationship Id="rId2" Type="http://schemas.openxmlformats.org/officeDocument/2006/relationships/image" Target="../media/image2.gif"/><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1</xdr:col>
      <xdr:colOff>180987</xdr:colOff>
      <xdr:row>214</xdr:row>
      <xdr:rowOff>31253</xdr:rowOff>
    </xdr:from>
    <xdr:to>
      <xdr:col>4</xdr:col>
      <xdr:colOff>1451256</xdr:colOff>
      <xdr:row>228</xdr:row>
      <xdr:rowOff>159162</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1601665" y="49932567"/>
          <a:ext cx="5354718" cy="2840112"/>
        </a:xfrm>
        <a:prstGeom prst="rect">
          <a:avLst/>
        </a:prstGeom>
      </xdr:spPr>
    </xdr:pic>
    <xdr:clientData/>
  </xdr:twoCellAnchor>
  <xdr:twoCellAnchor editAs="oneCell">
    <xdr:from>
      <xdr:col>6</xdr:col>
      <xdr:colOff>169038</xdr:colOff>
      <xdr:row>215</xdr:row>
      <xdr:rowOff>49761</xdr:rowOff>
    </xdr:from>
    <xdr:to>
      <xdr:col>8</xdr:col>
      <xdr:colOff>521729</xdr:colOff>
      <xdr:row>227</xdr:row>
      <xdr:rowOff>22310</xdr:rowOff>
    </xdr:to>
    <xdr:pic>
      <xdr:nvPicPr>
        <xdr:cNvPr id="29" name="Picture 28" descr="MAC Graphic"/>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12385" y="50144803"/>
          <a:ext cx="2984175" cy="2297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140493</xdr:colOff>
      <xdr:row>4</xdr:row>
      <xdr:rowOff>8619</xdr:rowOff>
    </xdr:from>
    <xdr:to>
      <xdr:col>5</xdr:col>
      <xdr:colOff>964404</xdr:colOff>
      <xdr:row>4</xdr:row>
      <xdr:rowOff>1101203</xdr:rowOff>
    </xdr:to>
    <xdr:pic>
      <xdr:nvPicPr>
        <xdr:cNvPr id="30" name="Imagen 29">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926806" y="639650"/>
          <a:ext cx="2514598" cy="1092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290230</xdr:colOff>
      <xdr:row>4</xdr:row>
      <xdr:rowOff>25707</xdr:rowOff>
    </xdr:from>
    <xdr:to>
      <xdr:col>7</xdr:col>
      <xdr:colOff>51594</xdr:colOff>
      <xdr:row>4</xdr:row>
      <xdr:rowOff>1056922</xdr:rowOff>
    </xdr:to>
    <xdr:pic>
      <xdr:nvPicPr>
        <xdr:cNvPr id="33" name="Imagen 32">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719730" y="656738"/>
          <a:ext cx="2126739" cy="10312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212</xdr:row>
      <xdr:rowOff>0</xdr:rowOff>
    </xdr:from>
    <xdr:to>
      <xdr:col>8</xdr:col>
      <xdr:colOff>529140</xdr:colOff>
      <xdr:row>212</xdr:row>
      <xdr:rowOff>81006</xdr:rowOff>
    </xdr:to>
    <xdr:pic>
      <xdr:nvPicPr>
        <xdr:cNvPr id="34" name="Imagen 33">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5"/>
        <a:stretch>
          <a:fillRect/>
        </a:stretch>
      </xdr:blipFill>
      <xdr:spPr>
        <a:xfrm>
          <a:off x="7429500" y="50196750"/>
          <a:ext cx="4428332" cy="81006"/>
        </a:xfrm>
        <a:prstGeom prst="rect">
          <a:avLst/>
        </a:prstGeom>
      </xdr:spPr>
    </xdr:pic>
    <xdr:clientData/>
  </xdr:twoCellAnchor>
  <xdr:twoCellAnchor editAs="oneCell">
    <xdr:from>
      <xdr:col>6</xdr:col>
      <xdr:colOff>320843</xdr:colOff>
      <xdr:row>4</xdr:row>
      <xdr:rowOff>40107</xdr:rowOff>
    </xdr:from>
    <xdr:to>
      <xdr:col>7</xdr:col>
      <xdr:colOff>709363</xdr:colOff>
      <xdr:row>4</xdr:row>
      <xdr:rowOff>1038725</xdr:rowOff>
    </xdr:to>
    <xdr:pic>
      <xdr:nvPicPr>
        <xdr:cNvPr id="7" name="Imagen 6" descr="Resultado de imagen de beriev b 12"/>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028948" y="671765"/>
          <a:ext cx="1483895" cy="9986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91572</xdr:colOff>
      <xdr:row>4</xdr:row>
      <xdr:rowOff>110290</xdr:rowOff>
    </xdr:from>
    <xdr:to>
      <xdr:col>7</xdr:col>
      <xdr:colOff>1374609</xdr:colOff>
      <xdr:row>4</xdr:row>
      <xdr:rowOff>992606</xdr:rowOff>
    </xdr:to>
    <xdr:pic>
      <xdr:nvPicPr>
        <xdr:cNvPr id="9" name="Imagen 8" descr="Resultado de imagen de sh 5"/>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855072" y="741948"/>
          <a:ext cx="1283037" cy="8823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57150</xdr:colOff>
      <xdr:row>7</xdr:row>
      <xdr:rowOff>95250</xdr:rowOff>
    </xdr:from>
    <xdr:to>
      <xdr:col>17</xdr:col>
      <xdr:colOff>656483</xdr:colOff>
      <xdr:row>22</xdr:row>
      <xdr:rowOff>123464</xdr:rowOff>
    </xdr:to>
    <xdr:pic>
      <xdr:nvPicPr>
        <xdr:cNvPr id="2" name="Imagen 1"/>
        <xdr:cNvPicPr>
          <a:picLocks noChangeAspect="1"/>
        </xdr:cNvPicPr>
      </xdr:nvPicPr>
      <xdr:blipFill>
        <a:blip xmlns:r="http://schemas.openxmlformats.org/officeDocument/2006/relationships" r:embed="rId1"/>
        <a:stretch>
          <a:fillRect/>
        </a:stretch>
      </xdr:blipFill>
      <xdr:spPr>
        <a:xfrm>
          <a:off x="9534525" y="1428750"/>
          <a:ext cx="5933333" cy="28857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Q216"/>
  <sheetViews>
    <sheetView tabSelected="1" topLeftCell="A142" zoomScale="59" zoomScaleNormal="59" workbookViewId="0">
      <selection activeCell="F176" sqref="F176"/>
    </sheetView>
  </sheetViews>
  <sheetFormatPr baseColWidth="10" defaultColWidth="9.140625" defaultRowHeight="15" x14ac:dyDescent="0.25"/>
  <cols>
    <col min="1" max="1" width="21.28515625" style="29" customWidth="1"/>
    <col min="2" max="2" width="38" style="28" customWidth="1"/>
    <col min="3" max="3" width="13.28515625" style="1" customWidth="1"/>
    <col min="4" max="4" width="10" style="1" customWidth="1"/>
    <col min="5" max="5" width="25.28515625" style="1" customWidth="1"/>
    <col min="6" max="6" width="19" style="29" customWidth="1"/>
    <col min="7" max="7" width="16.42578125" style="29" customWidth="1"/>
    <col min="8" max="11" width="23" style="29" customWidth="1"/>
    <col min="12" max="12" width="23" style="43" customWidth="1"/>
    <col min="13" max="15" width="23" style="29" customWidth="1"/>
    <col min="16" max="16" width="9.140625" style="29"/>
    <col min="17" max="17" width="13" style="29" customWidth="1"/>
    <col min="18" max="16384" width="9.140625" style="29"/>
  </cols>
  <sheetData>
    <row r="1" spans="1:17" x14ac:dyDescent="0.25">
      <c r="A1" s="7" t="s">
        <v>174</v>
      </c>
      <c r="B1" s="8" t="s">
        <v>177</v>
      </c>
      <c r="C1" s="7" t="s">
        <v>175</v>
      </c>
      <c r="D1" s="7" t="s">
        <v>176</v>
      </c>
      <c r="E1" s="7" t="s">
        <v>239</v>
      </c>
      <c r="F1" s="7" t="s">
        <v>321</v>
      </c>
      <c r="G1" s="7" t="s">
        <v>240</v>
      </c>
      <c r="H1" s="7" t="s">
        <v>241</v>
      </c>
      <c r="I1" s="7" t="s">
        <v>242</v>
      </c>
      <c r="J1" s="7" t="s">
        <v>244</v>
      </c>
      <c r="K1" s="7" t="s">
        <v>245</v>
      </c>
      <c r="L1" s="42" t="s">
        <v>246</v>
      </c>
      <c r="M1" s="7" t="s">
        <v>247</v>
      </c>
      <c r="N1" s="7" t="s">
        <v>248</v>
      </c>
      <c r="O1" s="7" t="s">
        <v>322</v>
      </c>
    </row>
    <row r="2" spans="1:17" s="55" customFormat="1" ht="5.0999999999999996" customHeight="1" x14ac:dyDescent="0.25"/>
    <row r="3" spans="1:17" x14ac:dyDescent="0.25">
      <c r="A3" s="54" t="s">
        <v>24</v>
      </c>
      <c r="B3" s="30" t="s">
        <v>0</v>
      </c>
      <c r="C3" s="3" t="s">
        <v>32</v>
      </c>
      <c r="D3" s="3" t="s">
        <v>32</v>
      </c>
      <c r="E3" s="2" t="s">
        <v>308</v>
      </c>
      <c r="F3" s="1" t="s">
        <v>318</v>
      </c>
      <c r="G3" s="1" t="s">
        <v>369</v>
      </c>
      <c r="H3" s="38" t="s">
        <v>375</v>
      </c>
      <c r="I3" s="38" t="s">
        <v>377</v>
      </c>
      <c r="J3" s="1" t="s">
        <v>378</v>
      </c>
      <c r="K3" s="1" t="s">
        <v>379</v>
      </c>
      <c r="L3" s="42"/>
      <c r="M3" s="1"/>
      <c r="N3" s="1"/>
      <c r="O3" s="1"/>
      <c r="Q3" s="29" t="s">
        <v>361</v>
      </c>
    </row>
    <row r="4" spans="1:17" ht="15" customHeight="1" x14ac:dyDescent="0.25">
      <c r="A4" s="54"/>
      <c r="B4" s="4" t="s">
        <v>1</v>
      </c>
      <c r="C4" s="3" t="s">
        <v>32</v>
      </c>
      <c r="D4" s="3" t="s">
        <v>32</v>
      </c>
      <c r="E4" s="2" t="s">
        <v>309</v>
      </c>
      <c r="F4" s="1" t="s">
        <v>173</v>
      </c>
      <c r="G4" s="1" t="s">
        <v>370</v>
      </c>
      <c r="H4" s="1" t="s">
        <v>376</v>
      </c>
      <c r="I4" s="1"/>
      <c r="J4" s="1"/>
      <c r="K4" s="1" t="s">
        <v>370</v>
      </c>
      <c r="L4" s="42"/>
      <c r="M4" s="1"/>
      <c r="N4" s="1"/>
      <c r="O4" s="1"/>
    </row>
    <row r="5" spans="1:17" ht="90" customHeight="1" x14ac:dyDescent="0.25">
      <c r="A5" s="54"/>
      <c r="B5" s="4" t="s">
        <v>207</v>
      </c>
      <c r="C5" s="3" t="s">
        <v>32</v>
      </c>
      <c r="D5" s="3" t="s">
        <v>32</v>
      </c>
      <c r="E5" s="2"/>
      <c r="F5" s="1"/>
      <c r="G5"/>
      <c r="H5"/>
      <c r="I5" s="1"/>
      <c r="J5" s="1"/>
      <c r="K5" s="1"/>
      <c r="M5" s="1"/>
    </row>
    <row r="6" spans="1:17" x14ac:dyDescent="0.25">
      <c r="A6" s="54"/>
      <c r="B6" s="4" t="s">
        <v>2</v>
      </c>
      <c r="C6" s="3" t="s">
        <v>32</v>
      </c>
      <c r="D6" s="3" t="s">
        <v>32</v>
      </c>
      <c r="E6" s="14">
        <v>27349</v>
      </c>
      <c r="F6" s="15">
        <v>33527</v>
      </c>
      <c r="G6" s="15"/>
      <c r="H6" s="15"/>
      <c r="I6" s="15"/>
      <c r="J6" s="15"/>
      <c r="K6" s="15"/>
      <c r="L6" s="44"/>
      <c r="M6" s="15"/>
      <c r="N6" s="15"/>
      <c r="O6" s="15"/>
    </row>
    <row r="7" spans="1:17" ht="18" x14ac:dyDescent="0.25">
      <c r="A7" s="54"/>
      <c r="B7" s="4" t="s">
        <v>3</v>
      </c>
      <c r="C7" s="3" t="s">
        <v>33</v>
      </c>
      <c r="D7" s="3" t="s">
        <v>178</v>
      </c>
      <c r="E7" s="5">
        <v>9.9499999999999993</v>
      </c>
      <c r="F7" s="24">
        <v>9.07</v>
      </c>
      <c r="G7" s="9">
        <v>7.9</v>
      </c>
      <c r="H7" s="9">
        <v>9.7899999999999991</v>
      </c>
      <c r="I7" s="9"/>
      <c r="J7" s="9"/>
      <c r="K7" s="9"/>
      <c r="L7" s="45"/>
      <c r="M7" s="9"/>
      <c r="N7" s="9"/>
      <c r="O7" s="9"/>
    </row>
    <row r="8" spans="1:17" ht="18" x14ac:dyDescent="0.25">
      <c r="A8" s="54"/>
      <c r="B8" s="4" t="s">
        <v>4</v>
      </c>
      <c r="C8" s="3" t="s">
        <v>34</v>
      </c>
      <c r="D8" s="3" t="s">
        <v>178</v>
      </c>
      <c r="E8" s="5">
        <v>33.46</v>
      </c>
      <c r="F8" s="24">
        <v>19.82</v>
      </c>
      <c r="G8" s="9">
        <v>30.1</v>
      </c>
      <c r="H8" s="9">
        <v>38.9</v>
      </c>
      <c r="I8" s="9"/>
      <c r="J8" s="9"/>
      <c r="K8" s="9"/>
      <c r="L8" s="45"/>
      <c r="M8" s="9"/>
      <c r="N8" s="9"/>
      <c r="O8" s="9"/>
    </row>
    <row r="9" spans="1:17" ht="18" x14ac:dyDescent="0.25">
      <c r="A9" s="54"/>
      <c r="B9" s="4" t="s">
        <v>5</v>
      </c>
      <c r="C9" s="3" t="s">
        <v>35</v>
      </c>
      <c r="D9" s="3" t="s">
        <v>178</v>
      </c>
      <c r="E9" s="5">
        <v>33.15</v>
      </c>
      <c r="F9" s="24">
        <v>28.63</v>
      </c>
      <c r="G9" s="9">
        <v>29.8</v>
      </c>
      <c r="H9" s="9">
        <v>36</v>
      </c>
      <c r="I9" s="9"/>
      <c r="J9" s="9"/>
      <c r="K9" s="9"/>
      <c r="L9" s="45"/>
      <c r="M9" s="9"/>
      <c r="N9" s="9"/>
      <c r="O9" s="9"/>
    </row>
    <row r="10" spans="1:17" s="53" customFormat="1" x14ac:dyDescent="0.25"/>
    <row r="11" spans="1:17" ht="18" customHeight="1" x14ac:dyDescent="0.25">
      <c r="A11" s="51" t="s">
        <v>25</v>
      </c>
      <c r="B11" s="10" t="s">
        <v>6</v>
      </c>
      <c r="C11" s="11" t="s">
        <v>49</v>
      </c>
      <c r="D11" s="11" t="s">
        <v>32</v>
      </c>
      <c r="E11" s="38">
        <v>4</v>
      </c>
      <c r="F11" s="1">
        <v>2</v>
      </c>
      <c r="G11" s="1">
        <v>2</v>
      </c>
      <c r="H11" s="1"/>
      <c r="I11" s="1"/>
      <c r="J11" s="1"/>
      <c r="K11" s="1"/>
      <c r="L11" s="42"/>
      <c r="M11" s="1"/>
      <c r="N11" s="1"/>
      <c r="O11" s="1"/>
    </row>
    <row r="12" spans="1:17" x14ac:dyDescent="0.25">
      <c r="A12" s="51"/>
      <c r="B12" s="10" t="s">
        <v>7</v>
      </c>
      <c r="C12" s="11" t="s">
        <v>32</v>
      </c>
      <c r="D12" s="11" t="s">
        <v>32</v>
      </c>
      <c r="E12" s="38" t="s">
        <v>310</v>
      </c>
      <c r="F12" s="38" t="s">
        <v>310</v>
      </c>
      <c r="G12" s="1" t="s">
        <v>371</v>
      </c>
      <c r="H12" s="1"/>
      <c r="I12" s="1"/>
      <c r="J12" s="1"/>
      <c r="K12" s="1"/>
      <c r="L12" s="42"/>
      <c r="M12" s="1"/>
      <c r="N12" s="1"/>
      <c r="O12" s="1"/>
    </row>
    <row r="13" spans="1:17" x14ac:dyDescent="0.25">
      <c r="A13" s="51"/>
      <c r="B13" s="10" t="s">
        <v>8</v>
      </c>
      <c r="C13" s="11" t="s">
        <v>32</v>
      </c>
      <c r="D13" s="11" t="s">
        <v>32</v>
      </c>
      <c r="E13" s="38" t="s">
        <v>311</v>
      </c>
      <c r="F13" s="38" t="s">
        <v>311</v>
      </c>
      <c r="G13" s="1" t="s">
        <v>311</v>
      </c>
      <c r="H13" s="1"/>
      <c r="I13" s="1"/>
      <c r="J13" s="1"/>
      <c r="K13" s="1"/>
      <c r="L13" s="42"/>
      <c r="M13" s="1"/>
      <c r="N13" s="1"/>
      <c r="O13" s="1"/>
    </row>
    <row r="14" spans="1:17" x14ac:dyDescent="0.25">
      <c r="A14" s="51"/>
      <c r="B14" s="10" t="s">
        <v>1</v>
      </c>
      <c r="C14" s="11" t="s">
        <v>32</v>
      </c>
      <c r="D14" s="11" t="s">
        <v>32</v>
      </c>
      <c r="E14" s="38" t="s">
        <v>313</v>
      </c>
      <c r="F14" s="39" t="s">
        <v>320</v>
      </c>
      <c r="G14" s="38" t="s">
        <v>372</v>
      </c>
      <c r="H14" s="1"/>
      <c r="I14" s="1"/>
      <c r="J14" s="1"/>
      <c r="K14" s="1"/>
      <c r="L14" s="42"/>
      <c r="M14" s="1"/>
      <c r="N14" s="1"/>
      <c r="O14" s="1"/>
    </row>
    <row r="15" spans="1:17" x14ac:dyDescent="0.25">
      <c r="A15" s="51"/>
      <c r="B15" s="10" t="s">
        <v>9</v>
      </c>
      <c r="C15" s="11" t="s">
        <v>32</v>
      </c>
      <c r="D15" s="11" t="s">
        <v>32</v>
      </c>
      <c r="E15" s="38" t="s">
        <v>312</v>
      </c>
      <c r="F15" s="39" t="s">
        <v>319</v>
      </c>
      <c r="G15" s="1"/>
      <c r="H15" s="1"/>
      <c r="I15" s="1"/>
      <c r="J15" s="1"/>
      <c r="K15" s="1"/>
      <c r="L15" s="42"/>
      <c r="M15" s="1"/>
      <c r="N15" s="1"/>
      <c r="O15" s="1"/>
    </row>
    <row r="16" spans="1:17" ht="18" x14ac:dyDescent="0.25">
      <c r="A16" s="51"/>
      <c r="B16" s="10" t="s">
        <v>10</v>
      </c>
      <c r="C16" s="11" t="s">
        <v>36</v>
      </c>
      <c r="D16" s="11" t="s">
        <v>179</v>
      </c>
      <c r="E16" s="38">
        <v>538</v>
      </c>
      <c r="F16" s="39">
        <v>450</v>
      </c>
      <c r="G16" s="1"/>
      <c r="H16" s="1"/>
      <c r="I16" s="1"/>
      <c r="J16" s="1"/>
      <c r="K16" s="1"/>
      <c r="M16" s="1"/>
      <c r="N16" s="1"/>
      <c r="O16" s="1"/>
    </row>
    <row r="17" spans="1:15" ht="18" x14ac:dyDescent="0.25">
      <c r="A17" s="51"/>
      <c r="B17" s="10" t="s">
        <v>314</v>
      </c>
      <c r="C17" s="11" t="s">
        <v>315</v>
      </c>
      <c r="D17" s="11" t="s">
        <v>316</v>
      </c>
      <c r="E17" s="9">
        <v>2535</v>
      </c>
      <c r="F17" s="24">
        <v>1775</v>
      </c>
      <c r="G17" s="38">
        <v>3864</v>
      </c>
      <c r="H17" s="38"/>
      <c r="I17" s="38"/>
      <c r="J17" s="38"/>
      <c r="K17" s="38"/>
      <c r="M17" s="38"/>
      <c r="N17" s="38"/>
      <c r="O17" s="38"/>
    </row>
    <row r="18" spans="1:15" ht="18" x14ac:dyDescent="0.25">
      <c r="A18" s="51"/>
      <c r="B18" s="10" t="s">
        <v>189</v>
      </c>
      <c r="C18" s="11" t="s">
        <v>188</v>
      </c>
      <c r="D18" s="11" t="s">
        <v>184</v>
      </c>
      <c r="E18" s="9"/>
      <c r="F18" s="24"/>
      <c r="G18" s="9"/>
      <c r="H18" s="9"/>
      <c r="I18" s="9"/>
      <c r="J18" s="9"/>
      <c r="K18" s="9"/>
      <c r="L18" s="45"/>
      <c r="M18" s="9"/>
      <c r="N18" s="9"/>
      <c r="O18" s="9"/>
    </row>
    <row r="19" spans="1:15" x14ac:dyDescent="0.25">
      <c r="A19" s="51"/>
      <c r="B19" s="10" t="s">
        <v>208</v>
      </c>
      <c r="C19" s="11" t="s">
        <v>249</v>
      </c>
      <c r="D19" s="11" t="s">
        <v>258</v>
      </c>
      <c r="E19" s="9">
        <v>0.5</v>
      </c>
      <c r="F19" s="17">
        <v>0.47</v>
      </c>
      <c r="G19" s="17"/>
      <c r="H19" s="17"/>
      <c r="I19" s="17"/>
      <c r="J19" s="17"/>
      <c r="K19" s="17"/>
      <c r="L19" s="46"/>
      <c r="M19" s="17"/>
      <c r="N19" s="17"/>
      <c r="O19" s="17"/>
    </row>
    <row r="20" spans="1:15" ht="18" x14ac:dyDescent="0.25">
      <c r="A20" s="51"/>
      <c r="B20" s="10" t="s">
        <v>257</v>
      </c>
      <c r="C20" s="11" t="s">
        <v>256</v>
      </c>
      <c r="D20" s="11" t="s">
        <v>32</v>
      </c>
      <c r="E20" s="16" t="s">
        <v>269</v>
      </c>
      <c r="F20" s="9" t="s">
        <v>269</v>
      </c>
      <c r="G20" s="9"/>
      <c r="H20" s="9"/>
      <c r="I20" s="9"/>
      <c r="J20" s="9"/>
      <c r="K20" s="9"/>
      <c r="L20" s="45"/>
      <c r="M20" s="9"/>
      <c r="N20" s="9"/>
      <c r="O20" s="9"/>
    </row>
    <row r="21" spans="1:15" ht="18" x14ac:dyDescent="0.25">
      <c r="A21" s="51"/>
      <c r="B21" s="10" t="s">
        <v>180</v>
      </c>
      <c r="C21" s="11" t="s">
        <v>182</v>
      </c>
      <c r="D21" s="11" t="s">
        <v>178</v>
      </c>
      <c r="E21" s="16">
        <v>0.68300000000000005</v>
      </c>
      <c r="F21" s="9">
        <v>0.63500000000000001</v>
      </c>
      <c r="G21" s="9"/>
      <c r="H21" s="9"/>
      <c r="I21" s="9"/>
      <c r="J21" s="9"/>
      <c r="K21" s="9"/>
      <c r="L21" s="45"/>
      <c r="M21" s="9"/>
      <c r="N21" s="9"/>
      <c r="O21" s="9"/>
    </row>
    <row r="22" spans="1:15" ht="18" x14ac:dyDescent="0.25">
      <c r="A22" s="51"/>
      <c r="B22" s="10" t="s">
        <v>181</v>
      </c>
      <c r="C22" s="11" t="s">
        <v>183</v>
      </c>
      <c r="D22" s="11" t="s">
        <v>178</v>
      </c>
      <c r="E22" s="16">
        <v>2.7930000000000001</v>
      </c>
      <c r="F22" s="9">
        <v>2.1339999999999999</v>
      </c>
      <c r="G22" s="9"/>
      <c r="H22" s="9"/>
      <c r="I22" s="9"/>
      <c r="J22" s="9"/>
      <c r="K22" s="9"/>
      <c r="L22" s="45"/>
      <c r="M22" s="9"/>
      <c r="N22" s="9"/>
      <c r="O22" s="9"/>
    </row>
    <row r="23" spans="1:15" ht="18" customHeight="1" x14ac:dyDescent="0.25">
      <c r="A23" s="51"/>
      <c r="B23" s="10" t="s">
        <v>209</v>
      </c>
      <c r="C23" s="11" t="s">
        <v>210</v>
      </c>
      <c r="D23" s="11" t="s">
        <v>184</v>
      </c>
      <c r="E23" s="9">
        <f t="shared" ref="E23:F23" si="0">E11*E18</f>
        <v>0</v>
      </c>
      <c r="F23" s="9">
        <f t="shared" si="0"/>
        <v>0</v>
      </c>
      <c r="G23" s="9"/>
      <c r="H23" s="9"/>
      <c r="I23" s="9"/>
      <c r="J23" s="9"/>
      <c r="K23" s="9"/>
      <c r="L23" s="45"/>
      <c r="M23" s="9"/>
      <c r="N23" s="9"/>
      <c r="O23" s="9"/>
    </row>
    <row r="24" spans="1:15" ht="18" customHeight="1" x14ac:dyDescent="0.25">
      <c r="A24" s="37"/>
      <c r="B24" s="10" t="s">
        <v>344</v>
      </c>
      <c r="C24" s="11" t="s">
        <v>340</v>
      </c>
      <c r="D24" s="11" t="s">
        <v>316</v>
      </c>
      <c r="E24" s="9">
        <f>E11*E17</f>
        <v>10140</v>
      </c>
      <c r="F24" s="9">
        <f t="shared" ref="F24" si="1">F11*F17</f>
        <v>3550</v>
      </c>
      <c r="G24" s="9"/>
      <c r="H24" s="9"/>
      <c r="I24" s="9"/>
      <c r="J24" s="9"/>
      <c r="K24" s="9"/>
      <c r="L24" s="45"/>
      <c r="M24" s="9"/>
      <c r="N24" s="9"/>
      <c r="O24" s="9"/>
    </row>
    <row r="25" spans="1:15" s="53" customFormat="1" x14ac:dyDescent="0.25"/>
    <row r="26" spans="1:15" ht="18" customHeight="1" x14ac:dyDescent="0.25">
      <c r="A26" s="51" t="s">
        <v>26</v>
      </c>
      <c r="B26" s="10" t="s">
        <v>51</v>
      </c>
      <c r="C26" s="11" t="s">
        <v>50</v>
      </c>
      <c r="D26" s="11" t="s">
        <v>179</v>
      </c>
      <c r="E26" s="22">
        <v>43000</v>
      </c>
      <c r="F26" s="23">
        <v>17168</v>
      </c>
      <c r="G26" s="22">
        <v>36000</v>
      </c>
      <c r="H26" s="22">
        <v>45000</v>
      </c>
      <c r="I26" s="22">
        <v>43100</v>
      </c>
      <c r="J26" s="22">
        <v>17010</v>
      </c>
      <c r="K26" s="22">
        <v>37900</v>
      </c>
      <c r="L26" s="47"/>
      <c r="M26" s="22"/>
      <c r="N26" s="22"/>
      <c r="O26" s="22"/>
    </row>
    <row r="27" spans="1:15" ht="18" customHeight="1" x14ac:dyDescent="0.25">
      <c r="A27" s="51"/>
      <c r="B27" s="10" t="s">
        <v>265</v>
      </c>
      <c r="C27" s="11" t="s">
        <v>266</v>
      </c>
      <c r="D27" s="11" t="s">
        <v>179</v>
      </c>
      <c r="E27" s="22"/>
      <c r="F27" s="23">
        <v>17236</v>
      </c>
      <c r="G27" s="22"/>
      <c r="H27" s="22"/>
      <c r="I27" s="22"/>
      <c r="J27" s="22"/>
      <c r="K27" s="22">
        <v>41200</v>
      </c>
      <c r="L27" s="47"/>
      <c r="M27" s="22"/>
      <c r="N27" s="22"/>
      <c r="O27" s="22"/>
    </row>
    <row r="28" spans="1:15" ht="18" customHeight="1" x14ac:dyDescent="0.25">
      <c r="A28" s="51"/>
      <c r="B28" s="10" t="s">
        <v>290</v>
      </c>
      <c r="C28" s="11" t="s">
        <v>288</v>
      </c>
      <c r="D28" s="11" t="s">
        <v>179</v>
      </c>
      <c r="E28" s="22">
        <v>23300</v>
      </c>
      <c r="F28" s="23">
        <f>F29-2*(Constants!C3+Constants!C9)</f>
        <v>12524.3475098</v>
      </c>
      <c r="G28" s="22">
        <v>24000</v>
      </c>
      <c r="H28" s="22">
        <v>26500</v>
      </c>
      <c r="I28" s="22">
        <v>25630</v>
      </c>
      <c r="J28" s="22">
        <v>10380</v>
      </c>
      <c r="K28" s="22">
        <v>27600</v>
      </c>
      <c r="L28" s="47"/>
      <c r="M28" s="22"/>
      <c r="N28" s="22"/>
      <c r="O28" s="22"/>
    </row>
    <row r="29" spans="1:15" ht="18" customHeight="1" x14ac:dyDescent="0.25">
      <c r="A29" s="51"/>
      <c r="B29" s="10" t="s">
        <v>52</v>
      </c>
      <c r="C29" s="11" t="s">
        <v>53</v>
      </c>
      <c r="D29" s="11" t="s">
        <v>179</v>
      </c>
      <c r="E29" s="22">
        <v>25630</v>
      </c>
      <c r="F29" s="23">
        <v>12733</v>
      </c>
      <c r="G29" s="22">
        <v>24000</v>
      </c>
      <c r="H29" s="22">
        <v>26500</v>
      </c>
      <c r="I29" s="22">
        <v>25630</v>
      </c>
      <c r="J29" s="22">
        <v>10380</v>
      </c>
      <c r="K29" s="22">
        <v>27600</v>
      </c>
      <c r="L29" s="47"/>
      <c r="M29" s="22"/>
      <c r="N29" s="22"/>
      <c r="O29" s="22"/>
    </row>
    <row r="30" spans="1:15" x14ac:dyDescent="0.25">
      <c r="A30" s="51"/>
      <c r="B30" s="10" t="s">
        <v>289</v>
      </c>
      <c r="C30" s="11" t="s">
        <v>287</v>
      </c>
      <c r="D30" s="11" t="s">
        <v>179</v>
      </c>
      <c r="E30" s="22"/>
      <c r="F30" s="23"/>
      <c r="G30" s="22"/>
      <c r="H30" s="22"/>
      <c r="I30" s="22"/>
      <c r="J30" s="22"/>
      <c r="K30" s="22"/>
      <c r="L30" s="47"/>
      <c r="M30" s="22"/>
      <c r="N30" s="22"/>
      <c r="O30" s="22"/>
    </row>
    <row r="31" spans="1:15" x14ac:dyDescent="0.25">
      <c r="A31" s="51"/>
      <c r="B31" s="10" t="s">
        <v>58</v>
      </c>
      <c r="C31" s="11" t="s">
        <v>54</v>
      </c>
      <c r="D31" s="11" t="s">
        <v>179</v>
      </c>
      <c r="E31" s="22"/>
      <c r="F31" s="23"/>
      <c r="G31" s="22"/>
      <c r="H31" s="22">
        <v>10000</v>
      </c>
      <c r="I31" s="22"/>
      <c r="J31" s="22"/>
      <c r="K31" s="22">
        <v>7500</v>
      </c>
      <c r="L31" s="47"/>
      <c r="M31" s="22"/>
      <c r="N31" s="22"/>
      <c r="O31" s="22"/>
    </row>
    <row r="32" spans="1:15" x14ac:dyDescent="0.25">
      <c r="A32" s="51"/>
      <c r="B32" s="10" t="s">
        <v>57</v>
      </c>
      <c r="C32" s="11" t="s">
        <v>56</v>
      </c>
      <c r="D32" s="11" t="s">
        <v>179</v>
      </c>
      <c r="E32" s="22">
        <v>18397</v>
      </c>
      <c r="F32" s="23"/>
      <c r="G32" s="22"/>
      <c r="H32" s="22">
        <v>16500</v>
      </c>
      <c r="I32" s="22"/>
      <c r="J32" s="22"/>
      <c r="K32" s="22">
        <v>12487</v>
      </c>
      <c r="L32" s="47"/>
      <c r="M32" s="22"/>
      <c r="N32" s="22"/>
      <c r="O32" s="22"/>
    </row>
    <row r="33" spans="1:16" x14ac:dyDescent="0.25">
      <c r="A33" s="51"/>
      <c r="B33" s="10" t="s">
        <v>267</v>
      </c>
      <c r="C33" s="11" t="s">
        <v>268</v>
      </c>
      <c r="D33" s="11" t="s">
        <v>179</v>
      </c>
      <c r="E33" s="22"/>
      <c r="F33" s="23"/>
      <c r="G33" s="22"/>
      <c r="H33" s="22"/>
      <c r="I33" s="22"/>
      <c r="J33" s="22"/>
      <c r="K33" s="22"/>
      <c r="L33" s="47"/>
      <c r="M33" s="22"/>
      <c r="N33" s="22"/>
      <c r="O33" s="22"/>
      <c r="P33" s="22"/>
    </row>
    <row r="34" spans="1:16" x14ac:dyDescent="0.25">
      <c r="A34" s="51"/>
      <c r="B34" s="10" t="s">
        <v>187</v>
      </c>
      <c r="C34" s="11" t="s">
        <v>211</v>
      </c>
      <c r="D34" s="11" t="s">
        <v>179</v>
      </c>
      <c r="E34" s="22"/>
      <c r="F34" s="23">
        <v>16511</v>
      </c>
      <c r="G34" s="22"/>
      <c r="H34" s="22"/>
      <c r="I34" s="22"/>
      <c r="J34" s="22">
        <v>12467</v>
      </c>
      <c r="K34" s="22">
        <v>28300</v>
      </c>
      <c r="L34" s="47"/>
      <c r="M34" s="22"/>
      <c r="N34" s="22"/>
      <c r="O34" s="1"/>
    </row>
    <row r="35" spans="1:16" x14ac:dyDescent="0.25">
      <c r="A35" s="51"/>
      <c r="B35" s="10" t="s">
        <v>185</v>
      </c>
      <c r="C35" s="11" t="s">
        <v>186</v>
      </c>
      <c r="D35" s="11" t="s">
        <v>179</v>
      </c>
      <c r="E35" s="22">
        <v>28304</v>
      </c>
      <c r="F35" s="23">
        <v>16783</v>
      </c>
      <c r="G35" s="22"/>
      <c r="H35" s="22"/>
      <c r="I35" s="22"/>
      <c r="J35" s="22"/>
      <c r="K35" s="22">
        <v>37900</v>
      </c>
      <c r="L35" s="47"/>
      <c r="M35" s="22"/>
      <c r="N35" s="22"/>
      <c r="O35" s="22"/>
    </row>
    <row r="36" spans="1:16" x14ac:dyDescent="0.25">
      <c r="A36" s="51"/>
      <c r="B36" s="10" t="s">
        <v>59</v>
      </c>
      <c r="C36" s="11" t="s">
        <v>55</v>
      </c>
      <c r="D36" s="11" t="s">
        <v>32</v>
      </c>
      <c r="E36" s="16">
        <f t="shared" ref="E36:F36" si="2">E30/E26</f>
        <v>0</v>
      </c>
      <c r="F36" s="19">
        <f t="shared" si="2"/>
        <v>0</v>
      </c>
      <c r="G36" s="16"/>
      <c r="H36" s="16"/>
      <c r="I36" s="16"/>
      <c r="J36" s="16"/>
      <c r="K36" s="16"/>
      <c r="L36" s="48"/>
      <c r="M36" s="16"/>
      <c r="N36" s="16"/>
      <c r="O36" s="16"/>
    </row>
    <row r="37" spans="1:16" x14ac:dyDescent="0.25">
      <c r="A37" s="51"/>
      <c r="B37" s="10" t="s">
        <v>170</v>
      </c>
      <c r="C37" s="11" t="s">
        <v>169</v>
      </c>
      <c r="D37" s="11" t="s">
        <v>32</v>
      </c>
      <c r="E37" s="16">
        <f t="shared" ref="E37:F37" si="3">E31/E26</f>
        <v>0</v>
      </c>
      <c r="F37" s="19">
        <f t="shared" si="3"/>
        <v>0</v>
      </c>
      <c r="G37" s="16"/>
      <c r="H37" s="16"/>
      <c r="I37" s="16"/>
      <c r="J37" s="16"/>
      <c r="K37" s="16"/>
      <c r="L37" s="48"/>
      <c r="M37" s="16"/>
      <c r="N37" s="16"/>
      <c r="O37" s="16"/>
    </row>
    <row r="38" spans="1:16" x14ac:dyDescent="0.25">
      <c r="A38" s="51"/>
      <c r="B38" s="10" t="s">
        <v>171</v>
      </c>
      <c r="C38" s="11" t="s">
        <v>172</v>
      </c>
      <c r="D38" s="11" t="s">
        <v>32</v>
      </c>
      <c r="E38" s="16">
        <f t="shared" ref="E38:F38" si="4">E32/E26</f>
        <v>0.42783720930232561</v>
      </c>
      <c r="F38" s="19">
        <f t="shared" si="4"/>
        <v>0</v>
      </c>
      <c r="G38" s="16"/>
      <c r="H38" s="16"/>
      <c r="I38" s="16"/>
      <c r="J38" s="16"/>
      <c r="K38" s="16"/>
      <c r="L38" s="48"/>
      <c r="M38" s="16"/>
      <c r="N38" s="16"/>
      <c r="O38" s="16"/>
    </row>
    <row r="39" spans="1:16" ht="18" x14ac:dyDescent="0.25">
      <c r="A39" s="51"/>
      <c r="B39" s="10" t="s">
        <v>212</v>
      </c>
      <c r="C39" s="11" t="s">
        <v>213</v>
      </c>
      <c r="D39" s="11" t="s">
        <v>32</v>
      </c>
      <c r="E39" s="16">
        <f>E23*1000/(E26*Constants!$C$1)</f>
        <v>0</v>
      </c>
      <c r="F39" s="16">
        <f>F23*1000/(F26*Constants!$C$1)</f>
        <v>0</v>
      </c>
      <c r="G39" s="16"/>
      <c r="H39" s="16"/>
      <c r="I39" s="16"/>
      <c r="J39" s="16"/>
      <c r="K39" s="16"/>
      <c r="L39" s="48"/>
      <c r="M39" s="16"/>
      <c r="N39" s="16"/>
      <c r="O39" s="16"/>
    </row>
    <row r="40" spans="1:16" ht="18" x14ac:dyDescent="0.25">
      <c r="A40" s="51"/>
      <c r="B40" s="10" t="s">
        <v>341</v>
      </c>
      <c r="C40" s="11" t="s">
        <v>342</v>
      </c>
      <c r="D40" s="11" t="s">
        <v>343</v>
      </c>
      <c r="E40" s="16">
        <f>E24*1000/(E26*Constants!$C$1)</f>
        <v>24.046331161851612</v>
      </c>
      <c r="F40" s="16">
        <f>F24*1000/(F27*Constants!$C$1)</f>
        <v>21.002509608213305</v>
      </c>
      <c r="G40" s="16"/>
      <c r="H40" s="16"/>
      <c r="I40" s="16"/>
      <c r="J40" s="16"/>
      <c r="K40" s="16"/>
      <c r="L40" s="48"/>
      <c r="M40" s="16"/>
      <c r="N40" s="16"/>
      <c r="O40" s="16"/>
    </row>
    <row r="41" spans="1:16" x14ac:dyDescent="0.25">
      <c r="A41" s="51"/>
      <c r="B41" s="10" t="s">
        <v>291</v>
      </c>
      <c r="C41" s="11" t="s">
        <v>292</v>
      </c>
      <c r="D41" s="11" t="s">
        <v>32</v>
      </c>
      <c r="E41" s="9" t="e">
        <f>(E26*Constants!$C$1)/(E23*1000)</f>
        <v>#DIV/0!</v>
      </c>
      <c r="F41" s="9" t="e">
        <f t="shared" ref="F41" si="5">F26/F23</f>
        <v>#DIV/0!</v>
      </c>
      <c r="G41" s="9"/>
      <c r="H41" s="9"/>
      <c r="I41" s="9"/>
      <c r="J41" s="9"/>
      <c r="K41" s="9"/>
      <c r="L41" s="45"/>
      <c r="M41" s="9"/>
      <c r="N41" s="9"/>
      <c r="O41" s="9"/>
    </row>
    <row r="42" spans="1:16" s="53" customFormat="1" x14ac:dyDescent="0.25"/>
    <row r="43" spans="1:16" s="26" customFormat="1" x14ac:dyDescent="0.25">
      <c r="A43" s="51" t="s">
        <v>154</v>
      </c>
      <c r="B43" s="10" t="s">
        <v>263</v>
      </c>
      <c r="C43" s="18" t="s">
        <v>264</v>
      </c>
      <c r="D43" s="18" t="s">
        <v>32</v>
      </c>
      <c r="E43" s="27"/>
      <c r="F43" s="27">
        <v>2</v>
      </c>
      <c r="G43" s="27"/>
      <c r="H43" s="27"/>
      <c r="I43" s="27"/>
      <c r="J43" s="27"/>
      <c r="K43" s="27"/>
      <c r="L43" s="49"/>
      <c r="M43" s="27"/>
      <c r="N43" s="27"/>
      <c r="O43" s="27"/>
    </row>
    <row r="44" spans="1:16" ht="15" customHeight="1" x14ac:dyDescent="0.25">
      <c r="A44" s="51"/>
      <c r="B44" s="10" t="s">
        <v>155</v>
      </c>
      <c r="C44" s="11" t="s">
        <v>164</v>
      </c>
      <c r="D44" s="11" t="s">
        <v>32</v>
      </c>
      <c r="E44" s="31"/>
      <c r="F44" s="31"/>
      <c r="G44" s="31"/>
      <c r="H44" s="31"/>
      <c r="I44" s="31"/>
      <c r="J44" s="31"/>
      <c r="K44" s="31"/>
      <c r="L44" s="42"/>
      <c r="M44" s="31"/>
      <c r="N44" s="31"/>
      <c r="O44" s="31"/>
    </row>
    <row r="45" spans="1:16" ht="18" x14ac:dyDescent="0.25">
      <c r="A45" s="51"/>
      <c r="B45" s="10" t="s">
        <v>156</v>
      </c>
      <c r="C45" s="11" t="s">
        <v>163</v>
      </c>
      <c r="D45" s="11" t="s">
        <v>32</v>
      </c>
      <c r="E45" s="38">
        <v>28</v>
      </c>
      <c r="F45" s="31"/>
      <c r="G45" s="31"/>
      <c r="H45" s="31"/>
      <c r="I45" s="31"/>
      <c r="J45" s="31"/>
      <c r="K45" s="31"/>
      <c r="L45" s="42"/>
      <c r="M45" s="31"/>
      <c r="N45" s="31"/>
      <c r="O45" s="31"/>
    </row>
    <row r="46" spans="1:16" x14ac:dyDescent="0.25">
      <c r="A46" s="51"/>
      <c r="B46" s="10" t="s">
        <v>270</v>
      </c>
      <c r="C46" s="11" t="s">
        <v>271</v>
      </c>
      <c r="D46" s="11" t="s">
        <v>32</v>
      </c>
      <c r="E46" s="31"/>
      <c r="F46" s="31"/>
      <c r="G46" s="31"/>
      <c r="H46" s="31"/>
      <c r="I46" s="31"/>
      <c r="J46" s="31"/>
      <c r="K46" s="31"/>
      <c r="L46" s="42"/>
      <c r="M46" s="31"/>
      <c r="N46" s="31"/>
      <c r="O46" s="31"/>
    </row>
    <row r="47" spans="1:16" ht="18" x14ac:dyDescent="0.25">
      <c r="A47" s="51"/>
      <c r="B47" s="10" t="s">
        <v>157</v>
      </c>
      <c r="C47" s="11" t="s">
        <v>162</v>
      </c>
      <c r="D47" s="11" t="s">
        <v>178</v>
      </c>
      <c r="E47" s="9"/>
      <c r="F47" s="9"/>
      <c r="G47" s="9"/>
      <c r="H47" s="9"/>
      <c r="I47" s="9"/>
      <c r="J47" s="9"/>
      <c r="K47" s="9"/>
      <c r="L47" s="45"/>
      <c r="M47" s="9"/>
      <c r="N47" s="9"/>
      <c r="O47" s="9"/>
    </row>
    <row r="48" spans="1:16" ht="18" x14ac:dyDescent="0.25">
      <c r="A48" s="51"/>
      <c r="B48" s="10" t="s">
        <v>158</v>
      </c>
      <c r="C48" s="11" t="s">
        <v>215</v>
      </c>
      <c r="D48" s="11" t="s">
        <v>178</v>
      </c>
      <c r="E48" s="9"/>
      <c r="F48" s="9"/>
      <c r="G48" s="9"/>
      <c r="H48" s="9"/>
      <c r="I48" s="9"/>
      <c r="J48" s="9"/>
      <c r="K48" s="9"/>
      <c r="L48" s="45"/>
      <c r="M48" s="9"/>
      <c r="N48" s="9"/>
      <c r="O48" s="9"/>
    </row>
    <row r="49" spans="1:15" ht="18" x14ac:dyDescent="0.25">
      <c r="A49" s="51"/>
      <c r="B49" s="10" t="s">
        <v>159</v>
      </c>
      <c r="C49" s="11" t="s">
        <v>161</v>
      </c>
      <c r="D49" s="11" t="s">
        <v>178</v>
      </c>
      <c r="E49" s="9"/>
      <c r="F49" s="9"/>
      <c r="G49" s="9"/>
      <c r="H49" s="9"/>
      <c r="I49" s="9"/>
      <c r="J49" s="9"/>
      <c r="K49" s="9"/>
      <c r="L49" s="45"/>
      <c r="M49" s="9"/>
      <c r="N49" s="9"/>
      <c r="O49" s="9"/>
    </row>
    <row r="50" spans="1:15" ht="18" x14ac:dyDescent="0.25">
      <c r="A50" s="51"/>
      <c r="B50" s="10" t="s">
        <v>216</v>
      </c>
      <c r="C50" s="11" t="s">
        <v>218</v>
      </c>
      <c r="D50" s="11" t="s">
        <v>217</v>
      </c>
      <c r="E50" s="9"/>
      <c r="F50" s="9"/>
      <c r="G50" s="9"/>
      <c r="H50" s="9"/>
      <c r="I50" s="9"/>
      <c r="J50" s="9"/>
      <c r="K50" s="9"/>
      <c r="L50" s="45"/>
      <c r="M50" s="9"/>
      <c r="N50" s="9"/>
      <c r="O50" s="9"/>
    </row>
    <row r="51" spans="1:15" ht="18" x14ac:dyDescent="0.25">
      <c r="A51" s="51"/>
      <c r="B51" s="10" t="s">
        <v>261</v>
      </c>
      <c r="C51" s="11" t="s">
        <v>262</v>
      </c>
      <c r="D51" s="11" t="s">
        <v>217</v>
      </c>
      <c r="E51" s="9"/>
      <c r="F51" s="9"/>
      <c r="G51" s="9"/>
      <c r="H51" s="9"/>
      <c r="I51" s="9"/>
      <c r="J51" s="9"/>
      <c r="K51" s="9"/>
      <c r="L51" s="45"/>
      <c r="M51" s="9"/>
      <c r="N51" s="9"/>
      <c r="O51" s="9"/>
    </row>
    <row r="52" spans="1:15" ht="30" x14ac:dyDescent="0.25">
      <c r="A52" s="51"/>
      <c r="B52" s="10" t="s">
        <v>219</v>
      </c>
      <c r="C52" s="11" t="s">
        <v>32</v>
      </c>
      <c r="D52" s="11" t="s">
        <v>32</v>
      </c>
      <c r="E52" s="27"/>
      <c r="F52" s="27"/>
      <c r="G52" s="27"/>
      <c r="H52" s="27"/>
      <c r="I52" s="27"/>
      <c r="J52" s="27"/>
      <c r="K52" s="27"/>
      <c r="L52" s="49"/>
      <c r="M52" s="27"/>
      <c r="N52" s="27"/>
      <c r="O52" s="27"/>
    </row>
    <row r="53" spans="1:15" x14ac:dyDescent="0.25">
      <c r="A53" s="51"/>
      <c r="B53" s="10" t="s">
        <v>220</v>
      </c>
      <c r="C53" s="11" t="s">
        <v>32</v>
      </c>
      <c r="D53" s="11" t="s">
        <v>32</v>
      </c>
      <c r="F53" s="1"/>
      <c r="G53" s="1"/>
      <c r="H53" s="1"/>
      <c r="I53" s="1"/>
      <c r="J53" s="1"/>
      <c r="K53" s="1"/>
      <c r="L53" s="42"/>
      <c r="M53" s="1"/>
      <c r="N53" s="1"/>
      <c r="O53" s="1"/>
    </row>
    <row r="54" spans="1:15" ht="90" customHeight="1" x14ac:dyDescent="0.25">
      <c r="A54" s="51"/>
      <c r="B54" s="10" t="s">
        <v>160</v>
      </c>
      <c r="C54" s="11" t="s">
        <v>32</v>
      </c>
      <c r="D54" s="11" t="s">
        <v>32</v>
      </c>
      <c r="F54" s="1"/>
      <c r="K54" s="1"/>
      <c r="M54"/>
      <c r="N54" s="1"/>
      <c r="O54" s="1"/>
    </row>
    <row r="55" spans="1:15" s="53" customFormat="1" x14ac:dyDescent="0.25"/>
    <row r="56" spans="1:15" ht="18" x14ac:dyDescent="0.25">
      <c r="A56" s="51" t="s">
        <v>27</v>
      </c>
      <c r="B56" s="10" t="s">
        <v>38</v>
      </c>
      <c r="C56" s="11" t="s">
        <v>37</v>
      </c>
      <c r="D56" s="11" t="s">
        <v>178</v>
      </c>
      <c r="E56" s="9"/>
      <c r="F56" s="9">
        <v>19.82</v>
      </c>
      <c r="G56" s="9"/>
      <c r="H56" s="9"/>
      <c r="I56" s="9"/>
      <c r="J56" s="9"/>
      <c r="K56" s="9"/>
      <c r="L56" s="45"/>
      <c r="M56" s="9"/>
      <c r="N56" s="9"/>
      <c r="O56" s="9"/>
    </row>
    <row r="57" spans="1:15" ht="18" x14ac:dyDescent="0.25">
      <c r="A57" s="51"/>
      <c r="B57" s="12" t="s">
        <v>214</v>
      </c>
      <c r="C57" s="11" t="s">
        <v>46</v>
      </c>
      <c r="D57" s="11" t="s">
        <v>32</v>
      </c>
      <c r="E57" s="9">
        <f t="shared" ref="E57:F57" si="6">E56/E69</f>
        <v>0</v>
      </c>
      <c r="F57" s="9">
        <f t="shared" si="6"/>
        <v>0.69228082431016424</v>
      </c>
      <c r="G57" s="9"/>
      <c r="H57" s="9"/>
      <c r="I57" s="9"/>
      <c r="J57" s="9"/>
      <c r="K57" s="9"/>
      <c r="L57" s="45"/>
      <c r="M57" s="9"/>
      <c r="N57" s="9"/>
      <c r="O57" s="9"/>
    </row>
    <row r="58" spans="1:15" ht="18" x14ac:dyDescent="0.25">
      <c r="A58" s="51"/>
      <c r="B58" s="10" t="s">
        <v>197</v>
      </c>
      <c r="C58" s="11" t="s">
        <v>47</v>
      </c>
      <c r="D58" s="11" t="s">
        <v>32</v>
      </c>
      <c r="E58" s="9">
        <f t="shared" ref="E58:F58" si="7">E56/E8</f>
        <v>0</v>
      </c>
      <c r="F58" s="9">
        <f t="shared" si="7"/>
        <v>1</v>
      </c>
      <c r="G58" s="9"/>
      <c r="H58" s="9"/>
      <c r="I58" s="9"/>
      <c r="J58" s="9"/>
      <c r="K58" s="9"/>
      <c r="L58" s="45"/>
      <c r="M58" s="9"/>
      <c r="N58" s="9"/>
      <c r="O58" s="9"/>
    </row>
    <row r="59" spans="1:15" ht="18" x14ac:dyDescent="0.25">
      <c r="A59" s="51"/>
      <c r="B59" s="10" t="s">
        <v>39</v>
      </c>
      <c r="C59" s="11" t="s">
        <v>40</v>
      </c>
      <c r="D59" s="11" t="s">
        <v>178</v>
      </c>
      <c r="E59" s="9"/>
      <c r="F59" s="9">
        <v>2.39</v>
      </c>
      <c r="G59" s="9"/>
      <c r="H59" s="9"/>
      <c r="I59" s="9"/>
      <c r="J59" s="9"/>
      <c r="K59" s="9"/>
      <c r="L59" s="45"/>
      <c r="M59" s="9"/>
      <c r="N59" s="9"/>
      <c r="O59" s="9"/>
    </row>
    <row r="60" spans="1:15" ht="18" x14ac:dyDescent="0.25">
      <c r="A60" s="51"/>
      <c r="B60" s="10" t="s">
        <v>41</v>
      </c>
      <c r="C60" s="11" t="s">
        <v>42</v>
      </c>
      <c r="D60" s="11" t="s">
        <v>178</v>
      </c>
      <c r="E60" s="9"/>
      <c r="F60" s="9"/>
      <c r="G60" s="9"/>
      <c r="H60" s="9"/>
      <c r="I60" s="9"/>
      <c r="J60" s="9"/>
      <c r="K60" s="9"/>
      <c r="L60" s="45"/>
      <c r="M60" s="9"/>
      <c r="N60" s="9"/>
      <c r="O60" s="9"/>
    </row>
    <row r="61" spans="1:15" ht="18" x14ac:dyDescent="0.25">
      <c r="A61" s="51"/>
      <c r="B61" s="10" t="s">
        <v>43</v>
      </c>
      <c r="C61" s="11" t="s">
        <v>44</v>
      </c>
      <c r="D61" s="11" t="s">
        <v>190</v>
      </c>
      <c r="E61" s="9">
        <f t="shared" ref="E61" si="8">PI()*E59*E60/4</f>
        <v>0</v>
      </c>
      <c r="F61" s="9">
        <f t="shared" ref="F61" si="9">PI()*F59*F60/4</f>
        <v>0</v>
      </c>
      <c r="G61" s="9"/>
      <c r="H61" s="9"/>
      <c r="I61" s="9"/>
      <c r="J61" s="9"/>
      <c r="K61" s="9"/>
      <c r="L61" s="45"/>
      <c r="M61" s="9"/>
      <c r="N61" s="9"/>
      <c r="O61" s="9"/>
    </row>
    <row r="62" spans="1:15" ht="30" customHeight="1" x14ac:dyDescent="0.25">
      <c r="A62" s="51"/>
      <c r="B62" s="10" t="s">
        <v>48</v>
      </c>
      <c r="C62" s="11" t="s">
        <v>45</v>
      </c>
      <c r="D62" s="11" t="s">
        <v>178</v>
      </c>
      <c r="E62" s="9"/>
      <c r="F62" s="9"/>
      <c r="G62" s="9"/>
      <c r="H62" s="9"/>
      <c r="I62" s="9"/>
      <c r="J62" s="9"/>
      <c r="K62" s="9"/>
      <c r="L62" s="45"/>
      <c r="M62" s="9"/>
      <c r="N62" s="9"/>
      <c r="O62" s="9"/>
    </row>
    <row r="63" spans="1:15" ht="18" customHeight="1" x14ac:dyDescent="0.25">
      <c r="A63" s="25"/>
      <c r="B63" s="10" t="s">
        <v>167</v>
      </c>
      <c r="C63" s="11" t="s">
        <v>168</v>
      </c>
      <c r="D63" s="11" t="s">
        <v>32</v>
      </c>
      <c r="E63" s="9" t="e">
        <f t="shared" ref="E63:F63" si="10">E56/E59</f>
        <v>#DIV/0!</v>
      </c>
      <c r="F63" s="9">
        <f t="shared" si="10"/>
        <v>8.2928870292887034</v>
      </c>
      <c r="G63" s="9"/>
      <c r="H63" s="9"/>
      <c r="I63" s="9"/>
      <c r="J63" s="9"/>
      <c r="K63" s="9"/>
      <c r="L63" s="45"/>
      <c r="M63" s="9"/>
      <c r="N63" s="9"/>
      <c r="O63" s="9"/>
    </row>
    <row r="64" spans="1:15" s="53" customFormat="1" x14ac:dyDescent="0.25"/>
    <row r="65" spans="1:15" x14ac:dyDescent="0.25">
      <c r="A65" s="51" t="s">
        <v>28</v>
      </c>
      <c r="B65" s="34" t="s">
        <v>11</v>
      </c>
      <c r="C65" s="11" t="s">
        <v>32</v>
      </c>
      <c r="D65" s="11" t="s">
        <v>32</v>
      </c>
      <c r="F65" s="1" t="s">
        <v>367</v>
      </c>
      <c r="G65" s="1"/>
      <c r="H65" s="1"/>
      <c r="I65" s="1"/>
      <c r="J65" s="1"/>
      <c r="K65" s="1"/>
      <c r="L65" s="42"/>
      <c r="M65" s="1"/>
      <c r="N65" s="1"/>
      <c r="O65" s="1"/>
    </row>
    <row r="66" spans="1:15" ht="18" x14ac:dyDescent="0.25">
      <c r="A66" s="51"/>
      <c r="B66" s="34" t="s">
        <v>12</v>
      </c>
      <c r="C66" s="11" t="s">
        <v>81</v>
      </c>
      <c r="D66" s="11" t="s">
        <v>32</v>
      </c>
      <c r="E66" s="9" t="e">
        <f>E76/E56</f>
        <v>#VALUE!</v>
      </c>
      <c r="F66" s="9" t="s">
        <v>269</v>
      </c>
      <c r="G66" s="9"/>
      <c r="H66" s="9"/>
      <c r="I66" s="9"/>
      <c r="J66" s="9"/>
      <c r="K66" s="9"/>
      <c r="L66" s="45"/>
      <c r="M66" s="9"/>
      <c r="N66" s="9"/>
      <c r="O66" s="9"/>
    </row>
    <row r="67" spans="1:15" ht="18" x14ac:dyDescent="0.25">
      <c r="A67" s="51"/>
      <c r="B67" s="34" t="s">
        <v>285</v>
      </c>
      <c r="C67" s="11" t="s">
        <v>286</v>
      </c>
      <c r="D67" s="11" t="s">
        <v>178</v>
      </c>
      <c r="E67" s="1" t="s">
        <v>269</v>
      </c>
      <c r="F67" s="9" t="s">
        <v>269</v>
      </c>
      <c r="G67" s="9"/>
      <c r="H67" s="9"/>
      <c r="I67" s="9"/>
      <c r="J67" s="9"/>
      <c r="K67" s="9"/>
      <c r="L67" s="45"/>
      <c r="M67" s="9"/>
      <c r="N67" s="9"/>
      <c r="O67" s="9"/>
    </row>
    <row r="68" spans="1:15" ht="18" x14ac:dyDescent="0.25">
      <c r="A68" s="51"/>
      <c r="B68" s="34" t="s">
        <v>80</v>
      </c>
      <c r="C68" s="11" t="s">
        <v>60</v>
      </c>
      <c r="D68" s="11" t="s">
        <v>190</v>
      </c>
      <c r="E68" s="1">
        <v>135.82</v>
      </c>
      <c r="F68" s="9">
        <v>100.33</v>
      </c>
      <c r="G68" s="9"/>
      <c r="H68" s="9">
        <v>144</v>
      </c>
      <c r="I68" s="9"/>
      <c r="J68" s="9"/>
      <c r="K68" s="9"/>
      <c r="L68" s="45"/>
      <c r="M68" s="9"/>
      <c r="N68" s="9"/>
      <c r="O68" s="9"/>
    </row>
    <row r="69" spans="1:15" x14ac:dyDescent="0.25">
      <c r="A69" s="51"/>
      <c r="B69" s="34" t="s">
        <v>79</v>
      </c>
      <c r="C69" s="11" t="s">
        <v>61</v>
      </c>
      <c r="D69" s="11" t="s">
        <v>178</v>
      </c>
      <c r="E69" s="1">
        <v>33.15</v>
      </c>
      <c r="F69" s="9">
        <v>28.63</v>
      </c>
      <c r="G69" s="9"/>
      <c r="H69" s="9">
        <v>36</v>
      </c>
      <c r="I69" s="9"/>
      <c r="J69" s="9"/>
      <c r="K69" s="9"/>
      <c r="L69" s="45"/>
      <c r="M69" s="9"/>
      <c r="N69" s="9"/>
      <c r="O69" s="9"/>
    </row>
    <row r="70" spans="1:15" ht="18" x14ac:dyDescent="0.25">
      <c r="A70" s="51"/>
      <c r="B70" s="34" t="s">
        <v>326</v>
      </c>
      <c r="C70" s="11" t="s">
        <v>325</v>
      </c>
      <c r="D70" s="11" t="s">
        <v>178</v>
      </c>
      <c r="E70" s="33"/>
      <c r="F70" s="9" t="s">
        <v>269</v>
      </c>
      <c r="G70" s="9"/>
      <c r="H70" s="9"/>
      <c r="I70" s="9"/>
      <c r="J70" s="9"/>
      <c r="K70" s="9"/>
      <c r="L70" s="45"/>
      <c r="M70" s="9"/>
      <c r="N70" s="9"/>
      <c r="O70" s="9"/>
    </row>
    <row r="71" spans="1:15" ht="18" x14ac:dyDescent="0.25">
      <c r="A71" s="51"/>
      <c r="B71" s="34" t="s">
        <v>62</v>
      </c>
      <c r="C71" s="11" t="s">
        <v>63</v>
      </c>
      <c r="D71" s="11" t="s">
        <v>178</v>
      </c>
      <c r="E71" s="1">
        <v>2.39</v>
      </c>
      <c r="F71" s="9">
        <v>3.54</v>
      </c>
      <c r="G71" s="9"/>
      <c r="H71" s="9"/>
      <c r="I71" s="9"/>
      <c r="J71" s="9"/>
      <c r="K71" s="9"/>
      <c r="L71" s="45"/>
      <c r="M71" s="9"/>
      <c r="N71" s="9"/>
      <c r="O71" s="9"/>
    </row>
    <row r="72" spans="1:15" ht="18" x14ac:dyDescent="0.25">
      <c r="A72" s="51"/>
      <c r="B72" s="34" t="s">
        <v>64</v>
      </c>
      <c r="C72" s="11" t="s">
        <v>65</v>
      </c>
      <c r="D72" s="11" t="s">
        <v>178</v>
      </c>
      <c r="E72" s="1">
        <v>5</v>
      </c>
      <c r="F72" s="9">
        <v>3.54</v>
      </c>
      <c r="G72" s="9"/>
      <c r="H72" s="9"/>
      <c r="I72" s="9"/>
      <c r="J72" s="9"/>
      <c r="K72" s="9"/>
      <c r="L72" s="45"/>
      <c r="M72" s="9"/>
      <c r="N72" s="9"/>
      <c r="O72" s="9"/>
    </row>
    <row r="73" spans="1:15" x14ac:dyDescent="0.25">
      <c r="A73" s="51"/>
      <c r="B73" s="34" t="s">
        <v>13</v>
      </c>
      <c r="C73" s="11" t="s">
        <v>66</v>
      </c>
      <c r="D73" s="11" t="s">
        <v>178</v>
      </c>
      <c r="E73" s="9">
        <f>E68/E69</f>
        <v>4.0971342383107086</v>
      </c>
      <c r="F73" s="9">
        <f t="shared" ref="F73" si="11">F68/F69</f>
        <v>3.5043660495983233</v>
      </c>
      <c r="G73" s="9"/>
      <c r="H73" s="9"/>
      <c r="I73" s="9"/>
      <c r="J73" s="9"/>
      <c r="K73" s="9"/>
      <c r="L73" s="45"/>
      <c r="M73" s="9"/>
      <c r="N73" s="9"/>
      <c r="O73" s="9"/>
    </row>
    <row r="74" spans="1:15" ht="30" customHeight="1" x14ac:dyDescent="0.25">
      <c r="A74" s="51"/>
      <c r="B74" s="34" t="s">
        <v>14</v>
      </c>
      <c r="C74" s="11" t="s">
        <v>67</v>
      </c>
      <c r="D74" s="11" t="s">
        <v>178</v>
      </c>
      <c r="E74" s="9">
        <f>E72-(2*(E72-E71)*(0.5*E72+E71)/(3*(E72+E71)))</f>
        <v>3.8486332882273344</v>
      </c>
      <c r="F74" s="9">
        <f t="shared" ref="F74" si="12">F72-(2*(F72-F71)*(0.5*F72+F71)/(3*(F72+F71)))</f>
        <v>3.54</v>
      </c>
      <c r="G74" s="9"/>
      <c r="H74" s="9"/>
      <c r="I74" s="9"/>
      <c r="J74" s="9"/>
      <c r="K74" s="9"/>
      <c r="L74" s="45"/>
      <c r="M74" s="9"/>
      <c r="N74" s="9"/>
      <c r="O74" s="9"/>
    </row>
    <row r="75" spans="1:15" ht="30" customHeight="1" x14ac:dyDescent="0.25">
      <c r="A75" s="51"/>
      <c r="B75" s="34" t="s">
        <v>327</v>
      </c>
      <c r="C75" s="11" t="s">
        <v>328</v>
      </c>
      <c r="D75" s="11" t="s">
        <v>178</v>
      </c>
      <c r="E75" s="9" t="e">
        <f>E67+((E78*(E72+2*E71))/(3*(E72+E71)))</f>
        <v>#VALUE!</v>
      </c>
      <c r="F75" s="9" t="e">
        <f t="shared" ref="F75" si="13">F67+((F78*(F72+2*F71))/(3*(F72+F71)))</f>
        <v>#VALUE!</v>
      </c>
      <c r="G75" s="9"/>
      <c r="H75" s="9"/>
      <c r="I75" s="9"/>
      <c r="J75" s="9"/>
      <c r="K75" s="9"/>
      <c r="L75" s="45"/>
      <c r="M75" s="9"/>
      <c r="N75" s="9"/>
      <c r="O75" s="9"/>
    </row>
    <row r="76" spans="1:15" ht="30" x14ac:dyDescent="0.25">
      <c r="A76" s="51"/>
      <c r="B76" s="34" t="s">
        <v>72</v>
      </c>
      <c r="C76" s="11" t="s">
        <v>73</v>
      </c>
      <c r="D76" s="11" t="s">
        <v>178</v>
      </c>
      <c r="E76" s="9" t="e">
        <f>E67+E75+E74/4</f>
        <v>#VALUE!</v>
      </c>
      <c r="F76" s="9" t="e">
        <f t="shared" ref="F76" si="14">F67+F75+F74/4</f>
        <v>#VALUE!</v>
      </c>
      <c r="G76" s="9"/>
      <c r="H76" s="9"/>
      <c r="I76" s="9"/>
      <c r="J76" s="9"/>
      <c r="K76" s="9"/>
      <c r="L76" s="45"/>
      <c r="M76" s="9"/>
      <c r="N76" s="9"/>
      <c r="O76" s="9"/>
    </row>
    <row r="77" spans="1:15" ht="30" x14ac:dyDescent="0.25">
      <c r="A77" s="51"/>
      <c r="B77" s="34" t="s">
        <v>329</v>
      </c>
      <c r="C77" s="11" t="s">
        <v>330</v>
      </c>
      <c r="D77" s="11" t="s">
        <v>178</v>
      </c>
      <c r="E77" s="9">
        <f>(2*E70*(0.5*E72+E71))/(3*(E72+E71))</f>
        <v>0</v>
      </c>
      <c r="F77" s="9" t="e">
        <f t="shared" ref="F77" si="15">(2*F70*(0.5*F72+F71))/(3*(F72+F71))</f>
        <v>#VALUE!</v>
      </c>
      <c r="G77" s="9"/>
      <c r="H77" s="9"/>
      <c r="I77" s="9"/>
      <c r="J77" s="9"/>
      <c r="K77" s="9"/>
      <c r="L77" s="45"/>
      <c r="M77" s="9"/>
      <c r="N77" s="9"/>
      <c r="O77" s="9"/>
    </row>
    <row r="78" spans="1:15" x14ac:dyDescent="0.25">
      <c r="A78" s="51"/>
      <c r="B78" s="34" t="s">
        <v>331</v>
      </c>
      <c r="C78" s="11" t="s">
        <v>324</v>
      </c>
      <c r="D78" s="11" t="s">
        <v>178</v>
      </c>
      <c r="E78" s="33"/>
      <c r="F78" s="33"/>
      <c r="G78" s="33"/>
      <c r="H78" s="33"/>
      <c r="I78" s="33"/>
      <c r="J78" s="33"/>
      <c r="K78" s="33"/>
      <c r="L78" s="42"/>
      <c r="M78" s="33"/>
      <c r="N78" s="33"/>
      <c r="O78" s="33"/>
    </row>
    <row r="79" spans="1:15" x14ac:dyDescent="0.25">
      <c r="A79" s="51"/>
      <c r="B79" s="34" t="s">
        <v>68</v>
      </c>
      <c r="C79" s="11" t="s">
        <v>71</v>
      </c>
      <c r="D79" s="11" t="s">
        <v>32</v>
      </c>
      <c r="E79" s="9">
        <f>(E69^2)/E68</f>
        <v>8.091021204535414</v>
      </c>
      <c r="F79" s="9">
        <f t="shared" ref="F79" si="16">(F69^2)/F68</f>
        <v>8.1698086315159966</v>
      </c>
      <c r="G79" s="9"/>
      <c r="H79" s="9">
        <v>9</v>
      </c>
      <c r="I79" s="9"/>
      <c r="J79" s="9"/>
      <c r="K79" s="9"/>
      <c r="L79" s="45"/>
      <c r="M79" s="9"/>
      <c r="N79" s="9"/>
      <c r="O79" s="9"/>
    </row>
    <row r="80" spans="1:15" x14ac:dyDescent="0.25">
      <c r="A80" s="51"/>
      <c r="B80" s="34" t="s">
        <v>15</v>
      </c>
      <c r="C80" s="11" t="s">
        <v>69</v>
      </c>
      <c r="D80" s="11" t="s">
        <v>32</v>
      </c>
      <c r="E80" s="9">
        <f>E71/E72</f>
        <v>0.47800000000000004</v>
      </c>
      <c r="F80" s="9">
        <f>F71/F72</f>
        <v>1</v>
      </c>
      <c r="G80" s="9"/>
      <c r="H80" s="9"/>
      <c r="I80" s="9"/>
      <c r="J80" s="9"/>
      <c r="K80" s="9"/>
      <c r="L80" s="45"/>
      <c r="M80" s="9"/>
      <c r="N80" s="9"/>
      <c r="O80" s="9"/>
    </row>
    <row r="81" spans="1:15" ht="16.5" x14ac:dyDescent="0.25">
      <c r="A81" s="51"/>
      <c r="B81" s="34" t="s">
        <v>16</v>
      </c>
      <c r="C81" s="11" t="s">
        <v>70</v>
      </c>
      <c r="D81" s="11" t="s">
        <v>192</v>
      </c>
      <c r="F81" s="9">
        <v>0</v>
      </c>
      <c r="G81" s="9"/>
      <c r="H81" s="9"/>
      <c r="I81" s="9"/>
      <c r="J81" s="9"/>
      <c r="K81" s="9"/>
      <c r="L81" s="45"/>
      <c r="M81" s="9"/>
      <c r="N81" s="9"/>
      <c r="O81" s="9"/>
    </row>
    <row r="82" spans="1:15" x14ac:dyDescent="0.25">
      <c r="A82" s="51"/>
      <c r="B82" s="34" t="s">
        <v>17</v>
      </c>
      <c r="C82" s="11" t="s">
        <v>74</v>
      </c>
      <c r="D82" s="11" t="s">
        <v>193</v>
      </c>
      <c r="F82" s="9">
        <v>0</v>
      </c>
      <c r="G82" s="9"/>
      <c r="H82" s="9"/>
      <c r="I82" s="9"/>
      <c r="J82" s="9"/>
      <c r="K82" s="9"/>
      <c r="L82" s="45"/>
      <c r="M82" s="9"/>
      <c r="N82" s="9"/>
      <c r="O82" s="9"/>
    </row>
    <row r="83" spans="1:15" x14ac:dyDescent="0.25">
      <c r="A83" s="51"/>
      <c r="B83" s="34" t="s">
        <v>18</v>
      </c>
      <c r="C83" s="11" t="s">
        <v>32</v>
      </c>
      <c r="D83" s="11" t="s">
        <v>32</v>
      </c>
      <c r="F83" s="1"/>
      <c r="G83" s="1"/>
      <c r="H83" s="1"/>
      <c r="I83" s="1"/>
      <c r="J83" s="1"/>
      <c r="K83" s="1"/>
      <c r="L83" s="42"/>
      <c r="M83" s="1"/>
      <c r="N83" s="1"/>
      <c r="O83" s="1"/>
    </row>
    <row r="84" spans="1:15" x14ac:dyDescent="0.25">
      <c r="A84" s="51"/>
      <c r="B84" s="34" t="s">
        <v>75</v>
      </c>
      <c r="C84" s="11" t="s">
        <v>76</v>
      </c>
      <c r="D84" s="11" t="s">
        <v>32</v>
      </c>
      <c r="F84" s="1"/>
      <c r="G84" s="1"/>
      <c r="H84" s="1"/>
      <c r="I84" s="1"/>
      <c r="J84" s="1"/>
      <c r="K84" s="1"/>
      <c r="L84" s="42"/>
      <c r="M84" s="1"/>
      <c r="N84" s="1"/>
      <c r="O84" s="1"/>
    </row>
    <row r="85" spans="1:15" ht="18" x14ac:dyDescent="0.25">
      <c r="A85" s="51"/>
      <c r="B85" s="34" t="s">
        <v>77</v>
      </c>
      <c r="C85" s="11" t="s">
        <v>78</v>
      </c>
      <c r="D85" s="11" t="s">
        <v>368</v>
      </c>
      <c r="E85" s="9">
        <f>Constants!C1*E26/E68</f>
        <v>3104.7412015903401</v>
      </c>
      <c r="F85" s="9">
        <f>Constants!C1*F26/F68</f>
        <v>1678.0680474434366</v>
      </c>
      <c r="G85" s="9"/>
      <c r="H85" s="9"/>
      <c r="I85" s="9"/>
      <c r="J85" s="9"/>
      <c r="K85" s="9"/>
      <c r="L85" s="45"/>
      <c r="M85" s="9"/>
      <c r="N85" s="9"/>
      <c r="O85" s="9"/>
    </row>
    <row r="86" spans="1:15" s="53" customFormat="1" x14ac:dyDescent="0.25"/>
    <row r="87" spans="1:15" x14ac:dyDescent="0.25">
      <c r="A87" s="51" t="s">
        <v>29</v>
      </c>
      <c r="B87" s="10" t="s">
        <v>19</v>
      </c>
      <c r="C87" s="11" t="s">
        <v>32</v>
      </c>
      <c r="D87" s="11" t="s">
        <v>32</v>
      </c>
      <c r="F87" s="1"/>
      <c r="G87" s="1"/>
      <c r="H87" s="1"/>
      <c r="I87" s="1"/>
      <c r="J87" s="1"/>
      <c r="K87" s="1"/>
      <c r="L87" s="42"/>
      <c r="M87" s="1"/>
      <c r="N87" s="1"/>
    </row>
    <row r="88" spans="1:15" ht="18" x14ac:dyDescent="0.25">
      <c r="A88" s="51"/>
      <c r="B88" s="10" t="s">
        <v>103</v>
      </c>
      <c r="C88" s="11" t="s">
        <v>40</v>
      </c>
      <c r="D88" s="11" t="s">
        <v>178</v>
      </c>
      <c r="F88" s="1"/>
      <c r="G88" s="1"/>
      <c r="H88" s="1"/>
      <c r="I88" s="1"/>
      <c r="J88" s="1"/>
      <c r="K88" s="1"/>
      <c r="L88" s="42"/>
      <c r="M88" s="1"/>
      <c r="N88" s="1"/>
    </row>
    <row r="89" spans="1:15" ht="18" x14ac:dyDescent="0.25">
      <c r="A89" s="51"/>
      <c r="B89" s="10" t="s">
        <v>223</v>
      </c>
      <c r="C89" s="11" t="s">
        <v>224</v>
      </c>
      <c r="D89" s="11" t="s">
        <v>32</v>
      </c>
      <c r="F89" s="1"/>
      <c r="G89" s="1"/>
      <c r="H89" s="1"/>
      <c r="I89" s="1"/>
      <c r="J89" s="1"/>
      <c r="K89" s="1"/>
      <c r="L89" s="42"/>
      <c r="M89" s="1"/>
      <c r="N89" s="1"/>
    </row>
    <row r="90" spans="1:15" ht="30" x14ac:dyDescent="0.25">
      <c r="A90" s="51"/>
      <c r="B90" s="10" t="s">
        <v>221</v>
      </c>
      <c r="C90" s="11" t="s">
        <v>222</v>
      </c>
      <c r="D90" s="11" t="s">
        <v>178</v>
      </c>
      <c r="F90" s="1"/>
      <c r="G90" s="1"/>
      <c r="H90" s="1"/>
      <c r="I90" s="1"/>
      <c r="J90" s="1"/>
      <c r="K90" s="1"/>
      <c r="L90" s="42"/>
      <c r="M90" s="1"/>
      <c r="N90" s="1"/>
    </row>
    <row r="91" spans="1:15" ht="18" x14ac:dyDescent="0.25">
      <c r="A91" s="51"/>
      <c r="B91" s="10" t="s">
        <v>227</v>
      </c>
      <c r="C91" s="11" t="s">
        <v>225</v>
      </c>
      <c r="D91" s="11" t="s">
        <v>32</v>
      </c>
      <c r="F91" s="1"/>
      <c r="G91" s="1"/>
      <c r="H91" s="1"/>
      <c r="I91" s="1"/>
      <c r="J91" s="1"/>
      <c r="K91" s="1"/>
      <c r="L91" s="42"/>
      <c r="M91" s="1"/>
      <c r="N91" s="1"/>
    </row>
    <row r="92" spans="1:15" ht="18" x14ac:dyDescent="0.25">
      <c r="A92" s="51"/>
      <c r="B92" s="10" t="s">
        <v>228</v>
      </c>
      <c r="C92" s="11" t="s">
        <v>226</v>
      </c>
      <c r="D92" s="11" t="s">
        <v>32</v>
      </c>
      <c r="F92" s="1"/>
      <c r="G92" s="1"/>
      <c r="H92" s="1"/>
      <c r="I92" s="1"/>
      <c r="J92" s="1"/>
      <c r="K92" s="1"/>
      <c r="L92" s="42"/>
      <c r="M92" s="1"/>
      <c r="N92" s="1"/>
    </row>
    <row r="93" spans="1:15" s="53" customFormat="1" x14ac:dyDescent="0.25"/>
    <row r="94" spans="1:15" ht="18" x14ac:dyDescent="0.25">
      <c r="A94" s="51" t="s">
        <v>30</v>
      </c>
      <c r="B94" s="10" t="s">
        <v>103</v>
      </c>
      <c r="C94" s="11" t="s">
        <v>229</v>
      </c>
      <c r="D94" s="11" t="s">
        <v>178</v>
      </c>
      <c r="F94" s="1"/>
      <c r="G94" s="1"/>
      <c r="H94" s="1"/>
      <c r="I94" s="1"/>
      <c r="J94" s="1"/>
      <c r="K94" s="1"/>
      <c r="L94" s="42"/>
      <c r="M94" s="1"/>
      <c r="N94" s="1"/>
    </row>
    <row r="95" spans="1:15" ht="18" x14ac:dyDescent="0.25">
      <c r="A95" s="51"/>
      <c r="B95" s="10" t="s">
        <v>237</v>
      </c>
      <c r="C95" s="11" t="s">
        <v>230</v>
      </c>
      <c r="D95" s="11" t="s">
        <v>32</v>
      </c>
      <c r="F95" s="1"/>
      <c r="G95" s="1"/>
      <c r="H95" s="1"/>
      <c r="I95" s="1"/>
      <c r="J95" s="1"/>
      <c r="K95" s="1"/>
      <c r="L95" s="42"/>
      <c r="M95" s="1"/>
      <c r="N95" s="1"/>
    </row>
    <row r="96" spans="1:15" ht="18" x14ac:dyDescent="0.25">
      <c r="A96" s="51"/>
      <c r="B96" s="10" t="s">
        <v>238</v>
      </c>
      <c r="C96" s="11" t="s">
        <v>231</v>
      </c>
      <c r="D96" s="11" t="s">
        <v>178</v>
      </c>
      <c r="F96" s="1"/>
      <c r="G96" s="1"/>
      <c r="H96" s="1"/>
      <c r="I96" s="1"/>
      <c r="J96" s="1"/>
      <c r="K96" s="1"/>
      <c r="L96" s="42"/>
      <c r="M96" s="1"/>
      <c r="N96" s="1"/>
    </row>
    <row r="97" spans="1:15" ht="18" x14ac:dyDescent="0.25">
      <c r="A97" s="51"/>
      <c r="B97" s="10" t="s">
        <v>235</v>
      </c>
      <c r="C97" s="11" t="s">
        <v>232</v>
      </c>
      <c r="D97" s="11" t="s">
        <v>32</v>
      </c>
      <c r="F97"/>
      <c r="G97" s="1"/>
      <c r="H97" s="1"/>
      <c r="I97" s="1"/>
      <c r="J97" s="1"/>
      <c r="K97" s="1"/>
      <c r="L97" s="42"/>
      <c r="M97" s="1"/>
      <c r="N97" s="1"/>
    </row>
    <row r="98" spans="1:15" ht="18" x14ac:dyDescent="0.25">
      <c r="A98" s="51"/>
      <c r="B98" s="10" t="s">
        <v>236</v>
      </c>
      <c r="C98" s="11" t="s">
        <v>233</v>
      </c>
      <c r="D98" s="11" t="s">
        <v>32</v>
      </c>
      <c r="F98" s="1"/>
      <c r="G98" s="1"/>
      <c r="H98" s="1"/>
      <c r="I98" s="1"/>
      <c r="J98" s="1"/>
      <c r="K98" s="1"/>
      <c r="L98" s="42"/>
      <c r="M98" s="1"/>
      <c r="N98" s="1"/>
    </row>
    <row r="99" spans="1:15" ht="18" x14ac:dyDescent="0.25">
      <c r="A99" s="51"/>
      <c r="B99" s="10" t="s">
        <v>198</v>
      </c>
      <c r="C99" s="11" t="s">
        <v>234</v>
      </c>
      <c r="D99" s="11" t="s">
        <v>32</v>
      </c>
      <c r="F99" s="1"/>
      <c r="G99" s="1"/>
      <c r="H99" s="1"/>
      <c r="I99" s="1"/>
      <c r="J99" s="1"/>
      <c r="K99" s="1"/>
      <c r="L99" s="42"/>
      <c r="M99" s="1"/>
      <c r="N99" s="1"/>
    </row>
    <row r="100" spans="1:15" s="53" customFormat="1" x14ac:dyDescent="0.25"/>
    <row r="101" spans="1:15" ht="18" x14ac:dyDescent="0.25">
      <c r="A101" s="51" t="s">
        <v>101</v>
      </c>
      <c r="B101" s="10" t="s">
        <v>90</v>
      </c>
      <c r="C101" s="11" t="s">
        <v>98</v>
      </c>
      <c r="D101" s="11" t="s">
        <v>32</v>
      </c>
      <c r="F101" s="1"/>
      <c r="G101" s="1"/>
      <c r="H101" s="1"/>
      <c r="I101" s="1"/>
      <c r="J101" s="1"/>
      <c r="K101" s="1"/>
      <c r="L101" s="42"/>
      <c r="M101" s="1"/>
      <c r="N101" s="1"/>
      <c r="O101" s="1"/>
    </row>
    <row r="102" spans="1:15" ht="18" x14ac:dyDescent="0.25">
      <c r="A102" s="51"/>
      <c r="B102" s="10" t="s">
        <v>89</v>
      </c>
      <c r="C102" s="11" t="s">
        <v>97</v>
      </c>
      <c r="D102" s="11" t="s">
        <v>32</v>
      </c>
      <c r="E102" s="9"/>
      <c r="F102" s="9"/>
      <c r="G102" s="9"/>
      <c r="H102" s="9"/>
      <c r="I102" s="9"/>
      <c r="J102" s="9"/>
      <c r="K102" s="9"/>
      <c r="L102" s="45"/>
      <c r="M102" s="9"/>
      <c r="N102" s="9"/>
      <c r="O102" s="9"/>
    </row>
    <row r="103" spans="1:15" ht="18" x14ac:dyDescent="0.25">
      <c r="A103" s="51"/>
      <c r="B103" s="10" t="s">
        <v>80</v>
      </c>
      <c r="C103" s="11" t="s">
        <v>88</v>
      </c>
      <c r="D103" s="11" t="s">
        <v>190</v>
      </c>
      <c r="E103" s="9">
        <f>(E105)*(E107+E108)/2</f>
        <v>0</v>
      </c>
      <c r="F103" s="9"/>
      <c r="G103" s="9"/>
      <c r="H103" s="9"/>
      <c r="I103" s="9"/>
      <c r="J103" s="9"/>
      <c r="K103" s="9"/>
      <c r="L103" s="45"/>
      <c r="M103" s="9"/>
      <c r="N103" s="9"/>
      <c r="O103" s="9"/>
    </row>
    <row r="104" spans="1:15" ht="18" x14ac:dyDescent="0.25">
      <c r="A104" s="51"/>
      <c r="B104" s="10" t="s">
        <v>195</v>
      </c>
      <c r="C104" s="11" t="s">
        <v>87</v>
      </c>
      <c r="D104" s="11" t="s">
        <v>32</v>
      </c>
      <c r="E104" s="9">
        <f>E103/E68</f>
        <v>0</v>
      </c>
      <c r="F104" s="9">
        <f t="shared" ref="F104" si="17">F103/F68</f>
        <v>0</v>
      </c>
      <c r="G104" s="9"/>
      <c r="H104" s="9"/>
      <c r="I104" s="9"/>
      <c r="J104" s="9"/>
      <c r="K104" s="9"/>
      <c r="L104" s="45"/>
      <c r="M104" s="9"/>
      <c r="N104" s="9"/>
      <c r="O104" s="9"/>
    </row>
    <row r="105" spans="1:15" ht="18" x14ac:dyDescent="0.25">
      <c r="A105" s="51"/>
      <c r="B105" s="10" t="s">
        <v>79</v>
      </c>
      <c r="C105" s="11" t="s">
        <v>86</v>
      </c>
      <c r="D105" s="11" t="s">
        <v>178</v>
      </c>
      <c r="E105" s="9"/>
      <c r="F105" s="9"/>
      <c r="G105" s="9"/>
      <c r="H105" s="9"/>
      <c r="I105" s="9"/>
      <c r="J105" s="9"/>
      <c r="K105" s="9"/>
      <c r="L105" s="45"/>
      <c r="M105" s="9"/>
      <c r="N105" s="9"/>
      <c r="O105" s="9"/>
    </row>
    <row r="106" spans="1:15" ht="18" x14ac:dyDescent="0.25">
      <c r="A106" s="51"/>
      <c r="B106" s="10" t="s">
        <v>196</v>
      </c>
      <c r="C106" s="11" t="s">
        <v>85</v>
      </c>
      <c r="D106" s="11" t="s">
        <v>32</v>
      </c>
      <c r="E106" s="9">
        <f>E105/E69</f>
        <v>0</v>
      </c>
      <c r="F106" s="9">
        <f t="shared" ref="F106" si="18">F105/F69</f>
        <v>0</v>
      </c>
      <c r="G106" s="9"/>
      <c r="H106" s="9"/>
      <c r="I106" s="9"/>
      <c r="J106" s="9"/>
      <c r="K106" s="9"/>
      <c r="L106" s="45"/>
      <c r="M106" s="9"/>
      <c r="N106" s="9"/>
      <c r="O106" s="9"/>
    </row>
    <row r="107" spans="1:15" ht="18" x14ac:dyDescent="0.25">
      <c r="A107" s="51"/>
      <c r="B107" s="10" t="s">
        <v>62</v>
      </c>
      <c r="C107" s="11" t="s">
        <v>84</v>
      </c>
      <c r="D107" s="11" t="s">
        <v>178</v>
      </c>
      <c r="E107" s="9"/>
      <c r="F107" s="9"/>
      <c r="G107" s="9"/>
      <c r="H107" s="9"/>
      <c r="I107" s="9"/>
      <c r="J107" s="9"/>
      <c r="K107" s="9"/>
      <c r="L107" s="45"/>
      <c r="M107" s="9"/>
      <c r="N107" s="9"/>
      <c r="O107" s="9"/>
    </row>
    <row r="108" spans="1:15" ht="18" x14ac:dyDescent="0.25">
      <c r="A108" s="51"/>
      <c r="B108" s="10" t="s">
        <v>64</v>
      </c>
      <c r="C108" s="11" t="s">
        <v>83</v>
      </c>
      <c r="D108" s="11" t="s">
        <v>178</v>
      </c>
      <c r="E108" s="9"/>
      <c r="F108" s="9"/>
      <c r="G108" s="9"/>
      <c r="H108" s="9"/>
      <c r="I108" s="9"/>
      <c r="J108" s="9"/>
      <c r="K108" s="9"/>
      <c r="L108" s="45"/>
      <c r="M108" s="9"/>
      <c r="N108" s="9"/>
      <c r="O108" s="9"/>
    </row>
    <row r="109" spans="1:15" ht="18" x14ac:dyDescent="0.25">
      <c r="A109" s="51"/>
      <c r="B109" s="10" t="s">
        <v>13</v>
      </c>
      <c r="C109" s="11" t="s">
        <v>82</v>
      </c>
      <c r="D109" s="11" t="s">
        <v>178</v>
      </c>
      <c r="E109" s="9">
        <f>E107+(E108-E107)/2</f>
        <v>0</v>
      </c>
      <c r="F109" s="9">
        <f t="shared" ref="F109" si="19">F107+(F108-F107)/2</f>
        <v>0</v>
      </c>
      <c r="G109" s="9"/>
      <c r="H109" s="9"/>
      <c r="I109" s="9"/>
      <c r="J109" s="9"/>
      <c r="K109" s="9"/>
      <c r="L109" s="45"/>
      <c r="M109" s="9"/>
      <c r="N109" s="9"/>
      <c r="O109" s="9"/>
    </row>
    <row r="110" spans="1:15" ht="18" x14ac:dyDescent="0.25">
      <c r="A110" s="51"/>
      <c r="B110" s="10" t="s">
        <v>14</v>
      </c>
      <c r="C110" s="11" t="s">
        <v>91</v>
      </c>
      <c r="D110" s="11" t="s">
        <v>178</v>
      </c>
      <c r="E110" s="9" t="e">
        <f t="shared" ref="E110" si="20">E108-(2*(E108-E107)*(0.5*E108+E107)/(3*(E108+E107)))</f>
        <v>#DIV/0!</v>
      </c>
      <c r="F110" s="9" t="e">
        <f>F108-(2*(F108-F107)*(0.5*F108+F107)/(3*(F108+F107)))</f>
        <v>#DIV/0!</v>
      </c>
      <c r="G110" s="9"/>
      <c r="H110" s="9"/>
      <c r="I110" s="9"/>
      <c r="J110" s="9"/>
      <c r="K110" s="9"/>
      <c r="L110" s="45"/>
      <c r="M110" s="9"/>
      <c r="N110" s="9"/>
      <c r="O110" s="9"/>
    </row>
    <row r="111" spans="1:15" ht="30" x14ac:dyDescent="0.25">
      <c r="A111" s="51"/>
      <c r="B111" s="10" t="s">
        <v>72</v>
      </c>
      <c r="C111" s="11" t="s">
        <v>114</v>
      </c>
      <c r="D111" s="11" t="s">
        <v>178</v>
      </c>
      <c r="E111" s="9"/>
      <c r="F111" s="9"/>
      <c r="G111" s="9"/>
      <c r="H111" s="9"/>
      <c r="I111" s="9"/>
      <c r="J111" s="9"/>
      <c r="K111" s="9"/>
      <c r="L111" s="45"/>
      <c r="M111" s="9"/>
      <c r="N111" s="9"/>
      <c r="O111" s="9"/>
    </row>
    <row r="112" spans="1:15" ht="18.75" x14ac:dyDescent="0.25">
      <c r="A112" s="51"/>
      <c r="B112" s="10" t="s">
        <v>68</v>
      </c>
      <c r="C112" s="11" t="s">
        <v>92</v>
      </c>
      <c r="D112" s="11" t="s">
        <v>32</v>
      </c>
      <c r="E112" s="9"/>
      <c r="F112" s="9"/>
      <c r="G112" s="9"/>
      <c r="H112" s="9"/>
      <c r="I112" s="9"/>
      <c r="J112" s="9"/>
      <c r="K112" s="9"/>
      <c r="L112" s="45"/>
      <c r="M112" s="9"/>
      <c r="N112" s="9"/>
      <c r="O112" s="9"/>
    </row>
    <row r="113" spans="1:15" ht="18" x14ac:dyDescent="0.25">
      <c r="A113" s="51"/>
      <c r="B113" s="10" t="s">
        <v>15</v>
      </c>
      <c r="C113" s="11" t="s">
        <v>93</v>
      </c>
      <c r="D113" s="11" t="s">
        <v>32</v>
      </c>
      <c r="E113" s="9"/>
      <c r="F113" s="9"/>
      <c r="G113" s="9"/>
      <c r="H113" s="9"/>
      <c r="I113" s="9"/>
      <c r="J113" s="9"/>
      <c r="K113" s="9"/>
      <c r="L113" s="45"/>
      <c r="M113" s="9"/>
      <c r="N113" s="9"/>
      <c r="O113" s="9"/>
    </row>
    <row r="114" spans="1:15" ht="18" x14ac:dyDescent="0.25">
      <c r="A114" s="51"/>
      <c r="B114" s="10" t="s">
        <v>16</v>
      </c>
      <c r="C114" s="11" t="s">
        <v>94</v>
      </c>
      <c r="D114" s="11" t="s">
        <v>194</v>
      </c>
      <c r="E114" s="9"/>
      <c r="F114" s="9"/>
      <c r="G114" s="9"/>
      <c r="H114" s="9"/>
      <c r="I114" s="9"/>
      <c r="J114" s="9"/>
      <c r="K114" s="9"/>
      <c r="L114" s="45"/>
      <c r="M114" s="9"/>
      <c r="N114" s="9"/>
      <c r="O114" s="9"/>
    </row>
    <row r="115" spans="1:15" ht="18" x14ac:dyDescent="0.25">
      <c r="A115" s="51"/>
      <c r="B115" s="10" t="s">
        <v>17</v>
      </c>
      <c r="C115" s="11" t="s">
        <v>95</v>
      </c>
      <c r="D115" s="11" t="s">
        <v>194</v>
      </c>
      <c r="F115" s="1"/>
      <c r="G115" s="1"/>
      <c r="H115" s="1"/>
      <c r="I115" s="1"/>
      <c r="J115" s="1"/>
      <c r="K115" s="1"/>
      <c r="L115" s="42"/>
      <c r="M115" s="1"/>
      <c r="N115" s="1"/>
      <c r="O115" s="1"/>
    </row>
    <row r="116" spans="1:15" x14ac:dyDescent="0.25">
      <c r="A116" s="51"/>
      <c r="B116" s="10" t="s">
        <v>18</v>
      </c>
      <c r="C116" s="11" t="s">
        <v>32</v>
      </c>
      <c r="D116" s="11" t="s">
        <v>32</v>
      </c>
      <c r="F116" s="1"/>
      <c r="G116" s="1"/>
      <c r="H116" s="1"/>
      <c r="I116" s="1"/>
      <c r="J116" s="1"/>
      <c r="K116" s="1"/>
      <c r="L116" s="42"/>
      <c r="M116" s="1"/>
      <c r="N116" s="1"/>
      <c r="O116" s="1"/>
    </row>
    <row r="117" spans="1:15" ht="18" x14ac:dyDescent="0.25">
      <c r="A117" s="51"/>
      <c r="B117" s="10" t="s">
        <v>75</v>
      </c>
      <c r="C117" s="11" t="s">
        <v>96</v>
      </c>
      <c r="D117" s="11" t="s">
        <v>32</v>
      </c>
      <c r="F117" s="1"/>
      <c r="G117" s="1"/>
      <c r="H117" s="1"/>
      <c r="I117" s="1"/>
      <c r="J117" s="1"/>
      <c r="K117" s="1"/>
      <c r="L117" s="42"/>
      <c r="M117" s="1"/>
      <c r="N117" s="1"/>
      <c r="O117" s="1"/>
    </row>
    <row r="118" spans="1:15" ht="18" x14ac:dyDescent="0.25">
      <c r="A118" s="51"/>
      <c r="B118" s="10" t="s">
        <v>99</v>
      </c>
      <c r="C118" s="11" t="s">
        <v>100</v>
      </c>
      <c r="D118" s="11" t="s">
        <v>191</v>
      </c>
      <c r="E118" s="1">
        <f>E103*E102/(E68*E74)</f>
        <v>0</v>
      </c>
      <c r="F118" s="1">
        <f t="shared" ref="F118" si="21">F103*F102/(F68*F74)</f>
        <v>0</v>
      </c>
      <c r="G118" s="1"/>
      <c r="H118" s="1"/>
      <c r="I118" s="1"/>
      <c r="J118" s="1"/>
      <c r="K118" s="1"/>
      <c r="L118" s="42"/>
      <c r="M118" s="1"/>
      <c r="N118" s="1"/>
      <c r="O118" s="1"/>
    </row>
    <row r="119" spans="1:15" s="53" customFormat="1" x14ac:dyDescent="0.25"/>
    <row r="120" spans="1:15" ht="18" x14ac:dyDescent="0.25">
      <c r="A120" s="51" t="s">
        <v>102</v>
      </c>
      <c r="B120" s="10" t="s">
        <v>103</v>
      </c>
      <c r="C120" s="11" t="s">
        <v>105</v>
      </c>
      <c r="D120" s="11" t="s">
        <v>178</v>
      </c>
      <c r="F120" s="1"/>
      <c r="G120" s="1"/>
      <c r="H120" s="1"/>
      <c r="I120" s="1"/>
      <c r="J120" s="1"/>
      <c r="K120" s="1"/>
      <c r="L120" s="42"/>
      <c r="M120" s="1"/>
      <c r="N120" s="1"/>
      <c r="O120" s="1"/>
    </row>
    <row r="121" spans="1:15" ht="18" x14ac:dyDescent="0.25">
      <c r="A121" s="51"/>
      <c r="B121" s="10" t="s">
        <v>199</v>
      </c>
      <c r="C121" s="11" t="s">
        <v>106</v>
      </c>
      <c r="D121" s="11" t="s">
        <v>32</v>
      </c>
      <c r="E121" s="1" t="e">
        <f>E120/E105</f>
        <v>#DIV/0!</v>
      </c>
      <c r="F121" s="1" t="e">
        <f t="shared" ref="F121" si="22">F120/F105</f>
        <v>#DIV/0!</v>
      </c>
      <c r="G121" s="1"/>
      <c r="H121" s="1"/>
      <c r="I121" s="1"/>
      <c r="J121" s="1"/>
      <c r="K121" s="1"/>
      <c r="L121" s="42"/>
      <c r="M121" s="1"/>
      <c r="N121" s="1"/>
      <c r="O121" s="1"/>
    </row>
    <row r="122" spans="1:15" ht="18" x14ac:dyDescent="0.25">
      <c r="A122" s="51"/>
      <c r="B122" s="10" t="s">
        <v>104</v>
      </c>
      <c r="C122" s="11" t="s">
        <v>107</v>
      </c>
      <c r="D122" s="11" t="s">
        <v>32</v>
      </c>
      <c r="F122" s="1"/>
      <c r="G122" s="1"/>
      <c r="H122" s="1"/>
      <c r="I122" s="1"/>
      <c r="J122" s="1"/>
      <c r="K122" s="1"/>
      <c r="L122" s="42"/>
      <c r="M122" s="1"/>
      <c r="N122" s="1"/>
      <c r="O122" s="1"/>
    </row>
    <row r="123" spans="1:15" s="53" customFormat="1" x14ac:dyDescent="0.25"/>
    <row r="124" spans="1:15" ht="15" customHeight="1" x14ac:dyDescent="0.25">
      <c r="A124" s="51" t="s">
        <v>108</v>
      </c>
      <c r="B124" s="10" t="s">
        <v>11</v>
      </c>
      <c r="C124" s="11" t="s">
        <v>115</v>
      </c>
      <c r="D124" s="11" t="s">
        <v>178</v>
      </c>
      <c r="F124" s="1"/>
      <c r="G124" s="1"/>
      <c r="H124" s="1"/>
      <c r="I124" s="1"/>
      <c r="J124" s="1"/>
      <c r="K124" s="1"/>
      <c r="L124" s="42"/>
      <c r="M124" s="1"/>
      <c r="N124" s="1"/>
      <c r="O124" s="1"/>
    </row>
    <row r="125" spans="1:15" ht="18" x14ac:dyDescent="0.25">
      <c r="A125" s="51"/>
      <c r="B125" s="10" t="s">
        <v>12</v>
      </c>
      <c r="C125" s="11" t="s">
        <v>116</v>
      </c>
      <c r="D125" s="11" t="s">
        <v>178</v>
      </c>
      <c r="F125" s="1"/>
      <c r="G125" s="1"/>
      <c r="H125" s="1"/>
      <c r="I125" s="1"/>
      <c r="J125" s="1"/>
      <c r="K125" s="1"/>
      <c r="L125" s="42"/>
      <c r="M125" s="1"/>
      <c r="N125" s="1"/>
      <c r="O125" s="1"/>
    </row>
    <row r="126" spans="1:15" ht="18" x14ac:dyDescent="0.25">
      <c r="A126" s="51"/>
      <c r="B126" s="10" t="s">
        <v>80</v>
      </c>
      <c r="C126" s="11" t="s">
        <v>117</v>
      </c>
      <c r="D126" s="11" t="s">
        <v>190</v>
      </c>
      <c r="E126" s="1">
        <f>E128*(E130+E131)/2</f>
        <v>0</v>
      </c>
      <c r="F126" s="1"/>
      <c r="G126" s="1"/>
      <c r="H126" s="1"/>
      <c r="I126" s="1"/>
      <c r="J126" s="1"/>
      <c r="K126" s="1"/>
      <c r="L126" s="42"/>
      <c r="M126" s="1"/>
      <c r="N126" s="1"/>
      <c r="O126" s="1"/>
    </row>
    <row r="127" spans="1:15" ht="18" x14ac:dyDescent="0.25">
      <c r="A127" s="51"/>
      <c r="B127" s="10" t="s">
        <v>200</v>
      </c>
      <c r="C127" s="11" t="s">
        <v>118</v>
      </c>
      <c r="D127" s="11" t="s">
        <v>32</v>
      </c>
      <c r="E127" s="1">
        <f>E126/E68</f>
        <v>0</v>
      </c>
      <c r="F127" s="1">
        <f t="shared" ref="F127" si="23">F126/F68</f>
        <v>0</v>
      </c>
      <c r="G127" s="1"/>
      <c r="H127" s="1"/>
      <c r="I127" s="1"/>
      <c r="J127" s="1"/>
      <c r="K127" s="1"/>
      <c r="L127" s="42"/>
      <c r="M127" s="1"/>
      <c r="N127" s="1"/>
      <c r="O127" s="1"/>
    </row>
    <row r="128" spans="1:15" ht="18" x14ac:dyDescent="0.25">
      <c r="A128" s="51"/>
      <c r="B128" s="10" t="s">
        <v>79</v>
      </c>
      <c r="C128" s="11" t="s">
        <v>119</v>
      </c>
      <c r="D128" s="11" t="s">
        <v>178</v>
      </c>
      <c r="F128" s="1"/>
      <c r="G128" s="1"/>
      <c r="H128" s="1"/>
      <c r="I128" s="1"/>
      <c r="J128" s="1"/>
      <c r="K128" s="1"/>
      <c r="L128" s="42"/>
      <c r="M128" s="1"/>
      <c r="N128" s="1"/>
      <c r="O128" s="1"/>
    </row>
    <row r="129" spans="1:15" ht="18" x14ac:dyDescent="0.25">
      <c r="A129" s="51"/>
      <c r="B129" s="10" t="s">
        <v>201</v>
      </c>
      <c r="C129" s="11" t="s">
        <v>120</v>
      </c>
      <c r="D129" s="11" t="s">
        <v>32</v>
      </c>
      <c r="E129" s="1">
        <f>E128/E69</f>
        <v>0</v>
      </c>
      <c r="F129" s="1">
        <f t="shared" ref="F129" si="24">F128/F69</f>
        <v>0</v>
      </c>
      <c r="G129" s="1"/>
      <c r="H129" s="1"/>
      <c r="I129" s="1"/>
      <c r="J129" s="1"/>
      <c r="K129" s="1"/>
      <c r="L129" s="42"/>
      <c r="M129" s="1"/>
      <c r="N129" s="1"/>
      <c r="O129" s="1"/>
    </row>
    <row r="130" spans="1:15" ht="18" x14ac:dyDescent="0.25">
      <c r="A130" s="51"/>
      <c r="B130" s="10" t="s">
        <v>62</v>
      </c>
      <c r="C130" s="11" t="s">
        <v>121</v>
      </c>
      <c r="D130" s="11" t="s">
        <v>178</v>
      </c>
      <c r="F130" s="1"/>
      <c r="G130" s="1"/>
      <c r="H130" s="1"/>
      <c r="I130" s="1"/>
      <c r="J130" s="1"/>
      <c r="K130" s="1"/>
      <c r="L130" s="42"/>
      <c r="M130" s="1"/>
      <c r="N130" s="1"/>
      <c r="O130" s="1"/>
    </row>
    <row r="131" spans="1:15" ht="18" x14ac:dyDescent="0.25">
      <c r="A131" s="51"/>
      <c r="B131" s="10" t="s">
        <v>64</v>
      </c>
      <c r="C131" s="11" t="s">
        <v>122</v>
      </c>
      <c r="D131" s="11" t="s">
        <v>178</v>
      </c>
      <c r="F131" s="1"/>
      <c r="G131" s="1"/>
      <c r="H131" s="1"/>
      <c r="I131" s="1"/>
      <c r="J131" s="1"/>
      <c r="K131" s="1"/>
      <c r="L131" s="42"/>
      <c r="M131" s="1"/>
      <c r="N131" s="1"/>
      <c r="O131" s="1"/>
    </row>
    <row r="132" spans="1:15" ht="18" x14ac:dyDescent="0.25">
      <c r="A132" s="51"/>
      <c r="B132" s="10" t="s">
        <v>13</v>
      </c>
      <c r="C132" s="11" t="s">
        <v>123</v>
      </c>
      <c r="D132" s="11" t="s">
        <v>178</v>
      </c>
      <c r="F132" s="1"/>
      <c r="G132" s="1"/>
      <c r="H132" s="1"/>
      <c r="I132" s="1"/>
      <c r="J132" s="1"/>
      <c r="K132" s="1"/>
      <c r="L132" s="42"/>
      <c r="M132" s="1"/>
      <c r="N132" s="1"/>
      <c r="O132" s="1"/>
    </row>
    <row r="133" spans="1:15" ht="18" x14ac:dyDescent="0.25">
      <c r="A133" s="51"/>
      <c r="B133" s="10" t="s">
        <v>14</v>
      </c>
      <c r="C133" s="11" t="s">
        <v>124</v>
      </c>
      <c r="D133" s="11" t="s">
        <v>178</v>
      </c>
      <c r="F133" s="1"/>
      <c r="G133" s="1"/>
      <c r="H133" s="1"/>
      <c r="I133" s="1"/>
      <c r="J133" s="1"/>
      <c r="K133" s="1"/>
      <c r="L133" s="42"/>
      <c r="M133" s="1"/>
      <c r="N133" s="1"/>
      <c r="O133" s="1"/>
    </row>
    <row r="134" spans="1:15" ht="30" x14ac:dyDescent="0.25">
      <c r="A134" s="51"/>
      <c r="B134" s="10" t="s">
        <v>72</v>
      </c>
      <c r="C134" s="11" t="s">
        <v>125</v>
      </c>
      <c r="D134" s="11" t="s">
        <v>178</v>
      </c>
      <c r="F134" s="1"/>
      <c r="G134" s="1"/>
      <c r="H134" s="1"/>
      <c r="I134" s="1"/>
      <c r="J134" s="1"/>
      <c r="K134" s="1"/>
      <c r="L134" s="42"/>
      <c r="M134" s="1"/>
      <c r="N134" s="1"/>
      <c r="O134" s="1"/>
    </row>
    <row r="135" spans="1:15" ht="18" x14ac:dyDescent="0.25">
      <c r="A135" s="51"/>
      <c r="B135" s="10" t="s">
        <v>68</v>
      </c>
      <c r="C135" s="11" t="s">
        <v>131</v>
      </c>
      <c r="D135" s="11" t="s">
        <v>32</v>
      </c>
      <c r="F135" s="1"/>
      <c r="G135" s="1"/>
      <c r="H135" s="1"/>
      <c r="I135" s="1"/>
      <c r="J135" s="1"/>
      <c r="K135" s="1"/>
      <c r="L135" s="42"/>
      <c r="M135" s="1"/>
      <c r="N135" s="1"/>
      <c r="O135" s="1"/>
    </row>
    <row r="136" spans="1:15" ht="18" x14ac:dyDescent="0.25">
      <c r="A136" s="51"/>
      <c r="B136" s="10" t="s">
        <v>15</v>
      </c>
      <c r="C136" s="11" t="s">
        <v>130</v>
      </c>
      <c r="D136" s="11" t="s">
        <v>32</v>
      </c>
      <c r="F136" s="1"/>
      <c r="G136" s="1"/>
      <c r="H136" s="1"/>
      <c r="I136" s="1"/>
      <c r="J136" s="1"/>
      <c r="K136" s="1"/>
      <c r="L136" s="42"/>
      <c r="M136" s="1"/>
      <c r="N136" s="1"/>
      <c r="O136" s="1"/>
    </row>
    <row r="137" spans="1:15" ht="18" x14ac:dyDescent="0.25">
      <c r="A137" s="51"/>
      <c r="B137" s="10" t="s">
        <v>16</v>
      </c>
      <c r="C137" s="11" t="s">
        <v>129</v>
      </c>
      <c r="D137" s="11" t="s">
        <v>194</v>
      </c>
      <c r="F137" s="1"/>
      <c r="G137" s="1"/>
      <c r="H137" s="1"/>
      <c r="I137" s="1"/>
      <c r="J137" s="1"/>
      <c r="K137" s="1"/>
      <c r="L137" s="42"/>
      <c r="M137" s="1"/>
      <c r="N137" s="1"/>
      <c r="O137" s="1"/>
    </row>
    <row r="138" spans="1:15" ht="18" x14ac:dyDescent="0.25">
      <c r="A138" s="51"/>
      <c r="B138" s="10" t="s">
        <v>17</v>
      </c>
      <c r="C138" s="11" t="s">
        <v>128</v>
      </c>
      <c r="D138" s="11" t="s">
        <v>194</v>
      </c>
      <c r="F138" s="1"/>
      <c r="G138" s="1"/>
      <c r="H138" s="1"/>
      <c r="I138" s="1"/>
      <c r="J138" s="1"/>
      <c r="K138" s="1"/>
      <c r="L138" s="42"/>
      <c r="M138" s="1"/>
      <c r="N138" s="1"/>
      <c r="O138" s="1"/>
    </row>
    <row r="139" spans="1:15" x14ac:dyDescent="0.25">
      <c r="A139" s="51"/>
      <c r="B139" s="10" t="s">
        <v>18</v>
      </c>
      <c r="C139" s="11" t="s">
        <v>32</v>
      </c>
      <c r="D139" s="11" t="s">
        <v>32</v>
      </c>
      <c r="F139" s="1"/>
      <c r="G139" s="1"/>
      <c r="H139" s="1"/>
      <c r="I139" s="1"/>
      <c r="J139" s="1"/>
      <c r="K139" s="1"/>
      <c r="L139" s="42"/>
      <c r="M139" s="1"/>
      <c r="N139" s="1"/>
      <c r="O139" s="1"/>
    </row>
    <row r="140" spans="1:15" ht="18" x14ac:dyDescent="0.25">
      <c r="A140" s="51"/>
      <c r="B140" s="10" t="s">
        <v>75</v>
      </c>
      <c r="C140" s="11" t="s">
        <v>127</v>
      </c>
      <c r="D140" s="11" t="s">
        <v>32</v>
      </c>
      <c r="F140" s="1"/>
      <c r="G140" s="1"/>
      <c r="H140" s="1"/>
      <c r="I140" s="1"/>
      <c r="J140" s="1"/>
      <c r="K140" s="1"/>
      <c r="L140" s="42"/>
      <c r="M140" s="1"/>
      <c r="N140" s="1"/>
      <c r="O140" s="1"/>
    </row>
    <row r="141" spans="1:15" ht="18" x14ac:dyDescent="0.25">
      <c r="A141" s="51"/>
      <c r="B141" s="10" t="s">
        <v>99</v>
      </c>
      <c r="C141" s="11" t="s">
        <v>126</v>
      </c>
      <c r="D141" s="11" t="s">
        <v>191</v>
      </c>
      <c r="E141" s="1">
        <f>E126*E125/(E68*E69)</f>
        <v>0</v>
      </c>
      <c r="F141" s="1">
        <f t="shared" ref="F141" si="25">F126*F125/(F68*F69)</f>
        <v>0</v>
      </c>
      <c r="G141" s="1"/>
      <c r="H141" s="1"/>
      <c r="I141" s="1"/>
      <c r="J141" s="1"/>
      <c r="K141" s="1"/>
      <c r="L141" s="42"/>
      <c r="M141" s="1"/>
      <c r="N141" s="1"/>
      <c r="O141" s="1"/>
    </row>
    <row r="142" spans="1:15" s="53" customFormat="1" x14ac:dyDescent="0.25"/>
    <row r="143" spans="1:15" ht="18" x14ac:dyDescent="0.25">
      <c r="A143" s="51" t="s">
        <v>109</v>
      </c>
      <c r="B143" s="10" t="s">
        <v>103</v>
      </c>
      <c r="C143" s="11" t="s">
        <v>111</v>
      </c>
      <c r="D143" s="11" t="s">
        <v>178</v>
      </c>
      <c r="F143" s="1"/>
      <c r="G143" s="1"/>
      <c r="H143" s="1"/>
      <c r="I143" s="1"/>
      <c r="J143" s="1"/>
      <c r="K143" s="1"/>
      <c r="L143" s="42"/>
      <c r="M143" s="1"/>
      <c r="N143" s="1"/>
      <c r="O143" s="1"/>
    </row>
    <row r="144" spans="1:15" ht="18" x14ac:dyDescent="0.25">
      <c r="A144" s="51"/>
      <c r="B144" s="10" t="s">
        <v>206</v>
      </c>
      <c r="C144" s="11" t="s">
        <v>112</v>
      </c>
      <c r="D144" s="11" t="s">
        <v>32</v>
      </c>
      <c r="E144" s="1" t="e">
        <f>E143/E128</f>
        <v>#DIV/0!</v>
      </c>
      <c r="F144" s="1" t="e">
        <f t="shared" ref="F144" si="26">F143/F128</f>
        <v>#DIV/0!</v>
      </c>
      <c r="G144" s="1"/>
      <c r="H144" s="1"/>
      <c r="I144" s="1"/>
      <c r="J144" s="1"/>
      <c r="K144" s="1"/>
      <c r="L144" s="42"/>
      <c r="M144" s="1"/>
      <c r="N144" s="1"/>
      <c r="O144" s="1"/>
    </row>
    <row r="145" spans="1:17" ht="18" x14ac:dyDescent="0.25">
      <c r="A145" s="51"/>
      <c r="B145" s="10" t="s">
        <v>110</v>
      </c>
      <c r="C145" s="11" t="s">
        <v>113</v>
      </c>
      <c r="D145" s="11" t="s">
        <v>32</v>
      </c>
      <c r="F145" s="1"/>
      <c r="G145" s="1"/>
      <c r="H145" s="1"/>
      <c r="I145" s="1"/>
      <c r="J145" s="1"/>
      <c r="K145" s="1"/>
      <c r="L145" s="42"/>
      <c r="M145" s="1"/>
      <c r="N145" s="1"/>
      <c r="O145" s="1"/>
    </row>
    <row r="146" spans="1:17" s="53" customFormat="1" x14ac:dyDescent="0.25"/>
    <row r="147" spans="1:17" ht="18" x14ac:dyDescent="0.25">
      <c r="A147" s="51" t="s">
        <v>336</v>
      </c>
      <c r="B147" s="10" t="s">
        <v>337</v>
      </c>
      <c r="C147" s="11" t="s">
        <v>338</v>
      </c>
      <c r="D147" s="11" t="s">
        <v>178</v>
      </c>
      <c r="E147" s="36">
        <v>27.4</v>
      </c>
      <c r="F147" s="36">
        <f>2.59*7.5</f>
        <v>19.424999999999997</v>
      </c>
      <c r="G147" s="36">
        <v>20.64</v>
      </c>
      <c r="H147" s="29">
        <v>29.08</v>
      </c>
      <c r="I147" s="36"/>
      <c r="J147" s="36"/>
      <c r="K147" s="36"/>
      <c r="L147" s="42"/>
      <c r="M147" s="36"/>
      <c r="N147" s="36"/>
      <c r="O147" s="36"/>
    </row>
    <row r="148" spans="1:17" x14ac:dyDescent="0.25">
      <c r="A148" s="51"/>
      <c r="B148" s="10" t="s">
        <v>339</v>
      </c>
      <c r="C148" s="11" t="s">
        <v>135</v>
      </c>
      <c r="D148" s="11" t="s">
        <v>178</v>
      </c>
      <c r="E148" s="36">
        <v>2.77</v>
      </c>
      <c r="F148" s="36">
        <v>2.59</v>
      </c>
      <c r="G148" s="36">
        <v>2.77</v>
      </c>
      <c r="H148" s="29">
        <v>3.05</v>
      </c>
      <c r="I148" s="36"/>
      <c r="J148" s="36"/>
      <c r="K148" s="36"/>
      <c r="L148" s="42"/>
      <c r="M148" s="36"/>
      <c r="N148" s="36"/>
      <c r="O148" s="36"/>
    </row>
    <row r="149" spans="1:17" ht="18" x14ac:dyDescent="0.25">
      <c r="A149" s="51"/>
      <c r="B149" s="10" t="s">
        <v>346</v>
      </c>
      <c r="C149" s="11" t="s">
        <v>345</v>
      </c>
      <c r="D149" s="11" t="s">
        <v>32</v>
      </c>
      <c r="E149" s="38">
        <v>11.7</v>
      </c>
      <c r="F149" s="38">
        <f>F147/F148</f>
        <v>7.4999999999999991</v>
      </c>
      <c r="G149" s="38">
        <f>G147/G148</f>
        <v>7.4512635379061374</v>
      </c>
      <c r="H149" s="38">
        <f>H147/H148</f>
        <v>9.5344262295081972</v>
      </c>
      <c r="I149" s="38" t="e">
        <f t="shared" ref="I149" si="27">I147/I148</f>
        <v>#DIV/0!</v>
      </c>
      <c r="J149" s="38" t="e">
        <f t="shared" ref="J149" si="28">J147/J148</f>
        <v>#DIV/0!</v>
      </c>
      <c r="K149" s="38" t="e">
        <f t="shared" ref="K149" si="29">K147/K148</f>
        <v>#DIV/0!</v>
      </c>
      <c r="L149" s="42" t="e">
        <f t="shared" ref="L149" si="30">L147/L148</f>
        <v>#DIV/0!</v>
      </c>
      <c r="M149" s="38" t="e">
        <f t="shared" ref="M149" si="31">M147/M148</f>
        <v>#DIV/0!</v>
      </c>
      <c r="N149" s="38" t="e">
        <f t="shared" ref="N149" si="32">N147/N148</f>
        <v>#DIV/0!</v>
      </c>
      <c r="O149" s="38" t="e">
        <f t="shared" ref="O149" si="33">O147/O148</f>
        <v>#DIV/0!</v>
      </c>
      <c r="P149" s="38" t="e">
        <f t="shared" ref="P149" si="34">P147/P148</f>
        <v>#DIV/0!</v>
      </c>
      <c r="Q149" s="38" t="e">
        <f t="shared" ref="Q149" si="35">Q147/Q148</f>
        <v>#DIV/0!</v>
      </c>
    </row>
    <row r="150" spans="1:17" ht="18" x14ac:dyDescent="0.25">
      <c r="A150" s="41"/>
      <c r="B150" s="10" t="s">
        <v>386</v>
      </c>
      <c r="C150" s="11" t="s">
        <v>338</v>
      </c>
      <c r="D150" s="11" t="s">
        <v>178</v>
      </c>
      <c r="E150" s="38">
        <v>12.65</v>
      </c>
      <c r="F150" s="38">
        <v>8.7799999999999994</v>
      </c>
      <c r="G150" s="38">
        <v>11.08</v>
      </c>
      <c r="H150" s="29">
        <v>15.03</v>
      </c>
      <c r="I150" s="38"/>
      <c r="J150" s="38"/>
      <c r="K150" s="38"/>
      <c r="L150" s="42"/>
      <c r="M150" s="38"/>
      <c r="N150" s="38"/>
      <c r="O150" s="38"/>
    </row>
    <row r="151" spans="1:17" x14ac:dyDescent="0.25">
      <c r="A151" s="41"/>
      <c r="B151" s="10" t="s">
        <v>387</v>
      </c>
      <c r="C151" s="11" t="s">
        <v>388</v>
      </c>
      <c r="D151" s="11" t="s">
        <v>389</v>
      </c>
      <c r="E151" s="38">
        <v>19.18</v>
      </c>
      <c r="F151" s="38">
        <v>24.06</v>
      </c>
      <c r="G151" s="38">
        <v>27.12</v>
      </c>
      <c r="H151" s="29">
        <v>24.3</v>
      </c>
      <c r="I151" s="38"/>
      <c r="J151" s="38"/>
      <c r="K151" s="38"/>
      <c r="L151" s="42"/>
      <c r="M151" s="38"/>
      <c r="N151" s="38"/>
      <c r="O151" s="38"/>
    </row>
    <row r="152" spans="1:17" s="53" customFormat="1" x14ac:dyDescent="0.25"/>
    <row r="153" spans="1:17" x14ac:dyDescent="0.25">
      <c r="A153" s="51" t="s">
        <v>31</v>
      </c>
      <c r="B153" s="10" t="s">
        <v>19</v>
      </c>
      <c r="C153" s="11" t="s">
        <v>32</v>
      </c>
      <c r="D153" s="11" t="s">
        <v>32</v>
      </c>
      <c r="F153" s="1"/>
      <c r="G153" s="1"/>
      <c r="H153" s="1"/>
      <c r="I153" s="1"/>
      <c r="J153" s="1"/>
      <c r="K153" s="1"/>
      <c r="L153" s="42"/>
      <c r="M153" s="1"/>
      <c r="N153" s="1"/>
      <c r="O153" s="1"/>
    </row>
    <row r="154" spans="1:17" x14ac:dyDescent="0.25">
      <c r="A154" s="51"/>
      <c r="B154" s="10" t="s">
        <v>133</v>
      </c>
      <c r="C154" s="11" t="s">
        <v>134</v>
      </c>
      <c r="D154" s="11" t="s">
        <v>178</v>
      </c>
      <c r="E154" s="9"/>
      <c r="F154" s="9"/>
      <c r="G154" s="9"/>
      <c r="H154" s="9"/>
      <c r="I154" s="9"/>
      <c r="J154" s="9"/>
      <c r="K154" s="9"/>
      <c r="L154" s="45"/>
      <c r="M154" s="9"/>
      <c r="N154" s="9"/>
      <c r="O154" s="9"/>
    </row>
    <row r="155" spans="1:17" x14ac:dyDescent="0.25">
      <c r="A155" s="51"/>
      <c r="B155" s="10" t="s">
        <v>132</v>
      </c>
      <c r="C155" s="11" t="s">
        <v>135</v>
      </c>
      <c r="D155" s="11" t="s">
        <v>178</v>
      </c>
      <c r="E155" s="9"/>
      <c r="F155" s="9"/>
      <c r="G155" s="9"/>
      <c r="H155" s="9"/>
      <c r="I155" s="9"/>
      <c r="J155" s="9"/>
      <c r="K155" s="9"/>
      <c r="L155" s="45"/>
      <c r="M155" s="9"/>
      <c r="N155" s="9"/>
      <c r="O155" s="9"/>
    </row>
    <row r="156" spans="1:17" x14ac:dyDescent="0.25">
      <c r="A156" s="51"/>
      <c r="B156" s="10" t="s">
        <v>139</v>
      </c>
      <c r="C156" s="11" t="s">
        <v>136</v>
      </c>
      <c r="D156" s="11" t="s">
        <v>32</v>
      </c>
      <c r="E156" s="9" t="e">
        <f>E154/E155</f>
        <v>#DIV/0!</v>
      </c>
      <c r="F156" s="9" t="e">
        <f t="shared" ref="F156" si="36">F154/F155</f>
        <v>#DIV/0!</v>
      </c>
      <c r="G156" s="9"/>
      <c r="H156" s="9"/>
      <c r="I156" s="9"/>
      <c r="J156" s="9"/>
      <c r="K156" s="9"/>
      <c r="L156" s="45"/>
      <c r="M156" s="9"/>
      <c r="N156" s="9"/>
      <c r="O156" s="9"/>
    </row>
    <row r="157" spans="1:17" x14ac:dyDescent="0.25">
      <c r="A157" s="51"/>
      <c r="B157" s="10" t="s">
        <v>138</v>
      </c>
      <c r="C157" s="11" t="s">
        <v>137</v>
      </c>
      <c r="D157" s="11" t="s">
        <v>32</v>
      </c>
      <c r="E157" s="9">
        <f t="shared" ref="E157:F157" si="37">E154/E69</f>
        <v>0</v>
      </c>
      <c r="F157" s="9">
        <f t="shared" si="37"/>
        <v>0</v>
      </c>
      <c r="G157" s="9"/>
      <c r="H157" s="9"/>
      <c r="I157" s="9"/>
      <c r="J157" s="9"/>
      <c r="K157" s="9"/>
      <c r="L157" s="45"/>
      <c r="M157" s="9"/>
      <c r="N157" s="9"/>
      <c r="O157" s="9"/>
    </row>
    <row r="158" spans="1:17" ht="18" x14ac:dyDescent="0.25">
      <c r="A158" s="51"/>
      <c r="B158" s="10" t="s">
        <v>202</v>
      </c>
      <c r="C158" s="11" t="s">
        <v>140</v>
      </c>
      <c r="D158" s="11" t="s">
        <v>32</v>
      </c>
      <c r="E158" s="9" t="e">
        <f t="shared" ref="E158:F158" si="38">E155/E56</f>
        <v>#DIV/0!</v>
      </c>
      <c r="F158" s="9">
        <f t="shared" si="38"/>
        <v>0</v>
      </c>
      <c r="G158" s="9"/>
      <c r="H158" s="9"/>
      <c r="I158" s="9"/>
      <c r="J158" s="9"/>
      <c r="K158" s="9"/>
      <c r="L158" s="45"/>
      <c r="M158" s="9"/>
      <c r="N158" s="9"/>
      <c r="O158" s="9"/>
    </row>
    <row r="159" spans="1:17" ht="18" x14ac:dyDescent="0.25">
      <c r="A159" s="51"/>
      <c r="B159" s="10" t="s">
        <v>142</v>
      </c>
      <c r="C159" s="11" t="s">
        <v>141</v>
      </c>
      <c r="D159" s="11" t="s">
        <v>32</v>
      </c>
      <c r="F159" s="1"/>
      <c r="G159" s="1"/>
      <c r="H159" s="1"/>
      <c r="I159" s="1"/>
      <c r="J159" s="1"/>
      <c r="K159" s="1"/>
      <c r="L159" s="42"/>
      <c r="M159" s="1"/>
      <c r="N159" s="1"/>
      <c r="O159" s="1"/>
    </row>
    <row r="160" spans="1:17" ht="18" x14ac:dyDescent="0.25">
      <c r="A160" s="51"/>
      <c r="B160" s="10" t="s">
        <v>272</v>
      </c>
      <c r="C160" s="11" t="s">
        <v>275</v>
      </c>
      <c r="D160" s="11" t="s">
        <v>178</v>
      </c>
      <c r="E160" s="9"/>
      <c r="F160" s="9"/>
      <c r="G160" s="9"/>
      <c r="H160" s="9"/>
      <c r="I160" s="9"/>
      <c r="J160" s="9"/>
      <c r="K160" s="9"/>
      <c r="L160" s="45"/>
      <c r="M160" s="9"/>
      <c r="N160" s="9"/>
      <c r="O160" s="9"/>
    </row>
    <row r="161" spans="1:17" ht="18" x14ac:dyDescent="0.25">
      <c r="A161" s="51"/>
      <c r="B161" s="10" t="s">
        <v>273</v>
      </c>
      <c r="C161" s="11" t="s">
        <v>276</v>
      </c>
      <c r="D161" s="11" t="s">
        <v>178</v>
      </c>
      <c r="E161" s="9"/>
      <c r="F161" s="9"/>
      <c r="G161" s="9"/>
      <c r="H161" s="9"/>
      <c r="I161" s="9"/>
      <c r="J161" s="9"/>
      <c r="K161" s="9"/>
      <c r="L161" s="45"/>
      <c r="M161" s="9"/>
      <c r="N161" s="9"/>
      <c r="O161" s="9"/>
    </row>
    <row r="162" spans="1:17" ht="18" x14ac:dyDescent="0.25">
      <c r="A162" s="51"/>
      <c r="B162" s="10" t="s">
        <v>274</v>
      </c>
      <c r="C162" s="11" t="s">
        <v>277</v>
      </c>
      <c r="D162" s="11" t="s">
        <v>281</v>
      </c>
      <c r="E162" s="9"/>
      <c r="F162" s="9"/>
      <c r="G162" s="9"/>
      <c r="H162" s="9"/>
      <c r="I162" s="9"/>
      <c r="J162" s="9"/>
      <c r="K162" s="9"/>
      <c r="L162" s="45"/>
      <c r="M162" s="9"/>
      <c r="N162" s="9"/>
      <c r="O162" s="9"/>
    </row>
    <row r="163" spans="1:17" ht="18" x14ac:dyDescent="0.25">
      <c r="A163" s="51"/>
      <c r="B163" s="10" t="s">
        <v>282</v>
      </c>
      <c r="C163" s="11" t="s">
        <v>278</v>
      </c>
      <c r="D163" s="11" t="s">
        <v>178</v>
      </c>
      <c r="E163" s="9"/>
      <c r="F163" s="9"/>
      <c r="G163" s="9"/>
      <c r="H163" s="9"/>
      <c r="I163" s="9"/>
      <c r="J163" s="9"/>
      <c r="K163" s="9"/>
      <c r="L163" s="45"/>
      <c r="M163" s="9"/>
      <c r="N163" s="9"/>
      <c r="O163" s="9"/>
    </row>
    <row r="164" spans="1:17" ht="18" x14ac:dyDescent="0.25">
      <c r="A164" s="51"/>
      <c r="B164" s="10" t="s">
        <v>283</v>
      </c>
      <c r="C164" s="11" t="s">
        <v>279</v>
      </c>
      <c r="D164" s="11" t="s">
        <v>178</v>
      </c>
      <c r="E164" s="9"/>
      <c r="F164" s="9"/>
      <c r="G164" s="9"/>
      <c r="H164" s="9"/>
      <c r="I164" s="9"/>
      <c r="J164" s="9"/>
      <c r="K164" s="9"/>
      <c r="L164" s="45"/>
      <c r="M164" s="9"/>
      <c r="N164" s="9"/>
      <c r="O164" s="9"/>
    </row>
    <row r="165" spans="1:17" ht="18" x14ac:dyDescent="0.25">
      <c r="A165" s="51"/>
      <c r="B165" s="10" t="s">
        <v>284</v>
      </c>
      <c r="C165" s="11" t="s">
        <v>280</v>
      </c>
      <c r="D165" s="11" t="s">
        <v>281</v>
      </c>
      <c r="E165" s="9"/>
      <c r="F165" s="9"/>
      <c r="G165" s="9"/>
      <c r="H165" s="9"/>
      <c r="I165" s="9"/>
      <c r="J165" s="9"/>
      <c r="K165" s="9"/>
      <c r="L165" s="45"/>
      <c r="M165" s="9"/>
      <c r="N165" s="9"/>
      <c r="O165" s="9"/>
    </row>
    <row r="166" spans="1:17" s="53" customFormat="1" x14ac:dyDescent="0.25"/>
    <row r="167" spans="1:17" ht="18" x14ac:dyDescent="0.25">
      <c r="A167" s="51" t="s">
        <v>23</v>
      </c>
      <c r="B167" s="10" t="s">
        <v>144</v>
      </c>
      <c r="C167" s="11" t="s">
        <v>143</v>
      </c>
      <c r="D167" s="11" t="s">
        <v>205</v>
      </c>
      <c r="E167" s="9">
        <v>145</v>
      </c>
      <c r="F167" s="9">
        <f>376/3.6</f>
        <v>104.44444444444444</v>
      </c>
      <c r="G167" s="9"/>
      <c r="H167" s="9">
        <f>555/3.6</f>
        <v>154.16666666666666</v>
      </c>
      <c r="I167" s="9"/>
      <c r="J167" s="9"/>
      <c r="K167" s="9"/>
      <c r="L167" s="45"/>
      <c r="M167" s="9"/>
      <c r="N167" s="9"/>
      <c r="O167" s="9"/>
    </row>
    <row r="168" spans="1:17" ht="18.75" customHeight="1" x14ac:dyDescent="0.25">
      <c r="A168" s="51"/>
      <c r="B168" s="10" t="s">
        <v>253</v>
      </c>
      <c r="C168" s="11" t="s">
        <v>254</v>
      </c>
      <c r="D168" s="11" t="s">
        <v>32</v>
      </c>
      <c r="E168" s="9" t="s">
        <v>269</v>
      </c>
      <c r="F168" s="9"/>
      <c r="G168" s="9"/>
      <c r="H168" s="9"/>
      <c r="I168" s="9"/>
      <c r="J168" s="9"/>
      <c r="K168" s="9"/>
      <c r="L168" s="45"/>
      <c r="M168" s="9"/>
      <c r="N168" s="9"/>
      <c r="O168" s="9"/>
    </row>
    <row r="169" spans="1:17" ht="26.25" customHeight="1" x14ac:dyDescent="0.25">
      <c r="A169" s="51"/>
      <c r="B169" s="10" t="s">
        <v>146</v>
      </c>
      <c r="C169" s="11" t="s">
        <v>145</v>
      </c>
      <c r="D169" s="11" t="s">
        <v>205</v>
      </c>
      <c r="E169" s="9">
        <f>426/3.6</f>
        <v>118.33333333333333</v>
      </c>
      <c r="F169" s="9">
        <f>278/3.6</f>
        <v>77.222222222222214</v>
      </c>
      <c r="G169" s="9"/>
      <c r="H169" s="9"/>
      <c r="I169" s="9"/>
      <c r="J169" s="9"/>
      <c r="K169" s="9"/>
      <c r="L169" s="45"/>
      <c r="M169" s="9"/>
      <c r="N169" s="9"/>
      <c r="O169" s="9"/>
    </row>
    <row r="170" spans="1:17" ht="18" x14ac:dyDescent="0.25">
      <c r="A170" s="51"/>
      <c r="B170" s="10" t="s">
        <v>293</v>
      </c>
      <c r="C170" s="11" t="s">
        <v>294</v>
      </c>
      <c r="D170" s="11" t="s">
        <v>32</v>
      </c>
      <c r="E170" s="9" t="s">
        <v>269</v>
      </c>
      <c r="F170" s="9" t="s">
        <v>269</v>
      </c>
      <c r="G170" s="9"/>
      <c r="H170" s="9"/>
      <c r="I170" s="9"/>
      <c r="J170" s="9"/>
      <c r="K170" s="9"/>
      <c r="L170" s="45"/>
      <c r="M170" s="9"/>
      <c r="N170" s="9"/>
      <c r="O170" s="9"/>
    </row>
    <row r="171" spans="1:17" ht="18" x14ac:dyDescent="0.25">
      <c r="A171" s="51"/>
      <c r="B171" s="10" t="s">
        <v>380</v>
      </c>
      <c r="C171" s="11" t="s">
        <v>381</v>
      </c>
      <c r="D171" s="11" t="s">
        <v>205</v>
      </c>
      <c r="E171" s="9"/>
      <c r="F171" s="9"/>
      <c r="G171" s="9"/>
      <c r="H171" s="9"/>
      <c r="I171" s="9"/>
      <c r="J171" s="9"/>
      <c r="K171" s="9"/>
      <c r="L171" s="45"/>
      <c r="M171" s="9"/>
      <c r="N171" s="9"/>
      <c r="O171" s="9"/>
    </row>
    <row r="172" spans="1:17" ht="30" x14ac:dyDescent="0.25">
      <c r="A172" s="51"/>
      <c r="B172" s="10" t="s">
        <v>333</v>
      </c>
      <c r="C172" s="11" t="s">
        <v>335</v>
      </c>
      <c r="D172" s="11" t="s">
        <v>205</v>
      </c>
      <c r="E172" s="9">
        <f t="shared" ref="E172:H173" si="39">E176/1.13</f>
        <v>20.48670796460177</v>
      </c>
      <c r="F172" s="9">
        <f t="shared" si="39"/>
        <v>63.736424778761069</v>
      </c>
      <c r="G172" s="9" t="e">
        <f t="shared" si="39"/>
        <v>#VALUE!</v>
      </c>
      <c r="H172" s="9" t="e">
        <f t="shared" si="39"/>
        <v>#VALUE!</v>
      </c>
      <c r="I172" s="9"/>
      <c r="J172" s="9"/>
      <c r="K172" s="9"/>
      <c r="L172" s="45"/>
      <c r="M172" s="9"/>
      <c r="N172" s="9"/>
      <c r="O172" s="9"/>
    </row>
    <row r="173" spans="1:17" ht="30" x14ac:dyDescent="0.25">
      <c r="A173" s="51"/>
      <c r="B173" s="10" t="s">
        <v>354</v>
      </c>
      <c r="C173" s="11" t="s">
        <v>355</v>
      </c>
      <c r="D173" s="11" t="s">
        <v>205</v>
      </c>
      <c r="E173" s="9">
        <f t="shared" si="39"/>
        <v>11.381504424778763</v>
      </c>
      <c r="F173" s="9" t="e">
        <f t="shared" si="39"/>
        <v>#VALUE!</v>
      </c>
      <c r="G173" s="9" t="e">
        <f t="shared" si="39"/>
        <v>#VALUE!</v>
      </c>
      <c r="H173" s="9">
        <f t="shared" si="39"/>
        <v>39.331366764995089</v>
      </c>
      <c r="I173" s="9"/>
      <c r="J173" s="9"/>
      <c r="K173" s="9"/>
      <c r="L173" s="45"/>
      <c r="M173" s="9"/>
      <c r="N173" s="9"/>
      <c r="O173" s="9"/>
    </row>
    <row r="174" spans="1:17" ht="30" x14ac:dyDescent="0.25">
      <c r="A174" s="51"/>
      <c r="B174" s="10" t="s">
        <v>332</v>
      </c>
      <c r="C174" s="11" t="s">
        <v>334</v>
      </c>
      <c r="D174" s="11" t="s">
        <v>205</v>
      </c>
      <c r="E174" s="9">
        <f>E178/1.3</f>
        <v>17.807676923076922</v>
      </c>
      <c r="F174" s="9">
        <f t="shared" ref="F174:H174" si="40">F178/1.3</f>
        <v>47.487138461538457</v>
      </c>
      <c r="G174" s="9" t="e">
        <f t="shared" si="40"/>
        <v>#VALUE!</v>
      </c>
      <c r="H174" s="9" t="e">
        <f t="shared" si="40"/>
        <v>#VALUE!</v>
      </c>
      <c r="I174" s="9"/>
      <c r="J174" s="9"/>
      <c r="K174" s="9"/>
      <c r="L174" s="45"/>
      <c r="M174" s="9"/>
      <c r="N174" s="9"/>
      <c r="O174" s="9"/>
    </row>
    <row r="175" spans="1:17" ht="32.25" customHeight="1" x14ac:dyDescent="0.25">
      <c r="A175" s="51"/>
      <c r="B175" s="10" t="s">
        <v>360</v>
      </c>
      <c r="C175" s="11" t="s">
        <v>382</v>
      </c>
      <c r="D175" s="11" t="s">
        <v>205</v>
      </c>
      <c r="E175" s="9">
        <f>E179/1.3</f>
        <v>9.8931538461538455</v>
      </c>
      <c r="F175" s="9" t="e">
        <f t="shared" ref="F175:H175" si="41">F179/1.3</f>
        <v>#VALUE!</v>
      </c>
      <c r="G175" s="9" t="e">
        <f t="shared" si="41"/>
        <v>#VALUE!</v>
      </c>
      <c r="H175" s="9">
        <f t="shared" si="41"/>
        <v>36.324786324786324</v>
      </c>
      <c r="I175" s="9"/>
      <c r="J175" s="9"/>
      <c r="K175" s="9"/>
      <c r="L175" s="45"/>
      <c r="M175" s="9"/>
      <c r="N175" s="9"/>
      <c r="O175" s="9"/>
    </row>
    <row r="176" spans="1:17" ht="30.75" customHeight="1" x14ac:dyDescent="0.25">
      <c r="A176" s="51"/>
      <c r="B176" s="10" t="s">
        <v>255</v>
      </c>
      <c r="C176" s="11" t="s">
        <v>147</v>
      </c>
      <c r="D176" s="11" t="s">
        <v>205</v>
      </c>
      <c r="E176" s="9">
        <f>45*0.514444</f>
        <v>23.149979999999999</v>
      </c>
      <c r="F176" s="9">
        <f>0.514444*140</f>
        <v>72.02216</v>
      </c>
      <c r="G176" s="9" t="s">
        <v>269</v>
      </c>
      <c r="H176" s="9" t="s">
        <v>269</v>
      </c>
      <c r="I176" s="9"/>
      <c r="J176" s="9"/>
      <c r="K176" s="9"/>
      <c r="L176" s="45"/>
      <c r="M176" s="9"/>
      <c r="N176" s="9"/>
      <c r="O176" s="9"/>
      <c r="Q176" s="29">
        <f>0.514444*72</f>
        <v>37.039968000000002</v>
      </c>
    </row>
    <row r="177" spans="1:17" ht="18" x14ac:dyDescent="0.25">
      <c r="A177" s="51"/>
      <c r="B177" s="10" t="s">
        <v>351</v>
      </c>
      <c r="C177" s="11" t="s">
        <v>352</v>
      </c>
      <c r="D177" s="11" t="s">
        <v>205</v>
      </c>
      <c r="E177" s="9">
        <f>25*0.514444</f>
        <v>12.8611</v>
      </c>
      <c r="F177" s="9" t="s">
        <v>269</v>
      </c>
      <c r="G177" s="9" t="s">
        <v>269</v>
      </c>
      <c r="H177" s="9">
        <f>160/3.6</f>
        <v>44.444444444444443</v>
      </c>
      <c r="I177" s="9"/>
      <c r="J177" s="9"/>
      <c r="K177" s="9"/>
      <c r="L177" s="45"/>
      <c r="M177" s="9"/>
      <c r="N177" s="9"/>
      <c r="O177" s="9"/>
      <c r="Q177" s="29">
        <f>0.514444*52</f>
        <v>26.751087999999999</v>
      </c>
    </row>
    <row r="178" spans="1:17" ht="33" customHeight="1" x14ac:dyDescent="0.25">
      <c r="A178" s="51"/>
      <c r="B178" s="10" t="s">
        <v>356</v>
      </c>
      <c r="C178" s="11" t="s">
        <v>357</v>
      </c>
      <c r="D178" s="11" t="s">
        <v>205</v>
      </c>
      <c r="E178" s="9">
        <f>45*0.514444</f>
        <v>23.149979999999999</v>
      </c>
      <c r="F178" s="9">
        <f>0.514444*120</f>
        <v>61.733280000000001</v>
      </c>
      <c r="G178" s="9" t="s">
        <v>269</v>
      </c>
      <c r="H178" s="9" t="s">
        <v>269</v>
      </c>
      <c r="I178" s="9"/>
      <c r="J178" s="9"/>
      <c r="K178" s="9"/>
      <c r="L178" s="45"/>
      <c r="M178" s="9"/>
      <c r="N178" s="9"/>
      <c r="O178" s="9"/>
      <c r="Q178" s="29">
        <f>0.514444*85</f>
        <v>43.727740000000004</v>
      </c>
    </row>
    <row r="179" spans="1:17" ht="33" customHeight="1" x14ac:dyDescent="0.25">
      <c r="A179" s="51"/>
      <c r="B179" s="10" t="s">
        <v>359</v>
      </c>
      <c r="C179" s="11" t="s">
        <v>358</v>
      </c>
      <c r="D179" s="11" t="s">
        <v>205</v>
      </c>
      <c r="E179" s="9">
        <f>25*0.514444</f>
        <v>12.8611</v>
      </c>
      <c r="F179" s="9" t="s">
        <v>269</v>
      </c>
      <c r="G179" s="9" t="s">
        <v>269</v>
      </c>
      <c r="H179" s="9">
        <f>170/3.6</f>
        <v>47.222222222222221</v>
      </c>
      <c r="I179" s="9"/>
      <c r="J179" s="9"/>
      <c r="K179" s="9"/>
      <c r="L179" s="45"/>
      <c r="M179" s="9"/>
      <c r="N179" s="9"/>
      <c r="O179" s="9"/>
      <c r="Q179" s="29">
        <f>0.514444*65</f>
        <v>33.438859999999998</v>
      </c>
    </row>
    <row r="180" spans="1:17" ht="33" customHeight="1" x14ac:dyDescent="0.25">
      <c r="A180" s="51"/>
      <c r="B180" s="10" t="s">
        <v>250</v>
      </c>
      <c r="C180" s="11" t="s">
        <v>323</v>
      </c>
      <c r="D180" s="11" t="s">
        <v>205</v>
      </c>
      <c r="E180" s="9" t="s">
        <v>269</v>
      </c>
      <c r="F180" s="9" t="s">
        <v>269</v>
      </c>
      <c r="G180" s="9" t="s">
        <v>269</v>
      </c>
      <c r="H180" s="9" t="s">
        <v>269</v>
      </c>
      <c r="I180" s="9"/>
      <c r="J180" s="9"/>
      <c r="K180" s="9"/>
      <c r="L180" s="45"/>
      <c r="M180" s="9"/>
      <c r="N180" s="9"/>
      <c r="O180" s="9"/>
    </row>
    <row r="181" spans="1:17" ht="18" x14ac:dyDescent="0.25">
      <c r="A181" s="51"/>
      <c r="B181" s="10" t="s">
        <v>148</v>
      </c>
      <c r="C181" s="11" t="s">
        <v>149</v>
      </c>
      <c r="D181" s="11" t="s">
        <v>205</v>
      </c>
      <c r="E181" s="9">
        <f>488/60</f>
        <v>8.1333333333333329</v>
      </c>
      <c r="F181" s="9">
        <f>396/60</f>
        <v>6.6</v>
      </c>
      <c r="G181" s="9">
        <f>912/60</f>
        <v>15.2</v>
      </c>
      <c r="H181" s="9"/>
      <c r="I181" s="9"/>
      <c r="J181" s="9"/>
      <c r="K181" s="9"/>
      <c r="L181" s="45"/>
      <c r="M181" s="9"/>
      <c r="N181" s="9"/>
      <c r="O181" s="9"/>
    </row>
    <row r="182" spans="1:17" x14ac:dyDescent="0.25">
      <c r="A182" s="51"/>
      <c r="B182" s="10" t="s">
        <v>152</v>
      </c>
      <c r="C182" s="11" t="s">
        <v>150</v>
      </c>
      <c r="D182" s="11" t="s">
        <v>204</v>
      </c>
      <c r="E182" s="1">
        <v>3815</v>
      </c>
      <c r="F182" s="38">
        <v>2315</v>
      </c>
      <c r="G182" s="1">
        <v>4000</v>
      </c>
      <c r="H182" s="1">
        <v>4750</v>
      </c>
      <c r="I182" s="1"/>
      <c r="J182" s="1"/>
      <c r="K182" s="35"/>
      <c r="L182" s="42"/>
      <c r="M182" s="35"/>
      <c r="N182" s="35"/>
      <c r="O182" s="35"/>
    </row>
    <row r="183" spans="1:17" x14ac:dyDescent="0.25">
      <c r="A183" s="51"/>
      <c r="B183" s="10" t="s">
        <v>153</v>
      </c>
      <c r="C183" s="11" t="s">
        <v>151</v>
      </c>
      <c r="D183" s="11" t="s">
        <v>203</v>
      </c>
      <c r="F183" s="38"/>
      <c r="G183" s="1"/>
      <c r="H183" s="1">
        <v>15</v>
      </c>
      <c r="I183" s="1"/>
      <c r="J183" s="1"/>
      <c r="K183" s="35"/>
      <c r="L183" s="42"/>
      <c r="M183" s="35"/>
      <c r="N183" s="35"/>
      <c r="O183" s="35"/>
    </row>
    <row r="184" spans="1:17" ht="18" x14ac:dyDescent="0.25">
      <c r="A184" s="51"/>
      <c r="B184" s="10" t="s">
        <v>251</v>
      </c>
      <c r="C184" s="11" t="s">
        <v>252</v>
      </c>
      <c r="D184" s="11" t="s">
        <v>178</v>
      </c>
      <c r="E184" s="1" t="s">
        <v>269</v>
      </c>
      <c r="F184" s="38" t="s">
        <v>269</v>
      </c>
      <c r="G184" s="1">
        <v>11000</v>
      </c>
      <c r="H184" s="1">
        <v>7000</v>
      </c>
      <c r="I184" s="1"/>
      <c r="J184" s="1"/>
      <c r="K184" s="35"/>
      <c r="L184" s="42"/>
      <c r="M184" s="35"/>
      <c r="N184" s="35"/>
      <c r="O184" s="35"/>
    </row>
    <row r="185" spans="1:17" ht="18" x14ac:dyDescent="0.25">
      <c r="A185" s="51"/>
      <c r="B185" s="10" t="s">
        <v>259</v>
      </c>
      <c r="C185" s="11" t="s">
        <v>260</v>
      </c>
      <c r="D185" s="11" t="s">
        <v>178</v>
      </c>
      <c r="E185" s="1">
        <f>10000*0.3048</f>
        <v>3048</v>
      </c>
      <c r="F185" s="38">
        <f>10000*0.3048</f>
        <v>3048</v>
      </c>
      <c r="G185" s="1">
        <v>8000</v>
      </c>
      <c r="H185" s="1"/>
      <c r="I185" s="1"/>
      <c r="J185" s="1"/>
      <c r="K185" s="35"/>
      <c r="L185" s="42"/>
      <c r="M185" s="35"/>
      <c r="N185" s="35"/>
      <c r="O185" s="35"/>
    </row>
    <row r="186" spans="1:17" x14ac:dyDescent="0.25">
      <c r="A186" s="51"/>
      <c r="B186" s="10" t="s">
        <v>20</v>
      </c>
      <c r="C186" s="11" t="s">
        <v>32</v>
      </c>
      <c r="D186" s="11" t="s">
        <v>32</v>
      </c>
      <c r="E186" s="1" t="s">
        <v>317</v>
      </c>
      <c r="F186" s="38" t="s">
        <v>317</v>
      </c>
      <c r="G186" s="1"/>
      <c r="H186" s="1"/>
      <c r="I186" s="1"/>
      <c r="J186" s="1"/>
      <c r="K186" s="35"/>
      <c r="L186" s="42"/>
      <c r="M186" s="35"/>
      <c r="N186" s="35"/>
      <c r="O186" s="35"/>
    </row>
    <row r="187" spans="1:17" ht="18" x14ac:dyDescent="0.25">
      <c r="A187" s="51"/>
      <c r="B187" s="10" t="s">
        <v>21</v>
      </c>
      <c r="C187" s="11" t="s">
        <v>166</v>
      </c>
      <c r="D187" s="11" t="s">
        <v>178</v>
      </c>
      <c r="E187" s="1">
        <v>655</v>
      </c>
      <c r="F187" s="38">
        <v>783</v>
      </c>
      <c r="G187" s="1"/>
      <c r="H187" s="1"/>
      <c r="I187" s="1"/>
      <c r="J187" s="1"/>
      <c r="K187" s="35"/>
      <c r="L187" s="42"/>
      <c r="M187" s="35"/>
      <c r="N187" s="35"/>
      <c r="O187" s="35"/>
    </row>
    <row r="188" spans="1:17" ht="18" x14ac:dyDescent="0.25">
      <c r="A188" s="51"/>
      <c r="B188" s="10" t="s">
        <v>22</v>
      </c>
      <c r="C188" s="11" t="s">
        <v>165</v>
      </c>
      <c r="D188" s="11" t="s">
        <v>178</v>
      </c>
      <c r="E188" s="1">
        <v>810</v>
      </c>
      <c r="F188" s="38">
        <v>674</v>
      </c>
      <c r="G188" s="1"/>
      <c r="H188" s="1"/>
      <c r="I188" s="1"/>
      <c r="J188" s="1"/>
      <c r="K188" s="35"/>
      <c r="L188" s="42"/>
      <c r="M188" s="35"/>
      <c r="N188" s="35"/>
      <c r="O188" s="35"/>
    </row>
    <row r="189" spans="1:17" ht="18" x14ac:dyDescent="0.25">
      <c r="A189" s="37"/>
      <c r="B189" s="10" t="s">
        <v>347</v>
      </c>
      <c r="C189" s="11" t="s">
        <v>348</v>
      </c>
      <c r="D189" s="11" t="s">
        <v>178</v>
      </c>
      <c r="E189" s="38">
        <v>735</v>
      </c>
      <c r="F189" s="38">
        <v>808</v>
      </c>
      <c r="G189" s="38"/>
      <c r="H189" s="38">
        <v>548</v>
      </c>
      <c r="I189" s="38"/>
      <c r="J189" s="38"/>
      <c r="K189" s="38"/>
      <c r="L189" s="42"/>
      <c r="M189" s="38"/>
      <c r="N189" s="38"/>
      <c r="O189" s="38"/>
    </row>
    <row r="190" spans="1:17" ht="18" x14ac:dyDescent="0.25">
      <c r="A190" s="37"/>
      <c r="B190" s="10" t="s">
        <v>349</v>
      </c>
      <c r="C190" s="11" t="s">
        <v>350</v>
      </c>
      <c r="D190" s="11" t="s">
        <v>178</v>
      </c>
      <c r="E190" s="38">
        <v>561</v>
      </c>
      <c r="F190" s="38">
        <v>665</v>
      </c>
      <c r="G190" s="38"/>
      <c r="H190" s="38">
        <v>240</v>
      </c>
      <c r="I190" s="38"/>
      <c r="J190" s="38"/>
      <c r="K190" s="38"/>
      <c r="L190" s="42"/>
      <c r="M190" s="38"/>
      <c r="N190" s="38"/>
      <c r="O190" s="38"/>
    </row>
    <row r="191" spans="1:17" s="1" customFormat="1" x14ac:dyDescent="0.25">
      <c r="L191" s="42"/>
    </row>
    <row r="192" spans="1:17" s="1" customFormat="1" x14ac:dyDescent="0.25">
      <c r="A192" s="32"/>
      <c r="B192" s="32"/>
      <c r="C192" s="52" t="s">
        <v>243</v>
      </c>
      <c r="D192" s="52"/>
      <c r="E192" s="13" t="e">
        <f t="shared" ref="E192:F192" si="42">SUM(SUMPRODUCT(1*(E3:E4="")),SUMPRODUCT(1*(E6:E9="")),SUMPRODUCT(1*(E11:E23="")),SUMPRODUCT(1*(E26:E41="")),SUMPRODUCT(1*(E44:E53="")),SUMPRODUCT(1*(E56:E63="")),SUMPRODUCT(1*(E65:E85="")),SUMPRODUCT(1*(E87:E92="")),SUMPRODUCT(1*(E94:E99="")),SUMPRODUCT(1*(E101:E118="")),SUMPRODUCT(1*(E120:E122="")),SUMPRODUCT(1*(E124:E141="")),SUMPRODUCT(1*(E143:E145="")),SUMPRODUCT(1*(E153:E165="")),SUMPRODUCT(1*(E167:E188="")))</f>
        <v>#DIV/0!</v>
      </c>
      <c r="F192" s="13" t="e">
        <f t="shared" si="42"/>
        <v>#DIV/0!</v>
      </c>
      <c r="G192" s="13"/>
      <c r="H192" s="13"/>
      <c r="I192" s="13"/>
      <c r="J192" s="13"/>
      <c r="K192" s="13"/>
      <c r="L192" s="42"/>
      <c r="M192" s="13"/>
      <c r="N192" s="13"/>
      <c r="O192" s="13"/>
    </row>
    <row r="193" spans="2:14" s="1" customFormat="1" x14ac:dyDescent="0.25">
      <c r="L193" s="42"/>
    </row>
    <row r="194" spans="2:14" x14ac:dyDescent="0.25">
      <c r="B194" s="28" t="s">
        <v>383</v>
      </c>
      <c r="C194" s="28"/>
      <c r="D194" s="28"/>
      <c r="E194" s="28">
        <f>2*E85/(E173^2*1.225)</f>
        <v>39.130911910285704</v>
      </c>
      <c r="F194" s="28" t="e">
        <f t="shared" ref="F194:M194" si="43">2*F85/(F173^2*1.225)</f>
        <v>#VALUE!</v>
      </c>
      <c r="G194" s="28" t="e">
        <f t="shared" si="43"/>
        <v>#VALUE!</v>
      </c>
      <c r="H194" s="28">
        <f t="shared" si="43"/>
        <v>0</v>
      </c>
      <c r="I194" s="28" t="e">
        <f t="shared" si="43"/>
        <v>#DIV/0!</v>
      </c>
      <c r="J194" s="28" t="e">
        <f t="shared" si="43"/>
        <v>#DIV/0!</v>
      </c>
      <c r="K194" s="28" t="e">
        <f t="shared" si="43"/>
        <v>#DIV/0!</v>
      </c>
      <c r="L194" s="50" t="e">
        <f t="shared" si="43"/>
        <v>#DIV/0!</v>
      </c>
      <c r="M194" s="28" t="e">
        <f t="shared" si="43"/>
        <v>#DIV/0!</v>
      </c>
      <c r="N194" s="26"/>
    </row>
    <row r="195" spans="2:14" x14ac:dyDescent="0.25">
      <c r="C195" s="28"/>
      <c r="D195" s="28"/>
      <c r="E195" s="28"/>
      <c r="F195" s="26"/>
      <c r="G195" s="28"/>
      <c r="H195" s="28"/>
      <c r="I195" s="26"/>
      <c r="J195" s="26"/>
      <c r="K195" s="26"/>
      <c r="L195" s="49"/>
      <c r="M195" s="26"/>
      <c r="N195" s="26"/>
    </row>
    <row r="196" spans="2:14" x14ac:dyDescent="0.25">
      <c r="C196" s="28"/>
      <c r="D196" s="28"/>
      <c r="E196" s="28"/>
      <c r="F196" s="26"/>
      <c r="G196" s="28"/>
      <c r="H196" s="28"/>
      <c r="I196" s="26"/>
      <c r="J196" s="26"/>
      <c r="K196" s="26"/>
      <c r="L196" s="49"/>
      <c r="M196" s="26"/>
      <c r="N196" s="26"/>
    </row>
    <row r="197" spans="2:14" x14ac:dyDescent="0.25">
      <c r="C197" s="28"/>
      <c r="D197" s="28"/>
      <c r="E197" s="28"/>
      <c r="F197" s="26"/>
      <c r="G197" s="28"/>
      <c r="H197" s="28"/>
      <c r="I197" s="26"/>
      <c r="J197" s="26"/>
      <c r="K197" s="26"/>
      <c r="L197" s="49"/>
      <c r="M197" s="26"/>
      <c r="N197" s="26"/>
    </row>
    <row r="198" spans="2:14" x14ac:dyDescent="0.25">
      <c r="C198" s="28"/>
      <c r="D198" s="28"/>
      <c r="E198" s="28"/>
      <c r="F198" s="26"/>
      <c r="G198" s="28"/>
      <c r="H198" s="28"/>
      <c r="I198" s="26"/>
      <c r="J198" s="26"/>
      <c r="K198" s="26"/>
      <c r="L198" s="49"/>
      <c r="M198" s="26"/>
      <c r="N198" s="26"/>
    </row>
    <row r="199" spans="2:14" x14ac:dyDescent="0.25">
      <c r="C199" s="28"/>
      <c r="D199" s="28"/>
      <c r="E199" s="28"/>
      <c r="F199" s="26"/>
      <c r="G199" s="28"/>
      <c r="H199" s="28"/>
      <c r="I199" s="26"/>
      <c r="J199" s="26"/>
      <c r="K199" s="26"/>
      <c r="L199" s="49"/>
      <c r="M199" s="26"/>
      <c r="N199" s="26"/>
    </row>
    <row r="200" spans="2:14" x14ac:dyDescent="0.25">
      <c r="C200" s="28"/>
      <c r="D200" s="28"/>
      <c r="E200" s="28"/>
      <c r="F200" s="26"/>
      <c r="G200" s="28"/>
      <c r="H200" s="28"/>
      <c r="I200" s="26"/>
      <c r="J200" s="26"/>
      <c r="K200" s="26"/>
      <c r="L200" s="49"/>
      <c r="M200" s="26"/>
      <c r="N200" s="26"/>
    </row>
    <row r="201" spans="2:14" x14ac:dyDescent="0.25">
      <c r="C201" s="28"/>
      <c r="D201" s="28"/>
      <c r="E201" s="28"/>
      <c r="F201" s="26"/>
      <c r="G201" s="28"/>
      <c r="H201" s="28"/>
      <c r="I201" s="26"/>
      <c r="J201" s="26"/>
      <c r="K201" s="26"/>
      <c r="L201" s="49"/>
      <c r="M201" s="26"/>
      <c r="N201" s="26"/>
    </row>
    <row r="202" spans="2:14" x14ac:dyDescent="0.25">
      <c r="C202" s="28"/>
      <c r="D202" s="28"/>
      <c r="E202" s="28"/>
      <c r="F202" s="26"/>
      <c r="G202" s="28"/>
      <c r="H202" s="28"/>
      <c r="I202" s="26"/>
      <c r="J202" s="26"/>
      <c r="K202" s="26"/>
      <c r="L202" s="49"/>
      <c r="M202" s="26"/>
      <c r="N202" s="26"/>
    </row>
    <row r="203" spans="2:14" x14ac:dyDescent="0.25">
      <c r="C203" s="28"/>
      <c r="D203" s="28"/>
      <c r="E203" s="28"/>
      <c r="F203" s="26"/>
      <c r="G203" s="28"/>
      <c r="H203" s="28"/>
      <c r="I203" s="26"/>
      <c r="J203" s="26"/>
      <c r="K203" s="26"/>
      <c r="L203" s="49"/>
      <c r="M203" s="26"/>
      <c r="N203" s="26"/>
    </row>
    <row r="204" spans="2:14" x14ac:dyDescent="0.25">
      <c r="C204" s="28"/>
      <c r="D204" s="28"/>
      <c r="E204" s="28"/>
      <c r="F204" s="26"/>
      <c r="G204" s="28"/>
      <c r="H204" s="28"/>
      <c r="I204" s="26"/>
      <c r="J204" s="26"/>
      <c r="K204" s="26"/>
      <c r="L204" s="49"/>
      <c r="M204" s="26"/>
      <c r="N204" s="26"/>
    </row>
    <row r="205" spans="2:14" x14ac:dyDescent="0.25">
      <c r="C205" s="28"/>
      <c r="D205" s="28"/>
      <c r="E205" s="28"/>
      <c r="F205" s="26"/>
      <c r="G205" s="28"/>
      <c r="H205" s="28"/>
      <c r="I205" s="26"/>
      <c r="J205" s="26"/>
      <c r="K205" s="26"/>
      <c r="L205" s="49"/>
      <c r="M205" s="26"/>
      <c r="N205" s="26"/>
    </row>
    <row r="206" spans="2:14" x14ac:dyDescent="0.25">
      <c r="C206" s="28"/>
      <c r="D206" s="28"/>
      <c r="E206" s="28"/>
      <c r="F206" s="26"/>
      <c r="G206" s="28"/>
      <c r="H206" s="28"/>
      <c r="I206" s="26"/>
      <c r="J206" s="26"/>
      <c r="K206" s="26"/>
      <c r="L206" s="49"/>
      <c r="M206" s="26"/>
      <c r="N206" s="26"/>
    </row>
    <row r="207" spans="2:14" x14ac:dyDescent="0.25">
      <c r="C207" s="28"/>
      <c r="D207" s="28"/>
      <c r="E207" s="28"/>
      <c r="F207" s="26"/>
      <c r="G207" s="28"/>
      <c r="H207" s="28"/>
      <c r="I207" s="26"/>
      <c r="J207" s="26"/>
      <c r="K207" s="26"/>
      <c r="L207" s="49"/>
      <c r="M207" s="26"/>
      <c r="N207" s="26"/>
    </row>
    <row r="208" spans="2:14" x14ac:dyDescent="0.25">
      <c r="C208" s="28"/>
      <c r="D208" s="28"/>
      <c r="E208" s="28"/>
      <c r="F208" s="26"/>
      <c r="G208" s="26"/>
      <c r="H208" s="26"/>
      <c r="I208" s="26"/>
      <c r="J208" s="26"/>
      <c r="K208" s="26"/>
      <c r="L208" s="49"/>
      <c r="M208" s="26"/>
      <c r="N208" s="26"/>
    </row>
    <row r="209" spans="2:14" x14ac:dyDescent="0.25">
      <c r="C209" s="28"/>
      <c r="D209" s="28"/>
      <c r="E209" s="28"/>
      <c r="F209" s="26"/>
      <c r="G209" s="26"/>
      <c r="H209" s="26"/>
      <c r="I209" s="26"/>
      <c r="J209" s="26"/>
      <c r="K209" s="26"/>
      <c r="L209" s="49"/>
      <c r="M209" s="26"/>
      <c r="N209" s="26"/>
    </row>
    <row r="210" spans="2:14" x14ac:dyDescent="0.25">
      <c r="B210" s="26"/>
      <c r="C210" s="26"/>
      <c r="D210" s="26"/>
      <c r="E210" s="26"/>
      <c r="F210" s="26"/>
      <c r="G210" s="26"/>
      <c r="H210" s="26"/>
      <c r="I210" s="26"/>
      <c r="J210" s="26"/>
      <c r="K210" s="26"/>
      <c r="L210" s="49"/>
      <c r="M210" s="26"/>
      <c r="N210" s="26"/>
    </row>
    <row r="211" spans="2:14" x14ac:dyDescent="0.25">
      <c r="B211" s="26"/>
      <c r="C211" s="26"/>
      <c r="D211" s="26"/>
      <c r="E211" s="26"/>
      <c r="F211" s="26"/>
      <c r="G211" s="26"/>
      <c r="H211" s="26"/>
      <c r="I211" s="26"/>
      <c r="J211" s="26"/>
      <c r="K211" s="26"/>
      <c r="L211" s="49"/>
      <c r="M211" s="26"/>
      <c r="N211" s="26"/>
    </row>
    <row r="212" spans="2:14" x14ac:dyDescent="0.25">
      <c r="B212" s="26"/>
      <c r="C212" s="26"/>
      <c r="D212" s="26"/>
      <c r="E212" s="26"/>
      <c r="F212" s="26"/>
      <c r="G212" s="26"/>
      <c r="H212" s="26"/>
      <c r="I212" s="26"/>
      <c r="J212" s="26"/>
      <c r="K212" s="26"/>
      <c r="L212" s="49"/>
      <c r="M212" s="26"/>
      <c r="N212" s="26"/>
    </row>
    <row r="213" spans="2:14" x14ac:dyDescent="0.25">
      <c r="B213" s="26"/>
      <c r="C213" s="26"/>
      <c r="D213" s="26"/>
      <c r="E213" s="26"/>
      <c r="F213" s="26"/>
      <c r="G213" s="26"/>
      <c r="H213" s="26"/>
      <c r="I213" s="26"/>
      <c r="J213" s="26"/>
      <c r="K213" s="26"/>
      <c r="L213" s="49"/>
      <c r="M213" s="26"/>
      <c r="N213" s="26"/>
    </row>
    <row r="214" spans="2:14" x14ac:dyDescent="0.25">
      <c r="B214" s="26"/>
      <c r="C214" s="26"/>
      <c r="D214" s="26"/>
      <c r="E214" s="26"/>
      <c r="F214" s="26"/>
      <c r="G214" s="26"/>
      <c r="H214" s="26"/>
      <c r="I214" s="26"/>
      <c r="J214" s="26"/>
      <c r="K214" s="26"/>
      <c r="L214" s="49"/>
      <c r="M214" s="26"/>
      <c r="N214" s="26"/>
    </row>
    <row r="215" spans="2:14" x14ac:dyDescent="0.25">
      <c r="B215" s="26"/>
      <c r="C215" s="26"/>
      <c r="D215" s="26"/>
      <c r="E215" s="26"/>
      <c r="F215" s="26"/>
      <c r="G215" s="26"/>
      <c r="H215" s="26"/>
      <c r="I215" s="26"/>
      <c r="J215" s="26"/>
      <c r="K215" s="26"/>
      <c r="L215" s="49"/>
      <c r="M215" s="26"/>
      <c r="N215" s="26"/>
    </row>
    <row r="216" spans="2:14" x14ac:dyDescent="0.25">
      <c r="B216" s="26"/>
      <c r="C216" s="26"/>
      <c r="D216" s="26"/>
      <c r="E216" s="26"/>
      <c r="F216" s="26"/>
      <c r="G216" s="26"/>
      <c r="H216" s="26"/>
      <c r="I216" s="26"/>
      <c r="J216" s="26"/>
      <c r="K216" s="26"/>
      <c r="L216" s="49"/>
      <c r="M216" s="26"/>
      <c r="N216" s="26"/>
    </row>
  </sheetData>
  <mergeCells count="31">
    <mergeCell ref="A2:XFD2"/>
    <mergeCell ref="A26:A41"/>
    <mergeCell ref="A153:A165"/>
    <mergeCell ref="A94:A99"/>
    <mergeCell ref="A123:XFD123"/>
    <mergeCell ref="A152:XFD152"/>
    <mergeCell ref="A56:A62"/>
    <mergeCell ref="A101:A118"/>
    <mergeCell ref="A120:A122"/>
    <mergeCell ref="A119:XFD119"/>
    <mergeCell ref="A124:A141"/>
    <mergeCell ref="A143:A145"/>
    <mergeCell ref="A142:XFD142"/>
    <mergeCell ref="A43:A54"/>
    <mergeCell ref="A64:XFD64"/>
    <mergeCell ref="A86:XFD86"/>
    <mergeCell ref="A3:A9"/>
    <mergeCell ref="A10:XFD10"/>
    <mergeCell ref="A25:XFD25"/>
    <mergeCell ref="A42:XFD42"/>
    <mergeCell ref="A55:XFD55"/>
    <mergeCell ref="A11:A23"/>
    <mergeCell ref="A65:A85"/>
    <mergeCell ref="C192:D192"/>
    <mergeCell ref="A166:XFD166"/>
    <mergeCell ref="A167:A188"/>
    <mergeCell ref="A93:XFD93"/>
    <mergeCell ref="A100:XFD100"/>
    <mergeCell ref="A87:A92"/>
    <mergeCell ref="A146:XFD146"/>
    <mergeCell ref="A147:A149"/>
  </mergeCells>
  <conditionalFormatting sqref="E33:O33">
    <cfRule type="expression" dxfId="1" priority="1">
      <formula>INDIRECT(ADDRESS(32,COLUMN()))&lt;INDIRECT(ADDRESS(31,COLUMN()))</formula>
    </cfRule>
    <cfRule type="expression" dxfId="0" priority="2">
      <formula>INDIRECT(ADDRESS(32,COLUMN()))&lt;INDIRECT(ADDRESS(30,COLUMN()))</formula>
    </cfRule>
  </conditionalFormatting>
  <pageMargins left="0.25" right="0.25" top="0.75" bottom="0.75" header="0.3" footer="0.3"/>
  <pageSetup paperSize="9" scale="85" fitToWidth="2" fitToHeight="0" pageOrder="overThenDown" orientation="landscape" horizontalDpi="1200" verticalDpi="1200"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A12" sqref="A12:XFD12"/>
    </sheetView>
  </sheetViews>
  <sheetFormatPr baseColWidth="10" defaultColWidth="9.140625" defaultRowHeight="15" x14ac:dyDescent="0.25"/>
  <cols>
    <col min="1" max="1" width="19.140625" customWidth="1"/>
    <col min="2" max="2" width="12" customWidth="1"/>
    <col min="3" max="3" width="12.7109375" customWidth="1"/>
  </cols>
  <sheetData>
    <row r="1" spans="1:3" ht="17.25" x14ac:dyDescent="0.25">
      <c r="A1" s="20" t="s">
        <v>297</v>
      </c>
      <c r="B1" s="21" t="s">
        <v>295</v>
      </c>
      <c r="C1" s="6">
        <v>9.8066499999999994</v>
      </c>
    </row>
    <row r="2" spans="1:3" ht="17.25" x14ac:dyDescent="0.25">
      <c r="A2" s="20" t="s">
        <v>296</v>
      </c>
      <c r="B2" s="21" t="s">
        <v>298</v>
      </c>
      <c r="C2" s="6">
        <v>32.173999999999999</v>
      </c>
    </row>
    <row r="3" spans="1:3" x14ac:dyDescent="0.25">
      <c r="A3" s="20" t="s">
        <v>305</v>
      </c>
      <c r="B3" s="21" t="s">
        <v>179</v>
      </c>
      <c r="C3" s="6">
        <f>CONVERT(C4,"lbm","kg")</f>
        <v>90.718474000000001</v>
      </c>
    </row>
    <row r="4" spans="1:3" x14ac:dyDescent="0.25">
      <c r="A4" s="20" t="s">
        <v>300</v>
      </c>
      <c r="B4" s="21" t="s">
        <v>299</v>
      </c>
      <c r="C4" s="6">
        <v>200</v>
      </c>
    </row>
    <row r="5" spans="1:3" x14ac:dyDescent="0.25">
      <c r="A5" s="20" t="s">
        <v>306</v>
      </c>
      <c r="B5" s="21" t="s">
        <v>179</v>
      </c>
      <c r="C5" s="6">
        <f>CONVERT(C6,"lbm","kg")</f>
        <v>79.378664749999999</v>
      </c>
    </row>
    <row r="6" spans="1:3" x14ac:dyDescent="0.25">
      <c r="A6" s="20" t="s">
        <v>301</v>
      </c>
      <c r="B6" s="21" t="s">
        <v>299</v>
      </c>
      <c r="C6" s="6">
        <v>175</v>
      </c>
    </row>
    <row r="7" spans="1:3" x14ac:dyDescent="0.25">
      <c r="A7" s="20" t="s">
        <v>307</v>
      </c>
      <c r="B7" s="21" t="s">
        <v>179</v>
      </c>
      <c r="C7" s="6">
        <f>CONVERT(C8,"lbm","kg")</f>
        <v>18.143694800000002</v>
      </c>
    </row>
    <row r="8" spans="1:3" x14ac:dyDescent="0.25">
      <c r="A8" s="20" t="s">
        <v>302</v>
      </c>
      <c r="B8" s="21" t="s">
        <v>299</v>
      </c>
      <c r="C8" s="6">
        <v>40</v>
      </c>
    </row>
    <row r="9" spans="1:3" x14ac:dyDescent="0.25">
      <c r="A9" s="20" t="s">
        <v>304</v>
      </c>
      <c r="B9" s="21" t="s">
        <v>179</v>
      </c>
      <c r="C9" s="6">
        <f>CONVERT(C10,"lbm","kg")</f>
        <v>13.607771100000001</v>
      </c>
    </row>
    <row r="10" spans="1:3" x14ac:dyDescent="0.25">
      <c r="A10" s="20" t="s">
        <v>303</v>
      </c>
      <c r="B10" s="21" t="s">
        <v>299</v>
      </c>
      <c r="C10" s="6">
        <v>30</v>
      </c>
    </row>
    <row r="11" spans="1:3" x14ac:dyDescent="0.25">
      <c r="A11" s="20" t="s">
        <v>384</v>
      </c>
      <c r="B11" s="21" t="s">
        <v>385</v>
      </c>
      <c r="C11" s="6">
        <v>1000</v>
      </c>
    </row>
    <row r="12" spans="1:3" x14ac:dyDescent="0.25">
      <c r="A12" s="20" t="s">
        <v>353</v>
      </c>
      <c r="B12" s="21"/>
      <c r="C12">
        <v>0.51444400000000001</v>
      </c>
    </row>
    <row r="13" spans="1:3" x14ac:dyDescent="0.25">
      <c r="A13" s="20" t="s">
        <v>362</v>
      </c>
      <c r="B13" s="21"/>
      <c r="C13" s="40">
        <v>745.69987200000003</v>
      </c>
    </row>
  </sheetData>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6"/>
  <sheetViews>
    <sheetView workbookViewId="0">
      <selection activeCell="D20" sqref="D20"/>
    </sheetView>
  </sheetViews>
  <sheetFormatPr baseColWidth="10" defaultRowHeight="15" x14ac:dyDescent="0.25"/>
  <cols>
    <col min="1" max="1" width="31.85546875" customWidth="1"/>
    <col min="3" max="3" width="25.28515625" customWidth="1"/>
    <col min="4" max="4" width="36.42578125" customWidth="1"/>
  </cols>
  <sheetData>
    <row r="1" spans="1:5" x14ac:dyDescent="0.25">
      <c r="B1" t="s">
        <v>312</v>
      </c>
      <c r="C1" s="38" t="s">
        <v>372</v>
      </c>
      <c r="D1" t="s">
        <v>373</v>
      </c>
      <c r="E1" t="s">
        <v>319</v>
      </c>
    </row>
    <row r="2" spans="1:5" x14ac:dyDescent="0.25">
      <c r="A2" t="s">
        <v>363</v>
      </c>
      <c r="B2">
        <f>745.699872*3400/1000</f>
        <v>2535.3795648000005</v>
      </c>
      <c r="C2">
        <v>3864</v>
      </c>
      <c r="D2">
        <v>2050</v>
      </c>
      <c r="E2">
        <v>1600</v>
      </c>
    </row>
    <row r="3" spans="1:5" x14ac:dyDescent="0.25">
      <c r="A3" t="s">
        <v>365</v>
      </c>
      <c r="B3">
        <v>0.48899999999999999</v>
      </c>
    </row>
    <row r="4" spans="1:5" x14ac:dyDescent="0.25">
      <c r="A4" t="s">
        <v>364</v>
      </c>
      <c r="B4">
        <f>745.699872*2745/1000</f>
        <v>2046.94614864</v>
      </c>
      <c r="C4">
        <v>2032</v>
      </c>
      <c r="D4">
        <v>1590</v>
      </c>
      <c r="E4">
        <v>1454</v>
      </c>
    </row>
    <row r="5" spans="1:5" x14ac:dyDescent="0.25">
      <c r="A5" t="s">
        <v>366</v>
      </c>
      <c r="B5">
        <v>0.51400000000000001</v>
      </c>
    </row>
    <row r="6" spans="1:5" x14ac:dyDescent="0.25">
      <c r="A6" t="s">
        <v>374</v>
      </c>
      <c r="B6">
        <f>B4/B2</f>
        <v>0.8073529411764705</v>
      </c>
      <c r="C6">
        <f t="shared" ref="C6:D6" si="0">C4/C2</f>
        <v>0.52587991718426497</v>
      </c>
      <c r="D6">
        <f t="shared" si="0"/>
        <v>0.775609756097561</v>
      </c>
    </row>
  </sheetData>
  <pageMargins left="0.7" right="0.7" top="0.75" bottom="0.75" header="0.3" footer="0.3"/>
  <pageSetup paperSize="9" orientation="portrait" horizontalDpi="1200" verticalDpi="120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Aviones Semejantes</vt:lpstr>
      <vt:lpstr>Constants</vt:lpstr>
      <vt:lpstr>Motores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2017-07-17T01:20:48Z</dcterms:modified>
</cp:coreProperties>
</file>