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Aviones Semejantes Anfibio" sheetId="4" r:id="rId2"/>
    <sheet name="Constants" sheetId="5" r:id="rId3"/>
    <sheet name="Motores" sheetId="6" r:id="rId4"/>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69" i="1" l="1"/>
  <c r="F170" i="1"/>
  <c r="F171" i="1"/>
  <c r="F172" i="1"/>
  <c r="F175" i="1"/>
  <c r="F173" i="1"/>
  <c r="F178" i="1"/>
  <c r="F182" i="1"/>
  <c r="F167" i="1"/>
  <c r="F165" i="1"/>
  <c r="G85" i="1"/>
  <c r="H85" i="1"/>
  <c r="I85" i="1"/>
  <c r="J85" i="1"/>
  <c r="K85" i="1"/>
  <c r="L85" i="1"/>
  <c r="M85" i="1"/>
  <c r="N85" i="1"/>
  <c r="O85" i="1"/>
  <c r="E85" i="1"/>
  <c r="F85" i="1"/>
  <c r="F57" i="1"/>
  <c r="F58" i="1"/>
  <c r="F61" i="1"/>
  <c r="F63" i="1"/>
  <c r="F28" i="1"/>
  <c r="F147" i="1"/>
  <c r="F149" i="1" s="1"/>
  <c r="B4" i="6"/>
  <c r="B2" i="6"/>
  <c r="Q176" i="1"/>
  <c r="Q175" i="1"/>
  <c r="Q173" i="1"/>
  <c r="Q174" i="1"/>
  <c r="O172" i="1"/>
  <c r="N172" i="1"/>
  <c r="M172" i="1"/>
  <c r="L172" i="1"/>
  <c r="K172" i="1"/>
  <c r="J172" i="1"/>
  <c r="I172" i="1"/>
  <c r="H172" i="1"/>
  <c r="G172" i="1"/>
  <c r="E176" i="1"/>
  <c r="E172" i="1" s="1"/>
  <c r="E175" i="1"/>
  <c r="E171" i="1" s="1"/>
  <c r="G176" i="1"/>
  <c r="G175" i="1"/>
  <c r="O170" i="1"/>
  <c r="N170" i="1"/>
  <c r="M170" i="1"/>
  <c r="L170" i="1"/>
  <c r="K170" i="1"/>
  <c r="J170" i="1"/>
  <c r="I170" i="1"/>
  <c r="H170" i="1"/>
  <c r="G170" i="1"/>
  <c r="E174" i="1"/>
  <c r="E170" i="1" s="1"/>
  <c r="E173" i="1"/>
  <c r="E169" i="1" s="1"/>
  <c r="E182" i="1" l="1"/>
  <c r="E178" i="1"/>
  <c r="E167" i="1"/>
  <c r="E57" i="1"/>
  <c r="E58" i="1"/>
  <c r="E61" i="1"/>
  <c r="E63" i="1"/>
  <c r="E73" i="1"/>
  <c r="L40" i="1"/>
  <c r="K40" i="1"/>
  <c r="F24" i="1"/>
  <c r="F40" i="1" s="1"/>
  <c r="G24" i="1"/>
  <c r="G40" i="1" s="1"/>
  <c r="H24" i="1"/>
  <c r="H40" i="1" s="1"/>
  <c r="I24" i="1"/>
  <c r="I40" i="1" s="1"/>
  <c r="J24" i="1"/>
  <c r="J40" i="1" s="1"/>
  <c r="K24" i="1"/>
  <c r="L24" i="1"/>
  <c r="M24" i="1"/>
  <c r="M40" i="1" s="1"/>
  <c r="N24" i="1"/>
  <c r="N40" i="1" s="1"/>
  <c r="O24" i="1"/>
  <c r="O40" i="1" s="1"/>
  <c r="E24" i="1"/>
  <c r="E40" i="1" s="1"/>
  <c r="E23" i="1" l="1"/>
  <c r="E36" i="1"/>
  <c r="E37" i="1"/>
  <c r="E38" i="1"/>
  <c r="E39" i="1" l="1"/>
  <c r="E41" i="1"/>
  <c r="G169" i="1"/>
  <c r="H169" i="1"/>
  <c r="I169" i="1"/>
  <c r="J169" i="1"/>
  <c r="K169" i="1"/>
  <c r="L169" i="1"/>
  <c r="M169" i="1"/>
  <c r="N169" i="1"/>
  <c r="O169" i="1"/>
  <c r="F77" i="1" l="1"/>
  <c r="G77" i="1"/>
  <c r="H77" i="1"/>
  <c r="J77" i="1"/>
  <c r="K77" i="1"/>
  <c r="L77" i="1"/>
  <c r="M77" i="1"/>
  <c r="N77" i="1"/>
  <c r="O77" i="1"/>
  <c r="E77" i="1"/>
  <c r="F75" i="1"/>
  <c r="G75" i="1"/>
  <c r="H75" i="1"/>
  <c r="J75" i="1"/>
  <c r="K75" i="1"/>
  <c r="L75" i="1"/>
  <c r="M75" i="1"/>
  <c r="N75" i="1"/>
  <c r="O75" i="1"/>
  <c r="E75" i="1"/>
  <c r="E80" i="1"/>
  <c r="F74" i="1"/>
  <c r="G74" i="1"/>
  <c r="H74" i="1"/>
  <c r="J74" i="1"/>
  <c r="K74" i="1"/>
  <c r="L74" i="1"/>
  <c r="M74" i="1"/>
  <c r="N74" i="1"/>
  <c r="O74" i="1"/>
  <c r="E74" i="1"/>
  <c r="F79" i="1"/>
  <c r="G79" i="1"/>
  <c r="H79" i="1"/>
  <c r="J79" i="1"/>
  <c r="K79" i="1"/>
  <c r="L79" i="1"/>
  <c r="M79" i="1"/>
  <c r="N79" i="1"/>
  <c r="O79" i="1"/>
  <c r="E79" i="1"/>
  <c r="F73" i="1"/>
  <c r="G73" i="1"/>
  <c r="H73" i="1"/>
  <c r="J73" i="1"/>
  <c r="K73" i="1"/>
  <c r="L73" i="1"/>
  <c r="M73" i="1"/>
  <c r="N73" i="1"/>
  <c r="O73" i="1"/>
  <c r="J76" i="1" l="1"/>
  <c r="J66" i="1" s="1"/>
  <c r="H76" i="1"/>
  <c r="H66" i="1" s="1"/>
  <c r="E76" i="1"/>
  <c r="E66" i="1" s="1"/>
  <c r="G76" i="1"/>
  <c r="G66" i="1" s="1"/>
  <c r="O76" i="1"/>
  <c r="O66" i="1" s="1"/>
  <c r="F76" i="1"/>
  <c r="N76" i="1"/>
  <c r="N66" i="1" s="1"/>
  <c r="M76" i="1"/>
  <c r="M66" i="1" s="1"/>
  <c r="L76" i="1"/>
  <c r="L66" i="1" s="1"/>
  <c r="K76" i="1"/>
  <c r="K66" i="1" s="1"/>
  <c r="H171" i="1"/>
  <c r="I171" i="1"/>
  <c r="J171" i="1"/>
  <c r="K171" i="1"/>
  <c r="L171" i="1"/>
  <c r="M171" i="1"/>
  <c r="N171" i="1"/>
  <c r="O171" i="1"/>
  <c r="N167" i="1"/>
  <c r="N168" i="1" s="1"/>
  <c r="L167" i="1"/>
  <c r="L168" i="1" s="1"/>
  <c r="M167" i="1"/>
  <c r="M168" i="1" s="1"/>
  <c r="N165" i="1"/>
  <c r="M165" i="1"/>
  <c r="O167" i="1" l="1"/>
  <c r="O165" i="1"/>
  <c r="O166" i="1" s="1"/>
  <c r="K165" i="1" l="1"/>
  <c r="L165" i="1"/>
  <c r="J165" i="1"/>
  <c r="G165" i="1"/>
  <c r="M58" i="1" l="1"/>
  <c r="O58" i="1"/>
  <c r="N58" i="1"/>
  <c r="N28" i="1"/>
  <c r="M28" i="1"/>
  <c r="M23" i="1"/>
  <c r="M39" i="1" l="1"/>
  <c r="M41" i="1"/>
  <c r="O154" i="1"/>
  <c r="O155" i="1"/>
  <c r="O156" i="1"/>
  <c r="O144" i="1"/>
  <c r="O126" i="1"/>
  <c r="O127" i="1" s="1"/>
  <c r="O129" i="1"/>
  <c r="O121" i="1"/>
  <c r="O103" i="1"/>
  <c r="O104" i="1" s="1"/>
  <c r="O106" i="1"/>
  <c r="O109" i="1"/>
  <c r="O110" i="1"/>
  <c r="O80" i="1"/>
  <c r="O57" i="1"/>
  <c r="O61" i="1"/>
  <c r="O63" i="1"/>
  <c r="O36" i="1"/>
  <c r="O37" i="1"/>
  <c r="O38" i="1"/>
  <c r="O28" i="1"/>
  <c r="O141" i="1" l="1"/>
  <c r="O118" i="1"/>
  <c r="E146" i="4"/>
  <c r="E141" i="4"/>
  <c r="E142" i="4"/>
  <c r="C9" i="5" l="1"/>
  <c r="C7" i="5"/>
  <c r="C5" i="5"/>
  <c r="C3" i="5"/>
  <c r="G167" i="1" l="1"/>
  <c r="H167" i="1"/>
  <c r="J167" i="1"/>
  <c r="I153" i="1"/>
  <c r="I152" i="1"/>
  <c r="I126" i="1"/>
  <c r="I105" i="1"/>
  <c r="I103" i="1"/>
  <c r="I72" i="1"/>
  <c r="I71" i="1"/>
  <c r="I69" i="1"/>
  <c r="I68" i="1"/>
  <c r="I59" i="1"/>
  <c r="K167" i="1"/>
  <c r="I28" i="1"/>
  <c r="J28" i="1"/>
  <c r="K28" i="1"/>
  <c r="L28" i="1"/>
  <c r="K33" i="1"/>
  <c r="I73" i="1" l="1"/>
  <c r="I79" i="1"/>
  <c r="I75" i="1"/>
  <c r="I76" i="1" s="1"/>
  <c r="I66" i="1" s="1"/>
  <c r="I74" i="1"/>
  <c r="I77" i="1"/>
  <c r="G126" i="1"/>
  <c r="J126" i="1"/>
  <c r="K126" i="1"/>
  <c r="L126" i="1"/>
  <c r="M126" i="1"/>
  <c r="N126" i="1"/>
  <c r="E126" i="1"/>
  <c r="G103" i="1"/>
  <c r="K103" i="1"/>
  <c r="L103" i="1"/>
  <c r="M103" i="1"/>
  <c r="N103" i="1"/>
  <c r="E103" i="1"/>
  <c r="G110" i="1"/>
  <c r="H110" i="1"/>
  <c r="I110" i="1"/>
  <c r="J110" i="1"/>
  <c r="K110" i="1"/>
  <c r="L110" i="1"/>
  <c r="M110" i="1"/>
  <c r="N110" i="1"/>
  <c r="E110" i="1"/>
  <c r="F110" i="1"/>
  <c r="F109" i="1"/>
  <c r="G109" i="1"/>
  <c r="H109" i="1"/>
  <c r="I109" i="1"/>
  <c r="J109" i="1"/>
  <c r="K109" i="1"/>
  <c r="L109" i="1"/>
  <c r="M109" i="1"/>
  <c r="N109" i="1"/>
  <c r="E109" i="1"/>
  <c r="G61" i="1"/>
  <c r="H61" i="1"/>
  <c r="I61" i="1"/>
  <c r="J61" i="1"/>
  <c r="K61" i="1"/>
  <c r="L61" i="1"/>
  <c r="M61" i="1"/>
  <c r="N61" i="1"/>
  <c r="G80" i="1" l="1"/>
  <c r="H80" i="1"/>
  <c r="I80" i="1"/>
  <c r="J80" i="1"/>
  <c r="K80" i="1"/>
  <c r="L80" i="1"/>
  <c r="M80" i="1"/>
  <c r="N80" i="1"/>
  <c r="F80" i="1"/>
  <c r="H165" i="1"/>
  <c r="H166" i="1" s="1"/>
  <c r="I165" i="1"/>
  <c r="I167" i="1"/>
  <c r="G177" i="1" l="1"/>
  <c r="G171" i="1" s="1"/>
  <c r="G182" i="1"/>
  <c r="F23" i="1" l="1"/>
  <c r="G23" i="1"/>
  <c r="G39" i="1" s="1"/>
  <c r="H23" i="1"/>
  <c r="H39" i="1" s="1"/>
  <c r="I23" i="1"/>
  <c r="J23" i="1"/>
  <c r="J39" i="1" s="1"/>
  <c r="K23" i="1"/>
  <c r="K39" i="1" s="1"/>
  <c r="L23" i="1"/>
  <c r="N23" i="1"/>
  <c r="O23" i="1"/>
  <c r="N156" i="1"/>
  <c r="N155" i="1"/>
  <c r="N154" i="1"/>
  <c r="N144" i="1"/>
  <c r="N141" i="1"/>
  <c r="N129" i="1"/>
  <c r="N127" i="1"/>
  <c r="N121" i="1"/>
  <c r="N118" i="1"/>
  <c r="N106" i="1"/>
  <c r="N104" i="1"/>
  <c r="N63" i="1"/>
  <c r="N57" i="1"/>
  <c r="N38" i="1"/>
  <c r="N37" i="1"/>
  <c r="N36" i="1"/>
  <c r="M156" i="1"/>
  <c r="M155" i="1"/>
  <c r="M154" i="1"/>
  <c r="M144" i="1"/>
  <c r="M141" i="1"/>
  <c r="M129" i="1"/>
  <c r="M127" i="1"/>
  <c r="M121" i="1"/>
  <c r="M118" i="1"/>
  <c r="M106" i="1"/>
  <c r="M104" i="1"/>
  <c r="M63" i="1"/>
  <c r="M57" i="1"/>
  <c r="M38" i="1"/>
  <c r="M37" i="1"/>
  <c r="M36" i="1"/>
  <c r="L156" i="1"/>
  <c r="L155" i="1"/>
  <c r="L154" i="1"/>
  <c r="L144" i="1"/>
  <c r="L141" i="1"/>
  <c r="L129" i="1"/>
  <c r="L127" i="1"/>
  <c r="L121" i="1"/>
  <c r="L118" i="1"/>
  <c r="L106" i="1"/>
  <c r="L104" i="1"/>
  <c r="L63" i="1"/>
  <c r="L58" i="1"/>
  <c r="L57" i="1"/>
  <c r="L38" i="1"/>
  <c r="L37" i="1"/>
  <c r="L36" i="1"/>
  <c r="K156" i="1"/>
  <c r="K155" i="1"/>
  <c r="K154" i="1"/>
  <c r="K144" i="1"/>
  <c r="K141" i="1"/>
  <c r="K129" i="1"/>
  <c r="K127" i="1"/>
  <c r="K121" i="1"/>
  <c r="K118" i="1"/>
  <c r="K106" i="1"/>
  <c r="K104" i="1"/>
  <c r="K63" i="1"/>
  <c r="K58" i="1"/>
  <c r="K57" i="1"/>
  <c r="K38" i="1"/>
  <c r="K37" i="1"/>
  <c r="K36" i="1"/>
  <c r="J156" i="1"/>
  <c r="J155" i="1"/>
  <c r="J154" i="1"/>
  <c r="J144" i="1"/>
  <c r="J141" i="1"/>
  <c r="J129" i="1"/>
  <c r="J127" i="1"/>
  <c r="J121" i="1"/>
  <c r="J118" i="1"/>
  <c r="J106" i="1"/>
  <c r="J104" i="1"/>
  <c r="J63" i="1"/>
  <c r="J58" i="1"/>
  <c r="J57" i="1"/>
  <c r="J38" i="1"/>
  <c r="J37" i="1"/>
  <c r="J36" i="1"/>
  <c r="I156" i="1"/>
  <c r="I155" i="1"/>
  <c r="I154" i="1"/>
  <c r="I144" i="1"/>
  <c r="I141" i="1"/>
  <c r="I129" i="1"/>
  <c r="I127" i="1"/>
  <c r="I121" i="1"/>
  <c r="I118" i="1"/>
  <c r="I106" i="1"/>
  <c r="I104" i="1"/>
  <c r="I63" i="1"/>
  <c r="I58" i="1"/>
  <c r="I57" i="1"/>
  <c r="I38" i="1"/>
  <c r="I37" i="1"/>
  <c r="I36" i="1"/>
  <c r="H156" i="1"/>
  <c r="H155" i="1"/>
  <c r="H154" i="1"/>
  <c r="H144" i="1"/>
  <c r="H141" i="1"/>
  <c r="H129" i="1"/>
  <c r="H127" i="1"/>
  <c r="H121" i="1"/>
  <c r="H118" i="1"/>
  <c r="H106" i="1"/>
  <c r="H104" i="1"/>
  <c r="H63" i="1"/>
  <c r="H58" i="1"/>
  <c r="H57" i="1"/>
  <c r="H38" i="1"/>
  <c r="H37" i="1"/>
  <c r="H36" i="1"/>
  <c r="G156" i="1"/>
  <c r="G155" i="1"/>
  <c r="G154" i="1"/>
  <c r="G144" i="1"/>
  <c r="G141" i="1"/>
  <c r="G129" i="1"/>
  <c r="G127" i="1"/>
  <c r="G121" i="1"/>
  <c r="G118" i="1"/>
  <c r="G106" i="1"/>
  <c r="G104" i="1"/>
  <c r="G63" i="1"/>
  <c r="G58" i="1"/>
  <c r="G57" i="1"/>
  <c r="G38" i="1"/>
  <c r="G37" i="1"/>
  <c r="G36" i="1"/>
  <c r="N41" i="1" l="1"/>
  <c r="N39" i="1"/>
  <c r="O41" i="1"/>
  <c r="O39" i="1"/>
  <c r="O189" i="1" s="1"/>
  <c r="M189" i="1"/>
  <c r="I39" i="1"/>
  <c r="I41" i="1"/>
  <c r="F39" i="1"/>
  <c r="F41" i="1"/>
  <c r="L39" i="1"/>
  <c r="L41" i="1"/>
  <c r="N189" i="1"/>
  <c r="K41" i="1"/>
  <c r="K189" i="1" s="1"/>
  <c r="J41" i="1"/>
  <c r="J189" i="1" s="1"/>
  <c r="H41" i="1"/>
  <c r="H189" i="1" s="1"/>
  <c r="G41" i="1"/>
  <c r="G189" i="1" s="1"/>
  <c r="G135" i="4"/>
  <c r="F135" i="4"/>
  <c r="E135" i="4"/>
  <c r="G134" i="4"/>
  <c r="F134" i="4"/>
  <c r="E134" i="4"/>
  <c r="G133" i="4"/>
  <c r="F133" i="4"/>
  <c r="E133" i="4"/>
  <c r="G127" i="4"/>
  <c r="F127" i="4"/>
  <c r="E127" i="4"/>
  <c r="G124" i="4"/>
  <c r="F124" i="4"/>
  <c r="E124" i="4"/>
  <c r="G112" i="4"/>
  <c r="F112" i="4"/>
  <c r="E112" i="4"/>
  <c r="G110" i="4"/>
  <c r="F110" i="4"/>
  <c r="E110" i="4"/>
  <c r="G104" i="4"/>
  <c r="F104" i="4"/>
  <c r="E104" i="4"/>
  <c r="G101" i="4"/>
  <c r="F101" i="4"/>
  <c r="E101" i="4"/>
  <c r="G89" i="4"/>
  <c r="F89" i="4"/>
  <c r="E89" i="4"/>
  <c r="G87" i="4"/>
  <c r="F87" i="4"/>
  <c r="E87" i="4"/>
  <c r="G68" i="4"/>
  <c r="F68" i="4"/>
  <c r="E68" i="4"/>
  <c r="G51" i="4"/>
  <c r="F51" i="4"/>
  <c r="E51" i="4"/>
  <c r="G46" i="4"/>
  <c r="F46" i="4"/>
  <c r="E46" i="4"/>
  <c r="G45" i="4"/>
  <c r="F45" i="4"/>
  <c r="E45" i="4"/>
  <c r="G31" i="4"/>
  <c r="F31" i="4"/>
  <c r="E31" i="4"/>
  <c r="G30" i="4"/>
  <c r="F30" i="4"/>
  <c r="E30" i="4"/>
  <c r="G29" i="4"/>
  <c r="F29" i="4"/>
  <c r="E29" i="4"/>
  <c r="I189" i="1" l="1"/>
  <c r="L189" i="1"/>
  <c r="F154" i="1"/>
  <c r="F155" i="1"/>
  <c r="F156" i="1"/>
  <c r="F144" i="1"/>
  <c r="F141" i="1"/>
  <c r="F129" i="1"/>
  <c r="F127" i="1"/>
  <c r="F121" i="1"/>
  <c r="F118" i="1"/>
  <c r="F106" i="1"/>
  <c r="F104" i="1"/>
  <c r="F36" i="1"/>
  <c r="F37" i="1"/>
  <c r="F38" i="1"/>
  <c r="F189" i="1" l="1"/>
  <c r="E156" i="1"/>
  <c r="E155" i="1"/>
  <c r="E154" i="1"/>
  <c r="E141" i="1"/>
  <c r="E129" i="1"/>
  <c r="E144" i="1"/>
  <c r="E106" i="1"/>
  <c r="E121" i="1"/>
  <c r="E127" i="1"/>
  <c r="E104" i="1"/>
  <c r="E118" i="1"/>
  <c r="E189"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charset val="1"/>
          </rPr>
          <t>Uxío:</t>
        </r>
        <r>
          <rPr>
            <sz val="9"/>
            <color indexed="81"/>
            <rFont val="Tahoma"/>
            <charset val="1"/>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charset val="1"/>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charset val="1"/>
          </rPr>
          <t>Autor:</t>
        </r>
        <r>
          <rPr>
            <sz val="9"/>
            <color indexed="81"/>
            <rFont val="Tahoma"/>
            <charset val="1"/>
          </rPr>
          <t xml:space="preserve">
All weights from B configuration
</t>
        </r>
      </text>
    </comment>
    <comment ref="B27" authorId="0" shapeId="0">
      <text>
        <r>
          <rPr>
            <b/>
            <sz val="9"/>
            <color indexed="81"/>
            <rFont val="Tahoma"/>
            <family val="2"/>
          </rPr>
          <t>Autor:</t>
        </r>
        <r>
          <rPr>
            <sz val="9"/>
            <color indexed="81"/>
            <rFont val="Tahoma"/>
            <charset val="1"/>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charset val="1"/>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charset val="1"/>
          </rPr>
          <t xml:space="preserve">
including baggagge</t>
        </r>
      </text>
    </comment>
    <comment ref="L51" authorId="0" shapeId="0">
      <text>
        <r>
          <rPr>
            <b/>
            <sz val="9"/>
            <color indexed="81"/>
            <rFont val="Tahoma"/>
            <family val="2"/>
          </rPr>
          <t>Autor:</t>
        </r>
        <r>
          <rPr>
            <sz val="9"/>
            <color indexed="81"/>
            <rFont val="Tahoma"/>
            <charset val="1"/>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1"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1" authorId="0" shapeId="0">
      <text>
        <r>
          <rPr>
            <b/>
            <sz val="9"/>
            <color indexed="81"/>
            <rFont val="Tahoma"/>
            <family val="2"/>
          </rPr>
          <t>Autor:</t>
        </r>
        <r>
          <rPr>
            <sz val="9"/>
            <color indexed="81"/>
            <rFont val="Tahoma"/>
            <family val="2"/>
          </rPr>
          <t xml:space="preserve">
Triciclo, retráctil, con rueda de cola, etc.</t>
        </r>
      </text>
    </comment>
    <comment ref="B152"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3"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8" authorId="0" shapeId="0">
      <text>
        <r>
          <rPr>
            <b/>
            <sz val="9"/>
            <color indexed="81"/>
            <rFont val="Tahoma"/>
            <family val="2"/>
          </rPr>
          <t>Autor:</t>
        </r>
        <r>
          <rPr>
            <sz val="9"/>
            <color indexed="81"/>
            <rFont val="Tahoma"/>
            <family val="2"/>
          </rPr>
          <t xml:space="preserve">
29 in</t>
        </r>
      </text>
    </comment>
    <comment ref="F159" authorId="0" shapeId="0">
      <text>
        <r>
          <rPr>
            <b/>
            <sz val="9"/>
            <color indexed="81"/>
            <rFont val="Tahoma"/>
            <family val="2"/>
          </rPr>
          <t>Autor:</t>
        </r>
        <r>
          <rPr>
            <sz val="9"/>
            <color indexed="81"/>
            <rFont val="Tahoma"/>
            <family val="2"/>
          </rPr>
          <t xml:space="preserve">
7,7 in</t>
        </r>
      </text>
    </comment>
    <comment ref="F161" authorId="0" shapeId="0">
      <text>
        <r>
          <rPr>
            <b/>
            <sz val="9"/>
            <color indexed="81"/>
            <rFont val="Tahoma"/>
            <family val="2"/>
          </rPr>
          <t>Autor:</t>
        </r>
        <r>
          <rPr>
            <sz val="9"/>
            <color indexed="81"/>
            <rFont val="Tahoma"/>
            <family val="2"/>
          </rPr>
          <t xml:space="preserve">
17,5 in</t>
        </r>
      </text>
    </comment>
    <comment ref="F162" authorId="0" shapeId="0">
      <text>
        <r>
          <rPr>
            <b/>
            <sz val="9"/>
            <color indexed="81"/>
            <rFont val="Tahoma"/>
            <family val="2"/>
          </rPr>
          <t>Autor:</t>
        </r>
        <r>
          <rPr>
            <sz val="9"/>
            <color indexed="81"/>
            <rFont val="Tahoma"/>
            <family val="2"/>
          </rPr>
          <t xml:space="preserve">
5,7 in</t>
        </r>
      </text>
    </comment>
    <comment ref="F165" authorId="0" shapeId="0">
      <text>
        <r>
          <rPr>
            <b/>
            <sz val="9"/>
            <color indexed="81"/>
            <rFont val="Tahoma"/>
            <charset val="1"/>
          </rPr>
          <t>Autor:</t>
        </r>
        <r>
          <rPr>
            <sz val="9"/>
            <color indexed="81"/>
            <rFont val="Tahoma"/>
            <charset val="1"/>
          </rPr>
          <t xml:space="preserve">
AUW = 16329kg
</t>
        </r>
      </text>
    </comment>
    <comment ref="B166" authorId="0" shapeId="0">
      <text>
        <r>
          <rPr>
            <b/>
            <sz val="9"/>
            <color indexed="81"/>
            <rFont val="Tahoma"/>
            <family val="2"/>
          </rPr>
          <t>Autor:</t>
        </r>
        <r>
          <rPr>
            <sz val="9"/>
            <color indexed="81"/>
            <rFont val="Tahoma"/>
            <family val="2"/>
          </rPr>
          <t xml:space="preserve">
Maximum Operating Mach</t>
        </r>
      </text>
    </comment>
    <comment ref="B167" authorId="0" shapeId="0">
      <text>
        <r>
          <rPr>
            <b/>
            <sz val="9"/>
            <color indexed="81"/>
            <rFont val="Tahoma"/>
            <family val="2"/>
          </rPr>
          <t>Autor:</t>
        </r>
        <r>
          <rPr>
            <sz val="9"/>
            <color indexed="81"/>
            <rFont val="Tahoma"/>
            <family val="2"/>
          </rPr>
          <t xml:space="preserve">
Indicando condiciones como régimen de crucero, altitud, etc.</t>
        </r>
      </text>
    </comment>
    <comment ref="F167" authorId="0" shapeId="0">
      <text>
        <r>
          <rPr>
            <b/>
            <sz val="9"/>
            <color indexed="81"/>
            <rFont val="Tahoma"/>
            <charset val="1"/>
          </rPr>
          <t>Autor:</t>
        </r>
        <r>
          <rPr>
            <sz val="9"/>
            <color indexed="81"/>
            <rFont val="Tahoma"/>
            <charset val="1"/>
          </rPr>
          <t xml:space="preserve">
AUW 16329 kg
</t>
        </r>
      </text>
    </comment>
    <comment ref="K167" authorId="0" shapeId="0">
      <text>
        <r>
          <rPr>
            <b/>
            <sz val="9"/>
            <color indexed="81"/>
            <rFont val="Tahoma"/>
            <family val="2"/>
          </rPr>
          <t>Autor:</t>
        </r>
        <r>
          <rPr>
            <sz val="9"/>
            <color indexed="81"/>
            <rFont val="Tahoma"/>
            <family val="2"/>
          </rPr>
          <t xml:space="preserve">
High speed: 893kph
Long range: 850kph</t>
        </r>
      </text>
    </comment>
    <comment ref="K168" authorId="0" shapeId="0">
      <text>
        <r>
          <rPr>
            <b/>
            <sz val="9"/>
            <color indexed="81"/>
            <rFont val="Tahoma"/>
            <family val="2"/>
          </rPr>
          <t>Autor:</t>
        </r>
        <r>
          <rPr>
            <sz val="9"/>
            <color indexed="81"/>
            <rFont val="Tahoma"/>
            <family val="2"/>
          </rPr>
          <t xml:space="preserve">
High speed: 0,84
Long range: 0,80</t>
        </r>
      </text>
    </comment>
    <comment ref="E169" authorId="0" shapeId="0">
      <text>
        <r>
          <rPr>
            <b/>
            <sz val="9"/>
            <color indexed="81"/>
            <rFont val="Tahoma"/>
            <charset val="1"/>
          </rPr>
          <t>Autor:</t>
        </r>
        <r>
          <rPr>
            <sz val="9"/>
            <color indexed="81"/>
            <rFont val="Tahoma"/>
            <charset val="1"/>
          </rPr>
          <t xml:space="preserve">
Obtained from V2</t>
        </r>
      </text>
    </comment>
    <comment ref="E170" authorId="0" shapeId="0">
      <text>
        <r>
          <rPr>
            <b/>
            <sz val="9"/>
            <color indexed="81"/>
            <rFont val="Tahoma"/>
            <charset val="1"/>
          </rPr>
          <t>Autor:</t>
        </r>
        <r>
          <rPr>
            <sz val="9"/>
            <color indexed="81"/>
            <rFont val="Tahoma"/>
            <charset val="1"/>
          </rPr>
          <t xml:space="preserve">
Obtained from V2</t>
        </r>
      </text>
    </comment>
    <comment ref="B171"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1" authorId="0" shapeId="0">
      <text>
        <r>
          <rPr>
            <b/>
            <sz val="9"/>
            <color indexed="81"/>
            <rFont val="Tahoma"/>
            <charset val="1"/>
          </rPr>
          <t>Autor:</t>
        </r>
        <r>
          <rPr>
            <sz val="9"/>
            <color indexed="81"/>
            <rFont val="Tahoma"/>
            <charset val="1"/>
          </rPr>
          <t xml:space="preserve">
</t>
        </r>
      </text>
    </comment>
    <comment ref="B172"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2" authorId="0" shapeId="0">
      <text>
        <r>
          <rPr>
            <b/>
            <sz val="9"/>
            <color indexed="81"/>
            <rFont val="Tahoma"/>
            <charset val="1"/>
          </rPr>
          <t>Autor:</t>
        </r>
        <r>
          <rPr>
            <sz val="9"/>
            <color indexed="81"/>
            <rFont val="Tahoma"/>
            <charset val="1"/>
          </rPr>
          <t xml:space="preserve">
</t>
        </r>
      </text>
    </comment>
    <comment ref="B173" authorId="0" shapeId="0">
      <text>
        <r>
          <rPr>
            <b/>
            <sz val="9"/>
            <color indexed="81"/>
            <rFont val="Tahoma"/>
            <family val="2"/>
          </rPr>
          <t>Autor:</t>
        </r>
        <r>
          <rPr>
            <sz val="9"/>
            <color indexed="81"/>
            <rFont val="Tahoma"/>
            <family val="2"/>
          </rPr>
          <t xml:space="preserve">
Velocidad de seguridad en el despegue.</t>
        </r>
      </text>
    </comment>
    <comment ref="E173" authorId="0" shapeId="0">
      <text>
        <r>
          <rPr>
            <b/>
            <sz val="9"/>
            <color indexed="81"/>
            <rFont val="Tahoma"/>
            <charset val="1"/>
          </rPr>
          <t>Autor:</t>
        </r>
        <r>
          <rPr>
            <sz val="9"/>
            <color indexed="81"/>
            <rFont val="Tahoma"/>
            <charset val="1"/>
          </rPr>
          <t xml:space="preserve">
From US-1A development paper</t>
        </r>
      </text>
    </comment>
    <comment ref="B174" authorId="0" shapeId="0">
      <text>
        <r>
          <rPr>
            <b/>
            <sz val="9"/>
            <color indexed="81"/>
            <rFont val="Tahoma"/>
            <family val="2"/>
          </rPr>
          <t>Autor:</t>
        </r>
        <r>
          <rPr>
            <sz val="9"/>
            <color indexed="81"/>
            <rFont val="Tahoma"/>
            <family val="2"/>
          </rPr>
          <t xml:space="preserve">
Velocidad de seguridad en el despegue.</t>
        </r>
      </text>
    </comment>
    <comment ref="E174" authorId="0" shapeId="0">
      <text>
        <r>
          <rPr>
            <b/>
            <sz val="9"/>
            <color indexed="81"/>
            <rFont val="Tahoma"/>
            <charset val="1"/>
          </rPr>
          <t>Autor:</t>
        </r>
        <r>
          <rPr>
            <sz val="9"/>
            <color indexed="81"/>
            <rFont val="Tahoma"/>
            <charset val="1"/>
          </rPr>
          <t xml:space="preserve">
From US-1A development paper</t>
        </r>
      </text>
    </comment>
    <comment ref="B175" authorId="0" shapeId="0">
      <text>
        <r>
          <rPr>
            <b/>
            <sz val="9"/>
            <color indexed="81"/>
            <rFont val="Tahoma"/>
            <family val="2"/>
          </rPr>
          <t>Autor:</t>
        </r>
        <r>
          <rPr>
            <sz val="9"/>
            <color indexed="81"/>
            <rFont val="Tahoma"/>
            <family val="2"/>
          </rPr>
          <t xml:space="preserve">
Velocidad de aproximación final.</t>
        </r>
      </text>
    </comment>
    <comment ref="B176" authorId="0" shapeId="0">
      <text>
        <r>
          <rPr>
            <b/>
            <sz val="9"/>
            <color indexed="81"/>
            <rFont val="Tahoma"/>
            <family val="2"/>
          </rPr>
          <t>Autor:</t>
        </r>
        <r>
          <rPr>
            <sz val="9"/>
            <color indexed="81"/>
            <rFont val="Tahoma"/>
            <family val="2"/>
          </rPr>
          <t xml:space="preserve">
Velocidad de aproximación final.</t>
        </r>
      </text>
    </comment>
    <comment ref="B177" authorId="0" shapeId="0">
      <text>
        <r>
          <rPr>
            <b/>
            <sz val="9"/>
            <color indexed="81"/>
            <rFont val="Tahoma"/>
            <family val="2"/>
          </rPr>
          <t>Autor:</t>
        </r>
        <r>
          <rPr>
            <sz val="9"/>
            <color indexed="81"/>
            <rFont val="Tahoma"/>
            <family val="2"/>
          </rPr>
          <t xml:space="preserve">
Velocidad de aproximación final.</t>
        </r>
      </text>
    </comment>
    <comment ref="F179" authorId="0" shapeId="0">
      <text>
        <r>
          <rPr>
            <b/>
            <sz val="9"/>
            <color indexed="81"/>
            <rFont val="Tahoma"/>
            <charset val="1"/>
          </rPr>
          <t>Autor:</t>
        </r>
        <r>
          <rPr>
            <sz val="9"/>
            <color indexed="81"/>
            <rFont val="Tahoma"/>
            <charset val="1"/>
          </rPr>
          <t xml:space="preserve">
with 998 kg of payload
</t>
        </r>
      </text>
    </comment>
    <comment ref="H179" authorId="0" shapeId="0">
      <text>
        <r>
          <rPr>
            <b/>
            <sz val="9"/>
            <color indexed="81"/>
            <rFont val="Tahoma"/>
            <family val="2"/>
          </rPr>
          <t>Autor:</t>
        </r>
        <r>
          <rPr>
            <sz val="9"/>
            <color indexed="81"/>
            <rFont val="Tahoma"/>
            <family val="2"/>
          </rPr>
          <t xml:space="preserve">
Theoretical range with NBAA IFR Reserves,ISA, M 0.85, 8 pax/4 crew.</t>
        </r>
      </text>
    </comment>
    <comment ref="I179" authorId="0" shapeId="0">
      <text>
        <r>
          <rPr>
            <b/>
            <sz val="9"/>
            <color indexed="81"/>
            <rFont val="Tahoma"/>
            <family val="2"/>
          </rPr>
          <t>Autor:</t>
        </r>
        <r>
          <rPr>
            <sz val="9"/>
            <color indexed="81"/>
            <rFont val="Tahoma"/>
            <charset val="1"/>
          </rPr>
          <t xml:space="preserve">
(Theoretical range with NBAA IFR Reserves, ISA, M 0.85, 8 pax /3 crew. Actual range will be affected by speed, weather, selected options and other factors.)</t>
        </r>
      </text>
    </comment>
    <comment ref="J179" authorId="0" shapeId="0">
      <text>
        <r>
          <rPr>
            <b/>
            <sz val="9"/>
            <color indexed="81"/>
            <rFont val="Tahoma"/>
            <family val="2"/>
          </rPr>
          <t>Autor:</t>
        </r>
        <r>
          <rPr>
            <sz val="9"/>
            <color indexed="81"/>
            <rFont val="Tahoma"/>
            <family val="2"/>
          </rPr>
          <t xml:space="preserve">
Mach 0,75   
8pax, 370km alternate</t>
        </r>
      </text>
    </comment>
    <comment ref="K179" authorId="0" shapeId="0">
      <text>
        <r>
          <rPr>
            <b/>
            <sz val="9"/>
            <color indexed="81"/>
            <rFont val="Tahoma"/>
            <family val="2"/>
          </rPr>
          <t>Autor:</t>
        </r>
        <r>
          <rPr>
            <sz val="9"/>
            <color indexed="81"/>
            <rFont val="Tahoma"/>
            <family val="2"/>
          </rPr>
          <t xml:space="preserve">
Mach 0,80   4pax   2crew</t>
        </r>
      </text>
    </comment>
    <comment ref="L179" authorId="0" shapeId="0">
      <text>
        <r>
          <rPr>
            <b/>
            <sz val="9"/>
            <color indexed="81"/>
            <rFont val="Tahoma"/>
            <family val="2"/>
          </rPr>
          <t>Autor:</t>
        </r>
        <r>
          <rPr>
            <sz val="9"/>
            <color indexed="81"/>
            <rFont val="Tahoma"/>
            <charset val="1"/>
          </rPr>
          <t xml:space="preserve">
LRC, 4 pax @ 200 lb each and NBAA IFR
reserves with 200 nm alternate airport</t>
        </r>
      </text>
    </comment>
    <comment ref="M179" authorId="0" shapeId="0">
      <text>
        <r>
          <rPr>
            <b/>
            <sz val="9"/>
            <color indexed="81"/>
            <rFont val="Tahoma"/>
            <family val="2"/>
          </rPr>
          <t>Autor:</t>
        </r>
        <r>
          <rPr>
            <sz val="9"/>
            <color indexed="81"/>
            <rFont val="Tahoma"/>
            <family val="2"/>
          </rPr>
          <t xml:space="preserve">
Range: LRC, 4 passengers at 200 lb/each, NBAA IFR reserves, 200 nm alternate airport, baseline aircraft</t>
        </r>
      </text>
    </comment>
    <comment ref="N179"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4" authorId="0" shapeId="0">
      <text>
        <r>
          <rPr>
            <b/>
            <sz val="9"/>
            <color indexed="81"/>
            <rFont val="Tahoma"/>
            <family val="2"/>
          </rPr>
          <t>Autor:</t>
        </r>
        <r>
          <rPr>
            <sz val="9"/>
            <color indexed="81"/>
            <rFont val="Tahoma"/>
            <family val="2"/>
          </rPr>
          <t xml:space="preserve">
Especificando condiciones como peso, altitud, etc.</t>
        </r>
      </text>
    </comment>
    <comment ref="E184" authorId="0" shapeId="0">
      <text>
        <r>
          <rPr>
            <b/>
            <sz val="9"/>
            <color indexed="81"/>
            <rFont val="Tahoma"/>
            <family val="2"/>
          </rPr>
          <t>Autor:</t>
        </r>
        <r>
          <rPr>
            <sz val="9"/>
            <color indexed="81"/>
            <rFont val="Tahoma"/>
            <family val="2"/>
          </rPr>
          <t xml:space="preserve">
BFL at MTOW: SL - ISA</t>
        </r>
      </text>
    </comment>
    <comment ref="F184" authorId="0" shapeId="0">
      <text>
        <r>
          <rPr>
            <b/>
            <sz val="9"/>
            <color indexed="81"/>
            <rFont val="Tahoma"/>
            <charset val="1"/>
          </rPr>
          <t>Autor:</t>
        </r>
        <r>
          <rPr>
            <sz val="9"/>
            <color indexed="81"/>
            <rFont val="Tahoma"/>
            <charset val="1"/>
          </rPr>
          <t xml:space="preserve">
AUW = 18597kg
</t>
        </r>
      </text>
    </comment>
    <comment ref="B185" authorId="0" shapeId="0">
      <text>
        <r>
          <rPr>
            <b/>
            <sz val="9"/>
            <color indexed="81"/>
            <rFont val="Tahoma"/>
            <family val="2"/>
          </rPr>
          <t>Autor:</t>
        </r>
        <r>
          <rPr>
            <sz val="9"/>
            <color indexed="81"/>
            <rFont val="Tahoma"/>
            <family val="2"/>
          </rPr>
          <t xml:space="preserve">
Especificando condiciones como peso, altitud, etc.</t>
        </r>
      </text>
    </comment>
    <comment ref="E185" authorId="0" shapeId="0">
      <text>
        <r>
          <rPr>
            <b/>
            <sz val="9"/>
            <color indexed="81"/>
            <rFont val="Tahoma"/>
            <family val="2"/>
          </rPr>
          <t>Autor:</t>
        </r>
        <r>
          <rPr>
            <sz val="9"/>
            <color indexed="81"/>
            <rFont val="Tahoma"/>
            <family val="2"/>
          </rPr>
          <t xml:space="preserve">
FAR 91 landing distance at typical landing weight </t>
        </r>
      </text>
    </comment>
    <comment ref="F185" authorId="0" shapeId="0">
      <text>
        <r>
          <rPr>
            <b/>
            <sz val="9"/>
            <color indexed="81"/>
            <rFont val="Tahoma"/>
            <charset val="1"/>
          </rPr>
          <t>Autor:</t>
        </r>
        <r>
          <rPr>
            <sz val="9"/>
            <color indexed="81"/>
            <rFont val="Tahoma"/>
            <charset val="1"/>
          </rPr>
          <t xml:space="preserve">
at AUW = 16783
</t>
        </r>
      </text>
    </comment>
    <comment ref="B186" authorId="0" shapeId="0">
      <text>
        <r>
          <rPr>
            <b/>
            <sz val="9"/>
            <color indexed="81"/>
            <rFont val="Tahoma"/>
            <family val="2"/>
          </rPr>
          <t>Autor:</t>
        </r>
        <r>
          <rPr>
            <sz val="9"/>
            <color indexed="81"/>
            <rFont val="Tahoma"/>
            <family val="2"/>
          </rPr>
          <t xml:space="preserve">
Especificando condiciones como peso, altitud, etc.</t>
        </r>
      </text>
    </comment>
    <comment ref="E186" authorId="0" shapeId="0">
      <text>
        <r>
          <rPr>
            <b/>
            <sz val="9"/>
            <color indexed="81"/>
            <rFont val="Tahoma"/>
            <family val="2"/>
          </rPr>
          <t>Autor:</t>
        </r>
        <r>
          <rPr>
            <sz val="9"/>
            <color indexed="81"/>
            <rFont val="Tahoma"/>
            <family val="2"/>
          </rPr>
          <t xml:space="preserve">
BFL at MTOW: SL - ISA</t>
        </r>
      </text>
    </comment>
    <comment ref="F186" authorId="0" shapeId="0">
      <text>
        <r>
          <rPr>
            <b/>
            <sz val="9"/>
            <color indexed="81"/>
            <rFont val="Tahoma"/>
            <charset val="1"/>
          </rPr>
          <t>Autor:</t>
        </r>
        <r>
          <rPr>
            <sz val="9"/>
            <color indexed="81"/>
            <rFont val="Tahoma"/>
            <charset val="1"/>
          </rPr>
          <t xml:space="preserve">
AUW= 17168kg</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charset val="1"/>
          </rPr>
          <t>Autor:</t>
        </r>
        <r>
          <rPr>
            <sz val="9"/>
            <color indexed="81"/>
            <rFont val="Tahoma"/>
            <charset val="1"/>
          </rPr>
          <t xml:space="preserve">
16783kg
</t>
        </r>
      </text>
    </comment>
  </commentList>
</comments>
</file>

<file path=xl/comments2.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5" authorId="0" shapeId="0">
      <text>
        <r>
          <rPr>
            <b/>
            <sz val="9"/>
            <color indexed="81"/>
            <rFont val="Tahoma"/>
            <charset val="1"/>
          </rPr>
          <t>Uxío:</t>
        </r>
        <r>
          <rPr>
            <sz val="9"/>
            <color indexed="81"/>
            <rFont val="Tahoma"/>
            <charset val="1"/>
          </rPr>
          <t xml:space="preserve">
Ishikawajma-built</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8" authorId="0" shapeId="0">
      <text>
        <r>
          <rPr>
            <b/>
            <sz val="9"/>
            <color indexed="81"/>
            <rFont val="Tahoma"/>
            <family val="2"/>
          </rPr>
          <t>Autor:</t>
        </r>
        <r>
          <rPr>
            <sz val="9"/>
            <color indexed="81"/>
            <rFont val="Tahoma"/>
            <family val="2"/>
          </rPr>
          <t xml:space="preserve">
Indicando las condiciones de operación; por ej. "máximo continuo a 30000 ft de altitud y Mach 0,82" o "máximo en despegue en condiciones estáticas al nivel del mar"</t>
        </r>
      </text>
    </comment>
    <comment ref="B21" authorId="0" shapeId="0">
      <text>
        <r>
          <rPr>
            <b/>
            <sz val="9"/>
            <color indexed="81"/>
            <rFont val="Tahoma"/>
            <family val="2"/>
          </rPr>
          <t>Autor:</t>
        </r>
        <r>
          <rPr>
            <sz val="9"/>
            <color indexed="81"/>
            <rFont val="Tahoma"/>
            <family val="2"/>
          </rPr>
          <t xml:space="preserve">
En el despegue con todos los motores encendidos.</t>
        </r>
      </text>
    </comment>
    <comment ref="E23" authorId="0" shapeId="0">
      <text>
        <r>
          <rPr>
            <b/>
            <sz val="9"/>
            <color indexed="81"/>
            <rFont val="Tahoma"/>
            <family val="2"/>
          </rPr>
          <t>Autor:</t>
        </r>
        <r>
          <rPr>
            <sz val="9"/>
            <color indexed="81"/>
            <rFont val="Tahoma"/>
            <charset val="1"/>
          </rPr>
          <t xml:space="preserve">
43000 from sea, 45000 from land
</t>
        </r>
      </text>
    </comment>
    <comment ref="B24"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E24" authorId="0" shapeId="0">
      <text>
        <r>
          <rPr>
            <b/>
            <sz val="9"/>
            <color indexed="81"/>
            <rFont val="Tahoma"/>
            <family val="2"/>
          </rPr>
          <t>Autor:</t>
        </r>
        <r>
          <rPr>
            <sz val="9"/>
            <color indexed="81"/>
            <rFont val="Tahoma"/>
            <charset val="1"/>
          </rPr>
          <t xml:space="preserve">
Weight empty, equipped: 25630
Manufacturer's empty weight: 23300</t>
        </r>
      </text>
    </comment>
    <comment ref="B27"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E35" authorId="0" shapeId="0">
      <text>
        <r>
          <rPr>
            <b/>
            <sz val="9"/>
            <color indexed="81"/>
            <rFont val="Tahoma"/>
            <family val="2"/>
          </rPr>
          <t>Autor:</t>
        </r>
        <r>
          <rPr>
            <sz val="9"/>
            <color indexed="81"/>
            <rFont val="Tahoma"/>
            <charset val="1"/>
          </rPr>
          <t xml:space="preserve">
Crew: 3 + navigator+ radio operator+ medic in main cabin.
20 seated surivors or 12 stretchers + 1 auxiliary seat + 2 observer's seats</t>
        </r>
      </text>
    </comment>
    <comment ref="B40" authorId="0" shapeId="0">
      <text>
        <r>
          <rPr>
            <b/>
            <sz val="9"/>
            <color indexed="81"/>
            <rFont val="Tahoma"/>
            <family val="2"/>
          </rPr>
          <t>Autor:</t>
        </r>
        <r>
          <rPr>
            <sz val="9"/>
            <color indexed="81"/>
            <rFont val="Tahoma"/>
            <family val="2"/>
          </rPr>
          <t xml:space="preserve">
Identificando los diferentes comparimentos si son varios.</t>
        </r>
      </text>
    </comment>
    <comment ref="B41"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44"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48"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49" authorId="0" shapeId="0">
      <text>
        <r>
          <rPr>
            <b/>
            <sz val="9"/>
            <color indexed="81"/>
            <rFont val="Tahoma"/>
            <family val="2"/>
          </rPr>
          <t>Autor:</t>
        </r>
        <r>
          <rPr>
            <sz val="9"/>
            <color indexed="81"/>
            <rFont val="Tahoma"/>
            <family val="2"/>
          </rPr>
          <t xml:space="preserve">
El área de la anterior proyección.</t>
        </r>
      </text>
    </comment>
    <comment ref="B51"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53" authorId="0" shapeId="0">
      <text>
        <r>
          <rPr>
            <b/>
            <sz val="9"/>
            <color indexed="81"/>
            <rFont val="Tahoma"/>
            <family val="2"/>
          </rPr>
          <t>Autor:</t>
        </r>
        <r>
          <rPr>
            <sz val="9"/>
            <color indexed="81"/>
            <rFont val="Tahoma"/>
            <family val="2"/>
          </rPr>
          <t xml:space="preserve">
Alta, media, baja, etc.</t>
        </r>
      </text>
    </comment>
    <comment ref="B54"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55"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56"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59" authorId="0" shapeId="0">
      <text>
        <r>
          <rPr>
            <b/>
            <sz val="9"/>
            <color indexed="81"/>
            <rFont val="Tahoma"/>
            <family val="2"/>
          </rPr>
          <t>Autor:</t>
        </r>
        <r>
          <rPr>
            <sz val="9"/>
            <color indexed="81"/>
            <rFont val="Tahoma"/>
            <family val="2"/>
          </rPr>
          <t xml:space="preserve">
Cociente de Sw dividido entre b.</t>
        </r>
      </text>
    </comment>
    <comment ref="B60"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61"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62" authorId="0" shapeId="0">
      <text>
        <r>
          <rPr>
            <b/>
            <sz val="9"/>
            <color indexed="81"/>
            <rFont val="Tahoma"/>
            <family val="2"/>
          </rPr>
          <t>Autor:</t>
        </r>
        <r>
          <rPr>
            <sz val="9"/>
            <color indexed="81"/>
            <rFont val="Tahoma"/>
            <family val="2"/>
          </rPr>
          <t xml:space="preserve">
Cociente de b dividido entre CMG.</t>
        </r>
      </text>
    </comment>
    <comment ref="B63" authorId="0" shapeId="0">
      <text>
        <r>
          <rPr>
            <b/>
            <sz val="9"/>
            <color indexed="81"/>
            <rFont val="Tahoma"/>
            <family val="2"/>
          </rPr>
          <t>Autor:</t>
        </r>
        <r>
          <rPr>
            <sz val="9"/>
            <color indexed="81"/>
            <rFont val="Tahoma"/>
            <family val="2"/>
          </rPr>
          <t xml:space="preserve">
Cociente de ct dividido entre cr </t>
        </r>
      </text>
    </comment>
    <comment ref="B64"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65"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66" authorId="0" shapeId="0">
      <text>
        <r>
          <rPr>
            <b/>
            <sz val="9"/>
            <color indexed="81"/>
            <rFont val="Tahoma"/>
            <family val="2"/>
          </rPr>
          <t>Autor:</t>
        </r>
        <r>
          <rPr>
            <sz val="9"/>
            <color indexed="81"/>
            <rFont val="Tahoma"/>
            <family val="2"/>
          </rPr>
          <t xml:space="preserve">
Tipo y, en su caso, denominación, p.ej., NACA 64-410.</t>
        </r>
      </text>
    </comment>
    <comment ref="A70"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70" authorId="0" shapeId="0">
      <text>
        <r>
          <rPr>
            <b/>
            <sz val="9"/>
            <color indexed="81"/>
            <rFont val="Tahoma"/>
            <family val="2"/>
          </rPr>
          <t>Autor:</t>
        </r>
        <r>
          <rPr>
            <sz val="9"/>
            <color indexed="81"/>
            <rFont val="Tahoma"/>
            <family val="2"/>
          </rPr>
          <t xml:space="preserve">
Flap simple, Fowler, doble ranurado, slat, Krueger, etc</t>
        </r>
      </text>
    </comment>
    <comment ref="A77"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84" authorId="0" shapeId="0">
      <text>
        <r>
          <rPr>
            <b/>
            <sz val="9"/>
            <color indexed="81"/>
            <rFont val="Tahoma"/>
            <family val="2"/>
          </rPr>
          <t>Autor:</t>
        </r>
        <r>
          <rPr>
            <sz val="9"/>
            <color indexed="81"/>
            <rFont val="Tahoma"/>
            <family val="2"/>
          </rPr>
          <t xml:space="preserve">
Con palabras o, mejor, con un esquema.</t>
        </r>
      </text>
    </comment>
    <comment ref="B8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03"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05"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08"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09" authorId="0" shapeId="0">
      <text>
        <r>
          <rPr>
            <b/>
            <sz val="9"/>
            <color indexed="81"/>
            <rFont val="Tahoma"/>
            <family val="2"/>
          </rPr>
          <t>Autor:</t>
        </r>
        <r>
          <rPr>
            <sz val="9"/>
            <color indexed="81"/>
            <rFont val="Tahoma"/>
            <family val="2"/>
          </rPr>
          <t xml:space="preserve">
La mitad de la del ala correspondiente.</t>
        </r>
      </text>
    </comment>
    <comment ref="B111" authorId="0" shapeId="0">
      <text>
        <r>
          <rPr>
            <b/>
            <sz val="9"/>
            <color indexed="81"/>
            <rFont val="Tahoma"/>
            <family val="2"/>
          </rPr>
          <t>Autor:</t>
        </r>
        <r>
          <rPr>
            <sz val="9"/>
            <color indexed="81"/>
            <rFont val="Tahoma"/>
            <family val="2"/>
          </rPr>
          <t xml:space="preserve">
La mitad de la del ala correspondiente.</t>
        </r>
      </text>
    </comment>
    <comment ref="B115" authorId="0" shapeId="0">
      <text>
        <r>
          <rPr>
            <b/>
            <sz val="9"/>
            <color indexed="81"/>
            <rFont val="Tahoma"/>
            <family val="2"/>
          </rPr>
          <t>Autor:</t>
        </r>
        <r>
          <rPr>
            <sz val="9"/>
            <color indexed="81"/>
            <rFont val="Tahoma"/>
            <family val="2"/>
          </rPr>
          <t xml:space="preserve">
Cociente de Sv dividido entre bv .</t>
        </r>
      </text>
    </comment>
    <comment ref="B118"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24" authorId="0" shapeId="0">
      <text>
        <r>
          <rPr>
            <b/>
            <sz val="9"/>
            <color indexed="81"/>
            <rFont val="Tahoma"/>
            <family val="2"/>
          </rPr>
          <t>Autor:</t>
        </r>
        <r>
          <rPr>
            <sz val="9"/>
            <color indexed="81"/>
            <rFont val="Tahoma"/>
            <family val="2"/>
          </rPr>
          <t xml:space="preserve">
Obsérvese que se usa b en lugar de CMA.</t>
        </r>
      </text>
    </comment>
    <comment ref="B126"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28"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30"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30" authorId="0" shapeId="0">
      <text>
        <r>
          <rPr>
            <b/>
            <sz val="9"/>
            <color indexed="81"/>
            <rFont val="Tahoma"/>
            <family val="2"/>
          </rPr>
          <t>Autor:</t>
        </r>
        <r>
          <rPr>
            <sz val="9"/>
            <color indexed="81"/>
            <rFont val="Tahoma"/>
            <family val="2"/>
          </rPr>
          <t xml:space="preserve">
Triciclo, retráctil, con rueda de cola, etc.</t>
        </r>
      </text>
    </comment>
    <comment ref="B131"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32"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B142" authorId="0" shapeId="0">
      <text>
        <r>
          <rPr>
            <b/>
            <sz val="9"/>
            <color indexed="81"/>
            <rFont val="Tahoma"/>
            <family val="2"/>
          </rPr>
          <t>Autor:</t>
        </r>
        <r>
          <rPr>
            <sz val="9"/>
            <color indexed="81"/>
            <rFont val="Tahoma"/>
            <family val="2"/>
          </rPr>
          <t xml:space="preserve">
Indicando condiciones como régimen de crucero, altitud, etc.</t>
        </r>
      </text>
    </comment>
    <comment ref="B143"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B144" authorId="0" shapeId="0">
      <text>
        <r>
          <rPr>
            <b/>
            <sz val="9"/>
            <color indexed="81"/>
            <rFont val="Tahoma"/>
            <family val="2"/>
          </rPr>
          <t>Autor:</t>
        </r>
        <r>
          <rPr>
            <sz val="9"/>
            <color indexed="81"/>
            <rFont val="Tahoma"/>
            <family val="2"/>
          </rPr>
          <t xml:space="preserve">
Velocidad de seguridad en el despegue.</t>
        </r>
      </text>
    </comment>
    <comment ref="B145" authorId="0" shapeId="0">
      <text>
        <r>
          <rPr>
            <b/>
            <sz val="9"/>
            <color indexed="81"/>
            <rFont val="Tahoma"/>
            <family val="2"/>
          </rPr>
          <t>Autor:</t>
        </r>
        <r>
          <rPr>
            <sz val="9"/>
            <color indexed="81"/>
            <rFont val="Tahoma"/>
            <family val="2"/>
          </rPr>
          <t xml:space="preserve">
Velocidad de aproximación final.</t>
        </r>
      </text>
    </comment>
    <comment ref="E146" authorId="0" shapeId="0">
      <text>
        <r>
          <rPr>
            <b/>
            <sz val="9"/>
            <color indexed="81"/>
            <rFont val="Tahoma"/>
            <family val="2"/>
          </rPr>
          <t>Autor:</t>
        </r>
        <r>
          <rPr>
            <sz val="9"/>
            <color indexed="81"/>
            <rFont val="Tahoma"/>
            <charset val="1"/>
          </rPr>
          <t xml:space="preserve">
max rate of climb
</t>
        </r>
      </text>
    </comment>
    <comment ref="B150" authorId="0" shapeId="0">
      <text>
        <r>
          <rPr>
            <b/>
            <sz val="9"/>
            <color indexed="81"/>
            <rFont val="Tahoma"/>
            <family val="2"/>
          </rPr>
          <t>Autor:</t>
        </r>
        <r>
          <rPr>
            <sz val="9"/>
            <color indexed="81"/>
            <rFont val="Tahoma"/>
            <family val="2"/>
          </rPr>
          <t xml:space="preserve">
Especificando condiciones como peso, altitud, etc.</t>
        </r>
      </text>
    </comment>
    <comment ref="B151" authorId="0" shapeId="0">
      <text>
        <r>
          <rPr>
            <b/>
            <sz val="9"/>
            <color indexed="81"/>
            <rFont val="Tahoma"/>
            <family val="2"/>
          </rPr>
          <t>Autor:</t>
        </r>
        <r>
          <rPr>
            <sz val="9"/>
            <color indexed="81"/>
            <rFont val="Tahoma"/>
            <family val="2"/>
          </rPr>
          <t xml:space="preserve">
Especificando condiciones como peso, altitud, etc.</t>
        </r>
      </text>
    </comment>
  </commentList>
</comments>
</file>

<file path=xl/sharedStrings.xml><?xml version="1.0" encoding="utf-8"?>
<sst xmlns="http://schemas.openxmlformats.org/spreadsheetml/2006/main" count="1148" uniqueCount="419">
  <si>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</si>
  <si>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</si>
  <si>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</si>
  <si>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</si>
  <si>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</si>
  <si>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</si>
  <si>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</si>
  <si>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</si>
  <si>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</si>
  <si>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</si>
  <si>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</si>
  <si>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</si>
  <si>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</si>
  <si>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</si>
  <si>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</si>
  <si>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</si>
  <si>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</si>
  <si>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</si>
  <si>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</si>
  <si>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</si>
  <si>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V2</t>
  </si>
  <si>
    <t>V3</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</si>
  <si>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</si>
  <si>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</si>
  <si>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</si>
  <si>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</si>
  <si>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</si>
  <si>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</si>
  <si>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</si>
  <si>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</si>
  <si>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</si>
  <si>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</si>
  <si>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</si>
  <si>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</si>
  <si>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</si>
  <si>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</si>
  <si>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</si>
  <si>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</si>
  <si>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</si>
  <si>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</si>
  <si>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</si>
  <si>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</si>
  <si>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</si>
  <si>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</si>
  <si>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</si>
  <si>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</si>
  <si>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</si>
  <si>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</si>
  <si>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</si>
  <si>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</si>
  <si>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</si>
  <si>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</si>
  <si>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</si>
  <si>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</si>
  <si>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</si>
  <si>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</si>
  <si>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</si>
  <si>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</si>
  <si>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</si>
  <si>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</si>
  <si>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</si>
  <si>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</si>
  <si>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</si>
  <si>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</si>
  <si>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</si>
  <si>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</si>
  <si>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</si>
  <si>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</si>
  <si>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</si>
  <si>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</si>
  <si>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</si>
  <si>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</si>
  <si>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</si>
  <si>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</si>
  <si>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</si>
  <si>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</si>
  <si>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</si>
  <si>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</si>
  <si>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</si>
  <si>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</si>
  <si>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</si>
  <si>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</si>
  <si>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</si>
  <si>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</si>
  <si>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</si>
  <si>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</si>
  <si>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</si>
  <si>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</si>
  <si>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</si>
  <si>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</si>
  <si>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</si>
  <si>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</si>
  <si>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</si>
  <si>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</si>
  <si>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</si>
  <si>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</si>
  <si>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</si>
  <si>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</si>
  <si>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</si>
  <si>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</si>
  <si>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</si>
  <si>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</si>
  <si>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</si>
  <si>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</si>
  <si>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</si>
  <si>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</si>
  <si>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</si>
  <si>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</si>
  <si>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</si>
  <si>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</si>
  <si>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</si>
  <si>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</si>
  <si>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</si>
  <si>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</si>
  <si>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</si>
  <si>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</si>
  <si>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</si>
  <si>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</si>
  <si>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</si>
  <si>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</si>
  <si>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</si>
  <si>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</si>
  <si>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</si>
  <si>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</si>
  <si>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</si>
  <si>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</si>
  <si>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</si>
  <si>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</si>
  <si>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</si>
  <si>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</si>
  <si>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</si>
  <si>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</si>
  <si>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</si>
  <si>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</si>
  <si>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</si>
  <si>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</si>
  <si>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</si>
  <si>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</si>
  <si>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</si>
  <si>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</si>
  <si>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</si>
  <si>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</si>
  <si>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</si>
  <si>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</si>
  <si>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</si>
  <si>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</si>
  <si>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t>Díametro de Neumáticos</t>
  </si>
  <si>
    <r>
      <t>[D</t>
    </r>
    <r>
      <rPr>
        <vertAlign val="subscript"/>
        <sz val="11"/>
        <color theme="1"/>
        <rFont val="Calibri"/>
        <family val="2"/>
        <scheme val="minor"/>
      </rPr>
      <t>p</t>
    </r>
    <r>
      <rPr>
        <sz val="11"/>
        <color theme="1"/>
        <rFont val="Calibri"/>
        <family val="2"/>
        <scheme val="minor"/>
      </rPr>
      <t>]</t>
    </r>
  </si>
  <si>
    <t>Ancho Neumáticos</t>
  </si>
  <si>
    <r>
      <t>[b</t>
    </r>
    <r>
      <rPr>
        <vertAlign val="subscript"/>
        <sz val="11"/>
        <color theme="1"/>
        <rFont val="Calibri"/>
        <family val="2"/>
        <scheme val="minor"/>
      </rPr>
      <t>p</t>
    </r>
    <r>
      <rPr>
        <sz val="11"/>
        <color theme="1"/>
        <rFont val="Calibri"/>
        <family val="2"/>
        <scheme val="minor"/>
      </rPr>
      <t>]</t>
    </r>
  </si>
  <si>
    <r>
      <t>[V</t>
    </r>
    <r>
      <rPr>
        <vertAlign val="subscript"/>
        <sz val="11"/>
        <color theme="1"/>
        <rFont val="Calibri"/>
        <family val="2"/>
        <scheme val="minor"/>
      </rPr>
      <t>max</t>
    </r>
    <r>
      <rPr>
        <sz val="11"/>
        <color theme="1"/>
        <rFont val="Calibri"/>
        <family val="2"/>
        <scheme val="minor"/>
      </rPr>
      <t>]</t>
    </r>
  </si>
  <si>
    <t>Velocida Máxima</t>
  </si>
  <si>
    <t>Vel Entrada en Pérdida</t>
  </si>
  <si>
    <r>
      <t>[V</t>
    </r>
    <r>
      <rPr>
        <vertAlign val="subscript"/>
        <sz val="11"/>
        <color theme="1"/>
        <rFont val="Calibri"/>
        <family val="2"/>
        <scheme val="minor"/>
      </rPr>
      <t>stall</t>
    </r>
    <r>
      <rPr>
        <sz val="11"/>
        <color theme="1"/>
        <rFont val="Calibri"/>
        <family val="2"/>
        <scheme val="minor"/>
      </rPr>
      <t>]</t>
    </r>
  </si>
  <si>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</si>
  <si>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</si>
  <si>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</si>
  <si>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r>
      <t>[V</t>
    </r>
    <r>
      <rPr>
        <vertAlign val="subscript"/>
        <sz val="11"/>
        <color theme="1"/>
        <rFont val="Calibri"/>
        <family val="2"/>
        <scheme val="minor"/>
      </rPr>
      <t>3</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</si>
  <si>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</si>
  <si>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</si>
  <si>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</si>
  <si>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</si>
  <si>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</si>
  <si>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</si>
  <si>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</si>
  <si>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</si>
  <si>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</si>
  <si>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</si>
  <si>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</si>
  <si>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</si>
  <si>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</si>
  <si>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</si>
  <si>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</si>
  <si>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</si>
  <si>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</si>
  <si>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</si>
  <si>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</si>
  <si>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</si>
  <si>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</si>
  <si>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</si>
  <si>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</si>
  <si>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</si>
  <si>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</si>
  <si>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 Global 5000</t>
  </si>
  <si>
    <t>Bombardier</t>
  </si>
  <si>
    <t>Parte posterior fuselaje</t>
  </si>
  <si>
    <t>P&amp;W Canada</t>
  </si>
  <si>
    <t>Turbofan</t>
  </si>
  <si>
    <t>CATEGORÍA</t>
  </si>
  <si>
    <t>Acrónimo</t>
  </si>
  <si>
    <t>Unidades</t>
  </si>
  <si>
    <t>Dato</t>
  </si>
  <si>
    <t>Semejante 1</t>
  </si>
  <si>
    <t>Semajante 2</t>
  </si>
  <si>
    <t>Semajante 3</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</si>
  <si>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</si>
  <si>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</si>
  <si>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</si>
  <si>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</si>
  <si>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</si>
  <si>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</si>
  <si>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</si>
  <si>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</si>
  <si>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</si>
  <si>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</si>
  <si>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</si>
  <si>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</si>
  <si>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</si>
  <si>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</si>
  <si>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</si>
  <si>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</si>
  <si>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</si>
  <si>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</si>
  <si>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</si>
  <si>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</si>
  <si>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</si>
  <si>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</si>
  <si>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</si>
  <si>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</si>
  <si>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</si>
  <si>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</si>
  <si>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</si>
  <si>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</si>
  <si>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</si>
  <si>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</si>
  <si>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</si>
  <si>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r>
      <t>[c</t>
    </r>
    <r>
      <rPr>
        <vertAlign val="subscript"/>
        <sz val="11"/>
        <color theme="1"/>
        <rFont val="Calibri"/>
        <family val="2"/>
        <scheme val="minor"/>
      </rPr>
      <t>e</t>
    </r>
    <r>
      <rPr>
        <sz val="11"/>
        <color theme="1"/>
        <rFont val="Calibri"/>
        <family val="2"/>
        <scheme val="minor"/>
      </rPr>
      <t>]</t>
    </r>
  </si>
  <si>
    <t>[g/(kN·s)]</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</si>
  <si>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</si>
  <si>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</si>
  <si>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</si>
  <si>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</si>
  <si>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</si>
  <si>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t>[kN/kg]</t>
  </si>
  <si>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</si>
  <si>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</si>
  <si>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</si>
  <si>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</si>
  <si>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</si>
  <si>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</si>
  <si>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</si>
  <si>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</si>
  <si>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</si>
  <si>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</si>
  <si>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</si>
  <si>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</si>
  <si>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</si>
  <si>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</si>
  <si>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</si>
  <si>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</si>
  <si>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</si>
  <si>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</si>
  <si>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</si>
  <si>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</si>
  <si>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</si>
  <si>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</si>
  <si>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</si>
  <si>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</si>
  <si>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</si>
  <si>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Presión de Inflado</t>
  </si>
  <si>
    <r>
      <t>[p</t>
    </r>
    <r>
      <rPr>
        <vertAlign val="subscript"/>
        <sz val="11"/>
        <color theme="1"/>
        <rFont val="Calibri"/>
        <family val="2"/>
        <scheme val="minor"/>
      </rPr>
      <t>p</t>
    </r>
    <r>
      <rPr>
        <sz val="11"/>
        <color theme="1"/>
        <rFont val="Calibri"/>
        <family val="2"/>
        <scheme val="minor"/>
      </rPr>
      <t>]</t>
    </r>
  </si>
  <si>
    <t>[kPa]</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</si>
  <si>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</si>
  <si>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</si>
  <si>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</si>
  <si>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</si>
  <si>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</si>
  <si>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</si>
  <si>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</si>
  <si>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</si>
  <si>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</si>
  <si>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</si>
  <si>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</si>
  <si>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</si>
  <si>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</si>
  <si>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</si>
  <si>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Embraer</t>
  </si>
  <si>
    <t>Legacy 450</t>
  </si>
  <si>
    <t>Cessna</t>
  </si>
  <si>
    <t>Phenom 300</t>
  </si>
  <si>
    <t>Falcon 2000LXS</t>
  </si>
  <si>
    <t>Honeywell</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</si>
  <si>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</si>
  <si>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</si>
  <si>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</si>
  <si>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</si>
  <si>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</si>
  <si>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</si>
  <si>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</si>
  <si>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</si>
  <si>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</si>
  <si>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</si>
  <si>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</si>
  <si>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</si>
  <si>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</si>
  <si>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</si>
  <si>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</si>
  <si>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</si>
  <si>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</si>
  <si>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</si>
  <si>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</si>
  <si>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</si>
  <si>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</si>
  <si>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</si>
  <si>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</si>
  <si>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</si>
  <si>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</si>
  <si>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</si>
  <si>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</si>
  <si>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</si>
  <si>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</si>
  <si>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</si>
  <si>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</si>
  <si>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</si>
  <si>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</si>
  <si>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</si>
  <si>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</si>
  <si>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</si>
  <si>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</si>
  <si>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</si>
  <si>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</si>
  <si>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</si>
  <si>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</si>
  <si>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</si>
  <si>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</si>
  <si>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</si>
  <si>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</si>
  <si>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</si>
  <si>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</si>
  <si>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</si>
  <si>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</si>
  <si>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</si>
  <si>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</si>
  <si>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</si>
  <si>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</si>
  <si>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</si>
  <si>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</si>
  <si>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t>HTF250G</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</si>
  <si>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</si>
  <si>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</si>
  <si>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</si>
  <si>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</si>
  <si>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</si>
  <si>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</si>
  <si>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</si>
  <si>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</si>
  <si>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</si>
  <si>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</si>
  <si>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</si>
  <si>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</si>
  <si>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</si>
  <si>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</si>
  <si>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</si>
  <si>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</si>
  <si>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</si>
  <si>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</si>
  <si>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</si>
  <si>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</si>
  <si>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</si>
  <si>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</si>
  <si>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</si>
  <si>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</si>
  <si>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lñ</t>
  </si>
  <si>
    <t>´ñ</t>
  </si>
  <si>
    <t>FL100</t>
  </si>
  <si>
    <t>Bombardier 415</t>
  </si>
  <si>
    <t>PW123AF</t>
  </si>
  <si>
    <t>Pratt &amp; Whitney</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</si>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</sst>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57">
    <xf numFmtId="0" fontId="0" fillId="0" borderId="0" xfId="0"/>
    <xf numFmtId="0" fontId="0" fillId="0" borderId="0" xfId="0"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15" fontId="0" fillId="0" borderId="0" xfId="0" applyNumberFormat="1" applyFill="1" applyAlignment="1">
      <alignment horizontal="center" vertical="center"/>
    </xf>
    <xf numFmtId="0" fontId="0" fillId="2" borderId="0" xfId="0" applyFill="1" applyBorder="1" applyAlignment="1">
      <alignment horizontal="left" vertical="center" wrapText="1"/>
    </xf>
    <xf numFmtId="0" fontId="0" fillId="3" borderId="0" xfId="0" applyFill="1" applyAlignment="1">
      <alignment horizontal="center" vertical="center" wrapText="1"/>
    </xf>
    <xf numFmtId="0" fontId="0" fillId="0" borderId="0" xfId="0" applyAlignment="1">
      <alignment horizontal="center" wrapText="1"/>
    </xf>
    <xf numFmtId="2" fontId="0" fillId="0" borderId="0" xfId="0" applyNumberFormat="1" applyFill="1" applyAlignment="1">
      <alignment horizontal="center" vertical="center"/>
    </xf>
    <xf numFmtId="2" fontId="0" fillId="0" borderId="0" xfId="0" applyNumberFormat="1"/>
    <xf numFmtId="0" fontId="0" fillId="2" borderId="0" xfId="0" applyFill="1" applyBorder="1" applyAlignment="1">
      <alignment wrapText="1"/>
    </xf>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7" fillId="0" borderId="0" xfId="0" applyFont="1" applyFill="1" applyAlignment="1">
      <alignment horizontal="center" vertical="center"/>
    </xf>
    <xf numFmtId="0" fontId="0" fillId="3" borderId="0" xfId="0" applyFill="1" applyAlignment="1">
      <alignment horizontal="center" vertical="center" wrapText="1"/>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xf>
    <xf numFmtId="0" fontId="0" fillId="0" borderId="0" xfId="0" applyAlignment="1">
      <alignment horizontal="center"/>
    </xf>
    <xf numFmtId="0" fontId="0" fillId="0" borderId="0" xfId="0" applyFill="1" applyAlignment="1">
      <alignment horizontal="center" vertical="center" wrapText="1"/>
    </xf>
    <xf numFmtId="0" fontId="0" fillId="0" borderId="0" xfId="0" applyFill="1" applyAlignment="1">
      <alignment horizontal="center"/>
    </xf>
    <xf numFmtId="3" fontId="0" fillId="0" borderId="0" xfId="0" applyNumberFormat="1"/>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gif"/><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emf"/><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emf"/><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emf"/><Relationship Id="rId3" Type="http://schemas.openxmlformats.org/officeDocument/2006/relationships/image" Target="../media/image23.png"/><Relationship Id="rId7" Type="http://schemas.openxmlformats.org/officeDocument/2006/relationships/image" Target="../media/image27.emf"/><Relationship Id="rId12" Type="http://schemas.openxmlformats.org/officeDocument/2006/relationships/image" Target="../media/image21.png"/><Relationship Id="rId2" Type="http://schemas.openxmlformats.org/officeDocument/2006/relationships/image" Target="../media/image22.png"/><Relationship Id="rId1" Type="http://schemas.openxmlformats.org/officeDocument/2006/relationships/image" Target="../media/image2.png"/><Relationship Id="rId6" Type="http://schemas.openxmlformats.org/officeDocument/2006/relationships/image" Target="../media/image26.emf"/><Relationship Id="rId11" Type="http://schemas.openxmlformats.org/officeDocument/2006/relationships/image" Target="../media/image20.emf"/><Relationship Id="rId5" Type="http://schemas.openxmlformats.org/officeDocument/2006/relationships/image" Target="../media/image25.emf"/><Relationship Id="rId10" Type="http://schemas.openxmlformats.org/officeDocument/2006/relationships/image" Target="../media/image29.emf"/><Relationship Id="rId4" Type="http://schemas.openxmlformats.org/officeDocument/2006/relationships/image" Target="../media/image24.emf"/><Relationship Id="rId9" Type="http://schemas.openxmlformats.org/officeDocument/2006/relationships/image" Target="../media/image28.emf"/></Relationships>
</file>

<file path=xl/drawings/_rels/drawing3.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116411</xdr:colOff>
      <xdr:row>190</xdr:row>
      <xdr:rowOff>144262</xdr:rowOff>
    </xdr:from>
    <xdr:to>
      <xdr:col>4</xdr:col>
      <xdr:colOff>1386680</xdr:colOff>
      <xdr:row>205</xdr:row>
      <xdr:rowOff>78441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539558" y="42603350"/>
          <a:ext cx="4643240" cy="2791679"/>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4"/>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rotWithShape="1">
        <a:blip xmlns:r="http://schemas.openxmlformats.org/officeDocument/2006/relationships" r:embed="rId5"/>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53</xdr:row>
      <xdr:rowOff>353156</xdr:rowOff>
    </xdr:from>
    <xdr:to>
      <xdr:col>7</xdr:col>
      <xdr:colOff>1465539</xdr:colOff>
      <xdr:row>53</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53</xdr:row>
      <xdr:rowOff>301871</xdr:rowOff>
    </xdr:from>
    <xdr:to>
      <xdr:col>8</xdr:col>
      <xdr:colOff>1472987</xdr:colOff>
      <xdr:row>53</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id="{00000000-0008-0000-0000-000016000000}"/>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53</xdr:row>
      <xdr:rowOff>261860</xdr:rowOff>
    </xdr:from>
    <xdr:to>
      <xdr:col>9</xdr:col>
      <xdr:colOff>1487658</xdr:colOff>
      <xdr:row>53</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id="{00000000-0008-0000-0000-00001A000000}"/>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id="{00000000-0008-0000-0000-00001F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53</xdr:row>
      <xdr:rowOff>212911</xdr:rowOff>
    </xdr:from>
    <xdr:to>
      <xdr:col>10</xdr:col>
      <xdr:colOff>1492293</xdr:colOff>
      <xdr:row>53</xdr:row>
      <xdr:rowOff>1028047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1"/>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id="{00000000-0008-0000-0000-000025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id="{00000000-0008-0000-0000-000028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53</xdr:row>
      <xdr:rowOff>119742</xdr:rowOff>
    </xdr:from>
    <xdr:to>
      <xdr:col>14</xdr:col>
      <xdr:colOff>1495801</xdr:colOff>
      <xdr:row>53</xdr:row>
      <xdr:rowOff>957941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4"/>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id="{00000000-0008-0000-0000-00001C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53</xdr:row>
      <xdr:rowOff>110613</xdr:rowOff>
    </xdr:from>
    <xdr:to>
      <xdr:col>11</xdr:col>
      <xdr:colOff>1504703</xdr:colOff>
      <xdr:row>53</xdr:row>
      <xdr:rowOff>982612</xdr:rowOff>
    </xdr:to>
    <xdr:pic>
      <xdr:nvPicPr>
        <xdr:cNvPr id="27" name="Picture 26" descr="Image result for legacy 450 cabin">
          <a:extLst>
            <a:ext uri="{FF2B5EF4-FFF2-40B4-BE49-F238E27FC236}">
              <a16:creationId xmlns:a16="http://schemas.microsoft.com/office/drawing/2014/main" id="{00000000-0008-0000-0000-00001B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53</xdr:row>
      <xdr:rowOff>110009</xdr:rowOff>
    </xdr:from>
    <xdr:to>
      <xdr:col>12</xdr:col>
      <xdr:colOff>1518633</xdr:colOff>
      <xdr:row>53</xdr:row>
      <xdr:rowOff>985052</xdr:rowOff>
    </xdr:to>
    <xdr:pic>
      <xdr:nvPicPr>
        <xdr:cNvPr id="32" name="Picture 31" descr="Configuración interior de la cabina del Legacy 500"/>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191</xdr:row>
      <xdr:rowOff>33617</xdr:rowOff>
    </xdr:from>
    <xdr:to>
      <xdr:col>7</xdr:col>
      <xdr:colOff>1501589</xdr:colOff>
      <xdr:row>203</xdr:row>
      <xdr:rowOff>6166</xdr:rowOff>
    </xdr:to>
    <xdr:pic>
      <xdr:nvPicPr>
        <xdr:cNvPr id="29" name="Picture 28" descr="MAC Graphic"/>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140493</xdr:colOff>
      <xdr:row>4</xdr:row>
      <xdr:rowOff>8619</xdr:rowOff>
    </xdr:from>
    <xdr:to>
      <xdr:col>5</xdr:col>
      <xdr:colOff>11904</xdr:colOff>
      <xdr:row>4</xdr:row>
      <xdr:rowOff>1101203</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926806" y="63965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290230</xdr:colOff>
      <xdr:row>4</xdr:row>
      <xdr:rowOff>25707</xdr:rowOff>
    </xdr:from>
    <xdr:to>
      <xdr:col>5</xdr:col>
      <xdr:colOff>2416969</xdr:colOff>
      <xdr:row>4</xdr:row>
      <xdr:rowOff>1056922</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719730" y="656738"/>
          <a:ext cx="2126739" cy="1031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209</xdr:row>
      <xdr:rowOff>0</xdr:rowOff>
    </xdr:from>
    <xdr:to>
      <xdr:col>7</xdr:col>
      <xdr:colOff>344488</xdr:colOff>
      <xdr:row>209</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1"/>
        <a:stretch>
          <a:fillRect/>
        </a:stretch>
      </xdr:blipFill>
      <xdr:spPr>
        <a:xfrm>
          <a:off x="7429500" y="50196750"/>
          <a:ext cx="4428332" cy="810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319612</xdr:colOff>
      <xdr:row>152</xdr:row>
      <xdr:rowOff>139700</xdr:rowOff>
    </xdr:from>
    <xdr:to>
      <xdr:col>3</xdr:col>
      <xdr:colOff>418500</xdr:colOff>
      <xdr:row>166</xdr:row>
      <xdr:rowOff>21308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319612" y="38176200"/>
          <a:ext cx="4061288" cy="2548608"/>
        </a:xfrm>
        <a:prstGeom prst="rect">
          <a:avLst/>
        </a:prstGeom>
      </xdr:spPr>
    </xdr:pic>
    <xdr:clientData/>
  </xdr:twoCellAnchor>
  <xdr:twoCellAnchor editAs="oneCell">
    <xdr:from>
      <xdr:col>0</xdr:col>
      <xdr:colOff>0</xdr:colOff>
      <xdr:row>21</xdr:row>
      <xdr:rowOff>59531</xdr:rowOff>
    </xdr:from>
    <xdr:to>
      <xdr:col>3</xdr:col>
      <xdr:colOff>540138</xdr:colOff>
      <xdr:row>21</xdr:row>
      <xdr:rowOff>146082</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0" y="5366317"/>
          <a:ext cx="4494714" cy="86551"/>
        </a:xfrm>
        <a:prstGeom prst="rect">
          <a:avLst/>
        </a:prstGeom>
      </xdr:spPr>
    </xdr:pic>
    <xdr:clientData/>
  </xdr:twoCellAnchor>
  <xdr:twoCellAnchor editAs="oneCell">
    <xdr:from>
      <xdr:col>3</xdr:col>
      <xdr:colOff>605178</xdr:colOff>
      <xdr:row>21</xdr:row>
      <xdr:rowOff>51025</xdr:rowOff>
    </xdr:from>
    <xdr:to>
      <xdr:col>4</xdr:col>
      <xdr:colOff>5039043</xdr:colOff>
      <xdr:row>21</xdr:row>
      <xdr:rowOff>148802</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a:stretch>
          <a:fillRect/>
        </a:stretch>
      </xdr:blipFill>
      <xdr:spPr>
        <a:xfrm>
          <a:off x="4559754" y="5357811"/>
          <a:ext cx="5063195" cy="97777"/>
        </a:xfrm>
        <a:prstGeom prst="rect">
          <a:avLst/>
        </a:prstGeom>
      </xdr:spPr>
    </xdr:pic>
    <xdr:clientData/>
  </xdr:twoCellAnchor>
  <xdr:twoCellAnchor editAs="oneCell">
    <xdr:from>
      <xdr:col>4</xdr:col>
      <xdr:colOff>153762</xdr:colOff>
      <xdr:row>167</xdr:row>
      <xdr:rowOff>110169</xdr:rowOff>
    </xdr:from>
    <xdr:to>
      <xdr:col>5</xdr:col>
      <xdr:colOff>51943</xdr:colOff>
      <xdr:row>210</xdr:row>
      <xdr:rowOff>26454</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757512" y="40341955"/>
          <a:ext cx="4955502" cy="7717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154245</xdr:colOff>
      <xdr:row>210</xdr:row>
      <xdr:rowOff>95673</xdr:rowOff>
    </xdr:from>
    <xdr:to>
      <xdr:col>5</xdr:col>
      <xdr:colOff>82667</xdr:colOff>
      <xdr:row>252</xdr:row>
      <xdr:rowOff>4074</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757995" y="48128887"/>
          <a:ext cx="4985743" cy="7528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94578</xdr:colOff>
      <xdr:row>251</xdr:row>
      <xdr:rowOff>163252</xdr:rowOff>
    </xdr:from>
    <xdr:to>
      <xdr:col>5</xdr:col>
      <xdr:colOff>91511</xdr:colOff>
      <xdr:row>260</xdr:row>
      <xdr:rowOff>52672</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698328" y="55635038"/>
          <a:ext cx="5054254" cy="1522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113393</xdr:colOff>
      <xdr:row>152</xdr:row>
      <xdr:rowOff>107364</xdr:rowOff>
    </xdr:from>
    <xdr:to>
      <xdr:col>5</xdr:col>
      <xdr:colOff>26893</xdr:colOff>
      <xdr:row>167</xdr:row>
      <xdr:rowOff>89732</xdr:rowOff>
    </xdr:to>
    <xdr:pic>
      <xdr:nvPicPr>
        <xdr:cNvPr id="12" name="Imagen 1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717143" y="37617721"/>
          <a:ext cx="4970821" cy="27037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1465352</xdr:colOff>
      <xdr:row>4</xdr:row>
      <xdr:rowOff>42068</xdr:rowOff>
    </xdr:from>
    <xdr:to>
      <xdr:col>4</xdr:col>
      <xdr:colOff>3979950</xdr:colOff>
      <xdr:row>4</xdr:row>
      <xdr:rowOff>1134652</xdr:rowOff>
    </xdr:to>
    <xdr:pic>
      <xdr:nvPicPr>
        <xdr:cNvPr id="13" name="Imagen 1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56616" y="81263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77384</xdr:colOff>
      <xdr:row>153</xdr:row>
      <xdr:rowOff>34281</xdr:rowOff>
    </xdr:from>
    <xdr:to>
      <xdr:col>5</xdr:col>
      <xdr:colOff>4428507</xdr:colOff>
      <xdr:row>189</xdr:row>
      <xdr:rowOff>10698</xdr:rowOff>
    </xdr:to>
    <xdr:pic>
      <xdr:nvPicPr>
        <xdr:cNvPr id="14" name="Imagen 1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726085" y="37552885"/>
          <a:ext cx="4351123" cy="6656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263539</xdr:colOff>
      <xdr:row>188</xdr:row>
      <xdr:rowOff>109587</xdr:rowOff>
    </xdr:from>
    <xdr:to>
      <xdr:col>5</xdr:col>
      <xdr:colOff>4465618</xdr:colOff>
      <xdr:row>223</xdr:row>
      <xdr:rowOff>8655</xdr:rowOff>
    </xdr:to>
    <xdr:pic>
      <xdr:nvPicPr>
        <xdr:cNvPr id="15" name="Imagen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912240" y="44122509"/>
          <a:ext cx="4202079" cy="6393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1311183</xdr:colOff>
      <xdr:row>4</xdr:row>
      <xdr:rowOff>62572</xdr:rowOff>
    </xdr:from>
    <xdr:to>
      <xdr:col>5</xdr:col>
      <xdr:colOff>3493381</xdr:colOff>
      <xdr:row>4</xdr:row>
      <xdr:rowOff>1120678</xdr:rowOff>
    </xdr:to>
    <xdr:pic>
      <xdr:nvPicPr>
        <xdr:cNvPr id="16" name="Imagen 15">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64610" y="833134"/>
          <a:ext cx="2182198" cy="1058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74221</xdr:colOff>
      <xdr:row>21</xdr:row>
      <xdr:rowOff>74220</xdr:rowOff>
    </xdr:from>
    <xdr:to>
      <xdr:col>5</xdr:col>
      <xdr:colOff>4502553</xdr:colOff>
      <xdr:row>21</xdr:row>
      <xdr:rowOff>155226</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2"/>
        <a:stretch>
          <a:fillRect/>
        </a:stretch>
      </xdr:blipFill>
      <xdr:spPr>
        <a:xfrm>
          <a:off x="9722922" y="5294415"/>
          <a:ext cx="4428332" cy="810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12</xdr:col>
      <xdr:colOff>599333</xdr:colOff>
      <xdr:row>16</xdr:row>
      <xdr:rowOff>28214</xdr:rowOff>
    </xdr:to>
    <xdr:pic>
      <xdr:nvPicPr>
        <xdr:cNvPr id="2" name="Imagen 1"/>
        <xdr:cNvPicPr>
          <a:picLocks noChangeAspect="1"/>
        </xdr:cNvPicPr>
      </xdr:nvPicPr>
      <xdr:blipFill>
        <a:blip xmlns:r="http://schemas.openxmlformats.org/officeDocument/2006/relationships" r:embed="rId1"/>
        <a:stretch>
          <a:fillRect/>
        </a:stretch>
      </xdr:blipFill>
      <xdr:spPr>
        <a:xfrm>
          <a:off x="5172075" y="190500"/>
          <a:ext cx="5933333" cy="28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3"/>
  <sheetViews>
    <sheetView tabSelected="1" zoomScale="95" zoomScaleNormal="95" workbookViewId="0">
      <selection sqref="A1:XFD211"/>
    </sheetView>
  </sheetViews>
  <sheetFormatPr baseColWidth="10" defaultColWidth="9.140625" defaultRowHeight="15"/>
  <cols>
    <col min="1" max="1" width="21.28515625" style="36" customWidth="1"/>
    <col min="2" max="2" width="38" style="35" customWidth="1"/>
    <col min="3" max="3" width="13.28515625" style="2" customWidth="1"/>
    <col min="4" max="4" width="10" style="2" customWidth="1"/>
    <col min="5" max="5" width="39.5703125" style="2" customWidth="1"/>
    <col min="6" max="6" width="38.28515625" style="36" customWidth="1"/>
    <col min="7" max="15" width="23" style="36" customWidth="1"/>
    <col min="16" max="16" width="9.140625" style="36"/>
    <col min="17" max="17" width="13" style="36" customWidth="1"/>
    <col min="18" max="16384" width="9.140625" style="36"/>
  </cols>
  <sheetData>
    <row r="1" spans="1:17">
      <c r="A1" s="12" t="s">
        <v>188</v>
      </c>
      <c r="B1" s="13" t="s">
        <v>191</v>
      </c>
      <c r="C1" s="12" t="s">
        <v>189</v>
      </c>
      <c r="D1" s="12" t="s">
        <v>190</v>
      </c>
      <c r="E1" s="12" t="s">
        <v>262</v>
      </c>
      <c r="F1" s="12" t="s">
        <v>368</v>
      </c>
      <c r="G1" s="12" t="s">
        <v>263</v>
      </c>
      <c r="H1" s="12" t="s">
        <v>264</v>
      </c>
      <c r="I1" s="12" t="s">
        <v>265</v>
      </c>
      <c r="J1" s="12" t="s">
        <v>267</v>
      </c>
      <c r="K1" s="12" t="s">
        <v>268</v>
      </c>
      <c r="L1" s="12" t="s">
        <v>269</v>
      </c>
      <c r="M1" s="12" t="s">
        <v>270</v>
      </c>
      <c r="N1" s="12" t="s">
        <v>271</v>
      </c>
      <c r="O1" s="12" t="s">
        <v>372</v>
      </c>
    </row>
    <row r="2" spans="1:17" s="47" customFormat="1" ht="5.0999999999999996" customHeight="1"/>
    <row r="3" spans="1:17">
      <c r="A3" s="50" t="s">
        <v>26</v>
      </c>
      <c r="B3" s="37" t="s">
        <v>0</v>
      </c>
      <c r="C3" s="4" t="s">
        <v>34</v>
      </c>
      <c r="D3" s="4" t="s">
        <v>34</v>
      </c>
      <c r="E3" s="3" t="s">
        <v>353</v>
      </c>
      <c r="F3" s="2" t="s">
        <v>365</v>
      </c>
      <c r="G3" s="2" t="s">
        <v>280</v>
      </c>
      <c r="H3" s="2" t="s">
        <v>275</v>
      </c>
      <c r="I3" s="2" t="s">
        <v>274</v>
      </c>
      <c r="J3" s="2" t="s">
        <v>334</v>
      </c>
      <c r="K3" s="2" t="s">
        <v>273</v>
      </c>
      <c r="L3" s="2" t="s">
        <v>277</v>
      </c>
      <c r="M3" s="2" t="s">
        <v>369</v>
      </c>
      <c r="N3" s="2" t="s">
        <v>279</v>
      </c>
      <c r="O3" s="2" t="s">
        <v>370</v>
      </c>
      <c r="Q3" s="36" t="s">
        <v>411</v>
      </c>
    </row>
    <row r="4" spans="1:17" ht="15" customHeight="1">
      <c r="A4" s="50"/>
      <c r="B4" s="6" t="s">
        <v>1</v>
      </c>
      <c r="C4" s="4" t="s">
        <v>34</v>
      </c>
      <c r="D4" s="4" t="s">
        <v>34</v>
      </c>
      <c r="E4" s="3" t="s">
        <v>354</v>
      </c>
      <c r="F4" s="2" t="s">
        <v>184</v>
      </c>
      <c r="G4" s="2" t="s">
        <v>38</v>
      </c>
      <c r="H4" s="2" t="s">
        <v>184</v>
      </c>
      <c r="I4" s="2" t="s">
        <v>184</v>
      </c>
      <c r="J4" s="2" t="s">
        <v>184</v>
      </c>
      <c r="K4" s="2" t="s">
        <v>272</v>
      </c>
      <c r="L4" s="2" t="s">
        <v>276</v>
      </c>
      <c r="M4" s="2" t="s">
        <v>276</v>
      </c>
      <c r="N4" s="2" t="s">
        <v>276</v>
      </c>
      <c r="O4" s="2" t="s">
        <v>278</v>
      </c>
    </row>
    <row r="5" spans="1:17" ht="90" customHeight="1">
      <c r="A5" s="50"/>
      <c r="B5" s="6" t="s">
        <v>224</v>
      </c>
      <c r="C5" s="4" t="s">
        <v>34</v>
      </c>
      <c r="D5" s="4" t="s">
        <v>34</v>
      </c>
      <c r="E5" s="3"/>
      <c r="F5" s="2"/>
      <c r="G5" s="2"/>
      <c r="H5" s="2"/>
      <c r="I5" s="2"/>
      <c r="J5" s="2"/>
      <c r="K5" s="2"/>
      <c r="M5" s="2"/>
    </row>
    <row r="6" spans="1:17">
      <c r="A6" s="50"/>
      <c r="B6" s="6" t="s">
        <v>2</v>
      </c>
      <c r="C6" s="4" t="s">
        <v>34</v>
      </c>
      <c r="D6" s="4" t="s">
        <v>34</v>
      </c>
      <c r="E6" s="19">
        <v>27349</v>
      </c>
      <c r="F6" s="20">
        <v>33527</v>
      </c>
      <c r="G6" s="20">
        <v>41640</v>
      </c>
      <c r="H6" s="20">
        <v>35351</v>
      </c>
      <c r="I6" s="20">
        <v>37687</v>
      </c>
      <c r="J6" s="20">
        <v>41883</v>
      </c>
      <c r="K6" s="20">
        <v>40746</v>
      </c>
      <c r="L6" s="20">
        <v>42141</v>
      </c>
      <c r="M6" s="20">
        <v>41922</v>
      </c>
      <c r="N6" s="20">
        <v>42343</v>
      </c>
      <c r="O6" s="20">
        <v>41816</v>
      </c>
    </row>
    <row r="7" spans="1:17" ht="18">
      <c r="A7" s="50"/>
      <c r="B7" s="6" t="s">
        <v>3</v>
      </c>
      <c r="C7" s="4" t="s">
        <v>35</v>
      </c>
      <c r="D7" s="4" t="s">
        <v>195</v>
      </c>
      <c r="E7" s="9">
        <v>9.9499999999999993</v>
      </c>
      <c r="F7" s="31">
        <v>9.07</v>
      </c>
      <c r="G7" s="14">
        <v>7.06</v>
      </c>
      <c r="H7" s="14">
        <v>7.8</v>
      </c>
      <c r="I7" s="14">
        <v>7.8</v>
      </c>
      <c r="J7" s="14">
        <v>6.2</v>
      </c>
      <c r="K7" s="14">
        <v>6.5</v>
      </c>
      <c r="L7" s="14">
        <v>6.43</v>
      </c>
      <c r="M7" s="14">
        <v>6.44</v>
      </c>
      <c r="N7" s="14">
        <v>5.0999999999999996</v>
      </c>
      <c r="O7" s="14">
        <v>5.86</v>
      </c>
    </row>
    <row r="8" spans="1:17" ht="18">
      <c r="A8" s="50"/>
      <c r="B8" s="6" t="s">
        <v>4</v>
      </c>
      <c r="C8" s="4" t="s">
        <v>36</v>
      </c>
      <c r="D8" s="4" t="s">
        <v>195</v>
      </c>
      <c r="E8" s="9">
        <v>33.46</v>
      </c>
      <c r="F8" s="31">
        <v>19.82</v>
      </c>
      <c r="G8" s="14">
        <v>20.23</v>
      </c>
      <c r="H8" s="14">
        <v>30.3</v>
      </c>
      <c r="I8" s="14">
        <v>29.5</v>
      </c>
      <c r="J8" s="14">
        <v>20.92</v>
      </c>
      <c r="K8" s="14">
        <v>20.37</v>
      </c>
      <c r="L8" s="14">
        <v>19.68</v>
      </c>
      <c r="M8" s="14">
        <v>20.74</v>
      </c>
      <c r="N8" s="14">
        <v>15.64</v>
      </c>
      <c r="O8" s="14">
        <v>22.43</v>
      </c>
    </row>
    <row r="9" spans="1:17" ht="18">
      <c r="A9" s="50"/>
      <c r="B9" s="6" t="s">
        <v>5</v>
      </c>
      <c r="C9" s="4" t="s">
        <v>37</v>
      </c>
      <c r="D9" s="4" t="s">
        <v>195</v>
      </c>
      <c r="E9" s="9">
        <v>33.15</v>
      </c>
      <c r="F9" s="31">
        <v>28.63</v>
      </c>
      <c r="G9" s="14">
        <v>21.38</v>
      </c>
      <c r="H9" s="14">
        <v>28.7</v>
      </c>
      <c r="I9" s="14">
        <v>28.7</v>
      </c>
      <c r="J9" s="14">
        <v>21</v>
      </c>
      <c r="K9" s="14">
        <v>19.2</v>
      </c>
      <c r="L9" s="14">
        <v>20.25</v>
      </c>
      <c r="M9" s="14">
        <v>20.25</v>
      </c>
      <c r="N9" s="14">
        <v>15.91</v>
      </c>
      <c r="O9" s="14">
        <v>21.09</v>
      </c>
    </row>
    <row r="10" spans="1:17" s="49" customFormat="1"/>
    <row r="11" spans="1:17" ht="18" customHeight="1">
      <c r="A11" s="48" t="s">
        <v>27</v>
      </c>
      <c r="B11" s="15" t="s">
        <v>6</v>
      </c>
      <c r="C11" s="16" t="s">
        <v>52</v>
      </c>
      <c r="D11" s="16" t="s">
        <v>34</v>
      </c>
      <c r="E11" s="45">
        <v>4</v>
      </c>
      <c r="F11" s="2">
        <v>2</v>
      </c>
      <c r="G11" s="2">
        <v>2</v>
      </c>
      <c r="H11" s="2">
        <v>2</v>
      </c>
      <c r="I11" s="2">
        <v>2</v>
      </c>
      <c r="J11" s="2">
        <v>2</v>
      </c>
      <c r="K11" s="2">
        <v>2</v>
      </c>
      <c r="L11" s="2">
        <v>2</v>
      </c>
      <c r="M11" s="2">
        <v>2</v>
      </c>
      <c r="N11" s="2">
        <v>2</v>
      </c>
      <c r="O11" s="2">
        <v>2</v>
      </c>
    </row>
    <row r="12" spans="1:17">
      <c r="A12" s="48"/>
      <c r="B12" s="15" t="s">
        <v>7</v>
      </c>
      <c r="C12" s="16" t="s">
        <v>34</v>
      </c>
      <c r="D12" s="16" t="s">
        <v>34</v>
      </c>
      <c r="E12" s="45" t="s">
        <v>355</v>
      </c>
      <c r="F12" s="45" t="s">
        <v>355</v>
      </c>
      <c r="G12" s="2" t="s">
        <v>185</v>
      </c>
      <c r="H12" s="2" t="s">
        <v>185</v>
      </c>
      <c r="I12" s="2" t="s">
        <v>185</v>
      </c>
      <c r="J12" s="2" t="s">
        <v>185</v>
      </c>
      <c r="K12" s="2" t="s">
        <v>185</v>
      </c>
      <c r="L12" s="2" t="s">
        <v>185</v>
      </c>
      <c r="M12" s="2" t="s">
        <v>185</v>
      </c>
      <c r="N12" s="2" t="s">
        <v>185</v>
      </c>
      <c r="O12" s="2" t="s">
        <v>185</v>
      </c>
    </row>
    <row r="13" spans="1:17">
      <c r="A13" s="48"/>
      <c r="B13" s="15" t="s">
        <v>8</v>
      </c>
      <c r="C13" s="16" t="s">
        <v>34</v>
      </c>
      <c r="D13" s="16" t="s">
        <v>34</v>
      </c>
      <c r="E13" s="45" t="s">
        <v>356</v>
      </c>
      <c r="F13" s="45" t="s">
        <v>356</v>
      </c>
      <c r="G13" s="2" t="s">
        <v>187</v>
      </c>
      <c r="H13" s="2" t="s">
        <v>187</v>
      </c>
      <c r="I13" s="2" t="s">
        <v>187</v>
      </c>
      <c r="J13" s="2" t="s">
        <v>187</v>
      </c>
      <c r="K13" s="2" t="s">
        <v>187</v>
      </c>
      <c r="L13" s="2" t="s">
        <v>187</v>
      </c>
      <c r="M13" s="2" t="s">
        <v>187</v>
      </c>
      <c r="N13" s="2" t="s">
        <v>187</v>
      </c>
      <c r="O13" s="2" t="s">
        <v>187</v>
      </c>
    </row>
    <row r="14" spans="1:17">
      <c r="A14" s="48"/>
      <c r="B14" s="15" t="s">
        <v>1</v>
      </c>
      <c r="C14" s="16" t="s">
        <v>34</v>
      </c>
      <c r="D14" s="16" t="s">
        <v>34</v>
      </c>
      <c r="E14" s="45" t="s">
        <v>358</v>
      </c>
      <c r="F14" s="46" t="s">
        <v>367</v>
      </c>
      <c r="G14" s="2" t="s">
        <v>186</v>
      </c>
      <c r="H14" s="2" t="s">
        <v>307</v>
      </c>
      <c r="I14" s="2" t="s">
        <v>307</v>
      </c>
      <c r="J14" s="2" t="s">
        <v>281</v>
      </c>
      <c r="K14" s="2" t="s">
        <v>281</v>
      </c>
      <c r="L14" s="2" t="s">
        <v>281</v>
      </c>
      <c r="M14" s="2" t="s">
        <v>281</v>
      </c>
      <c r="N14" s="2" t="s">
        <v>186</v>
      </c>
      <c r="O14" s="2" t="s">
        <v>307</v>
      </c>
    </row>
    <row r="15" spans="1:17">
      <c r="A15" s="48"/>
      <c r="B15" s="15" t="s">
        <v>9</v>
      </c>
      <c r="C15" s="16" t="s">
        <v>34</v>
      </c>
      <c r="D15" s="16" t="s">
        <v>34</v>
      </c>
      <c r="E15" s="45" t="s">
        <v>357</v>
      </c>
      <c r="F15" s="46" t="s">
        <v>366</v>
      </c>
      <c r="G15" s="2" t="s">
        <v>282</v>
      </c>
      <c r="H15" s="2" t="s">
        <v>308</v>
      </c>
      <c r="I15" s="2" t="s">
        <v>308</v>
      </c>
      <c r="J15" s="2" t="s">
        <v>336</v>
      </c>
      <c r="K15" s="2" t="s">
        <v>337</v>
      </c>
      <c r="L15" s="2" t="s">
        <v>344</v>
      </c>
      <c r="M15" s="2" t="s">
        <v>344</v>
      </c>
      <c r="N15" s="2" t="s">
        <v>343</v>
      </c>
      <c r="O15" s="2" t="s">
        <v>371</v>
      </c>
    </row>
    <row r="16" spans="1:17" ht="18">
      <c r="A16" s="48"/>
      <c r="B16" s="15" t="s">
        <v>10</v>
      </c>
      <c r="C16" s="16" t="s">
        <v>39</v>
      </c>
      <c r="D16" s="16" t="s">
        <v>196</v>
      </c>
      <c r="E16" s="45">
        <v>538</v>
      </c>
      <c r="F16" s="46">
        <v>450</v>
      </c>
      <c r="G16" s="2">
        <v>623.5</v>
      </c>
      <c r="H16" s="2">
        <v>1633</v>
      </c>
      <c r="I16" s="2">
        <v>1633</v>
      </c>
      <c r="J16" s="2">
        <v>618.70000000000005</v>
      </c>
      <c r="K16" s="2"/>
      <c r="M16" s="2"/>
      <c r="N16" s="2"/>
      <c r="O16" s="2"/>
    </row>
    <row r="17" spans="1:15" ht="18">
      <c r="A17" s="48"/>
      <c r="B17" s="15" t="s">
        <v>359</v>
      </c>
      <c r="C17" s="16" t="s">
        <v>360</v>
      </c>
      <c r="D17" s="16" t="s">
        <v>361</v>
      </c>
      <c r="E17" s="14">
        <v>2535</v>
      </c>
      <c r="F17" s="31">
        <v>1775</v>
      </c>
      <c r="G17" s="45"/>
      <c r="H17" s="45"/>
      <c r="I17" s="45"/>
      <c r="J17" s="45"/>
      <c r="K17" s="45"/>
      <c r="M17" s="45"/>
      <c r="N17" s="45"/>
      <c r="O17" s="45"/>
    </row>
    <row r="18" spans="1:15" ht="18">
      <c r="A18" s="48"/>
      <c r="B18" s="15" t="s">
        <v>206</v>
      </c>
      <c r="C18" s="16" t="s">
        <v>205</v>
      </c>
      <c r="D18" s="16" t="s">
        <v>201</v>
      </c>
      <c r="E18" s="14"/>
      <c r="F18" s="31"/>
      <c r="G18" s="14">
        <v>31.13</v>
      </c>
      <c r="H18" s="14">
        <v>65.599999999999994</v>
      </c>
      <c r="I18" s="14">
        <v>65.599999999999994</v>
      </c>
      <c r="J18" s="14">
        <v>32.57</v>
      </c>
      <c r="K18" s="14">
        <v>33.9</v>
      </c>
      <c r="L18" s="14">
        <v>29.1</v>
      </c>
      <c r="M18" s="14">
        <v>31.3</v>
      </c>
      <c r="N18" s="14">
        <v>14.946</v>
      </c>
      <c r="O18" s="14">
        <v>31.29</v>
      </c>
    </row>
    <row r="19" spans="1:15">
      <c r="A19" s="48"/>
      <c r="B19" s="15" t="s">
        <v>225</v>
      </c>
      <c r="C19" s="16" t="s">
        <v>283</v>
      </c>
      <c r="D19" s="16" t="s">
        <v>293</v>
      </c>
      <c r="E19" s="14"/>
      <c r="F19" s="22">
        <v>0.47</v>
      </c>
      <c r="G19" s="22">
        <v>0.68</v>
      </c>
      <c r="H19" s="22">
        <v>0.63</v>
      </c>
      <c r="I19" s="22">
        <v>0.63</v>
      </c>
      <c r="J19" s="22">
        <v>0.68400000000000005</v>
      </c>
      <c r="K19" s="22"/>
      <c r="L19" s="22"/>
      <c r="M19" s="22"/>
      <c r="N19" s="22"/>
      <c r="O19" s="22"/>
    </row>
    <row r="20" spans="1:15" ht="18">
      <c r="A20" s="48"/>
      <c r="B20" s="15" t="s">
        <v>292</v>
      </c>
      <c r="C20" s="16" t="s">
        <v>291</v>
      </c>
      <c r="D20" s="16" t="s">
        <v>34</v>
      </c>
      <c r="E20" s="21" t="s">
        <v>304</v>
      </c>
      <c r="F20" s="14" t="s">
        <v>304</v>
      </c>
      <c r="G20" s="14" t="s">
        <v>304</v>
      </c>
      <c r="H20" s="14" t="s">
        <v>304</v>
      </c>
      <c r="I20" s="14" t="s">
        <v>304</v>
      </c>
      <c r="J20" s="14" t="s">
        <v>304</v>
      </c>
      <c r="K20" s="14" t="s">
        <v>304</v>
      </c>
      <c r="L20" s="14" t="s">
        <v>304</v>
      </c>
      <c r="M20" s="14" t="s">
        <v>304</v>
      </c>
      <c r="N20" s="14" t="s">
        <v>304</v>
      </c>
      <c r="O20" s="14" t="s">
        <v>304</v>
      </c>
    </row>
    <row r="21" spans="1:15" ht="18">
      <c r="A21" s="48"/>
      <c r="B21" s="15" t="s">
        <v>197</v>
      </c>
      <c r="C21" s="16" t="s">
        <v>199</v>
      </c>
      <c r="D21" s="16" t="s">
        <v>195</v>
      </c>
      <c r="E21" s="21">
        <v>0.68300000000000005</v>
      </c>
      <c r="F21" s="14">
        <v>0.63500000000000001</v>
      </c>
      <c r="G21" s="14">
        <v>1.2989999999999999</v>
      </c>
      <c r="H21" s="14">
        <v>1.57</v>
      </c>
      <c r="I21" s="14">
        <v>1.5720000000000001</v>
      </c>
      <c r="J21" s="14">
        <v>1.1759999999999999</v>
      </c>
      <c r="K21" s="14"/>
      <c r="L21" s="14"/>
      <c r="M21" s="14"/>
      <c r="N21" s="14"/>
      <c r="O21" s="14"/>
    </row>
    <row r="22" spans="1:15" ht="18">
      <c r="A22" s="48"/>
      <c r="B22" s="15" t="s">
        <v>198</v>
      </c>
      <c r="C22" s="16" t="s">
        <v>200</v>
      </c>
      <c r="D22" s="16" t="s">
        <v>195</v>
      </c>
      <c r="E22" s="21">
        <v>2.7930000000000001</v>
      </c>
      <c r="F22" s="14">
        <v>2.1339999999999999</v>
      </c>
      <c r="G22" s="14">
        <v>2.1840000000000002</v>
      </c>
      <c r="H22" s="14">
        <v>3.41</v>
      </c>
      <c r="I22" s="14">
        <v>3.4089999999999998</v>
      </c>
      <c r="J22" s="14">
        <v>2.347</v>
      </c>
      <c r="K22" s="14"/>
      <c r="L22" s="14"/>
      <c r="M22" s="14"/>
      <c r="N22" s="14"/>
      <c r="O22" s="14"/>
    </row>
    <row r="23" spans="1:15" ht="18" customHeight="1">
      <c r="A23" s="48"/>
      <c r="B23" s="15" t="s">
        <v>228</v>
      </c>
      <c r="C23" s="16" t="s">
        <v>229</v>
      </c>
      <c r="D23" s="16" t="s">
        <v>201</v>
      </c>
      <c r="E23" s="14">
        <f>E11*E18</f>
        <v>0</v>
      </c>
      <c r="F23" s="14">
        <f>F11*F18</f>
        <v>0</v>
      </c>
      <c r="G23" s="14">
        <f>G11*G18</f>
        <v>62.26</v>
      </c>
      <c r="H23" s="14">
        <f>H11*H18</f>
        <v>131.19999999999999</v>
      </c>
      <c r="I23" s="14">
        <f>I11*I18</f>
        <v>131.19999999999999</v>
      </c>
      <c r="J23" s="14">
        <f>J11*J18</f>
        <v>65.14</v>
      </c>
      <c r="K23" s="14">
        <f>K11*K18</f>
        <v>67.8</v>
      </c>
      <c r="L23" s="14">
        <f>L11*L18</f>
        <v>58.2</v>
      </c>
      <c r="M23" s="14">
        <f>M11*M18</f>
        <v>62.6</v>
      </c>
      <c r="N23" s="14">
        <f>N11*N18</f>
        <v>29.891999999999999</v>
      </c>
      <c r="O23" s="14">
        <f>O11*O18</f>
        <v>62.58</v>
      </c>
    </row>
    <row r="24" spans="1:15" ht="18" customHeight="1">
      <c r="A24" s="44"/>
      <c r="B24" s="15" t="s">
        <v>394</v>
      </c>
      <c r="C24" s="16" t="s">
        <v>390</v>
      </c>
      <c r="D24" s="16" t="s">
        <v>361</v>
      </c>
      <c r="E24" s="14">
        <f>E11*E17</f>
        <v>10140</v>
      </c>
      <c r="F24" s="14">
        <f t="shared" ref="F24:O24" si="0">F11*F17</f>
        <v>3550</v>
      </c>
      <c r="G24" s="14">
        <f t="shared" si="0"/>
        <v>0</v>
      </c>
      <c r="H24" s="14">
        <f t="shared" si="0"/>
        <v>0</v>
      </c>
      <c r="I24" s="14">
        <f t="shared" si="0"/>
        <v>0</v>
      </c>
      <c r="J24" s="14">
        <f t="shared" si="0"/>
        <v>0</v>
      </c>
      <c r="K24" s="14">
        <f t="shared" si="0"/>
        <v>0</v>
      </c>
      <c r="L24" s="14">
        <f t="shared" si="0"/>
        <v>0</v>
      </c>
      <c r="M24" s="14">
        <f t="shared" si="0"/>
        <v>0</v>
      </c>
      <c r="N24" s="14">
        <f t="shared" si="0"/>
        <v>0</v>
      </c>
      <c r="O24" s="14">
        <f t="shared" si="0"/>
        <v>0</v>
      </c>
    </row>
    <row r="25" spans="1:15" s="49" customFormat="1"/>
    <row r="26" spans="1:15" ht="18" customHeight="1">
      <c r="A26" s="48" t="s">
        <v>28</v>
      </c>
      <c r="B26" s="15" t="s">
        <v>54</v>
      </c>
      <c r="C26" s="16" t="s">
        <v>53</v>
      </c>
      <c r="D26" s="16" t="s">
        <v>196</v>
      </c>
      <c r="E26" s="27">
        <v>43000</v>
      </c>
      <c r="F26" s="28">
        <v>17168</v>
      </c>
      <c r="G26" s="27">
        <v>19414</v>
      </c>
      <c r="H26" s="27">
        <v>45130</v>
      </c>
      <c r="I26" s="27">
        <v>41957</v>
      </c>
      <c r="J26" s="27">
        <v>18416</v>
      </c>
      <c r="K26" s="27">
        <v>17962</v>
      </c>
      <c r="L26" s="27">
        <v>16220</v>
      </c>
      <c r="M26" s="27">
        <v>17400</v>
      </c>
      <c r="N26" s="27">
        <v>8340</v>
      </c>
      <c r="O26" s="27">
        <v>16738</v>
      </c>
    </row>
    <row r="27" spans="1:15" ht="18" customHeight="1">
      <c r="A27" s="48"/>
      <c r="B27" s="15" t="s">
        <v>300</v>
      </c>
      <c r="C27" s="16" t="s">
        <v>301</v>
      </c>
      <c r="D27" s="16" t="s">
        <v>196</v>
      </c>
      <c r="E27" s="27"/>
      <c r="F27" s="28">
        <v>17236</v>
      </c>
      <c r="G27" s="27">
        <v>19505</v>
      </c>
      <c r="H27" s="27">
        <v>45245</v>
      </c>
      <c r="I27" s="27">
        <v>42071</v>
      </c>
      <c r="J27" s="27">
        <v>18484</v>
      </c>
      <c r="K27" s="27">
        <v>18030</v>
      </c>
      <c r="L27" s="27">
        <v>16279.88</v>
      </c>
      <c r="M27" s="27">
        <v>17480.099999999999</v>
      </c>
      <c r="N27" s="27">
        <v>8390</v>
      </c>
      <c r="O27" s="27">
        <v>16601</v>
      </c>
    </row>
    <row r="28" spans="1:15" ht="18" customHeight="1">
      <c r="A28" s="48"/>
      <c r="B28" s="15" t="s">
        <v>329</v>
      </c>
      <c r="C28" s="16" t="s">
        <v>327</v>
      </c>
      <c r="D28" s="16" t="s">
        <v>196</v>
      </c>
      <c r="E28" s="27">
        <v>23300</v>
      </c>
      <c r="F28" s="28">
        <f>F29-2*(Constants!C3+Constants!C9)</f>
        <v>12524.3475098</v>
      </c>
      <c r="G28" s="27">
        <v>10142</v>
      </c>
      <c r="H28" s="27">
        <v>22435</v>
      </c>
      <c r="I28" s="27">
        <f>I29-I43*CONVERT(Constants!$C$4,"lbm","kg")</f>
        <v>22879.563052000001</v>
      </c>
      <c r="J28" s="27">
        <f>J29-J43*CONVERT(Constants!$C$4,"lbm","kg")</f>
        <v>11067.563052</v>
      </c>
      <c r="K28" s="27">
        <f>K29-K43*CONVERT(Constants!$C$4,"lbm","kg")</f>
        <v>10763.563052</v>
      </c>
      <c r="L28" s="27">
        <f>L29-L43*CONVERT(Constants!$C$4,"lbm","kg")</f>
        <v>10243.563052</v>
      </c>
      <c r="M28" s="27">
        <f>M29-M43*CONVERT(Constants!$C$4,"lbm","kg")</f>
        <v>10568.563052</v>
      </c>
      <c r="N28" s="27">
        <f>N29-N43*CONVERT(Constants!$C$4,"lbm","kg")</f>
        <v>5072.5630520000004</v>
      </c>
      <c r="O28" s="27">
        <f>O29-O43*CONVERT(Constants!$C$4,"lbm","kg")</f>
        <v>9849.5630519999995</v>
      </c>
    </row>
    <row r="29" spans="1:15" ht="18" customHeight="1">
      <c r="A29" s="48"/>
      <c r="B29" s="15" t="s">
        <v>55</v>
      </c>
      <c r="C29" s="16" t="s">
        <v>56</v>
      </c>
      <c r="D29" s="16" t="s">
        <v>196</v>
      </c>
      <c r="E29" s="27">
        <v>25630</v>
      </c>
      <c r="F29" s="28">
        <v>12733</v>
      </c>
      <c r="G29" s="27">
        <v>10644</v>
      </c>
      <c r="H29" s="27">
        <v>23691</v>
      </c>
      <c r="I29" s="27">
        <v>23061</v>
      </c>
      <c r="J29" s="27">
        <v>11249</v>
      </c>
      <c r="K29" s="27">
        <v>10945</v>
      </c>
      <c r="L29" s="27">
        <v>10425</v>
      </c>
      <c r="M29" s="27">
        <v>10750</v>
      </c>
      <c r="N29" s="27">
        <v>5254</v>
      </c>
      <c r="O29" s="27">
        <v>10031</v>
      </c>
    </row>
    <row r="30" spans="1:15">
      <c r="A30" s="48"/>
      <c r="B30" s="15" t="s">
        <v>328</v>
      </c>
      <c r="C30" s="16" t="s">
        <v>326</v>
      </c>
      <c r="D30" s="16" t="s">
        <v>196</v>
      </c>
      <c r="E30" s="27"/>
      <c r="F30" s="28"/>
      <c r="G30" s="27">
        <v>11227</v>
      </c>
      <c r="H30" s="27">
        <v>23841</v>
      </c>
      <c r="I30" s="27">
        <v>23070</v>
      </c>
      <c r="J30" s="27">
        <v>11249</v>
      </c>
      <c r="K30" s="27">
        <v>10954</v>
      </c>
      <c r="L30" s="27">
        <v>10425</v>
      </c>
      <c r="M30" s="27">
        <v>10750</v>
      </c>
      <c r="N30" s="27">
        <v>5254</v>
      </c>
      <c r="O30" s="27">
        <v>10031</v>
      </c>
    </row>
    <row r="31" spans="1:15">
      <c r="A31" s="48"/>
      <c r="B31" s="15" t="s">
        <v>61</v>
      </c>
      <c r="C31" s="16" t="s">
        <v>57</v>
      </c>
      <c r="D31" s="16" t="s">
        <v>196</v>
      </c>
      <c r="E31" s="27"/>
      <c r="F31" s="28"/>
      <c r="G31" s="27">
        <v>2245</v>
      </c>
      <c r="H31" s="27">
        <v>2617</v>
      </c>
      <c r="I31" s="27">
        <v>3238</v>
      </c>
      <c r="J31" s="27">
        <v>1542</v>
      </c>
      <c r="K31" s="27">
        <v>1837</v>
      </c>
      <c r="L31" s="27">
        <v>1325</v>
      </c>
      <c r="M31" s="27">
        <v>1270</v>
      </c>
      <c r="N31" s="27">
        <v>1196</v>
      </c>
      <c r="O31" s="27">
        <v>1299</v>
      </c>
    </row>
    <row r="32" spans="1:15" ht="30">
      <c r="A32" s="48"/>
      <c r="B32" s="15" t="s">
        <v>60</v>
      </c>
      <c r="C32" s="16" t="s">
        <v>59</v>
      </c>
      <c r="D32" s="16" t="s">
        <v>196</v>
      </c>
      <c r="E32" s="27">
        <v>18397</v>
      </c>
      <c r="F32" s="28"/>
      <c r="G32" s="27">
        <v>7557</v>
      </c>
      <c r="H32" s="27">
        <v>20434</v>
      </c>
      <c r="I32" s="27">
        <v>17804</v>
      </c>
      <c r="J32" s="27">
        <v>6418</v>
      </c>
      <c r="K32" s="27">
        <v>6622</v>
      </c>
      <c r="L32" s="27">
        <v>5492</v>
      </c>
      <c r="M32" s="27">
        <v>5923</v>
      </c>
      <c r="N32" s="27">
        <v>2428</v>
      </c>
      <c r="O32" s="27">
        <v>5865</v>
      </c>
    </row>
    <row r="33" spans="1:16">
      <c r="A33" s="48"/>
      <c r="B33" s="15" t="s">
        <v>302</v>
      </c>
      <c r="C33" s="16" t="s">
        <v>303</v>
      </c>
      <c r="D33" s="16" t="s">
        <v>196</v>
      </c>
      <c r="E33" s="27"/>
      <c r="F33" s="28"/>
      <c r="G33" s="27">
        <v>8278</v>
      </c>
      <c r="H33" s="27">
        <v>21405</v>
      </c>
      <c r="I33" s="27">
        <v>19000</v>
      </c>
      <c r="J33" s="27">
        <v>7234</v>
      </c>
      <c r="K33" s="27">
        <f>6622+454</f>
        <v>7076</v>
      </c>
      <c r="L33" s="27">
        <v>5855</v>
      </c>
      <c r="M33" s="27">
        <v>6730</v>
      </c>
      <c r="N33" s="27">
        <v>3136</v>
      </c>
      <c r="O33" s="27">
        <v>6707</v>
      </c>
      <c r="P33" s="27"/>
    </row>
    <row r="34" spans="1:16" ht="30">
      <c r="A34" s="48"/>
      <c r="B34" s="15" t="s">
        <v>204</v>
      </c>
      <c r="C34" s="16" t="s">
        <v>230</v>
      </c>
      <c r="D34" s="16" t="s">
        <v>196</v>
      </c>
      <c r="E34" s="27"/>
      <c r="F34" s="28">
        <v>16511</v>
      </c>
      <c r="G34" s="27">
        <v>13472</v>
      </c>
      <c r="H34" s="27">
        <v>26308</v>
      </c>
      <c r="I34" s="27">
        <v>26308</v>
      </c>
      <c r="J34" s="27">
        <v>12791</v>
      </c>
      <c r="K34" s="27">
        <v>12791</v>
      </c>
      <c r="L34" s="27">
        <v>11750</v>
      </c>
      <c r="M34" s="27">
        <v>12020</v>
      </c>
      <c r="N34" s="27">
        <v>6450</v>
      </c>
      <c r="O34" s="2">
        <v>11330</v>
      </c>
    </row>
    <row r="35" spans="1:16">
      <c r="A35" s="48"/>
      <c r="B35" s="15" t="s">
        <v>202</v>
      </c>
      <c r="C35" s="16" t="s">
        <v>203</v>
      </c>
      <c r="D35" s="16" t="s">
        <v>196</v>
      </c>
      <c r="E35" s="27">
        <v>28304</v>
      </c>
      <c r="F35" s="28">
        <v>16783</v>
      </c>
      <c r="G35" s="27">
        <v>17827</v>
      </c>
      <c r="H35" s="27">
        <v>35652</v>
      </c>
      <c r="I35" s="27">
        <v>35652</v>
      </c>
      <c r="J35" s="27">
        <v>15490</v>
      </c>
      <c r="K35" s="27">
        <v>14832</v>
      </c>
      <c r="L35" s="27">
        <v>14750</v>
      </c>
      <c r="M35" s="27">
        <v>15660</v>
      </c>
      <c r="N35" s="27">
        <v>7730</v>
      </c>
      <c r="O35" s="27">
        <v>14515</v>
      </c>
    </row>
    <row r="36" spans="1:16">
      <c r="A36" s="48"/>
      <c r="B36" s="15" t="s">
        <v>62</v>
      </c>
      <c r="C36" s="16" t="s">
        <v>58</v>
      </c>
      <c r="D36" s="16" t="s">
        <v>34</v>
      </c>
      <c r="E36" s="21">
        <f t="shared" ref="E36:N36" si="1">E30/E26</f>
        <v>0</v>
      </c>
      <c r="F36" s="24">
        <f t="shared" si="1"/>
        <v>0</v>
      </c>
      <c r="G36" s="21">
        <f t="shared" si="1"/>
        <v>0.57829401462861851</v>
      </c>
      <c r="H36" s="21">
        <f t="shared" si="1"/>
        <v>0.52827387547086191</v>
      </c>
      <c r="I36" s="21">
        <f t="shared" si="1"/>
        <v>0.54984865457492194</v>
      </c>
      <c r="J36" s="21">
        <f t="shared" si="1"/>
        <v>0.61082754126846217</v>
      </c>
      <c r="K36" s="21">
        <f t="shared" si="1"/>
        <v>0.60984300189288498</v>
      </c>
      <c r="L36" s="21">
        <f t="shared" si="1"/>
        <v>0.64272503082614052</v>
      </c>
      <c r="M36" s="21">
        <f t="shared" si="1"/>
        <v>0.61781609195402298</v>
      </c>
      <c r="N36" s="21">
        <f t="shared" si="1"/>
        <v>0.62997601918465229</v>
      </c>
      <c r="O36" s="21">
        <f t="shared" ref="O36" si="2">O30/O26</f>
        <v>0.59929501732584534</v>
      </c>
    </row>
    <row r="37" spans="1:16">
      <c r="A37" s="48"/>
      <c r="B37" s="15" t="s">
        <v>180</v>
      </c>
      <c r="C37" s="16" t="s">
        <v>179</v>
      </c>
      <c r="D37" s="16" t="s">
        <v>34</v>
      </c>
      <c r="E37" s="21">
        <f t="shared" ref="E37:N37" si="3">E31/E26</f>
        <v>0</v>
      </c>
      <c r="F37" s="24">
        <f t="shared" si="3"/>
        <v>0</v>
      </c>
      <c r="G37" s="21">
        <f t="shared" si="3"/>
        <v>0.11563819923766354</v>
      </c>
      <c r="H37" s="21">
        <f t="shared" si="3"/>
        <v>5.7988034566807005E-2</v>
      </c>
      <c r="I37" s="21">
        <f t="shared" si="3"/>
        <v>7.7174249827204042E-2</v>
      </c>
      <c r="J37" s="21">
        <f t="shared" si="3"/>
        <v>8.3731537793223287E-2</v>
      </c>
      <c r="K37" s="21">
        <f t="shared" si="3"/>
        <v>0.10227146197528116</v>
      </c>
      <c r="L37" s="21">
        <f t="shared" si="3"/>
        <v>8.1689272503082611E-2</v>
      </c>
      <c r="M37" s="21">
        <f t="shared" si="3"/>
        <v>7.2988505747126439E-2</v>
      </c>
      <c r="N37" s="21">
        <f t="shared" si="3"/>
        <v>0.14340527577937651</v>
      </c>
      <c r="O37" s="21">
        <f t="shared" ref="O37" si="4">O31/O26</f>
        <v>7.7607838451427894E-2</v>
      </c>
    </row>
    <row r="38" spans="1:16">
      <c r="A38" s="48"/>
      <c r="B38" s="15" t="s">
        <v>181</v>
      </c>
      <c r="C38" s="16" t="s">
        <v>182</v>
      </c>
      <c r="D38" s="16" t="s">
        <v>34</v>
      </c>
      <c r="E38" s="21">
        <f t="shared" ref="E38:N38" si="5">E32/E26</f>
        <v>0.42783720930232561</v>
      </c>
      <c r="F38" s="24">
        <f t="shared" si="5"/>
        <v>0</v>
      </c>
      <c r="G38" s="21">
        <f t="shared" si="5"/>
        <v>0.38925517667662513</v>
      </c>
      <c r="H38" s="21">
        <f t="shared" si="5"/>
        <v>0.45278085530689122</v>
      </c>
      <c r="I38" s="21">
        <f t="shared" si="5"/>
        <v>0.42433920442357653</v>
      </c>
      <c r="J38" s="21">
        <f t="shared" si="5"/>
        <v>0.34850130321459599</v>
      </c>
      <c r="K38" s="21">
        <f t="shared" si="5"/>
        <v>0.36866718628215123</v>
      </c>
      <c r="L38" s="21">
        <f t="shared" si="5"/>
        <v>0.33859432799013561</v>
      </c>
      <c r="M38" s="21">
        <f t="shared" si="5"/>
        <v>0.34040229885057471</v>
      </c>
      <c r="N38" s="21">
        <f t="shared" si="5"/>
        <v>0.29112709832134293</v>
      </c>
      <c r="O38" s="21">
        <f t="shared" ref="O38" si="6">O32/O26</f>
        <v>0.3504002867726132</v>
      </c>
    </row>
    <row r="39" spans="1:16" ht="18">
      <c r="A39" s="48"/>
      <c r="B39" s="15" t="s">
        <v>231</v>
      </c>
      <c r="C39" s="16" t="s">
        <v>232</v>
      </c>
      <c r="D39" s="16" t="s">
        <v>34</v>
      </c>
      <c r="E39" s="21">
        <f>E23*1000/(E26*Constants!$C$1)</f>
        <v>0</v>
      </c>
      <c r="F39" s="21">
        <f>F23*1000/(F26*Constants!$C$1)</f>
        <v>0</v>
      </c>
      <c r="G39" s="21">
        <f>G23*1000/(G26*Constants!$C$1)</f>
        <v>0.32701932327189565</v>
      </c>
      <c r="H39" s="21">
        <f>H23*1000/(H26*Constants!$C$1)</f>
        <v>0.2964475230283718</v>
      </c>
      <c r="I39" s="21">
        <f>I23*1000/(I26*Constants!$C$1)</f>
        <v>0.31886638020522007</v>
      </c>
      <c r="J39" s="21">
        <f>J23*1000/(J26*Constants!$C$1)</f>
        <v>0.36068806534199743</v>
      </c>
      <c r="K39" s="21">
        <f>K23*1000/(K26*Constants!$C$1)</f>
        <v>0.38490568555786409</v>
      </c>
      <c r="L39" s="21">
        <f>L23*1000/(L26*Constants!$C$1)</f>
        <v>0.3658907743237696</v>
      </c>
      <c r="M39" s="21">
        <f>M23*1000/(M26*Constants!$C$1)</f>
        <v>0.36686341915182935</v>
      </c>
      <c r="N39" s="21">
        <f>N23*1000/(N26*Constants!$C$1)</f>
        <v>0.36548389734216108</v>
      </c>
      <c r="O39" s="21">
        <f>O23*1000/(O26*Constants!$C$1)</f>
        <v>0.38125128813573156</v>
      </c>
    </row>
    <row r="40" spans="1:16" ht="18">
      <c r="A40" s="48"/>
      <c r="B40" s="15" t="s">
        <v>391</v>
      </c>
      <c r="C40" s="16" t="s">
        <v>392</v>
      </c>
      <c r="D40" s="16" t="s">
        <v>393</v>
      </c>
      <c r="E40" s="21">
        <f>E24*1000/(E26*Constants!$C$1)</f>
        <v>24.046331161851612</v>
      </c>
      <c r="F40" s="21">
        <f>F24*1000/(F27*Constants!$C$1)</f>
        <v>21.002509608213305</v>
      </c>
      <c r="G40" s="21">
        <f>G24*1000/(G27*Constants!$C$1)</f>
        <v>0</v>
      </c>
      <c r="H40" s="21">
        <f>H24*1000/(H27*Constants!$C$1)</f>
        <v>0</v>
      </c>
      <c r="I40" s="21">
        <f>I24*1000/(I27*Constants!$C$1)</f>
        <v>0</v>
      </c>
      <c r="J40" s="21">
        <f>J24*1000/(J27*Constants!$C$1)</f>
        <v>0</v>
      </c>
      <c r="K40" s="21">
        <f>K24*1000/(K27*Constants!$C$1)</f>
        <v>0</v>
      </c>
      <c r="L40" s="21">
        <f>L24*1000/(L27*Constants!$C$1)</f>
        <v>0</v>
      </c>
      <c r="M40" s="21">
        <f>M24*1000/(M27*Constants!$C$1)</f>
        <v>0</v>
      </c>
      <c r="N40" s="21">
        <f>N24*1000/(N27*Constants!$C$1)</f>
        <v>0</v>
      </c>
      <c r="O40" s="21">
        <f>O24*1000/(O27*Constants!$C$1)</f>
        <v>0</v>
      </c>
    </row>
    <row r="41" spans="1:16">
      <c r="A41" s="48"/>
      <c r="B41" s="15" t="s">
        <v>330</v>
      </c>
      <c r="C41" s="16" t="s">
        <v>331</v>
      </c>
      <c r="D41" s="16" t="s">
        <v>34</v>
      </c>
      <c r="E41" s="14" t="e">
        <f>(E26*Constants!$C$1)/(E23*1000)</f>
        <v>#DIV/0!</v>
      </c>
      <c r="F41" s="14" t="e">
        <f t="shared" ref="F41:L41" si="7">F26/F23</f>
        <v>#DIV/0!</v>
      </c>
      <c r="G41" s="14">
        <f t="shared" si="7"/>
        <v>311.82139415354965</v>
      </c>
      <c r="H41" s="14">
        <f t="shared" si="7"/>
        <v>343.97865853658539</v>
      </c>
      <c r="I41" s="14">
        <f t="shared" si="7"/>
        <v>319.79420731707319</v>
      </c>
      <c r="J41" s="14">
        <f t="shared" si="7"/>
        <v>282.71415412956708</v>
      </c>
      <c r="K41" s="14">
        <f t="shared" si="7"/>
        <v>264.92625368731564</v>
      </c>
      <c r="L41" s="14">
        <f t="shared" si="7"/>
        <v>278.69415807560136</v>
      </c>
      <c r="M41" s="14">
        <f>M26/M23</f>
        <v>277.9552715654952</v>
      </c>
      <c r="N41" s="14">
        <f>N26/N23</f>
        <v>279.00441589723005</v>
      </c>
      <c r="O41" s="14">
        <f>O26/O23</f>
        <v>267.46564397571109</v>
      </c>
    </row>
    <row r="42" spans="1:16" s="49" customFormat="1"/>
    <row r="43" spans="1:16" s="33" customFormat="1">
      <c r="A43" s="48" t="s">
        <v>164</v>
      </c>
      <c r="B43" s="15" t="s">
        <v>298</v>
      </c>
      <c r="C43" s="23" t="s">
        <v>299</v>
      </c>
      <c r="D43" s="23" t="s">
        <v>34</v>
      </c>
      <c r="E43" s="34"/>
      <c r="F43" s="34">
        <v>2</v>
      </c>
      <c r="G43" s="34">
        <v>2</v>
      </c>
      <c r="H43" s="34">
        <v>3</v>
      </c>
      <c r="I43" s="34">
        <v>2</v>
      </c>
      <c r="J43" s="34">
        <v>2</v>
      </c>
      <c r="K43" s="34">
        <v>2</v>
      </c>
      <c r="L43" s="34">
        <v>2</v>
      </c>
      <c r="M43" s="34">
        <v>2</v>
      </c>
      <c r="N43" s="34">
        <v>2</v>
      </c>
      <c r="O43" s="34">
        <v>2</v>
      </c>
    </row>
    <row r="44" spans="1:16" ht="15" customHeight="1">
      <c r="A44" s="48"/>
      <c r="B44" s="15" t="s">
        <v>165</v>
      </c>
      <c r="C44" s="16" t="s">
        <v>174</v>
      </c>
      <c r="D44" s="16" t="s">
        <v>34</v>
      </c>
      <c r="E44" s="38"/>
      <c r="F44" s="38"/>
      <c r="G44" s="38">
        <v>10</v>
      </c>
      <c r="H44" s="38">
        <v>13</v>
      </c>
      <c r="I44" s="38">
        <v>13</v>
      </c>
      <c r="J44" s="38">
        <v>8</v>
      </c>
      <c r="K44" s="38">
        <v>8</v>
      </c>
      <c r="L44" s="38">
        <v>7</v>
      </c>
      <c r="M44" s="38">
        <v>8</v>
      </c>
      <c r="N44" s="38">
        <v>6</v>
      </c>
      <c r="O44" s="38">
        <v>8</v>
      </c>
    </row>
    <row r="45" spans="1:16" ht="18">
      <c r="A45" s="48"/>
      <c r="B45" s="15" t="s">
        <v>166</v>
      </c>
      <c r="C45" s="16" t="s">
        <v>173</v>
      </c>
      <c r="D45" s="16" t="s">
        <v>34</v>
      </c>
      <c r="E45" s="45">
        <v>28</v>
      </c>
      <c r="F45" s="38"/>
      <c r="G45" s="38">
        <v>10</v>
      </c>
      <c r="H45" s="38">
        <v>16</v>
      </c>
      <c r="I45" s="38">
        <v>16</v>
      </c>
      <c r="J45" s="38">
        <v>10</v>
      </c>
      <c r="K45" s="38">
        <v>10</v>
      </c>
      <c r="L45" s="38">
        <v>9</v>
      </c>
      <c r="M45" s="38">
        <v>12</v>
      </c>
      <c r="N45" s="38">
        <v>9</v>
      </c>
      <c r="O45" s="38">
        <v>10</v>
      </c>
    </row>
    <row r="46" spans="1:16">
      <c r="A46" s="48"/>
      <c r="B46" s="15" t="s">
        <v>305</v>
      </c>
      <c r="C46" s="16" t="s">
        <v>306</v>
      </c>
      <c r="D46" s="16" t="s">
        <v>34</v>
      </c>
      <c r="E46" s="38"/>
      <c r="F46" s="38"/>
      <c r="G46" s="38"/>
      <c r="H46" s="38"/>
      <c r="I46" s="38">
        <v>5</v>
      </c>
      <c r="J46" s="38"/>
      <c r="K46" s="38">
        <v>5</v>
      </c>
      <c r="L46" s="38"/>
      <c r="M46" s="38"/>
      <c r="N46" s="38"/>
      <c r="O46" s="38"/>
    </row>
    <row r="47" spans="1:16" ht="18">
      <c r="A47" s="48"/>
      <c r="B47" s="15" t="s">
        <v>167</v>
      </c>
      <c r="C47" s="16" t="s">
        <v>172</v>
      </c>
      <c r="D47" s="16" t="s">
        <v>195</v>
      </c>
      <c r="E47" s="14"/>
      <c r="F47" s="14"/>
      <c r="G47" s="14">
        <v>7.98</v>
      </c>
      <c r="H47" s="14">
        <v>13.18</v>
      </c>
      <c r="I47" s="14">
        <v>12.41</v>
      </c>
      <c r="J47" s="14">
        <v>7.68</v>
      </c>
      <c r="K47" s="14">
        <v>7.87</v>
      </c>
      <c r="L47" s="14">
        <v>6.28</v>
      </c>
      <c r="M47" s="14">
        <v>7.35</v>
      </c>
      <c r="N47" s="14">
        <v>5.25</v>
      </c>
      <c r="O47" s="14">
        <v>7.67</v>
      </c>
    </row>
    <row r="48" spans="1:16" ht="18">
      <c r="A48" s="48"/>
      <c r="B48" s="15" t="s">
        <v>168</v>
      </c>
      <c r="C48" s="16" t="s">
        <v>235</v>
      </c>
      <c r="D48" s="16" t="s">
        <v>195</v>
      </c>
      <c r="E48" s="14"/>
      <c r="F48" s="14"/>
      <c r="G48" s="14">
        <v>2.34</v>
      </c>
      <c r="H48" s="14">
        <v>2.41</v>
      </c>
      <c r="I48" s="14">
        <v>2.41</v>
      </c>
      <c r="J48" s="14">
        <v>2.19</v>
      </c>
      <c r="K48" s="14">
        <v>2.1800000000000002</v>
      </c>
      <c r="L48" s="14">
        <v>2.08</v>
      </c>
      <c r="M48" s="14">
        <v>2.08</v>
      </c>
      <c r="N48" s="14">
        <v>1.55</v>
      </c>
      <c r="O48" s="14">
        <v>1.68</v>
      </c>
    </row>
    <row r="49" spans="1:15" ht="18">
      <c r="A49" s="48"/>
      <c r="B49" s="15" t="s">
        <v>169</v>
      </c>
      <c r="C49" s="16" t="s">
        <v>171</v>
      </c>
      <c r="D49" s="16" t="s">
        <v>195</v>
      </c>
      <c r="E49" s="14"/>
      <c r="F49" s="14"/>
      <c r="G49" s="14">
        <v>1.88</v>
      </c>
      <c r="H49" s="14">
        <v>1.88</v>
      </c>
      <c r="I49" s="14">
        <v>1.88</v>
      </c>
      <c r="J49" s="14">
        <v>1.83</v>
      </c>
      <c r="K49" s="14">
        <v>1.91</v>
      </c>
      <c r="L49" s="14">
        <v>1.83</v>
      </c>
      <c r="M49" s="14">
        <v>1.83</v>
      </c>
      <c r="N49" s="14">
        <v>1.5</v>
      </c>
      <c r="O49" s="14">
        <v>1.73</v>
      </c>
    </row>
    <row r="50" spans="1:15" ht="18">
      <c r="A50" s="48"/>
      <c r="B50" s="15" t="s">
        <v>236</v>
      </c>
      <c r="C50" s="16" t="s">
        <v>238</v>
      </c>
      <c r="D50" s="16" t="s">
        <v>237</v>
      </c>
      <c r="E50" s="14"/>
      <c r="F50" s="14"/>
      <c r="G50" s="14">
        <v>29</v>
      </c>
      <c r="H50" s="14">
        <v>60.6</v>
      </c>
      <c r="I50" s="14">
        <v>53.29</v>
      </c>
      <c r="J50" s="14"/>
      <c r="K50" s="14">
        <v>26.5</v>
      </c>
      <c r="L50" s="14"/>
      <c r="M50" s="14"/>
      <c r="N50" s="14"/>
      <c r="O50" s="14"/>
    </row>
    <row r="51" spans="1:15" ht="18">
      <c r="A51" s="48"/>
      <c r="B51" s="15" t="s">
        <v>296</v>
      </c>
      <c r="C51" s="16" t="s">
        <v>297</v>
      </c>
      <c r="D51" s="16" t="s">
        <v>237</v>
      </c>
      <c r="E51" s="14"/>
      <c r="F51" s="14"/>
      <c r="G51" s="14">
        <v>3.7</v>
      </c>
      <c r="H51" s="14">
        <v>5.52</v>
      </c>
      <c r="I51" s="14">
        <v>5.52</v>
      </c>
      <c r="J51" s="14">
        <v>3</v>
      </c>
      <c r="K51" s="14">
        <v>3.4</v>
      </c>
      <c r="L51" s="14">
        <v>4.25</v>
      </c>
      <c r="M51" s="14">
        <v>4.3890000000000002</v>
      </c>
      <c r="N51" s="14">
        <v>2.3786</v>
      </c>
      <c r="O51" s="14">
        <v>2.93</v>
      </c>
    </row>
    <row r="52" spans="1:15" ht="30">
      <c r="A52" s="48"/>
      <c r="B52" s="15" t="s">
        <v>239</v>
      </c>
      <c r="C52" s="16" t="s">
        <v>34</v>
      </c>
      <c r="D52" s="16" t="s">
        <v>34</v>
      </c>
      <c r="E52" s="34"/>
      <c r="F52" s="34"/>
      <c r="G52" s="34" t="s">
        <v>284</v>
      </c>
      <c r="H52" s="34" t="s">
        <v>284</v>
      </c>
      <c r="I52" s="34" t="s">
        <v>284</v>
      </c>
      <c r="J52" s="34" t="s">
        <v>284</v>
      </c>
      <c r="K52" s="34" t="s">
        <v>284</v>
      </c>
      <c r="L52" s="34" t="s">
        <v>284</v>
      </c>
      <c r="M52" s="34" t="s">
        <v>284</v>
      </c>
      <c r="N52" s="34" t="s">
        <v>284</v>
      </c>
      <c r="O52" s="34" t="s">
        <v>284</v>
      </c>
    </row>
    <row r="53" spans="1:15">
      <c r="A53" s="48"/>
      <c r="B53" s="15" t="s">
        <v>240</v>
      </c>
      <c r="C53" s="16" t="s">
        <v>34</v>
      </c>
      <c r="D53" s="16" t="s">
        <v>34</v>
      </c>
      <c r="F53" s="2"/>
      <c r="G53" s="2"/>
      <c r="H53" s="2"/>
      <c r="I53" s="2"/>
      <c r="J53" s="2"/>
      <c r="K53" s="2"/>
      <c r="L53" s="2"/>
      <c r="M53" s="2"/>
      <c r="N53" s="2"/>
      <c r="O53" s="2"/>
    </row>
    <row r="54" spans="1:15" ht="90" customHeight="1">
      <c r="A54" s="48"/>
      <c r="B54" s="15" t="s">
        <v>170</v>
      </c>
      <c r="C54" s="16" t="s">
        <v>34</v>
      </c>
      <c r="D54" s="16" t="s">
        <v>34</v>
      </c>
      <c r="F54" s="2"/>
      <c r="K54" s="2"/>
      <c r="M54"/>
      <c r="N54" s="2"/>
      <c r="O54" s="2"/>
    </row>
    <row r="55" spans="1:15" s="49" customFormat="1"/>
    <row r="56" spans="1:15" ht="18">
      <c r="A56" s="48" t="s">
        <v>29</v>
      </c>
      <c r="B56" s="15" t="s">
        <v>41</v>
      </c>
      <c r="C56" s="16" t="s">
        <v>40</v>
      </c>
      <c r="D56" s="16" t="s">
        <v>195</v>
      </c>
      <c r="E56" s="14"/>
      <c r="F56" s="14">
        <v>19.82</v>
      </c>
      <c r="G56" s="14">
        <v>20.23</v>
      </c>
      <c r="H56" s="14">
        <v>30.3</v>
      </c>
      <c r="I56" s="14">
        <v>29.5</v>
      </c>
      <c r="J56" s="14">
        <v>20.9</v>
      </c>
      <c r="K56" s="14">
        <v>20.37</v>
      </c>
      <c r="L56" s="14">
        <v>19.68</v>
      </c>
      <c r="M56" s="14">
        <v>20.74</v>
      </c>
      <c r="N56" s="14">
        <v>15.64</v>
      </c>
      <c r="O56" s="14">
        <v>22.43</v>
      </c>
    </row>
    <row r="57" spans="1:15" ht="18">
      <c r="A57" s="48"/>
      <c r="B57" s="17" t="s">
        <v>234</v>
      </c>
      <c r="C57" s="16" t="s">
        <v>49</v>
      </c>
      <c r="D57" s="16" t="s">
        <v>34</v>
      </c>
      <c r="E57" s="14" t="e">
        <f t="shared" ref="E57:F57" si="8">E56/E69</f>
        <v>#DIV/0!</v>
      </c>
      <c r="F57" s="14">
        <f t="shared" si="8"/>
        <v>0.69228082431016424</v>
      </c>
      <c r="G57" s="14">
        <f t="shared" ref="G57:H57" si="9">G56/G69</f>
        <v>0.94621141253507957</v>
      </c>
      <c r="H57" s="14">
        <f t="shared" si="9"/>
        <v>1.0575916230366493</v>
      </c>
      <c r="I57" s="14">
        <f t="shared" ref="I57:J57" si="10">I56/I69</f>
        <v>1.0296684118673649</v>
      </c>
      <c r="J57" s="14">
        <f t="shared" si="10"/>
        <v>0.99523809523809514</v>
      </c>
      <c r="K57" s="14">
        <f t="shared" ref="K57:M57" si="11">K56/K69</f>
        <v>1.0609375000000001</v>
      </c>
      <c r="L57" s="14">
        <f t="shared" si="11"/>
        <v>0.97185185185185186</v>
      </c>
      <c r="M57" s="14">
        <f t="shared" si="11"/>
        <v>1.0241975308641975</v>
      </c>
      <c r="N57" s="14">
        <f t="shared" ref="N57:O57" si="12">N56/N69</f>
        <v>0.98302954116907604</v>
      </c>
      <c r="O57" s="14">
        <f t="shared" si="12"/>
        <v>1.0635372214319583</v>
      </c>
    </row>
    <row r="58" spans="1:15" ht="18">
      <c r="A58" s="48"/>
      <c r="B58" s="15" t="s">
        <v>214</v>
      </c>
      <c r="C58" s="16" t="s">
        <v>50</v>
      </c>
      <c r="D58" s="16" t="s">
        <v>34</v>
      </c>
      <c r="E58" s="14">
        <f>E56/E8</f>
        <v>0</v>
      </c>
      <c r="F58" s="14">
        <f>F56/F8</f>
        <v>1</v>
      </c>
      <c r="G58" s="14">
        <f>G56/G8</f>
        <v>1</v>
      </c>
      <c r="H58" s="14">
        <f>H56/H8</f>
        <v>1</v>
      </c>
      <c r="I58" s="14">
        <f>I56/I8</f>
        <v>1</v>
      </c>
      <c r="J58" s="14">
        <f>J56/J8</f>
        <v>0.99904397705544923</v>
      </c>
      <c r="K58" s="14">
        <f>K56/K8</f>
        <v>1</v>
      </c>
      <c r="L58" s="14">
        <f>L56/L8</f>
        <v>1</v>
      </c>
      <c r="M58" s="14">
        <f>M56/M8</f>
        <v>1</v>
      </c>
      <c r="N58" s="14">
        <f>N56/N8</f>
        <v>1</v>
      </c>
      <c r="O58" s="14">
        <f>O56/O8</f>
        <v>1</v>
      </c>
    </row>
    <row r="59" spans="1:15" ht="18">
      <c r="A59" s="48"/>
      <c r="B59" s="15" t="s">
        <v>42</v>
      </c>
      <c r="C59" s="16" t="s">
        <v>43</v>
      </c>
      <c r="D59" s="16" t="s">
        <v>195</v>
      </c>
      <c r="E59" s="14"/>
      <c r="F59" s="14">
        <v>2.39</v>
      </c>
      <c r="G59" s="14">
        <v>2.5</v>
      </c>
      <c r="H59" s="14">
        <v>2.69</v>
      </c>
      <c r="I59" s="14">
        <f>H59</f>
        <v>2.69</v>
      </c>
      <c r="J59" s="14"/>
      <c r="K59" s="14"/>
      <c r="L59" s="14"/>
      <c r="M59" s="14"/>
      <c r="N59" s="14"/>
      <c r="O59" s="14"/>
    </row>
    <row r="60" spans="1:15" ht="18">
      <c r="A60" s="48"/>
      <c r="B60" s="15" t="s">
        <v>44</v>
      </c>
      <c r="C60" s="16" t="s">
        <v>45</v>
      </c>
      <c r="D60" s="16" t="s">
        <v>195</v>
      </c>
      <c r="E60" s="14"/>
      <c r="F60" s="14"/>
      <c r="G60" s="14">
        <v>2.5</v>
      </c>
      <c r="H60" s="14"/>
      <c r="I60" s="14"/>
      <c r="J60" s="14"/>
      <c r="K60" s="14"/>
      <c r="L60" s="14"/>
      <c r="M60" s="14"/>
      <c r="N60" s="14"/>
      <c r="O60" s="14"/>
    </row>
    <row r="61" spans="1:15" ht="18">
      <c r="A61" s="48"/>
      <c r="B61" s="15" t="s">
        <v>46</v>
      </c>
      <c r="C61" s="16" t="s">
        <v>47</v>
      </c>
      <c r="D61" s="16" t="s">
        <v>207</v>
      </c>
      <c r="E61" s="14">
        <f t="shared" ref="E61" si="13">PI()*E59*E60/4</f>
        <v>0</v>
      </c>
      <c r="F61" s="14">
        <f t="shared" ref="F61:N61" si="14">PI()*F59*F60/4</f>
        <v>0</v>
      </c>
      <c r="G61" s="14">
        <f t="shared" si="14"/>
        <v>4.908738521234052</v>
      </c>
      <c r="H61" s="14">
        <f t="shared" si="14"/>
        <v>0</v>
      </c>
      <c r="I61" s="14">
        <f t="shared" si="14"/>
        <v>0</v>
      </c>
      <c r="J61" s="14">
        <f t="shared" si="14"/>
        <v>0</v>
      </c>
      <c r="K61" s="14">
        <f t="shared" si="14"/>
        <v>0</v>
      </c>
      <c r="L61" s="14">
        <f t="shared" si="14"/>
        <v>0</v>
      </c>
      <c r="M61" s="14">
        <f t="shared" si="14"/>
        <v>0</v>
      </c>
      <c r="N61" s="14">
        <f t="shared" si="14"/>
        <v>0</v>
      </c>
      <c r="O61" s="14">
        <f t="shared" ref="O61" si="15">PI()*O59*O60/4</f>
        <v>0</v>
      </c>
    </row>
    <row r="62" spans="1:15" ht="30" customHeight="1">
      <c r="A62" s="48"/>
      <c r="B62" s="15" t="s">
        <v>51</v>
      </c>
      <c r="C62" s="16" t="s">
        <v>48</v>
      </c>
      <c r="D62" s="16" t="s">
        <v>195</v>
      </c>
      <c r="E62" s="14"/>
      <c r="F62" s="14"/>
      <c r="G62" s="14"/>
      <c r="H62" s="14"/>
      <c r="I62" s="14"/>
      <c r="J62" s="14"/>
      <c r="K62" s="14"/>
      <c r="L62" s="14"/>
      <c r="M62" s="14"/>
      <c r="N62" s="14"/>
      <c r="O62" s="14"/>
    </row>
    <row r="63" spans="1:15" ht="18" customHeight="1">
      <c r="A63" s="32"/>
      <c r="B63" s="15" t="s">
        <v>177</v>
      </c>
      <c r="C63" s="16" t="s">
        <v>178</v>
      </c>
      <c r="D63" s="16" t="s">
        <v>34</v>
      </c>
      <c r="E63" s="14" t="e">
        <f t="shared" ref="E63:F63" si="16">E56/E59</f>
        <v>#DIV/0!</v>
      </c>
      <c r="F63" s="14">
        <f t="shared" si="16"/>
        <v>8.2928870292887034</v>
      </c>
      <c r="G63" s="14">
        <f t="shared" ref="G63:H63" si="17">G56/G59</f>
        <v>8.0920000000000005</v>
      </c>
      <c r="H63" s="14">
        <f t="shared" si="17"/>
        <v>11.263940520446097</v>
      </c>
      <c r="I63" s="14">
        <f t="shared" ref="I63:J63" si="18">I56/I59</f>
        <v>10.966542750929369</v>
      </c>
      <c r="J63" s="14" t="e">
        <f t="shared" si="18"/>
        <v>#DIV/0!</v>
      </c>
      <c r="K63" s="14" t="e">
        <f t="shared" ref="K63:M63" si="19">K56/K59</f>
        <v>#DIV/0!</v>
      </c>
      <c r="L63" s="14" t="e">
        <f t="shared" si="19"/>
        <v>#DIV/0!</v>
      </c>
      <c r="M63" s="14" t="e">
        <f t="shared" si="19"/>
        <v>#DIV/0!</v>
      </c>
      <c r="N63" s="14" t="e">
        <f t="shared" ref="N63:O63" si="20">N56/N59</f>
        <v>#DIV/0!</v>
      </c>
      <c r="O63" s="14" t="e">
        <f t="shared" si="20"/>
        <v>#DIV/0!</v>
      </c>
    </row>
    <row r="64" spans="1:15" s="49" customFormat="1"/>
    <row r="65" spans="1:15">
      <c r="A65" s="48" t="s">
        <v>30</v>
      </c>
      <c r="B65" s="41" t="s">
        <v>11</v>
      </c>
      <c r="C65" s="16" t="s">
        <v>34</v>
      </c>
      <c r="D65" s="16" t="s">
        <v>34</v>
      </c>
      <c r="F65" s="2" t="s">
        <v>417</v>
      </c>
      <c r="G65" s="2" t="s">
        <v>323</v>
      </c>
      <c r="H65" s="2" t="s">
        <v>323</v>
      </c>
      <c r="I65" s="2" t="s">
        <v>323</v>
      </c>
      <c r="J65" s="2" t="s">
        <v>323</v>
      </c>
      <c r="K65" s="2" t="s">
        <v>323</v>
      </c>
      <c r="L65" s="2" t="s">
        <v>323</v>
      </c>
      <c r="M65" s="2" t="s">
        <v>323</v>
      </c>
      <c r="N65" s="2" t="s">
        <v>323</v>
      </c>
      <c r="O65" s="2" t="s">
        <v>323</v>
      </c>
    </row>
    <row r="66" spans="1:15" ht="18">
      <c r="A66" s="48"/>
      <c r="B66" s="41" t="s">
        <v>12</v>
      </c>
      <c r="C66" s="16" t="s">
        <v>84</v>
      </c>
      <c r="D66" s="16" t="s">
        <v>34</v>
      </c>
      <c r="E66" s="14" t="e">
        <f>E76/E56</f>
        <v>#VALUE!</v>
      </c>
      <c r="F66" s="14" t="s">
        <v>304</v>
      </c>
      <c r="G66" s="14" t="e">
        <f t="shared" ref="F66:O66" si="21">G76/G56</f>
        <v>#VALUE!</v>
      </c>
      <c r="H66" s="14" t="e">
        <f t="shared" si="21"/>
        <v>#VALUE!</v>
      </c>
      <c r="I66" s="14" t="e">
        <f t="shared" si="21"/>
        <v>#VALUE!</v>
      </c>
      <c r="J66" s="14" t="e">
        <f t="shared" si="21"/>
        <v>#VALUE!</v>
      </c>
      <c r="K66" s="14" t="e">
        <f t="shared" si="21"/>
        <v>#VALUE!</v>
      </c>
      <c r="L66" s="14" t="e">
        <f t="shared" si="21"/>
        <v>#VALUE!</v>
      </c>
      <c r="M66" s="14" t="e">
        <f t="shared" si="21"/>
        <v>#VALUE!</v>
      </c>
      <c r="N66" s="14" t="e">
        <f t="shared" si="21"/>
        <v>#VALUE!</v>
      </c>
      <c r="O66" s="14" t="e">
        <f t="shared" si="21"/>
        <v>#VALUE!</v>
      </c>
    </row>
    <row r="67" spans="1:15" ht="18">
      <c r="A67" s="48"/>
      <c r="B67" s="41" t="s">
        <v>324</v>
      </c>
      <c r="C67" s="16" t="s">
        <v>325</v>
      </c>
      <c r="D67" s="16" t="s">
        <v>195</v>
      </c>
      <c r="E67" s="2" t="s">
        <v>304</v>
      </c>
      <c r="F67" s="14" t="s">
        <v>304</v>
      </c>
      <c r="G67" s="14" t="s">
        <v>304</v>
      </c>
      <c r="H67" s="14" t="s">
        <v>304</v>
      </c>
      <c r="I67" s="14" t="s">
        <v>304</v>
      </c>
      <c r="J67" s="14" t="s">
        <v>304</v>
      </c>
      <c r="K67" s="14" t="s">
        <v>304</v>
      </c>
      <c r="L67" s="14" t="s">
        <v>304</v>
      </c>
      <c r="M67" s="14" t="s">
        <v>304</v>
      </c>
      <c r="N67" s="14" t="s">
        <v>304</v>
      </c>
      <c r="O67" s="14" t="s">
        <v>304</v>
      </c>
    </row>
    <row r="68" spans="1:15" ht="18">
      <c r="A68" s="48"/>
      <c r="B68" s="41" t="s">
        <v>83</v>
      </c>
      <c r="C68" s="16" t="s">
        <v>63</v>
      </c>
      <c r="D68" s="16" t="s">
        <v>207</v>
      </c>
      <c r="F68" s="14">
        <v>100.33</v>
      </c>
      <c r="G68" s="14">
        <v>49.02</v>
      </c>
      <c r="H68" s="14">
        <v>94.9</v>
      </c>
      <c r="I68" s="14">
        <f>H68</f>
        <v>94.9</v>
      </c>
      <c r="J68" s="14">
        <v>48.49</v>
      </c>
      <c r="K68" s="14">
        <v>46</v>
      </c>
      <c r="L68" s="14">
        <v>44.9</v>
      </c>
      <c r="M68" s="14">
        <v>44.9</v>
      </c>
      <c r="N68" s="14">
        <v>28.47</v>
      </c>
      <c r="O68" s="14">
        <v>48.96</v>
      </c>
    </row>
    <row r="69" spans="1:15">
      <c r="A69" s="48"/>
      <c r="B69" s="41" t="s">
        <v>82</v>
      </c>
      <c r="C69" s="16" t="s">
        <v>64</v>
      </c>
      <c r="D69" s="16" t="s">
        <v>195</v>
      </c>
      <c r="F69" s="14">
        <v>28.63</v>
      </c>
      <c r="G69" s="14">
        <v>21.38</v>
      </c>
      <c r="H69" s="14">
        <v>28.65</v>
      </c>
      <c r="I69" s="14">
        <f>H69</f>
        <v>28.65</v>
      </c>
      <c r="J69" s="14">
        <v>21</v>
      </c>
      <c r="K69" s="14">
        <v>19.2</v>
      </c>
      <c r="L69" s="14">
        <v>20.25</v>
      </c>
      <c r="M69" s="14">
        <v>20.25</v>
      </c>
      <c r="N69" s="14">
        <v>15.91</v>
      </c>
      <c r="O69" s="14">
        <v>21.09</v>
      </c>
    </row>
    <row r="70" spans="1:15" ht="18">
      <c r="A70" s="48"/>
      <c r="B70" s="41" t="s">
        <v>376</v>
      </c>
      <c r="C70" s="16" t="s">
        <v>375</v>
      </c>
      <c r="D70" s="16" t="s">
        <v>195</v>
      </c>
      <c r="E70" s="40"/>
      <c r="F70" s="14" t="s">
        <v>304</v>
      </c>
      <c r="G70" s="14"/>
      <c r="H70" s="14"/>
      <c r="I70" s="14"/>
      <c r="J70" s="14"/>
      <c r="K70" s="14"/>
      <c r="L70" s="14"/>
      <c r="M70" s="14"/>
      <c r="N70" s="14"/>
      <c r="O70" s="14"/>
    </row>
    <row r="71" spans="1:15" ht="18">
      <c r="A71" s="48"/>
      <c r="B71" s="41" t="s">
        <v>65</v>
      </c>
      <c r="C71" s="16" t="s">
        <v>66</v>
      </c>
      <c r="D71" s="16" t="s">
        <v>195</v>
      </c>
      <c r="F71" s="14">
        <v>3.54</v>
      </c>
      <c r="G71" s="14"/>
      <c r="H71" s="14">
        <v>1.24</v>
      </c>
      <c r="I71" s="14">
        <f>H71</f>
        <v>1.24</v>
      </c>
      <c r="J71" s="14"/>
      <c r="K71" s="14"/>
      <c r="L71" s="14"/>
      <c r="M71" s="14"/>
      <c r="N71" s="14"/>
      <c r="O71" s="14"/>
    </row>
    <row r="72" spans="1:15" ht="18">
      <c r="A72" s="48"/>
      <c r="B72" s="41" t="s">
        <v>67</v>
      </c>
      <c r="C72" s="16" t="s">
        <v>68</v>
      </c>
      <c r="D72" s="16" t="s">
        <v>195</v>
      </c>
      <c r="F72" s="14">
        <v>3.54</v>
      </c>
      <c r="G72" s="14"/>
      <c r="H72" s="14">
        <v>6.43</v>
      </c>
      <c r="I72" s="14">
        <f>H72</f>
        <v>6.43</v>
      </c>
      <c r="J72" s="14"/>
      <c r="K72" s="14"/>
      <c r="L72" s="14"/>
      <c r="M72" s="14"/>
      <c r="N72" s="14"/>
      <c r="O72" s="14"/>
    </row>
    <row r="73" spans="1:15">
      <c r="A73" s="48"/>
      <c r="B73" s="41" t="s">
        <v>13</v>
      </c>
      <c r="C73" s="16" t="s">
        <v>69</v>
      </c>
      <c r="D73" s="16" t="s">
        <v>195</v>
      </c>
      <c r="E73" s="14" t="e">
        <f>E68/E69</f>
        <v>#DIV/0!</v>
      </c>
      <c r="F73" s="14">
        <f t="shared" ref="F73:O73" si="22">F68/F69</f>
        <v>3.5043660495983233</v>
      </c>
      <c r="G73" s="14">
        <f t="shared" si="22"/>
        <v>2.292797006548176</v>
      </c>
      <c r="H73" s="14">
        <f t="shared" si="22"/>
        <v>3.3123909249563703</v>
      </c>
      <c r="I73" s="14">
        <f t="shared" si="22"/>
        <v>3.3123909249563703</v>
      </c>
      <c r="J73" s="14">
        <f t="shared" si="22"/>
        <v>2.309047619047619</v>
      </c>
      <c r="K73" s="14">
        <f t="shared" si="22"/>
        <v>2.3958333333333335</v>
      </c>
      <c r="L73" s="14">
        <f t="shared" si="22"/>
        <v>2.2172839506172837</v>
      </c>
      <c r="M73" s="14">
        <f t="shared" si="22"/>
        <v>2.2172839506172837</v>
      </c>
      <c r="N73" s="14">
        <f t="shared" si="22"/>
        <v>1.7894406033940917</v>
      </c>
      <c r="O73" s="14">
        <f t="shared" si="22"/>
        <v>2.321479374110953</v>
      </c>
    </row>
    <row r="74" spans="1:15" ht="30" customHeight="1">
      <c r="A74" s="48"/>
      <c r="B74" s="41" t="s">
        <v>14</v>
      </c>
      <c r="C74" s="16" t="s">
        <v>70</v>
      </c>
      <c r="D74" s="16" t="s">
        <v>195</v>
      </c>
      <c r="E74" s="14" t="e">
        <f>E72-(2*(E72-E71)*(0.5*E72+E71)/(3*(E72+E71)))</f>
        <v>#DIV/0!</v>
      </c>
      <c r="F74" s="14">
        <f t="shared" ref="F74:O74" si="23">F72-(2*(F72-F71)*(0.5*F72+F71)/(3*(F72+F71)))</f>
        <v>3.54</v>
      </c>
      <c r="G74" s="14" t="e">
        <f t="shared" si="23"/>
        <v>#DIV/0!</v>
      </c>
      <c r="H74" s="14">
        <f t="shared" si="23"/>
        <v>4.4203129074315513</v>
      </c>
      <c r="I74" s="14">
        <f t="shared" si="23"/>
        <v>4.4203129074315513</v>
      </c>
      <c r="J74" s="14" t="e">
        <f t="shared" si="23"/>
        <v>#DIV/0!</v>
      </c>
      <c r="K74" s="14" t="e">
        <f t="shared" si="23"/>
        <v>#DIV/0!</v>
      </c>
      <c r="L74" s="14" t="e">
        <f t="shared" si="23"/>
        <v>#DIV/0!</v>
      </c>
      <c r="M74" s="14" t="e">
        <f t="shared" si="23"/>
        <v>#DIV/0!</v>
      </c>
      <c r="N74" s="14" t="e">
        <f t="shared" si="23"/>
        <v>#DIV/0!</v>
      </c>
      <c r="O74" s="14" t="e">
        <f t="shared" si="23"/>
        <v>#DIV/0!</v>
      </c>
    </row>
    <row r="75" spans="1:15" ht="30" customHeight="1">
      <c r="A75" s="48"/>
      <c r="B75" s="41" t="s">
        <v>377</v>
      </c>
      <c r="C75" s="16" t="s">
        <v>378</v>
      </c>
      <c r="D75" s="16" t="s">
        <v>195</v>
      </c>
      <c r="E75" s="14" t="e">
        <f>E67+((E78*(E72+2*E71))/(3*(E72+E71)))</f>
        <v>#VALUE!</v>
      </c>
      <c r="F75" s="14" t="e">
        <f t="shared" ref="F75:O75" si="24">F67+((F78*(F72+2*F71))/(3*(F72+F71)))</f>
        <v>#VALUE!</v>
      </c>
      <c r="G75" s="14" t="e">
        <f t="shared" si="24"/>
        <v>#VALUE!</v>
      </c>
      <c r="H75" s="14" t="e">
        <f t="shared" si="24"/>
        <v>#VALUE!</v>
      </c>
      <c r="I75" s="14" t="e">
        <f t="shared" si="24"/>
        <v>#VALUE!</v>
      </c>
      <c r="J75" s="14" t="e">
        <f t="shared" si="24"/>
        <v>#VALUE!</v>
      </c>
      <c r="K75" s="14" t="e">
        <f t="shared" si="24"/>
        <v>#VALUE!</v>
      </c>
      <c r="L75" s="14" t="e">
        <f t="shared" si="24"/>
        <v>#VALUE!</v>
      </c>
      <c r="M75" s="14" t="e">
        <f t="shared" si="24"/>
        <v>#VALUE!</v>
      </c>
      <c r="N75" s="14" t="e">
        <f t="shared" si="24"/>
        <v>#VALUE!</v>
      </c>
      <c r="O75" s="14" t="e">
        <f t="shared" si="24"/>
        <v>#VALUE!</v>
      </c>
    </row>
    <row r="76" spans="1:15" ht="30">
      <c r="A76" s="48"/>
      <c r="B76" s="41" t="s">
        <v>75</v>
      </c>
      <c r="C76" s="16" t="s">
        <v>76</v>
      </c>
      <c r="D76" s="16" t="s">
        <v>195</v>
      </c>
      <c r="E76" s="14" t="e">
        <f>E67+E75+E74/4</f>
        <v>#VALUE!</v>
      </c>
      <c r="F76" s="14" t="e">
        <f t="shared" ref="F76:O76" si="25">F67+F75+F74/4</f>
        <v>#VALUE!</v>
      </c>
      <c r="G76" s="14" t="e">
        <f t="shared" si="25"/>
        <v>#VALUE!</v>
      </c>
      <c r="H76" s="14" t="e">
        <f t="shared" si="25"/>
        <v>#VALUE!</v>
      </c>
      <c r="I76" s="14" t="e">
        <f t="shared" si="25"/>
        <v>#VALUE!</v>
      </c>
      <c r="J76" s="14" t="e">
        <f t="shared" si="25"/>
        <v>#VALUE!</v>
      </c>
      <c r="K76" s="14" t="e">
        <f t="shared" si="25"/>
        <v>#VALUE!</v>
      </c>
      <c r="L76" s="14" t="e">
        <f t="shared" si="25"/>
        <v>#VALUE!</v>
      </c>
      <c r="M76" s="14" t="e">
        <f t="shared" si="25"/>
        <v>#VALUE!</v>
      </c>
      <c r="N76" s="14" t="e">
        <f t="shared" si="25"/>
        <v>#VALUE!</v>
      </c>
      <c r="O76" s="14" t="e">
        <f t="shared" si="25"/>
        <v>#VALUE!</v>
      </c>
    </row>
    <row r="77" spans="1:15" ht="30">
      <c r="A77" s="48"/>
      <c r="B77" s="41" t="s">
        <v>379</v>
      </c>
      <c r="C77" s="16" t="s">
        <v>380</v>
      </c>
      <c r="D77" s="16" t="s">
        <v>195</v>
      </c>
      <c r="E77" s="14" t="e">
        <f>(2*E70*(0.5*E72+E71))/(3*(E72+E71))</f>
        <v>#DIV/0!</v>
      </c>
      <c r="F77" s="14" t="e">
        <f t="shared" ref="F77:O77" si="26">(2*F70*(0.5*F72+F71))/(3*(F72+F71))</f>
        <v>#VALUE!</v>
      </c>
      <c r="G77" s="14" t="e">
        <f t="shared" si="26"/>
        <v>#DIV/0!</v>
      </c>
      <c r="H77" s="14">
        <f t="shared" si="26"/>
        <v>0</v>
      </c>
      <c r="I77" s="14">
        <f t="shared" si="26"/>
        <v>0</v>
      </c>
      <c r="J77" s="14" t="e">
        <f t="shared" si="26"/>
        <v>#DIV/0!</v>
      </c>
      <c r="K77" s="14" t="e">
        <f t="shared" si="26"/>
        <v>#DIV/0!</v>
      </c>
      <c r="L77" s="14" t="e">
        <f t="shared" si="26"/>
        <v>#DIV/0!</v>
      </c>
      <c r="M77" s="14" t="e">
        <f t="shared" si="26"/>
        <v>#DIV/0!</v>
      </c>
      <c r="N77" s="14" t="e">
        <f t="shared" si="26"/>
        <v>#DIV/0!</v>
      </c>
      <c r="O77" s="14" t="e">
        <f t="shared" si="26"/>
        <v>#DIV/0!</v>
      </c>
    </row>
    <row r="78" spans="1:15" ht="30">
      <c r="A78" s="48"/>
      <c r="B78" s="41" t="s">
        <v>381</v>
      </c>
      <c r="C78" s="16" t="s">
        <v>374</v>
      </c>
      <c r="D78" s="16" t="s">
        <v>195</v>
      </c>
      <c r="E78" s="40"/>
      <c r="F78" s="40"/>
      <c r="G78" s="40"/>
      <c r="H78" s="40"/>
      <c r="I78" s="40"/>
      <c r="J78" s="40"/>
      <c r="K78" s="40"/>
      <c r="L78" s="40"/>
      <c r="M78" s="40"/>
      <c r="N78" s="40"/>
      <c r="O78" s="40"/>
    </row>
    <row r="79" spans="1:15">
      <c r="A79" s="48"/>
      <c r="B79" s="41" t="s">
        <v>71</v>
      </c>
      <c r="C79" s="16" t="s">
        <v>74</v>
      </c>
      <c r="D79" s="16" t="s">
        <v>34</v>
      </c>
      <c r="E79" s="14" t="e">
        <f>(E69^2)/E68</f>
        <v>#DIV/0!</v>
      </c>
      <c r="F79" s="14">
        <f t="shared" ref="F79:O79" si="27">(F69^2)/F68</f>
        <v>8.1698086315159966</v>
      </c>
      <c r="G79" s="14">
        <f t="shared" si="27"/>
        <v>9.3248551611587089</v>
      </c>
      <c r="H79" s="14">
        <f t="shared" si="27"/>
        <v>8.6493414120126424</v>
      </c>
      <c r="I79" s="14">
        <f t="shared" si="27"/>
        <v>8.6493414120126424</v>
      </c>
      <c r="J79" s="14">
        <f t="shared" si="27"/>
        <v>9.0946586925139208</v>
      </c>
      <c r="K79" s="14">
        <f t="shared" si="27"/>
        <v>8.0139130434782597</v>
      </c>
      <c r="L79" s="14">
        <f t="shared" si="27"/>
        <v>9.132795100222717</v>
      </c>
      <c r="M79" s="14">
        <f t="shared" si="27"/>
        <v>9.132795100222717</v>
      </c>
      <c r="N79" s="14">
        <f t="shared" si="27"/>
        <v>8.8910467158412381</v>
      </c>
      <c r="O79" s="14">
        <f t="shared" si="27"/>
        <v>9.0847242647058817</v>
      </c>
    </row>
    <row r="80" spans="1:15" ht="30">
      <c r="A80" s="48"/>
      <c r="B80" s="41" t="s">
        <v>15</v>
      </c>
      <c r="C80" s="16" t="s">
        <v>72</v>
      </c>
      <c r="D80" s="16" t="s">
        <v>34</v>
      </c>
      <c r="E80" s="14" t="e">
        <f>E71/E72</f>
        <v>#DIV/0!</v>
      </c>
      <c r="F80" s="14">
        <f>F71/F72</f>
        <v>1</v>
      </c>
      <c r="G80" s="14" t="e">
        <f t="shared" ref="G80:N80" si="28">G71/G72</f>
        <v>#DIV/0!</v>
      </c>
      <c r="H80" s="14">
        <f t="shared" si="28"/>
        <v>0.19284603421461899</v>
      </c>
      <c r="I80" s="14">
        <f t="shared" si="28"/>
        <v>0.19284603421461899</v>
      </c>
      <c r="J80" s="14" t="e">
        <f t="shared" si="28"/>
        <v>#DIV/0!</v>
      </c>
      <c r="K80" s="14" t="e">
        <f t="shared" si="28"/>
        <v>#DIV/0!</v>
      </c>
      <c r="L80" s="14" t="e">
        <f t="shared" si="28"/>
        <v>#DIV/0!</v>
      </c>
      <c r="M80" s="14" t="e">
        <f t="shared" si="28"/>
        <v>#DIV/0!</v>
      </c>
      <c r="N80" s="14" t="e">
        <f t="shared" si="28"/>
        <v>#DIV/0!</v>
      </c>
      <c r="O80" s="14" t="e">
        <f t="shared" ref="O80" si="29">O71/O72</f>
        <v>#DIV/0!</v>
      </c>
    </row>
    <row r="81" spans="1:15" ht="16.5">
      <c r="A81" s="48"/>
      <c r="B81" s="41" t="s">
        <v>16</v>
      </c>
      <c r="C81" s="16" t="s">
        <v>73</v>
      </c>
      <c r="D81" s="16" t="s">
        <v>209</v>
      </c>
      <c r="F81" s="14">
        <v>0</v>
      </c>
      <c r="G81" s="14"/>
      <c r="H81" s="14"/>
      <c r="I81" s="14"/>
      <c r="J81" s="14">
        <v>27</v>
      </c>
      <c r="K81" s="14"/>
      <c r="L81" s="14"/>
      <c r="M81" s="14"/>
      <c r="N81" s="14"/>
      <c r="O81" s="14">
        <v>37</v>
      </c>
    </row>
    <row r="82" spans="1:15">
      <c r="A82" s="48"/>
      <c r="B82" s="41" t="s">
        <v>17</v>
      </c>
      <c r="C82" s="16" t="s">
        <v>77</v>
      </c>
      <c r="D82" s="16" t="s">
        <v>210</v>
      </c>
      <c r="F82" s="14">
        <v>0</v>
      </c>
      <c r="G82" s="14"/>
      <c r="H82" s="14"/>
      <c r="I82" s="14"/>
      <c r="J82" s="14"/>
      <c r="K82" s="14"/>
      <c r="L82" s="14"/>
      <c r="M82" s="14"/>
      <c r="N82" s="14"/>
      <c r="O82" s="14"/>
    </row>
    <row r="83" spans="1:15">
      <c r="A83" s="48"/>
      <c r="B83" s="41" t="s">
        <v>18</v>
      </c>
      <c r="C83" s="16" t="s">
        <v>34</v>
      </c>
      <c r="D83" s="16" t="s">
        <v>34</v>
      </c>
      <c r="F83" s="2"/>
      <c r="G83" s="2"/>
      <c r="H83" s="2"/>
      <c r="I83" s="2"/>
      <c r="J83" s="2" t="s">
        <v>335</v>
      </c>
      <c r="K83" s="2"/>
      <c r="L83" s="2"/>
      <c r="M83" s="2"/>
      <c r="N83" s="2"/>
      <c r="O83" s="2"/>
    </row>
    <row r="84" spans="1:15" ht="30">
      <c r="A84" s="48"/>
      <c r="B84" s="41" t="s">
        <v>78</v>
      </c>
      <c r="C84" s="16" t="s">
        <v>79</v>
      </c>
      <c r="D84" s="16" t="s">
        <v>34</v>
      </c>
      <c r="F84" s="2"/>
      <c r="G84" s="2"/>
      <c r="H84" s="2"/>
      <c r="I84" s="2"/>
      <c r="J84" s="2"/>
      <c r="K84" s="2"/>
      <c r="L84" s="2"/>
      <c r="M84" s="2"/>
      <c r="N84" s="2"/>
      <c r="O84" s="2"/>
    </row>
    <row r="85" spans="1:15" ht="18">
      <c r="A85" s="48"/>
      <c r="B85" s="41" t="s">
        <v>80</v>
      </c>
      <c r="C85" s="16" t="s">
        <v>81</v>
      </c>
      <c r="D85" s="16" t="s">
        <v>418</v>
      </c>
      <c r="E85" s="14" t="e">
        <f>Constants!B1*E26/E68</f>
        <v>#VALUE!</v>
      </c>
      <c r="F85" s="14">
        <f>Constants!C1*F26/F68</f>
        <v>1678.0680474434366</v>
      </c>
      <c r="G85" s="14">
        <f>Constants!D1*G26/G68</f>
        <v>0</v>
      </c>
      <c r="H85" s="14">
        <f>Constants!E1*H26/H68</f>
        <v>0</v>
      </c>
      <c r="I85" s="14">
        <f>Constants!F1*I26/I68</f>
        <v>0</v>
      </c>
      <c r="J85" s="14">
        <f>Constants!G1*J26/J68</f>
        <v>0</v>
      </c>
      <c r="K85" s="14">
        <f>Constants!H1*K26/K68</f>
        <v>0</v>
      </c>
      <c r="L85" s="14">
        <f>Constants!I1*L26/L68</f>
        <v>0</v>
      </c>
      <c r="M85" s="14">
        <f>Constants!J1*M26/M68</f>
        <v>0</v>
      </c>
      <c r="N85" s="14">
        <f>Constants!K1*N26/N68</f>
        <v>0</v>
      </c>
      <c r="O85" s="14">
        <f>Constants!L1*O26/O68</f>
        <v>0</v>
      </c>
    </row>
    <row r="86" spans="1:15" s="49" customFormat="1"/>
    <row r="87" spans="1:15">
      <c r="A87" s="48" t="s">
        <v>31</v>
      </c>
      <c r="B87" s="15" t="s">
        <v>19</v>
      </c>
      <c r="C87" s="16" t="s">
        <v>34</v>
      </c>
      <c r="D87" s="16" t="s">
        <v>34</v>
      </c>
      <c r="F87" s="2"/>
      <c r="G87" s="2"/>
      <c r="H87" s="2"/>
      <c r="I87" s="2"/>
      <c r="J87" s="2"/>
      <c r="K87" s="2"/>
      <c r="L87" s="2"/>
      <c r="M87" s="2"/>
      <c r="N87" s="2"/>
    </row>
    <row r="88" spans="1:15" ht="18">
      <c r="A88" s="48"/>
      <c r="B88" s="15" t="s">
        <v>106</v>
      </c>
      <c r="C88" s="16" t="s">
        <v>43</v>
      </c>
      <c r="D88" s="16" t="s">
        <v>195</v>
      </c>
      <c r="F88" s="2"/>
      <c r="G88" s="2"/>
      <c r="H88" s="2"/>
      <c r="I88" s="2"/>
      <c r="J88" s="2"/>
      <c r="K88" s="2"/>
      <c r="L88" s="2"/>
      <c r="M88" s="2"/>
      <c r="N88" s="2"/>
    </row>
    <row r="89" spans="1:15" ht="18">
      <c r="A89" s="48"/>
      <c r="B89" s="15" t="s">
        <v>243</v>
      </c>
      <c r="C89" s="16" t="s">
        <v>244</v>
      </c>
      <c r="D89" s="16" t="s">
        <v>34</v>
      </c>
      <c r="F89" s="2"/>
      <c r="G89" s="2"/>
      <c r="H89" s="2"/>
      <c r="I89" s="2"/>
      <c r="J89" s="2"/>
      <c r="K89" s="2"/>
      <c r="L89" s="2"/>
      <c r="M89" s="2"/>
      <c r="N89" s="2"/>
    </row>
    <row r="90" spans="1:15" ht="45">
      <c r="A90" s="48"/>
      <c r="B90" s="15" t="s">
        <v>241</v>
      </c>
      <c r="C90" s="16" t="s">
        <v>242</v>
      </c>
      <c r="D90" s="16" t="s">
        <v>195</v>
      </c>
      <c r="F90" s="2"/>
      <c r="G90" s="2"/>
      <c r="H90" s="2"/>
      <c r="I90" s="2"/>
      <c r="J90" s="2"/>
      <c r="K90" s="2"/>
      <c r="L90" s="2"/>
      <c r="M90" s="2"/>
      <c r="N90" s="2"/>
    </row>
    <row r="91" spans="1:15" ht="18">
      <c r="A91" s="48"/>
      <c r="B91" s="15" t="s">
        <v>247</v>
      </c>
      <c r="C91" s="16" t="s">
        <v>245</v>
      </c>
      <c r="D91" s="16" t="s">
        <v>34</v>
      </c>
      <c r="F91" s="2"/>
      <c r="G91" s="2"/>
      <c r="H91" s="2"/>
      <c r="I91" s="2"/>
      <c r="J91" s="2"/>
      <c r="K91" s="2"/>
      <c r="L91" s="2"/>
      <c r="M91" s="2"/>
      <c r="N91" s="2"/>
    </row>
    <row r="92" spans="1:15" ht="18">
      <c r="A92" s="48"/>
      <c r="B92" s="15" t="s">
        <v>248</v>
      </c>
      <c r="C92" s="16" t="s">
        <v>246</v>
      </c>
      <c r="D92" s="16" t="s">
        <v>34</v>
      </c>
      <c r="F92" s="2"/>
      <c r="G92" s="2"/>
      <c r="H92" s="2"/>
      <c r="I92" s="2"/>
      <c r="J92" s="2"/>
      <c r="K92" s="2"/>
      <c r="L92" s="2"/>
      <c r="M92" s="2"/>
      <c r="N92" s="2"/>
    </row>
    <row r="93" spans="1:15" s="49" customFormat="1"/>
    <row r="94" spans="1:15" ht="18">
      <c r="A94" s="48" t="s">
        <v>32</v>
      </c>
      <c r="B94" s="15" t="s">
        <v>106</v>
      </c>
      <c r="C94" s="16" t="s">
        <v>249</v>
      </c>
      <c r="D94" s="16" t="s">
        <v>195</v>
      </c>
      <c r="F94" s="2"/>
      <c r="G94" s="2"/>
      <c r="H94" s="2"/>
      <c r="I94" s="2"/>
      <c r="J94" s="2"/>
      <c r="K94" s="2"/>
      <c r="L94" s="2"/>
      <c r="M94" s="2"/>
      <c r="N94" s="2"/>
    </row>
    <row r="95" spans="1:15" ht="18">
      <c r="A95" s="48"/>
      <c r="B95" s="15" t="s">
        <v>257</v>
      </c>
      <c r="C95" s="16" t="s">
        <v>250</v>
      </c>
      <c r="D95" s="16" t="s">
        <v>34</v>
      </c>
      <c r="F95" s="2"/>
      <c r="G95" s="2"/>
      <c r="H95" s="2"/>
      <c r="I95" s="2"/>
      <c r="J95" s="2"/>
      <c r="K95" s="2"/>
      <c r="L95" s="2"/>
      <c r="M95" s="2"/>
      <c r="N95" s="2"/>
    </row>
    <row r="96" spans="1:15" ht="30">
      <c r="A96" s="48"/>
      <c r="B96" s="15" t="s">
        <v>258</v>
      </c>
      <c r="C96" s="16" t="s">
        <v>251</v>
      </c>
      <c r="D96" s="16" t="s">
        <v>195</v>
      </c>
      <c r="F96" s="2"/>
      <c r="G96" s="2"/>
      <c r="H96" s="2"/>
      <c r="I96" s="2"/>
      <c r="J96" s="2"/>
      <c r="K96" s="2"/>
      <c r="L96" s="2"/>
      <c r="M96" s="2"/>
      <c r="N96" s="2"/>
    </row>
    <row r="97" spans="1:15" ht="18">
      <c r="A97" s="48"/>
      <c r="B97" s="15" t="s">
        <v>255</v>
      </c>
      <c r="C97" s="16" t="s">
        <v>252</v>
      </c>
      <c r="D97" s="16" t="s">
        <v>34</v>
      </c>
      <c r="F97"/>
      <c r="G97" s="2"/>
      <c r="H97" s="2"/>
      <c r="I97" s="2"/>
      <c r="J97" s="2"/>
      <c r="K97" s="2"/>
      <c r="L97" s="2"/>
      <c r="M97" s="2"/>
      <c r="N97" s="2"/>
    </row>
    <row r="98" spans="1:15" ht="18">
      <c r="A98" s="48"/>
      <c r="B98" s="15" t="s">
        <v>256</v>
      </c>
      <c r="C98" s="16" t="s">
        <v>253</v>
      </c>
      <c r="D98" s="16" t="s">
        <v>34</v>
      </c>
      <c r="F98" s="2"/>
      <c r="G98" s="2"/>
      <c r="H98" s="2"/>
      <c r="I98" s="2"/>
      <c r="J98" s="2"/>
      <c r="K98" s="2"/>
      <c r="L98" s="2"/>
      <c r="M98" s="2"/>
      <c r="N98" s="2"/>
    </row>
    <row r="99" spans="1:15" ht="18">
      <c r="A99" s="48"/>
      <c r="B99" s="15" t="s">
        <v>215</v>
      </c>
      <c r="C99" s="16" t="s">
        <v>254</v>
      </c>
      <c r="D99" s="16" t="s">
        <v>34</v>
      </c>
      <c r="F99" s="2"/>
      <c r="G99" s="2"/>
      <c r="H99" s="2"/>
      <c r="I99" s="2"/>
      <c r="J99" s="2"/>
      <c r="K99" s="2"/>
      <c r="L99" s="2"/>
      <c r="M99" s="2"/>
      <c r="N99" s="2"/>
    </row>
    <row r="100" spans="1:15" s="49" customFormat="1"/>
    <row r="101" spans="1:15" ht="18">
      <c r="A101" s="48" t="s">
        <v>104</v>
      </c>
      <c r="B101" s="15" t="s">
        <v>93</v>
      </c>
      <c r="C101" s="16" t="s">
        <v>101</v>
      </c>
      <c r="D101" s="16" t="s">
        <v>34</v>
      </c>
      <c r="F101" s="2"/>
      <c r="G101" s="2"/>
      <c r="H101" s="2"/>
      <c r="I101" s="2"/>
      <c r="J101" s="2"/>
      <c r="K101" s="2"/>
      <c r="L101" s="2"/>
      <c r="M101" s="2"/>
      <c r="N101" s="2"/>
      <c r="O101" s="2"/>
    </row>
    <row r="102" spans="1:15" ht="18">
      <c r="A102" s="48"/>
      <c r="B102" s="15" t="s">
        <v>92</v>
      </c>
      <c r="C102" s="16" t="s">
        <v>100</v>
      </c>
      <c r="D102" s="16" t="s">
        <v>34</v>
      </c>
      <c r="E102" s="14"/>
      <c r="F102" s="14"/>
      <c r="G102" s="14"/>
      <c r="H102" s="14"/>
      <c r="I102" s="14"/>
      <c r="J102" s="14"/>
      <c r="K102" s="14"/>
      <c r="L102" s="14"/>
      <c r="M102" s="14"/>
      <c r="N102" s="14"/>
      <c r="O102" s="14"/>
    </row>
    <row r="103" spans="1:15" ht="18">
      <c r="A103" s="48"/>
      <c r="B103" s="15" t="s">
        <v>83</v>
      </c>
      <c r="C103" s="16" t="s">
        <v>91</v>
      </c>
      <c r="D103" s="16" t="s">
        <v>207</v>
      </c>
      <c r="E103" s="14">
        <f>(E105)*(E107+E108)/2</f>
        <v>0</v>
      </c>
      <c r="F103" s="14"/>
      <c r="G103" s="14">
        <f t="shared" ref="G103:N103" si="30">(G105)*(G107+G108)/2</f>
        <v>0</v>
      </c>
      <c r="H103" s="14">
        <v>22.76</v>
      </c>
      <c r="I103" s="14">
        <f>H103</f>
        <v>22.76</v>
      </c>
      <c r="J103" s="14">
        <v>11.39</v>
      </c>
      <c r="K103" s="14">
        <f t="shared" si="30"/>
        <v>0</v>
      </c>
      <c r="L103" s="14">
        <f t="shared" si="30"/>
        <v>0</v>
      </c>
      <c r="M103" s="14">
        <f t="shared" si="30"/>
        <v>0</v>
      </c>
      <c r="N103" s="14">
        <f t="shared" si="30"/>
        <v>0</v>
      </c>
      <c r="O103" s="14">
        <f t="shared" ref="O103" si="31">(O105)*(O107+O108)/2</f>
        <v>0</v>
      </c>
    </row>
    <row r="104" spans="1:15" ht="18">
      <c r="A104" s="48"/>
      <c r="B104" s="15" t="s">
        <v>212</v>
      </c>
      <c r="C104" s="16" t="s">
        <v>90</v>
      </c>
      <c r="D104" s="16" t="s">
        <v>34</v>
      </c>
      <c r="E104" s="14" t="e">
        <f>E103/E68</f>
        <v>#DIV/0!</v>
      </c>
      <c r="F104" s="14">
        <f t="shared" ref="F104" si="32">F103/F68</f>
        <v>0</v>
      </c>
      <c r="G104" s="14">
        <f t="shared" ref="G104:H104" si="33">G103/G68</f>
        <v>0</v>
      </c>
      <c r="H104" s="14">
        <f t="shared" si="33"/>
        <v>0.2398314014752371</v>
      </c>
      <c r="I104" s="14">
        <f t="shared" ref="I104:J104" si="34">I103/I68</f>
        <v>0.2398314014752371</v>
      </c>
      <c r="J104" s="14">
        <f t="shared" si="34"/>
        <v>0.23489379253454321</v>
      </c>
      <c r="K104" s="14">
        <f t="shared" ref="K104:M104" si="35">K103/K68</f>
        <v>0</v>
      </c>
      <c r="L104" s="14">
        <f t="shared" si="35"/>
        <v>0</v>
      </c>
      <c r="M104" s="14">
        <f t="shared" si="35"/>
        <v>0</v>
      </c>
      <c r="N104" s="14">
        <f t="shared" ref="N104:O104" si="36">N103/N68</f>
        <v>0</v>
      </c>
      <c r="O104" s="14">
        <f t="shared" si="36"/>
        <v>0</v>
      </c>
    </row>
    <row r="105" spans="1:15" ht="18">
      <c r="A105" s="48"/>
      <c r="B105" s="15" t="s">
        <v>82</v>
      </c>
      <c r="C105" s="16" t="s">
        <v>89</v>
      </c>
      <c r="D105" s="16" t="s">
        <v>195</v>
      </c>
      <c r="E105" s="14"/>
      <c r="F105" s="14"/>
      <c r="G105" s="14"/>
      <c r="H105" s="14">
        <v>9.68</v>
      </c>
      <c r="I105" s="14">
        <f>H105</f>
        <v>9.68</v>
      </c>
      <c r="J105" s="14"/>
      <c r="K105" s="14"/>
      <c r="L105" s="14">
        <v>7.34</v>
      </c>
      <c r="M105" s="14">
        <v>7.34</v>
      </c>
      <c r="N105" s="14"/>
      <c r="O105" s="14"/>
    </row>
    <row r="106" spans="1:15" ht="18">
      <c r="A106" s="48"/>
      <c r="B106" s="15" t="s">
        <v>213</v>
      </c>
      <c r="C106" s="16" t="s">
        <v>88</v>
      </c>
      <c r="D106" s="16" t="s">
        <v>34</v>
      </c>
      <c r="E106" s="14" t="e">
        <f>E105/E69</f>
        <v>#DIV/0!</v>
      </c>
      <c r="F106" s="14">
        <f t="shared" ref="F106" si="37">F105/F69</f>
        <v>0</v>
      </c>
      <c r="G106" s="14">
        <f t="shared" ref="G106:H106" si="38">G105/G69</f>
        <v>0</v>
      </c>
      <c r="H106" s="14">
        <f t="shared" si="38"/>
        <v>0.33787085514834209</v>
      </c>
      <c r="I106" s="14">
        <f t="shared" ref="I106:J106" si="39">I105/I69</f>
        <v>0.33787085514834209</v>
      </c>
      <c r="J106" s="14">
        <f t="shared" si="39"/>
        <v>0</v>
      </c>
      <c r="K106" s="14">
        <f t="shared" ref="K106:M106" si="40">K105/K69</f>
        <v>0</v>
      </c>
      <c r="L106" s="14">
        <f t="shared" si="40"/>
        <v>0.36246913580246914</v>
      </c>
      <c r="M106" s="14">
        <f t="shared" si="40"/>
        <v>0.36246913580246914</v>
      </c>
      <c r="N106" s="14">
        <f t="shared" ref="N106:O106" si="41">N105/N69</f>
        <v>0</v>
      </c>
      <c r="O106" s="14">
        <f t="shared" si="41"/>
        <v>0</v>
      </c>
    </row>
    <row r="107" spans="1:15" ht="18">
      <c r="A107" s="48"/>
      <c r="B107" s="15" t="s">
        <v>65</v>
      </c>
      <c r="C107" s="16" t="s">
        <v>87</v>
      </c>
      <c r="D107" s="16" t="s">
        <v>195</v>
      </c>
      <c r="E107" s="14"/>
      <c r="F107" s="14"/>
      <c r="G107" s="14"/>
      <c r="H107" s="14"/>
      <c r="I107" s="14"/>
      <c r="J107" s="14"/>
      <c r="K107" s="14"/>
      <c r="L107" s="14"/>
      <c r="M107" s="14"/>
      <c r="N107" s="14"/>
      <c r="O107" s="14"/>
    </row>
    <row r="108" spans="1:15" ht="18">
      <c r="A108" s="48"/>
      <c r="B108" s="15" t="s">
        <v>67</v>
      </c>
      <c r="C108" s="16" t="s">
        <v>86</v>
      </c>
      <c r="D108" s="16" t="s">
        <v>195</v>
      </c>
      <c r="E108" s="14"/>
      <c r="F108" s="14"/>
      <c r="G108" s="14"/>
      <c r="H108" s="14"/>
      <c r="I108" s="14"/>
      <c r="J108" s="14"/>
      <c r="K108" s="14"/>
      <c r="L108" s="14"/>
      <c r="M108" s="14"/>
      <c r="N108" s="14"/>
      <c r="O108" s="14"/>
    </row>
    <row r="109" spans="1:15" ht="18">
      <c r="A109" s="48"/>
      <c r="B109" s="15" t="s">
        <v>13</v>
      </c>
      <c r="C109" s="16" t="s">
        <v>85</v>
      </c>
      <c r="D109" s="16" t="s">
        <v>195</v>
      </c>
      <c r="E109" s="14">
        <f>E107+(E108-E107)/2</f>
        <v>0</v>
      </c>
      <c r="F109" s="14">
        <f t="shared" ref="F109:N109" si="42">F107+(F108-F107)/2</f>
        <v>0</v>
      </c>
      <c r="G109" s="14">
        <f t="shared" si="42"/>
        <v>0</v>
      </c>
      <c r="H109" s="14">
        <f t="shared" si="42"/>
        <v>0</v>
      </c>
      <c r="I109" s="14">
        <f t="shared" si="42"/>
        <v>0</v>
      </c>
      <c r="J109" s="14">
        <f t="shared" si="42"/>
        <v>0</v>
      </c>
      <c r="K109" s="14">
        <f t="shared" si="42"/>
        <v>0</v>
      </c>
      <c r="L109" s="14">
        <f t="shared" si="42"/>
        <v>0</v>
      </c>
      <c r="M109" s="14">
        <f t="shared" si="42"/>
        <v>0</v>
      </c>
      <c r="N109" s="14">
        <f t="shared" si="42"/>
        <v>0</v>
      </c>
      <c r="O109" s="14">
        <f t="shared" ref="O109" si="43">O107+(O108-O107)/2</f>
        <v>0</v>
      </c>
    </row>
    <row r="110" spans="1:15" ht="18">
      <c r="A110" s="48"/>
      <c r="B110" s="15" t="s">
        <v>14</v>
      </c>
      <c r="C110" s="16" t="s">
        <v>94</v>
      </c>
      <c r="D110" s="16" t="s">
        <v>195</v>
      </c>
      <c r="E110" s="14" t="e">
        <f t="shared" ref="E110:N110" si="44">E108-(2*(E108-E107)*(0.5*E108+E107)/(3*(E108+E107)))</f>
        <v>#DIV/0!</v>
      </c>
      <c r="F110" s="14" t="e">
        <f>F108-(2*(F108-F107)*(0.5*F108+F107)/(3*(F108+F107)))</f>
        <v>#DIV/0!</v>
      </c>
      <c r="G110" s="14" t="e">
        <f t="shared" si="44"/>
        <v>#DIV/0!</v>
      </c>
      <c r="H110" s="14" t="e">
        <f t="shared" si="44"/>
        <v>#DIV/0!</v>
      </c>
      <c r="I110" s="14" t="e">
        <f t="shared" si="44"/>
        <v>#DIV/0!</v>
      </c>
      <c r="J110" s="14" t="e">
        <f t="shared" si="44"/>
        <v>#DIV/0!</v>
      </c>
      <c r="K110" s="14" t="e">
        <f t="shared" si="44"/>
        <v>#DIV/0!</v>
      </c>
      <c r="L110" s="14" t="e">
        <f t="shared" si="44"/>
        <v>#DIV/0!</v>
      </c>
      <c r="M110" s="14" t="e">
        <f t="shared" si="44"/>
        <v>#DIV/0!</v>
      </c>
      <c r="N110" s="14" t="e">
        <f t="shared" si="44"/>
        <v>#DIV/0!</v>
      </c>
      <c r="O110" s="14" t="e">
        <f t="shared" ref="O110" si="45">O108-(2*(O108-O107)*(0.5*O108+O107)/(3*(O108+O107)))</f>
        <v>#DIV/0!</v>
      </c>
    </row>
    <row r="111" spans="1:15" ht="30">
      <c r="A111" s="48"/>
      <c r="B111" s="15" t="s">
        <v>75</v>
      </c>
      <c r="C111" s="16" t="s">
        <v>117</v>
      </c>
      <c r="D111" s="16" t="s">
        <v>195</v>
      </c>
      <c r="E111" s="14"/>
      <c r="F111" s="14"/>
      <c r="G111" s="14"/>
      <c r="H111" s="14"/>
      <c r="I111" s="14"/>
      <c r="J111" s="14"/>
      <c r="K111" s="14"/>
      <c r="L111" s="14"/>
      <c r="M111" s="14"/>
      <c r="N111" s="14"/>
      <c r="O111" s="14"/>
    </row>
    <row r="112" spans="1:15" ht="18.75">
      <c r="A112" s="48"/>
      <c r="B112" s="15" t="s">
        <v>71</v>
      </c>
      <c r="C112" s="16" t="s">
        <v>95</v>
      </c>
      <c r="D112" s="16" t="s">
        <v>34</v>
      </c>
      <c r="E112" s="14"/>
      <c r="F112" s="14"/>
      <c r="G112" s="14"/>
      <c r="H112" s="14"/>
      <c r="I112" s="14"/>
      <c r="J112" s="14"/>
      <c r="K112" s="14"/>
      <c r="L112" s="14"/>
      <c r="M112" s="14"/>
      <c r="N112" s="14"/>
      <c r="O112" s="14"/>
    </row>
    <row r="113" spans="1:15" ht="30">
      <c r="A113" s="48"/>
      <c r="B113" s="15" t="s">
        <v>15</v>
      </c>
      <c r="C113" s="16" t="s">
        <v>96</v>
      </c>
      <c r="D113" s="16" t="s">
        <v>34</v>
      </c>
      <c r="E113" s="14"/>
      <c r="F113" s="14"/>
      <c r="G113" s="14"/>
      <c r="H113" s="14"/>
      <c r="I113" s="14"/>
      <c r="J113" s="14"/>
      <c r="K113" s="14"/>
      <c r="L113" s="14"/>
      <c r="M113" s="14"/>
      <c r="N113" s="14"/>
      <c r="O113" s="14"/>
    </row>
    <row r="114" spans="1:15" ht="18">
      <c r="A114" s="48"/>
      <c r="B114" s="15" t="s">
        <v>16</v>
      </c>
      <c r="C114" s="16" t="s">
        <v>97</v>
      </c>
      <c r="D114" s="16" t="s">
        <v>211</v>
      </c>
      <c r="E114" s="14"/>
      <c r="F114" s="14"/>
      <c r="G114" s="14"/>
      <c r="H114" s="14"/>
      <c r="I114" s="14"/>
      <c r="J114" s="14"/>
      <c r="K114" s="14"/>
      <c r="L114" s="14"/>
      <c r="M114" s="14"/>
      <c r="N114" s="14"/>
      <c r="O114" s="14"/>
    </row>
    <row r="115" spans="1:15" ht="18">
      <c r="A115" s="48"/>
      <c r="B115" s="15" t="s">
        <v>17</v>
      </c>
      <c r="C115" s="16" t="s">
        <v>98</v>
      </c>
      <c r="D115" s="16" t="s">
        <v>211</v>
      </c>
      <c r="F115" s="2"/>
      <c r="G115" s="2"/>
      <c r="H115" s="2"/>
      <c r="I115" s="2"/>
      <c r="J115" s="2"/>
      <c r="K115" s="2"/>
      <c r="L115" s="2"/>
      <c r="M115" s="2"/>
      <c r="N115" s="2"/>
      <c r="O115" s="2"/>
    </row>
    <row r="116" spans="1:15">
      <c r="A116" s="48"/>
      <c r="B116" s="15" t="s">
        <v>18</v>
      </c>
      <c r="C116" s="16" t="s">
        <v>34</v>
      </c>
      <c r="D116" s="16" t="s">
        <v>34</v>
      </c>
      <c r="F116" s="2"/>
      <c r="G116" s="2"/>
      <c r="H116" s="2"/>
      <c r="I116" s="2"/>
      <c r="J116" s="2"/>
      <c r="K116" s="2"/>
      <c r="L116" s="2"/>
      <c r="M116" s="2"/>
      <c r="N116" s="2"/>
      <c r="O116" s="2"/>
    </row>
    <row r="117" spans="1:15" ht="30">
      <c r="A117" s="48"/>
      <c r="B117" s="15" t="s">
        <v>78</v>
      </c>
      <c r="C117" s="16" t="s">
        <v>99</v>
      </c>
      <c r="D117" s="16" t="s">
        <v>34</v>
      </c>
      <c r="F117" s="2"/>
      <c r="G117" s="2"/>
      <c r="H117" s="2"/>
      <c r="I117" s="2"/>
      <c r="J117" s="2"/>
      <c r="K117" s="2"/>
      <c r="L117" s="2"/>
      <c r="M117" s="2"/>
      <c r="N117" s="2"/>
      <c r="O117" s="2"/>
    </row>
    <row r="118" spans="1:15" ht="18">
      <c r="A118" s="48"/>
      <c r="B118" s="15" t="s">
        <v>102</v>
      </c>
      <c r="C118" s="16" t="s">
        <v>103</v>
      </c>
      <c r="D118" s="16" t="s">
        <v>208</v>
      </c>
      <c r="E118" s="2" t="e">
        <f>E103*E102/(E68*E74)</f>
        <v>#DIV/0!</v>
      </c>
      <c r="F118" s="2">
        <f t="shared" ref="F118" si="46">F103*F102/(F68*F74)</f>
        <v>0</v>
      </c>
      <c r="G118" s="2" t="e">
        <f t="shared" ref="G118:H118" si="47">G103*G102/(G68*G74)</f>
        <v>#DIV/0!</v>
      </c>
      <c r="H118" s="2">
        <f t="shared" si="47"/>
        <v>0</v>
      </c>
      <c r="I118" s="2">
        <f t="shared" ref="I118:J118" si="48">I103*I102/(I68*I74)</f>
        <v>0</v>
      </c>
      <c r="J118" s="2" t="e">
        <f t="shared" si="48"/>
        <v>#DIV/0!</v>
      </c>
      <c r="K118" s="2" t="e">
        <f t="shared" ref="K118:M118" si="49">K103*K102/(K68*K74)</f>
        <v>#DIV/0!</v>
      </c>
      <c r="L118" s="2" t="e">
        <f t="shared" si="49"/>
        <v>#DIV/0!</v>
      </c>
      <c r="M118" s="2" t="e">
        <f t="shared" si="49"/>
        <v>#DIV/0!</v>
      </c>
      <c r="N118" s="2" t="e">
        <f t="shared" ref="N118:O118" si="50">N103*N102/(N68*N74)</f>
        <v>#DIV/0!</v>
      </c>
      <c r="O118" s="2" t="e">
        <f t="shared" si="50"/>
        <v>#DIV/0!</v>
      </c>
    </row>
    <row r="119" spans="1:15" s="49" customFormat="1"/>
    <row r="120" spans="1:15" ht="18">
      <c r="A120" s="48" t="s">
        <v>105</v>
      </c>
      <c r="B120" s="15" t="s">
        <v>106</v>
      </c>
      <c r="C120" s="16" t="s">
        <v>108</v>
      </c>
      <c r="D120" s="16" t="s">
        <v>195</v>
      </c>
      <c r="F120" s="2"/>
      <c r="G120" s="2"/>
      <c r="H120" s="2"/>
      <c r="I120" s="2"/>
      <c r="J120" s="2"/>
      <c r="K120" s="2"/>
      <c r="L120" s="2"/>
      <c r="M120" s="2"/>
      <c r="N120" s="2"/>
      <c r="O120" s="2"/>
    </row>
    <row r="121" spans="1:15" ht="18">
      <c r="A121" s="48"/>
      <c r="B121" s="15" t="s">
        <v>216</v>
      </c>
      <c r="C121" s="16" t="s">
        <v>109</v>
      </c>
      <c r="D121" s="16" t="s">
        <v>34</v>
      </c>
      <c r="E121" s="2" t="e">
        <f>E120/E105</f>
        <v>#DIV/0!</v>
      </c>
      <c r="F121" s="2" t="e">
        <f t="shared" ref="F121" si="51">F120/F105</f>
        <v>#DIV/0!</v>
      </c>
      <c r="G121" s="2" t="e">
        <f t="shared" ref="G121:H121" si="52">G120/G105</f>
        <v>#DIV/0!</v>
      </c>
      <c r="H121" s="2">
        <f t="shared" si="52"/>
        <v>0</v>
      </c>
      <c r="I121" s="2">
        <f t="shared" ref="I121:J121" si="53">I120/I105</f>
        <v>0</v>
      </c>
      <c r="J121" s="2" t="e">
        <f t="shared" si="53"/>
        <v>#DIV/0!</v>
      </c>
      <c r="K121" s="2" t="e">
        <f t="shared" ref="K121:M121" si="54">K120/K105</f>
        <v>#DIV/0!</v>
      </c>
      <c r="L121" s="2">
        <f t="shared" si="54"/>
        <v>0</v>
      </c>
      <c r="M121" s="2">
        <f t="shared" si="54"/>
        <v>0</v>
      </c>
      <c r="N121" s="2" t="e">
        <f t="shared" ref="N121:O121" si="55">N120/N105</f>
        <v>#DIV/0!</v>
      </c>
      <c r="O121" s="2" t="e">
        <f t="shared" si="55"/>
        <v>#DIV/0!</v>
      </c>
    </row>
    <row r="122" spans="1:15" ht="18">
      <c r="A122" s="48"/>
      <c r="B122" s="15" t="s">
        <v>107</v>
      </c>
      <c r="C122" s="16" t="s">
        <v>110</v>
      </c>
      <c r="D122" s="16" t="s">
        <v>34</v>
      </c>
      <c r="F122" s="2"/>
      <c r="G122" s="2"/>
      <c r="H122" s="2"/>
      <c r="I122" s="2"/>
      <c r="J122" s="2"/>
      <c r="K122" s="2"/>
      <c r="L122" s="2"/>
      <c r="M122" s="2"/>
      <c r="N122" s="2"/>
      <c r="O122" s="2"/>
    </row>
    <row r="123" spans="1:15" s="49" customFormat="1"/>
    <row r="124" spans="1:15" ht="15" customHeight="1">
      <c r="A124" s="48" t="s">
        <v>111</v>
      </c>
      <c r="B124" s="15" t="s">
        <v>11</v>
      </c>
      <c r="C124" s="16" t="s">
        <v>118</v>
      </c>
      <c r="D124" s="16" t="s">
        <v>195</v>
      </c>
      <c r="F124" s="2"/>
      <c r="G124" s="2"/>
      <c r="H124" s="2"/>
      <c r="I124" s="2"/>
      <c r="J124" s="2"/>
      <c r="K124" s="2"/>
      <c r="L124" s="2"/>
      <c r="M124" s="2"/>
      <c r="N124" s="2"/>
      <c r="O124" s="2"/>
    </row>
    <row r="125" spans="1:15" ht="18">
      <c r="A125" s="48"/>
      <c r="B125" s="15" t="s">
        <v>12</v>
      </c>
      <c r="C125" s="16" t="s">
        <v>119</v>
      </c>
      <c r="D125" s="16" t="s">
        <v>195</v>
      </c>
      <c r="F125" s="2"/>
      <c r="G125" s="2"/>
      <c r="H125" s="2"/>
      <c r="I125" s="2"/>
      <c r="J125" s="2"/>
      <c r="K125" s="2"/>
      <c r="L125" s="2"/>
      <c r="M125" s="2"/>
      <c r="N125" s="2"/>
      <c r="O125" s="2"/>
    </row>
    <row r="126" spans="1:15" ht="18">
      <c r="A126" s="48"/>
      <c r="B126" s="15" t="s">
        <v>83</v>
      </c>
      <c r="C126" s="16" t="s">
        <v>120</v>
      </c>
      <c r="D126" s="16" t="s">
        <v>207</v>
      </c>
      <c r="E126" s="2">
        <f>E128*(E130+E131)/2</f>
        <v>0</v>
      </c>
      <c r="F126" s="2"/>
      <c r="G126" s="2">
        <f t="shared" ref="G126:N126" si="56">G128*(G130+G131)/2</f>
        <v>0</v>
      </c>
      <c r="H126" s="2">
        <v>17.28</v>
      </c>
      <c r="I126" s="2">
        <f>H126</f>
        <v>17.28</v>
      </c>
      <c r="J126" s="2">
        <f t="shared" si="56"/>
        <v>0</v>
      </c>
      <c r="K126" s="2">
        <f t="shared" si="56"/>
        <v>0</v>
      </c>
      <c r="L126" s="2">
        <f t="shared" si="56"/>
        <v>0</v>
      </c>
      <c r="M126" s="2">
        <f t="shared" si="56"/>
        <v>0</v>
      </c>
      <c r="N126" s="2">
        <f t="shared" si="56"/>
        <v>0</v>
      </c>
      <c r="O126" s="2">
        <f t="shared" ref="O126" si="57">O128*(O130+O131)/2</f>
        <v>0</v>
      </c>
    </row>
    <row r="127" spans="1:15" ht="18">
      <c r="A127" s="48"/>
      <c r="B127" s="15" t="s">
        <v>217</v>
      </c>
      <c r="C127" s="16" t="s">
        <v>121</v>
      </c>
      <c r="D127" s="16" t="s">
        <v>34</v>
      </c>
      <c r="E127" s="2" t="e">
        <f>E126/E68</f>
        <v>#DIV/0!</v>
      </c>
      <c r="F127" s="2">
        <f t="shared" ref="F127" si="58">F126/F68</f>
        <v>0</v>
      </c>
      <c r="G127" s="2">
        <f t="shared" ref="G127:H127" si="59">G126/G68</f>
        <v>0</v>
      </c>
      <c r="H127" s="2">
        <f t="shared" si="59"/>
        <v>0.182086406743941</v>
      </c>
      <c r="I127" s="2">
        <f t="shared" ref="I127:J127" si="60">I126/I68</f>
        <v>0.182086406743941</v>
      </c>
      <c r="J127" s="2">
        <f t="shared" si="60"/>
        <v>0</v>
      </c>
      <c r="K127" s="2">
        <f t="shared" ref="K127:M127" si="61">K126/K68</f>
        <v>0</v>
      </c>
      <c r="L127" s="2">
        <f t="shared" si="61"/>
        <v>0</v>
      </c>
      <c r="M127" s="2">
        <f t="shared" si="61"/>
        <v>0</v>
      </c>
      <c r="N127" s="2">
        <f t="shared" ref="N127:O127" si="62">N126/N68</f>
        <v>0</v>
      </c>
      <c r="O127" s="2">
        <f t="shared" si="62"/>
        <v>0</v>
      </c>
    </row>
    <row r="128" spans="1:15" ht="18">
      <c r="A128" s="48"/>
      <c r="B128" s="15" t="s">
        <v>82</v>
      </c>
      <c r="C128" s="16" t="s">
        <v>122</v>
      </c>
      <c r="D128" s="16" t="s">
        <v>195</v>
      </c>
      <c r="F128" s="2"/>
      <c r="G128" s="2"/>
      <c r="H128" s="2"/>
      <c r="I128" s="2"/>
      <c r="J128" s="2"/>
      <c r="K128" s="2"/>
      <c r="L128" s="2"/>
      <c r="M128" s="2"/>
      <c r="N128" s="2"/>
      <c r="O128" s="2"/>
    </row>
    <row r="129" spans="1:15" ht="18">
      <c r="A129" s="48"/>
      <c r="B129" s="15" t="s">
        <v>218</v>
      </c>
      <c r="C129" s="16" t="s">
        <v>123</v>
      </c>
      <c r="D129" s="16" t="s">
        <v>34</v>
      </c>
      <c r="E129" s="2" t="e">
        <f>E128/E69</f>
        <v>#DIV/0!</v>
      </c>
      <c r="F129" s="2">
        <f t="shared" ref="F129" si="63">F128/F69</f>
        <v>0</v>
      </c>
      <c r="G129" s="2">
        <f t="shared" ref="G129:H129" si="64">G128/G69</f>
        <v>0</v>
      </c>
      <c r="H129" s="2">
        <f t="shared" si="64"/>
        <v>0</v>
      </c>
      <c r="I129" s="2">
        <f t="shared" ref="I129:J129" si="65">I128/I69</f>
        <v>0</v>
      </c>
      <c r="J129" s="2">
        <f t="shared" si="65"/>
        <v>0</v>
      </c>
      <c r="K129" s="2">
        <f t="shared" ref="K129:M129" si="66">K128/K69</f>
        <v>0</v>
      </c>
      <c r="L129" s="2">
        <f t="shared" si="66"/>
        <v>0</v>
      </c>
      <c r="M129" s="2">
        <f t="shared" si="66"/>
        <v>0</v>
      </c>
      <c r="N129" s="2">
        <f t="shared" ref="N129:O129" si="67">N128/N69</f>
        <v>0</v>
      </c>
      <c r="O129" s="2">
        <f t="shared" si="67"/>
        <v>0</v>
      </c>
    </row>
    <row r="130" spans="1:15" ht="18">
      <c r="A130" s="48"/>
      <c r="B130" s="15" t="s">
        <v>65</v>
      </c>
      <c r="C130" s="16" t="s">
        <v>124</v>
      </c>
      <c r="D130" s="16" t="s">
        <v>195</v>
      </c>
      <c r="F130" s="2"/>
      <c r="G130" s="2"/>
      <c r="H130" s="2"/>
      <c r="I130" s="2"/>
      <c r="J130" s="2"/>
      <c r="K130" s="2"/>
      <c r="L130" s="2"/>
      <c r="M130" s="2"/>
      <c r="N130" s="2"/>
      <c r="O130" s="2"/>
    </row>
    <row r="131" spans="1:15" ht="18">
      <c r="A131" s="48"/>
      <c r="B131" s="15" t="s">
        <v>67</v>
      </c>
      <c r="C131" s="16" t="s">
        <v>125</v>
      </c>
      <c r="D131" s="16" t="s">
        <v>195</v>
      </c>
      <c r="F131" s="2"/>
      <c r="G131" s="2"/>
      <c r="H131" s="2"/>
      <c r="I131" s="2"/>
      <c r="J131" s="2"/>
      <c r="K131" s="2"/>
      <c r="L131" s="2"/>
      <c r="M131" s="2"/>
      <c r="N131" s="2"/>
      <c r="O131" s="2"/>
    </row>
    <row r="132" spans="1:15" ht="18">
      <c r="A132" s="48"/>
      <c r="B132" s="15" t="s">
        <v>13</v>
      </c>
      <c r="C132" s="16" t="s">
        <v>126</v>
      </c>
      <c r="D132" s="16" t="s">
        <v>195</v>
      </c>
      <c r="F132" s="2"/>
      <c r="G132" s="2"/>
      <c r="H132" s="2"/>
      <c r="I132" s="2"/>
      <c r="J132" s="2"/>
      <c r="K132" s="2"/>
      <c r="L132" s="2"/>
      <c r="M132" s="2"/>
      <c r="N132" s="2"/>
      <c r="O132" s="2"/>
    </row>
    <row r="133" spans="1:15" ht="18">
      <c r="A133" s="48"/>
      <c r="B133" s="15" t="s">
        <v>14</v>
      </c>
      <c r="C133" s="16" t="s">
        <v>127</v>
      </c>
      <c r="D133" s="16" t="s">
        <v>195</v>
      </c>
      <c r="F133" s="2"/>
      <c r="G133" s="2"/>
      <c r="H133" s="2"/>
      <c r="I133" s="2"/>
      <c r="J133" s="2"/>
      <c r="K133" s="2"/>
      <c r="L133" s="2"/>
      <c r="M133" s="2"/>
      <c r="N133" s="2"/>
      <c r="O133" s="2"/>
    </row>
    <row r="134" spans="1:15" ht="30">
      <c r="A134" s="48"/>
      <c r="B134" s="15" t="s">
        <v>75</v>
      </c>
      <c r="C134" s="16" t="s">
        <v>128</v>
      </c>
      <c r="D134" s="16" t="s">
        <v>195</v>
      </c>
      <c r="F134" s="2"/>
      <c r="G134" s="2"/>
      <c r="H134" s="2"/>
      <c r="I134" s="2"/>
      <c r="J134" s="2"/>
      <c r="K134" s="2"/>
      <c r="L134" s="2"/>
      <c r="M134" s="2"/>
      <c r="N134" s="2"/>
      <c r="O134" s="2"/>
    </row>
    <row r="135" spans="1:15" ht="18">
      <c r="A135" s="48"/>
      <c r="B135" s="15" t="s">
        <v>71</v>
      </c>
      <c r="C135" s="16" t="s">
        <v>134</v>
      </c>
      <c r="D135" s="16" t="s">
        <v>34</v>
      </c>
      <c r="F135" s="2"/>
      <c r="G135" s="2"/>
      <c r="H135" s="2"/>
      <c r="I135" s="2"/>
      <c r="J135" s="2"/>
      <c r="K135" s="2"/>
      <c r="L135" s="2"/>
      <c r="M135" s="2"/>
      <c r="N135" s="2"/>
      <c r="O135" s="2"/>
    </row>
    <row r="136" spans="1:15" ht="30">
      <c r="A136" s="48"/>
      <c r="B136" s="15" t="s">
        <v>15</v>
      </c>
      <c r="C136" s="16" t="s">
        <v>133</v>
      </c>
      <c r="D136" s="16" t="s">
        <v>34</v>
      </c>
      <c r="F136" s="2"/>
      <c r="G136" s="2"/>
      <c r="H136" s="2"/>
      <c r="I136" s="2"/>
      <c r="J136" s="2"/>
      <c r="K136" s="2"/>
      <c r="L136" s="2"/>
      <c r="M136" s="2"/>
      <c r="N136" s="2"/>
      <c r="O136" s="2"/>
    </row>
    <row r="137" spans="1:15" ht="18">
      <c r="A137" s="48"/>
      <c r="B137" s="15" t="s">
        <v>16</v>
      </c>
      <c r="C137" s="16" t="s">
        <v>132</v>
      </c>
      <c r="D137" s="16" t="s">
        <v>211</v>
      </c>
      <c r="F137" s="2"/>
      <c r="G137" s="2"/>
      <c r="H137" s="2"/>
      <c r="I137" s="2"/>
      <c r="J137" s="2"/>
      <c r="K137" s="2"/>
      <c r="L137" s="2"/>
      <c r="M137" s="2"/>
      <c r="N137" s="2"/>
      <c r="O137" s="2"/>
    </row>
    <row r="138" spans="1:15" ht="18">
      <c r="A138" s="48"/>
      <c r="B138" s="15" t="s">
        <v>17</v>
      </c>
      <c r="C138" s="16" t="s">
        <v>131</v>
      </c>
      <c r="D138" s="16" t="s">
        <v>211</v>
      </c>
      <c r="F138" s="2"/>
      <c r="G138" s="2"/>
      <c r="H138" s="2"/>
      <c r="I138" s="2"/>
      <c r="J138" s="2"/>
      <c r="K138" s="2"/>
      <c r="L138" s="2"/>
      <c r="M138" s="2"/>
      <c r="N138" s="2"/>
      <c r="O138" s="2"/>
    </row>
    <row r="139" spans="1:15">
      <c r="A139" s="48"/>
      <c r="B139" s="15" t="s">
        <v>18</v>
      </c>
      <c r="C139" s="16" t="s">
        <v>34</v>
      </c>
      <c r="D139" s="16" t="s">
        <v>34</v>
      </c>
      <c r="F139" s="2"/>
      <c r="G139" s="2"/>
      <c r="H139" s="2"/>
      <c r="I139" s="2"/>
      <c r="J139" s="2"/>
      <c r="K139" s="2"/>
      <c r="L139" s="2"/>
      <c r="M139" s="2"/>
      <c r="N139" s="2"/>
      <c r="O139" s="2"/>
    </row>
    <row r="140" spans="1:15" ht="30">
      <c r="A140" s="48"/>
      <c r="B140" s="15" t="s">
        <v>78</v>
      </c>
      <c r="C140" s="16" t="s">
        <v>130</v>
      </c>
      <c r="D140" s="16" t="s">
        <v>34</v>
      </c>
      <c r="F140" s="2"/>
      <c r="G140" s="2"/>
      <c r="H140" s="2"/>
      <c r="I140" s="2"/>
      <c r="J140" s="2"/>
      <c r="K140" s="2"/>
      <c r="L140" s="2"/>
      <c r="M140" s="2"/>
      <c r="N140" s="2"/>
      <c r="O140" s="2"/>
    </row>
    <row r="141" spans="1:15" ht="18">
      <c r="A141" s="48"/>
      <c r="B141" s="15" t="s">
        <v>102</v>
      </c>
      <c r="C141" s="16" t="s">
        <v>129</v>
      </c>
      <c r="D141" s="16" t="s">
        <v>208</v>
      </c>
      <c r="E141" s="2" t="e">
        <f>E126*E125/(E68*E69)</f>
        <v>#DIV/0!</v>
      </c>
      <c r="F141" s="2">
        <f t="shared" ref="F141" si="68">F126*F125/(F68*F69)</f>
        <v>0</v>
      </c>
      <c r="G141" s="2">
        <f t="shared" ref="G141:H141" si="69">G126*G125/(G68*G69)</f>
        <v>0</v>
      </c>
      <c r="H141" s="2">
        <f t="shared" si="69"/>
        <v>0</v>
      </c>
      <c r="I141" s="2">
        <f t="shared" ref="I141:J141" si="70">I126*I125/(I68*I69)</f>
        <v>0</v>
      </c>
      <c r="J141" s="2">
        <f t="shared" si="70"/>
        <v>0</v>
      </c>
      <c r="K141" s="2">
        <f t="shared" ref="K141:M141" si="71">K126*K125/(K68*K69)</f>
        <v>0</v>
      </c>
      <c r="L141" s="2">
        <f t="shared" si="71"/>
        <v>0</v>
      </c>
      <c r="M141" s="2">
        <f t="shared" si="71"/>
        <v>0</v>
      </c>
      <c r="N141" s="2">
        <f t="shared" ref="N141:O141" si="72">N126*N125/(N68*N69)</f>
        <v>0</v>
      </c>
      <c r="O141" s="2">
        <f t="shared" si="72"/>
        <v>0</v>
      </c>
    </row>
    <row r="142" spans="1:15" s="49" customFormat="1"/>
    <row r="143" spans="1:15" ht="18">
      <c r="A143" s="48" t="s">
        <v>112</v>
      </c>
      <c r="B143" s="15" t="s">
        <v>106</v>
      </c>
      <c r="C143" s="16" t="s">
        <v>114</v>
      </c>
      <c r="D143" s="16" t="s">
        <v>195</v>
      </c>
      <c r="F143" s="2"/>
      <c r="G143" s="2"/>
      <c r="H143" s="2"/>
      <c r="I143" s="2"/>
      <c r="J143" s="2"/>
      <c r="K143" s="2"/>
      <c r="L143" s="2"/>
      <c r="M143" s="2"/>
      <c r="N143" s="2"/>
      <c r="O143" s="2"/>
    </row>
    <row r="144" spans="1:15" ht="18">
      <c r="A144" s="48"/>
      <c r="B144" s="15" t="s">
        <v>223</v>
      </c>
      <c r="C144" s="16" t="s">
        <v>115</v>
      </c>
      <c r="D144" s="16" t="s">
        <v>34</v>
      </c>
      <c r="E144" s="2" t="e">
        <f>E143/E128</f>
        <v>#DIV/0!</v>
      </c>
      <c r="F144" s="2" t="e">
        <f t="shared" ref="F144" si="73">F143/F128</f>
        <v>#DIV/0!</v>
      </c>
      <c r="G144" s="2" t="e">
        <f t="shared" ref="G144:H144" si="74">G143/G128</f>
        <v>#DIV/0!</v>
      </c>
      <c r="H144" s="2" t="e">
        <f t="shared" si="74"/>
        <v>#DIV/0!</v>
      </c>
      <c r="I144" s="2" t="e">
        <f t="shared" ref="I144:J144" si="75">I143/I128</f>
        <v>#DIV/0!</v>
      </c>
      <c r="J144" s="2" t="e">
        <f t="shared" si="75"/>
        <v>#DIV/0!</v>
      </c>
      <c r="K144" s="2" t="e">
        <f t="shared" ref="K144:M144" si="76">K143/K128</f>
        <v>#DIV/0!</v>
      </c>
      <c r="L144" s="2" t="e">
        <f t="shared" si="76"/>
        <v>#DIV/0!</v>
      </c>
      <c r="M144" s="2" t="e">
        <f t="shared" si="76"/>
        <v>#DIV/0!</v>
      </c>
      <c r="N144" s="2" t="e">
        <f t="shared" ref="N144:O144" si="77">N143/N128</f>
        <v>#DIV/0!</v>
      </c>
      <c r="O144" s="2" t="e">
        <f t="shared" si="77"/>
        <v>#DIV/0!</v>
      </c>
    </row>
    <row r="145" spans="1:15" ht="18">
      <c r="A145" s="48"/>
      <c r="B145" s="15" t="s">
        <v>113</v>
      </c>
      <c r="C145" s="16" t="s">
        <v>116</v>
      </c>
      <c r="D145" s="16" t="s">
        <v>34</v>
      </c>
      <c r="F145" s="2"/>
      <c r="G145" s="2"/>
      <c r="H145" s="2"/>
      <c r="I145" s="2"/>
      <c r="J145" s="2"/>
      <c r="K145" s="2"/>
      <c r="L145" s="2"/>
      <c r="M145" s="2"/>
      <c r="N145" s="2"/>
      <c r="O145" s="2"/>
    </row>
    <row r="146" spans="1:15" s="49" customFormat="1"/>
    <row r="147" spans="1:15" ht="18">
      <c r="A147" s="48" t="s">
        <v>386</v>
      </c>
      <c r="B147" s="15" t="s">
        <v>387</v>
      </c>
      <c r="C147" s="16" t="s">
        <v>388</v>
      </c>
      <c r="D147" s="16" t="s">
        <v>195</v>
      </c>
      <c r="E147" s="43"/>
      <c r="F147" s="43">
        <f>2.59*7.5</f>
        <v>19.424999999999997</v>
      </c>
      <c r="G147" s="43"/>
      <c r="H147" s="43"/>
      <c r="I147" s="43"/>
      <c r="J147" s="43"/>
      <c r="K147" s="43"/>
      <c r="L147" s="43"/>
      <c r="M147" s="43"/>
      <c r="N147" s="43"/>
      <c r="O147" s="43"/>
    </row>
    <row r="148" spans="1:15">
      <c r="A148" s="48"/>
      <c r="B148" s="15" t="s">
        <v>389</v>
      </c>
      <c r="C148" s="16" t="s">
        <v>138</v>
      </c>
      <c r="D148" s="16" t="s">
        <v>195</v>
      </c>
      <c r="E148" s="43"/>
      <c r="F148" s="43">
        <v>2.59</v>
      </c>
      <c r="G148" s="43"/>
      <c r="H148" s="43"/>
      <c r="I148" s="43"/>
      <c r="J148" s="43"/>
      <c r="K148" s="43"/>
      <c r="L148" s="43"/>
      <c r="M148" s="43"/>
      <c r="N148" s="43"/>
      <c r="O148" s="43"/>
    </row>
    <row r="149" spans="1:15" ht="18">
      <c r="A149" s="48"/>
      <c r="B149" s="15" t="s">
        <v>396</v>
      </c>
      <c r="C149" s="16" t="s">
        <v>395</v>
      </c>
      <c r="D149" s="16" t="s">
        <v>34</v>
      </c>
      <c r="E149" s="45">
        <v>11.7</v>
      </c>
      <c r="F149" s="45">
        <f>F147/F148</f>
        <v>7.4999999999999991</v>
      </c>
      <c r="G149" s="45"/>
      <c r="H149" s="45"/>
      <c r="I149" s="45"/>
      <c r="J149" s="45"/>
      <c r="K149" s="45"/>
      <c r="L149" s="45"/>
      <c r="M149" s="45"/>
      <c r="N149" s="45"/>
      <c r="O149" s="45"/>
    </row>
    <row r="150" spans="1:15" s="49" customFormat="1"/>
    <row r="151" spans="1:15">
      <c r="A151" s="48" t="s">
        <v>33</v>
      </c>
      <c r="B151" s="15" t="s">
        <v>19</v>
      </c>
      <c r="C151" s="16" t="s">
        <v>34</v>
      </c>
      <c r="D151" s="16" t="s">
        <v>34</v>
      </c>
      <c r="F151" s="2"/>
      <c r="G151" s="2" t="s">
        <v>309</v>
      </c>
      <c r="H151" s="2" t="s">
        <v>309</v>
      </c>
      <c r="I151" s="2" t="s">
        <v>309</v>
      </c>
      <c r="J151" s="2" t="s">
        <v>309</v>
      </c>
      <c r="K151" s="2" t="s">
        <v>309</v>
      </c>
      <c r="L151" s="2" t="s">
        <v>309</v>
      </c>
      <c r="M151" s="2" t="s">
        <v>309</v>
      </c>
      <c r="N151" s="2" t="s">
        <v>309</v>
      </c>
      <c r="O151" s="2" t="s">
        <v>309</v>
      </c>
    </row>
    <row r="152" spans="1:15">
      <c r="A152" s="48"/>
      <c r="B152" s="15" t="s">
        <v>136</v>
      </c>
      <c r="C152" s="16" t="s">
        <v>137</v>
      </c>
      <c r="D152" s="16" t="s">
        <v>195</v>
      </c>
      <c r="E152" s="14"/>
      <c r="F152" s="14"/>
      <c r="G152" s="14">
        <v>4.45</v>
      </c>
      <c r="H152" s="14">
        <v>4.0599999999999996</v>
      </c>
      <c r="I152" s="14">
        <f>H152</f>
        <v>4.0599999999999996</v>
      </c>
      <c r="J152" s="14">
        <v>3.2</v>
      </c>
      <c r="K152" s="14"/>
      <c r="L152" s="14"/>
      <c r="M152" s="14"/>
      <c r="N152" s="14"/>
      <c r="O152" s="14">
        <v>3.23</v>
      </c>
    </row>
    <row r="153" spans="1:15">
      <c r="A153" s="48"/>
      <c r="B153" s="15" t="s">
        <v>135</v>
      </c>
      <c r="C153" s="16" t="s">
        <v>138</v>
      </c>
      <c r="D153" s="16" t="s">
        <v>195</v>
      </c>
      <c r="E153" s="14"/>
      <c r="F153" s="14"/>
      <c r="G153" s="14">
        <v>7.39</v>
      </c>
      <c r="H153" s="14">
        <v>12.78</v>
      </c>
      <c r="I153" s="14">
        <f>H153</f>
        <v>12.78</v>
      </c>
      <c r="J153" s="14">
        <v>8.4600000000000009</v>
      </c>
      <c r="K153" s="14"/>
      <c r="L153" s="14"/>
      <c r="M153" s="14"/>
      <c r="N153" s="14"/>
      <c r="O153" s="14">
        <v>9.11</v>
      </c>
    </row>
    <row r="154" spans="1:15">
      <c r="A154" s="48"/>
      <c r="B154" s="15" t="s">
        <v>142</v>
      </c>
      <c r="C154" s="16" t="s">
        <v>139</v>
      </c>
      <c r="D154" s="16" t="s">
        <v>34</v>
      </c>
      <c r="E154" s="14" t="e">
        <f>E152/E153</f>
        <v>#DIV/0!</v>
      </c>
      <c r="F154" s="14" t="e">
        <f t="shared" ref="F154" si="78">F152/F153</f>
        <v>#DIV/0!</v>
      </c>
      <c r="G154" s="14">
        <f t="shared" ref="G154:H154" si="79">G152/G153</f>
        <v>0.60216508795669832</v>
      </c>
      <c r="H154" s="14">
        <f t="shared" si="79"/>
        <v>0.31768388106416273</v>
      </c>
      <c r="I154" s="14">
        <f t="shared" ref="I154:J154" si="80">I152/I153</f>
        <v>0.31768388106416273</v>
      </c>
      <c r="J154" s="14">
        <f t="shared" si="80"/>
        <v>0.37825059101654845</v>
      </c>
      <c r="K154" s="14" t="e">
        <f t="shared" ref="K154:M154" si="81">K152/K153</f>
        <v>#DIV/0!</v>
      </c>
      <c r="L154" s="14" t="e">
        <f t="shared" si="81"/>
        <v>#DIV/0!</v>
      </c>
      <c r="M154" s="14" t="e">
        <f t="shared" si="81"/>
        <v>#DIV/0!</v>
      </c>
      <c r="N154" s="14" t="e">
        <f t="shared" ref="N154:O154" si="82">N152/N153</f>
        <v>#DIV/0!</v>
      </c>
      <c r="O154" s="14">
        <f t="shared" si="82"/>
        <v>0.35455543358946218</v>
      </c>
    </row>
    <row r="155" spans="1:15">
      <c r="A155" s="48"/>
      <c r="B155" s="15" t="s">
        <v>141</v>
      </c>
      <c r="C155" s="16" t="s">
        <v>140</v>
      </c>
      <c r="D155" s="16" t="s">
        <v>34</v>
      </c>
      <c r="E155" s="14" t="e">
        <f t="shared" ref="E155:O155" si="83">E152/E69</f>
        <v>#DIV/0!</v>
      </c>
      <c r="F155" s="14">
        <f t="shared" si="83"/>
        <v>0</v>
      </c>
      <c r="G155" s="14">
        <f t="shared" si="83"/>
        <v>0.20813844714686625</v>
      </c>
      <c r="H155" s="14">
        <f t="shared" si="83"/>
        <v>0.14171029668411866</v>
      </c>
      <c r="I155" s="14">
        <f t="shared" si="83"/>
        <v>0.14171029668411866</v>
      </c>
      <c r="J155" s="14">
        <f t="shared" si="83"/>
        <v>0.15238095238095239</v>
      </c>
      <c r="K155" s="14">
        <f t="shared" si="83"/>
        <v>0</v>
      </c>
      <c r="L155" s="14">
        <f t="shared" si="83"/>
        <v>0</v>
      </c>
      <c r="M155" s="14">
        <f t="shared" si="83"/>
        <v>0</v>
      </c>
      <c r="N155" s="14">
        <f t="shared" si="83"/>
        <v>0</v>
      </c>
      <c r="O155" s="14">
        <f t="shared" si="83"/>
        <v>0.15315315315315314</v>
      </c>
    </row>
    <row r="156" spans="1:15" ht="18">
      <c r="A156" s="48"/>
      <c r="B156" s="15" t="s">
        <v>219</v>
      </c>
      <c r="C156" s="16" t="s">
        <v>143</v>
      </c>
      <c r="D156" s="16" t="s">
        <v>34</v>
      </c>
      <c r="E156" s="14" t="e">
        <f t="shared" ref="E156:O156" si="84">E153/E56</f>
        <v>#DIV/0!</v>
      </c>
      <c r="F156" s="14">
        <f t="shared" si="84"/>
        <v>0</v>
      </c>
      <c r="G156" s="14">
        <f t="shared" si="84"/>
        <v>0.36529906080079089</v>
      </c>
      <c r="H156" s="14">
        <f t="shared" si="84"/>
        <v>0.42178217821782177</v>
      </c>
      <c r="I156" s="14">
        <f t="shared" si="84"/>
        <v>0.43322033898305085</v>
      </c>
      <c r="J156" s="14">
        <f t="shared" si="84"/>
        <v>0.40478468899521536</v>
      </c>
      <c r="K156" s="14">
        <f t="shared" si="84"/>
        <v>0</v>
      </c>
      <c r="L156" s="14">
        <f t="shared" si="84"/>
        <v>0</v>
      </c>
      <c r="M156" s="14">
        <f t="shared" si="84"/>
        <v>0</v>
      </c>
      <c r="N156" s="14">
        <f t="shared" si="84"/>
        <v>0</v>
      </c>
      <c r="O156" s="14">
        <f t="shared" si="84"/>
        <v>0.40615247436469015</v>
      </c>
    </row>
    <row r="157" spans="1:15" ht="18">
      <c r="A157" s="48"/>
      <c r="B157" s="15" t="s">
        <v>145</v>
      </c>
      <c r="C157" s="16" t="s">
        <v>144</v>
      </c>
      <c r="D157" s="16" t="s">
        <v>34</v>
      </c>
      <c r="F157" s="2"/>
      <c r="G157" s="2">
        <v>2</v>
      </c>
      <c r="H157" s="2"/>
      <c r="I157" s="2"/>
      <c r="J157" s="2">
        <v>2</v>
      </c>
      <c r="K157" s="2"/>
      <c r="L157" s="2"/>
      <c r="M157" s="2"/>
      <c r="N157" s="2"/>
      <c r="O157" s="2"/>
    </row>
    <row r="158" spans="1:15" ht="30">
      <c r="A158" s="48"/>
      <c r="B158" s="15" t="s">
        <v>310</v>
      </c>
      <c r="C158" s="16" t="s">
        <v>313</v>
      </c>
      <c r="D158" s="16" t="s">
        <v>195</v>
      </c>
      <c r="E158" s="14"/>
      <c r="F158" s="14"/>
      <c r="G158" s="14">
        <v>0.66</v>
      </c>
      <c r="H158" s="14"/>
      <c r="I158" s="14"/>
      <c r="J158" s="14">
        <v>0.67310000000000003</v>
      </c>
      <c r="K158" s="14"/>
      <c r="L158" s="14"/>
      <c r="M158" s="14"/>
      <c r="N158" s="14"/>
      <c r="O158" s="14"/>
    </row>
    <row r="159" spans="1:15" ht="30">
      <c r="A159" s="48"/>
      <c r="B159" s="15" t="s">
        <v>311</v>
      </c>
      <c r="C159" s="16" t="s">
        <v>314</v>
      </c>
      <c r="D159" s="16" t="s">
        <v>195</v>
      </c>
      <c r="E159" s="14"/>
      <c r="F159" s="14"/>
      <c r="G159" s="14">
        <v>0.16764000000000001</v>
      </c>
      <c r="H159" s="14"/>
      <c r="I159" s="14"/>
      <c r="J159" s="14">
        <v>0.20319999999999999</v>
      </c>
      <c r="K159" s="14"/>
      <c r="L159" s="14"/>
      <c r="M159" s="14"/>
      <c r="N159" s="14"/>
      <c r="O159" s="14"/>
    </row>
    <row r="160" spans="1:15" ht="30">
      <c r="A160" s="48"/>
      <c r="B160" s="15" t="s">
        <v>312</v>
      </c>
      <c r="C160" s="16" t="s">
        <v>315</v>
      </c>
      <c r="D160" s="16" t="s">
        <v>319</v>
      </c>
      <c r="E160" s="14"/>
      <c r="F160" s="14"/>
      <c r="G160" s="14">
        <v>15.1</v>
      </c>
      <c r="H160" s="14"/>
      <c r="I160" s="14"/>
      <c r="J160" s="14"/>
      <c r="K160" s="14"/>
      <c r="L160" s="14"/>
      <c r="M160" s="14"/>
      <c r="N160" s="14"/>
      <c r="O160" s="14"/>
    </row>
    <row r="161" spans="1:17" ht="30">
      <c r="A161" s="48"/>
      <c r="B161" s="15" t="s">
        <v>320</v>
      </c>
      <c r="C161" s="16" t="s">
        <v>316</v>
      </c>
      <c r="D161" s="16" t="s">
        <v>195</v>
      </c>
      <c r="E161" s="14"/>
      <c r="F161" s="14"/>
      <c r="G161" s="14">
        <v>0.36830000000000002</v>
      </c>
      <c r="H161" s="14"/>
      <c r="I161" s="14"/>
      <c r="J161" s="14">
        <v>0.4572</v>
      </c>
      <c r="K161" s="14"/>
      <c r="L161" s="14"/>
      <c r="M161" s="14"/>
      <c r="N161" s="14"/>
      <c r="O161" s="14"/>
    </row>
    <row r="162" spans="1:17" ht="18">
      <c r="A162" s="48"/>
      <c r="B162" s="15" t="s">
        <v>321</v>
      </c>
      <c r="C162" s="16" t="s">
        <v>317</v>
      </c>
      <c r="D162" s="16" t="s">
        <v>195</v>
      </c>
      <c r="E162" s="14"/>
      <c r="F162" s="14"/>
      <c r="G162" s="14">
        <v>0.13969999999999999</v>
      </c>
      <c r="H162" s="14"/>
      <c r="I162" s="14"/>
      <c r="J162" s="14">
        <v>0.13969999999999999</v>
      </c>
      <c r="K162" s="14"/>
      <c r="L162" s="14"/>
      <c r="M162" s="14"/>
      <c r="N162" s="14"/>
      <c r="O162" s="14"/>
    </row>
    <row r="163" spans="1:17" ht="30">
      <c r="A163" s="48"/>
      <c r="B163" s="15" t="s">
        <v>322</v>
      </c>
      <c r="C163" s="16" t="s">
        <v>318</v>
      </c>
      <c r="D163" s="16" t="s">
        <v>319</v>
      </c>
      <c r="E163" s="14"/>
      <c r="F163" s="14"/>
      <c r="G163" s="14">
        <v>12.6</v>
      </c>
      <c r="H163" s="14"/>
      <c r="I163" s="14"/>
      <c r="J163" s="14"/>
      <c r="K163" s="14"/>
      <c r="L163" s="14"/>
      <c r="M163" s="14"/>
      <c r="N163" s="14"/>
      <c r="O163" s="14"/>
    </row>
    <row r="164" spans="1:17" s="49" customFormat="1"/>
    <row r="165" spans="1:17" ht="18">
      <c r="A165" s="48" t="s">
        <v>25</v>
      </c>
      <c r="B165" s="15" t="s">
        <v>151</v>
      </c>
      <c r="C165" s="16" t="s">
        <v>150</v>
      </c>
      <c r="D165" s="16" t="s">
        <v>222</v>
      </c>
      <c r="E165" s="14">
        <v>145</v>
      </c>
      <c r="F165" s="14">
        <f>376/3.6</f>
        <v>104.44444444444444</v>
      </c>
      <c r="G165" s="14">
        <f t="shared" ref="F165:G165" si="85">294.9*G166</f>
        <v>254.20379999999997</v>
      </c>
      <c r="H165" s="14">
        <f>901/3.6</f>
        <v>250.27777777777777</v>
      </c>
      <c r="I165" s="14">
        <f>950/3.6</f>
        <v>263.88888888888886</v>
      </c>
      <c r="J165" s="14">
        <f>294.9*J166</f>
        <v>244.76699999999997</v>
      </c>
      <c r="K165" s="14">
        <f t="shared" ref="K165:L165" si="86">294.9*K166</f>
        <v>250.66499999999996</v>
      </c>
      <c r="L165" s="14">
        <f t="shared" si="86"/>
        <v>244.76699999999997</v>
      </c>
      <c r="M165" s="14">
        <f>294.9*M166</f>
        <v>244.76699999999997</v>
      </c>
      <c r="N165" s="14">
        <f>294.9*N166</f>
        <v>230.02199999999999</v>
      </c>
      <c r="O165" s="14">
        <f>978/3.6</f>
        <v>271.66666666666669</v>
      </c>
    </row>
    <row r="166" spans="1:17" ht="18.75" customHeight="1">
      <c r="A166" s="48"/>
      <c r="B166" s="15" t="s">
        <v>288</v>
      </c>
      <c r="C166" s="16" t="s">
        <v>289</v>
      </c>
      <c r="D166" s="16" t="s">
        <v>34</v>
      </c>
      <c r="E166" s="14" t="s">
        <v>304</v>
      </c>
      <c r="F166" s="14"/>
      <c r="G166" s="14">
        <v>0.86199999999999999</v>
      </c>
      <c r="H166" s="14">
        <f>H165/294.9</f>
        <v>0.84868693719151511</v>
      </c>
      <c r="I166" s="14">
        <v>0.89</v>
      </c>
      <c r="J166" s="14">
        <v>0.83</v>
      </c>
      <c r="K166" s="14">
        <v>0.85</v>
      </c>
      <c r="L166" s="14">
        <v>0.83</v>
      </c>
      <c r="M166" s="14">
        <v>0.83</v>
      </c>
      <c r="N166" s="14">
        <v>0.78</v>
      </c>
      <c r="O166" s="14">
        <f>O165/294.9</f>
        <v>0.92121623149090104</v>
      </c>
    </row>
    <row r="167" spans="1:17" ht="26.25" customHeight="1">
      <c r="A167" s="48"/>
      <c r="B167" s="15" t="s">
        <v>155</v>
      </c>
      <c r="C167" s="16" t="s">
        <v>154</v>
      </c>
      <c r="D167" s="16" t="s">
        <v>222</v>
      </c>
      <c r="E167" s="14">
        <f>426/3.6</f>
        <v>118.33333333333333</v>
      </c>
      <c r="F167" s="14">
        <f>278/3.6</f>
        <v>77.222222222222214</v>
      </c>
      <c r="G167" s="14">
        <f>294.9*G168</f>
        <v>250.66499999999996</v>
      </c>
      <c r="H167" s="14">
        <f>294.9*H168</f>
        <v>250.66499999999996</v>
      </c>
      <c r="I167" s="14">
        <f>904/3.6</f>
        <v>251.11111111111111</v>
      </c>
      <c r="J167" s="14">
        <f>294.9*J168</f>
        <v>235.92</v>
      </c>
      <c r="K167" s="14">
        <f>850/3.6</f>
        <v>236.11111111111111</v>
      </c>
      <c r="L167" s="14">
        <f>855.6/3.6</f>
        <v>237.66666666666666</v>
      </c>
      <c r="M167" s="14">
        <f>863/3.6</f>
        <v>239.72222222222223</v>
      </c>
      <c r="N167" s="14">
        <f>839/3.6</f>
        <v>233.05555555555554</v>
      </c>
      <c r="O167" s="14">
        <f>294.9*O168</f>
        <v>275.73149999999998</v>
      </c>
    </row>
    <row r="168" spans="1:17" ht="18">
      <c r="A168" s="48"/>
      <c r="B168" s="15" t="s">
        <v>332</v>
      </c>
      <c r="C168" s="16" t="s">
        <v>333</v>
      </c>
      <c r="D168" s="16" t="s">
        <v>34</v>
      </c>
      <c r="E168" s="14" t="s">
        <v>304</v>
      </c>
      <c r="F168" s="14" t="s">
        <v>304</v>
      </c>
      <c r="G168" s="14">
        <v>0.85</v>
      </c>
      <c r="H168" s="14">
        <v>0.85</v>
      </c>
      <c r="I168" s="14">
        <v>0.85</v>
      </c>
      <c r="J168" s="14">
        <v>0.8</v>
      </c>
      <c r="K168" s="14">
        <v>0.8</v>
      </c>
      <c r="L168" s="14">
        <f>L167/294.9</f>
        <v>0.80592291172148756</v>
      </c>
      <c r="M168" s="14">
        <f t="shared" ref="M168:N168" si="87">M167/294.9</f>
        <v>0.81289325948532465</v>
      </c>
      <c r="N168" s="14">
        <f t="shared" si="87"/>
        <v>0.7902867261972043</v>
      </c>
      <c r="O168" s="14">
        <v>0.93500000000000005</v>
      </c>
    </row>
    <row r="169" spans="1:17" ht="30">
      <c r="A169" s="48"/>
      <c r="B169" s="15" t="s">
        <v>383</v>
      </c>
      <c r="C169" s="16" t="s">
        <v>385</v>
      </c>
      <c r="D169" s="16" t="s">
        <v>222</v>
      </c>
      <c r="E169" s="14">
        <f t="shared" ref="E169:O170" si="88">E173/1.13</f>
        <v>20.48670796460177</v>
      </c>
      <c r="F169" s="14">
        <f t="shared" ref="F169" si="89">F173/1.13</f>
        <v>63.736424778761069</v>
      </c>
      <c r="G169" s="14">
        <f t="shared" si="88"/>
        <v>57.362831858407077</v>
      </c>
      <c r="H169" s="14">
        <f t="shared" si="88"/>
        <v>64.646017699115049</v>
      </c>
      <c r="I169" s="14">
        <f t="shared" si="88"/>
        <v>60.548672566371685</v>
      </c>
      <c r="J169" s="14">
        <f t="shared" si="88"/>
        <v>60.548672566371685</v>
      </c>
      <c r="K169" s="14">
        <f t="shared" si="88"/>
        <v>62.37168141592921</v>
      </c>
      <c r="L169" s="14">
        <f t="shared" si="88"/>
        <v>53.26548672566372</v>
      </c>
      <c r="M169" s="14">
        <f t="shared" si="88"/>
        <v>54.628318584070797</v>
      </c>
      <c r="N169" s="14">
        <f t="shared" si="88"/>
        <v>51.442477876106203</v>
      </c>
      <c r="O169" s="14">
        <f t="shared" si="88"/>
        <v>63.283185840707972</v>
      </c>
    </row>
    <row r="170" spans="1:17" ht="30">
      <c r="A170" s="48"/>
      <c r="B170" s="15" t="s">
        <v>404</v>
      </c>
      <c r="C170" s="16" t="s">
        <v>405</v>
      </c>
      <c r="D170" s="16" t="s">
        <v>222</v>
      </c>
      <c r="E170" s="14">
        <f t="shared" si="88"/>
        <v>11.381504424778763</v>
      </c>
      <c r="F170" s="14" t="e">
        <f t="shared" ref="F170" si="90">F174/1.13</f>
        <v>#VALUE!</v>
      </c>
      <c r="G170" s="14">
        <f t="shared" si="88"/>
        <v>57.362831858407077</v>
      </c>
      <c r="H170" s="14">
        <f t="shared" si="88"/>
        <v>64.646017699115049</v>
      </c>
      <c r="I170" s="14">
        <f t="shared" si="88"/>
        <v>60.548672566371685</v>
      </c>
      <c r="J170" s="14">
        <f t="shared" si="88"/>
        <v>60.548672566371685</v>
      </c>
      <c r="K170" s="14">
        <f t="shared" si="88"/>
        <v>62.37168141592921</v>
      </c>
      <c r="L170" s="14">
        <f t="shared" si="88"/>
        <v>53.26548672566372</v>
      </c>
      <c r="M170" s="14">
        <f t="shared" si="88"/>
        <v>54.628318584070797</v>
      </c>
      <c r="N170" s="14">
        <f t="shared" si="88"/>
        <v>51.442477876106203</v>
      </c>
      <c r="O170" s="14">
        <f t="shared" si="88"/>
        <v>63.283185840707972</v>
      </c>
    </row>
    <row r="171" spans="1:17" ht="30">
      <c r="A171" s="48"/>
      <c r="B171" s="15" t="s">
        <v>382</v>
      </c>
      <c r="C171" s="16" t="s">
        <v>384</v>
      </c>
      <c r="D171" s="16" t="s">
        <v>222</v>
      </c>
      <c r="E171" s="14">
        <f>E175/1.3</f>
        <v>17.807676923076922</v>
      </c>
      <c r="F171" s="14">
        <f>F175/1.3</f>
        <v>47.487138461538457</v>
      </c>
      <c r="G171" s="14">
        <f>G177/1.3</f>
        <v>41.452991452991448</v>
      </c>
      <c r="H171" s="14">
        <f t="shared" ref="H171:O172" si="91">H177/1.3</f>
        <v>43.530769230769231</v>
      </c>
      <c r="I171" s="14">
        <f t="shared" si="91"/>
        <v>42.34615384615384</v>
      </c>
      <c r="J171" s="14">
        <f t="shared" si="91"/>
        <v>43.92307692307692</v>
      </c>
      <c r="K171" s="14">
        <f t="shared" si="91"/>
        <v>45.507692307692302</v>
      </c>
      <c r="L171" s="14">
        <f t="shared" si="91"/>
        <v>39.969230769230769</v>
      </c>
      <c r="M171" s="14">
        <f t="shared" si="91"/>
        <v>40.361538461538458</v>
      </c>
      <c r="N171" s="14">
        <f t="shared" si="91"/>
        <v>41.153846153846153</v>
      </c>
      <c r="O171" s="14">
        <f t="shared" si="91"/>
        <v>45.907692307692308</v>
      </c>
    </row>
    <row r="172" spans="1:17" ht="32.25" customHeight="1">
      <c r="A172" s="48"/>
      <c r="B172" s="15" t="s">
        <v>410</v>
      </c>
      <c r="C172" s="16" t="s">
        <v>384</v>
      </c>
      <c r="D172" s="16" t="s">
        <v>222</v>
      </c>
      <c r="E172" s="14">
        <f>E176/1.3</f>
        <v>9.8931538461538455</v>
      </c>
      <c r="F172" s="14" t="e">
        <f>F176/1.3</f>
        <v>#VALUE!</v>
      </c>
      <c r="G172" s="14">
        <f>G178/1.3</f>
        <v>8.5076923076923077</v>
      </c>
      <c r="H172" s="14">
        <f t="shared" si="91"/>
        <v>6.838461538461539</v>
      </c>
      <c r="I172" s="14">
        <f t="shared" si="91"/>
        <v>8.0153846153846153</v>
      </c>
      <c r="J172" s="14">
        <f t="shared" si="91"/>
        <v>10.33076923076923</v>
      </c>
      <c r="K172" s="14">
        <f t="shared" si="91"/>
        <v>10.33076923076923</v>
      </c>
      <c r="L172" s="14">
        <f t="shared" si="91"/>
        <v>10.33076923076923</v>
      </c>
      <c r="M172" s="14">
        <f t="shared" si="91"/>
        <v>10.33076923076923</v>
      </c>
      <c r="N172" s="14">
        <f t="shared" si="91"/>
        <v>9.638461538461538</v>
      </c>
      <c r="O172" s="14">
        <f t="shared" si="91"/>
        <v>11.123076923076923</v>
      </c>
    </row>
    <row r="173" spans="1:17" ht="30.75" customHeight="1">
      <c r="A173" s="48"/>
      <c r="B173" s="15" t="s">
        <v>290</v>
      </c>
      <c r="C173" s="16" t="s">
        <v>156</v>
      </c>
      <c r="D173" s="16" t="s">
        <v>222</v>
      </c>
      <c r="E173" s="14">
        <f>45*0.514444</f>
        <v>23.149979999999999</v>
      </c>
      <c r="F173" s="14">
        <f>0.514444*140</f>
        <v>72.02216</v>
      </c>
      <c r="G173" s="14">
        <v>64.819999999999993</v>
      </c>
      <c r="H173" s="14">
        <v>73.05</v>
      </c>
      <c r="I173" s="14">
        <v>68.42</v>
      </c>
      <c r="J173" s="14">
        <v>68.42</v>
      </c>
      <c r="K173" s="14">
        <v>70.48</v>
      </c>
      <c r="L173" s="14">
        <v>60.19</v>
      </c>
      <c r="M173" s="14">
        <v>61.73</v>
      </c>
      <c r="N173" s="14">
        <v>58.13</v>
      </c>
      <c r="O173" s="14">
        <v>71.510000000000005</v>
      </c>
      <c r="Q173" s="36">
        <f>0.514444*72</f>
        <v>37.039968000000002</v>
      </c>
    </row>
    <row r="174" spans="1:17" ht="30">
      <c r="A174" s="48"/>
      <c r="B174" s="15" t="s">
        <v>401</v>
      </c>
      <c r="C174" s="16" t="s">
        <v>402</v>
      </c>
      <c r="D174" s="16" t="s">
        <v>222</v>
      </c>
      <c r="E174" s="14">
        <f>25*0.514444</f>
        <v>12.8611</v>
      </c>
      <c r="F174" s="14" t="s">
        <v>304</v>
      </c>
      <c r="G174" s="14">
        <v>64.819999999999993</v>
      </c>
      <c r="H174" s="14">
        <v>73.05</v>
      </c>
      <c r="I174" s="14">
        <v>68.42</v>
      </c>
      <c r="J174" s="14">
        <v>68.42</v>
      </c>
      <c r="K174" s="14">
        <v>70.48</v>
      </c>
      <c r="L174" s="14">
        <v>60.19</v>
      </c>
      <c r="M174" s="14">
        <v>61.73</v>
      </c>
      <c r="N174" s="14">
        <v>58.13</v>
      </c>
      <c r="O174" s="14">
        <v>71.510000000000005</v>
      </c>
      <c r="Q174" s="36">
        <f>0.514444*52</f>
        <v>26.751087999999999</v>
      </c>
    </row>
    <row r="175" spans="1:17" ht="33" customHeight="1">
      <c r="A175" s="48"/>
      <c r="B175" s="15" t="s">
        <v>406</v>
      </c>
      <c r="C175" s="16" t="s">
        <v>407</v>
      </c>
      <c r="D175" s="16" t="s">
        <v>222</v>
      </c>
      <c r="E175" s="14">
        <f>45*0.514444</f>
        <v>23.149979999999999</v>
      </c>
      <c r="F175" s="14">
        <f>0.514444*120</f>
        <v>61.733280000000001</v>
      </c>
      <c r="G175" s="14">
        <f>194/3.6</f>
        <v>53.888888888888886</v>
      </c>
      <c r="H175" s="14">
        <v>56.59</v>
      </c>
      <c r="I175" s="14">
        <v>55.05</v>
      </c>
      <c r="J175" s="14">
        <v>57.1</v>
      </c>
      <c r="K175" s="14">
        <v>59.16</v>
      </c>
      <c r="L175" s="14">
        <v>51.96</v>
      </c>
      <c r="M175" s="14">
        <v>52.47</v>
      </c>
      <c r="N175" s="14">
        <v>53.5</v>
      </c>
      <c r="O175" s="14">
        <v>59.68</v>
      </c>
      <c r="Q175" s="36">
        <f>0.514444*85</f>
        <v>43.727740000000004</v>
      </c>
    </row>
    <row r="176" spans="1:17" ht="33" customHeight="1">
      <c r="A176" s="48"/>
      <c r="B176" s="15" t="s">
        <v>409</v>
      </c>
      <c r="C176" s="16" t="s">
        <v>408</v>
      </c>
      <c r="D176" s="16" t="s">
        <v>222</v>
      </c>
      <c r="E176" s="14">
        <f>25*0.514444</f>
        <v>12.8611</v>
      </c>
      <c r="F176" s="14" t="s">
        <v>304</v>
      </c>
      <c r="G176" s="14">
        <f>194/3.6</f>
        <v>53.888888888888886</v>
      </c>
      <c r="H176" s="14">
        <v>56.59</v>
      </c>
      <c r="I176" s="14">
        <v>55.05</v>
      </c>
      <c r="J176" s="14">
        <v>57.1</v>
      </c>
      <c r="K176" s="14">
        <v>59.16</v>
      </c>
      <c r="L176" s="14">
        <v>51.96</v>
      </c>
      <c r="M176" s="14">
        <v>52.47</v>
      </c>
      <c r="N176" s="14">
        <v>53.5</v>
      </c>
      <c r="O176" s="14">
        <v>59.68</v>
      </c>
      <c r="Q176" s="36">
        <f>0.514444*65</f>
        <v>33.438859999999998</v>
      </c>
    </row>
    <row r="177" spans="1:15" ht="33" customHeight="1">
      <c r="A177" s="48"/>
      <c r="B177" s="15" t="s">
        <v>285</v>
      </c>
      <c r="C177" s="16" t="s">
        <v>373</v>
      </c>
      <c r="D177" s="16" t="s">
        <v>222</v>
      </c>
      <c r="E177" s="14" t="s">
        <v>304</v>
      </c>
      <c r="F177" s="14" t="s">
        <v>304</v>
      </c>
      <c r="G177" s="14">
        <f>194/3.6</f>
        <v>53.888888888888886</v>
      </c>
      <c r="H177" s="14">
        <v>56.59</v>
      </c>
      <c r="I177" s="14">
        <v>55.05</v>
      </c>
      <c r="J177" s="14">
        <v>57.1</v>
      </c>
      <c r="K177" s="14">
        <v>59.16</v>
      </c>
      <c r="L177" s="14">
        <v>51.96</v>
      </c>
      <c r="M177" s="14">
        <v>52.47</v>
      </c>
      <c r="N177" s="14">
        <v>53.5</v>
      </c>
      <c r="O177" s="14">
        <v>59.68</v>
      </c>
    </row>
    <row r="178" spans="1:15" ht="18">
      <c r="A178" s="48"/>
      <c r="B178" s="15" t="s">
        <v>158</v>
      </c>
      <c r="C178" s="16" t="s">
        <v>159</v>
      </c>
      <c r="D178" s="16" t="s">
        <v>222</v>
      </c>
      <c r="E178" s="14">
        <f>488/60</f>
        <v>8.1333333333333329</v>
      </c>
      <c r="F178" s="14">
        <f>396/60</f>
        <v>6.6</v>
      </c>
      <c r="G178" s="14">
        <v>11.06</v>
      </c>
      <c r="H178" s="14">
        <v>8.89</v>
      </c>
      <c r="I178" s="14">
        <v>10.42</v>
      </c>
      <c r="J178" s="14">
        <v>13.43</v>
      </c>
      <c r="K178" s="14">
        <v>13.43</v>
      </c>
      <c r="L178" s="14">
        <v>13.43</v>
      </c>
      <c r="M178" s="14">
        <v>13.43</v>
      </c>
      <c r="N178" s="14">
        <v>12.53</v>
      </c>
      <c r="O178" s="14">
        <v>14.46</v>
      </c>
    </row>
    <row r="179" spans="1:15">
      <c r="A179" s="48"/>
      <c r="B179" s="15" t="s">
        <v>162</v>
      </c>
      <c r="C179" s="16" t="s">
        <v>160</v>
      </c>
      <c r="D179" s="16" t="s">
        <v>221</v>
      </c>
      <c r="E179" s="2">
        <v>3815</v>
      </c>
      <c r="F179" s="45">
        <v>2315</v>
      </c>
      <c r="G179" s="2">
        <v>7408</v>
      </c>
      <c r="H179" s="2">
        <v>11112</v>
      </c>
      <c r="I179" s="2">
        <v>9630</v>
      </c>
      <c r="J179" s="2">
        <v>5926</v>
      </c>
      <c r="K179" s="42">
        <v>6667</v>
      </c>
      <c r="L179" s="42">
        <v>5371</v>
      </c>
      <c r="M179" s="42">
        <v>5788</v>
      </c>
      <c r="N179" s="42">
        <v>3650</v>
      </c>
      <c r="O179" s="42">
        <v>6408</v>
      </c>
    </row>
    <row r="180" spans="1:15">
      <c r="A180" s="48"/>
      <c r="B180" s="15" t="s">
        <v>163</v>
      </c>
      <c r="C180" s="16" t="s">
        <v>161</v>
      </c>
      <c r="D180" s="16" t="s">
        <v>220</v>
      </c>
      <c r="F180" s="45"/>
      <c r="G180" s="2"/>
      <c r="H180" s="2">
        <v>13.5</v>
      </c>
      <c r="I180" s="2"/>
      <c r="J180" s="2"/>
      <c r="K180" s="42"/>
      <c r="L180" s="42"/>
      <c r="M180" s="42"/>
      <c r="N180" s="42"/>
      <c r="O180" s="42"/>
    </row>
    <row r="181" spans="1:15" ht="18">
      <c r="A181" s="48"/>
      <c r="B181" s="15" t="s">
        <v>286</v>
      </c>
      <c r="C181" s="16" t="s">
        <v>287</v>
      </c>
      <c r="D181" s="16" t="s">
        <v>195</v>
      </c>
      <c r="E181" s="2" t="s">
        <v>304</v>
      </c>
      <c r="F181" s="45" t="s">
        <v>304</v>
      </c>
      <c r="G181" s="2">
        <v>14326</v>
      </c>
      <c r="H181" s="2">
        <v>15545</v>
      </c>
      <c r="I181" s="2">
        <v>15545</v>
      </c>
      <c r="J181" s="2">
        <v>13715</v>
      </c>
      <c r="K181" s="42">
        <v>13716</v>
      </c>
      <c r="L181" s="42">
        <v>13716</v>
      </c>
      <c r="M181" s="42">
        <v>13716</v>
      </c>
      <c r="N181" s="42">
        <v>13716</v>
      </c>
      <c r="O181" s="42">
        <v>15545</v>
      </c>
    </row>
    <row r="182" spans="1:15" ht="18">
      <c r="A182" s="48"/>
      <c r="B182" s="15" t="s">
        <v>294</v>
      </c>
      <c r="C182" s="16" t="s">
        <v>295</v>
      </c>
      <c r="D182" s="16" t="s">
        <v>195</v>
      </c>
      <c r="E182" s="2">
        <f>10000*0.3048</f>
        <v>3048</v>
      </c>
      <c r="F182" s="45">
        <f>10000*0.3048</f>
        <v>3048</v>
      </c>
      <c r="G182" s="2">
        <f>45000*0.3048</f>
        <v>13716</v>
      </c>
      <c r="H182" s="2">
        <v>12495</v>
      </c>
      <c r="I182" s="2">
        <v>12497</v>
      </c>
      <c r="J182" s="2">
        <v>13105</v>
      </c>
      <c r="K182" s="42">
        <v>13106</v>
      </c>
      <c r="L182" s="42">
        <v>13411</v>
      </c>
      <c r="M182" s="42">
        <v>13411</v>
      </c>
      <c r="N182" s="42">
        <v>12192</v>
      </c>
      <c r="O182" s="42">
        <v>13716</v>
      </c>
    </row>
    <row r="183" spans="1:15">
      <c r="A183" s="48"/>
      <c r="B183" s="15" t="s">
        <v>22</v>
      </c>
      <c r="C183" s="16" t="s">
        <v>34</v>
      </c>
      <c r="D183" s="16" t="s">
        <v>34</v>
      </c>
      <c r="E183" s="2" t="s">
        <v>364</v>
      </c>
      <c r="F183" s="45" t="s">
        <v>364</v>
      </c>
      <c r="G183" s="2"/>
      <c r="H183" s="2"/>
      <c r="I183" s="2"/>
      <c r="J183" s="2"/>
      <c r="K183" s="42"/>
      <c r="L183" s="42"/>
      <c r="M183" s="42"/>
      <c r="N183" s="42"/>
      <c r="O183" s="42"/>
    </row>
    <row r="184" spans="1:15" ht="18">
      <c r="A184" s="48"/>
      <c r="B184" s="15" t="s">
        <v>23</v>
      </c>
      <c r="C184" s="16" t="s">
        <v>176</v>
      </c>
      <c r="D184" s="16" t="s">
        <v>195</v>
      </c>
      <c r="E184" s="2">
        <v>655</v>
      </c>
      <c r="F184" s="45">
        <v>783</v>
      </c>
      <c r="G184" s="2">
        <v>1425</v>
      </c>
      <c r="H184" s="2">
        <v>1972</v>
      </c>
      <c r="I184" s="2">
        <v>1689</v>
      </c>
      <c r="J184" s="2">
        <v>1474</v>
      </c>
      <c r="K184" s="42">
        <v>1448</v>
      </c>
      <c r="L184" s="42">
        <v>1191</v>
      </c>
      <c r="M184" s="42">
        <v>1245</v>
      </c>
      <c r="N184" s="42">
        <v>956</v>
      </c>
      <c r="O184" s="42">
        <v>1600</v>
      </c>
    </row>
    <row r="185" spans="1:15" ht="18">
      <c r="A185" s="48"/>
      <c r="B185" s="15" t="s">
        <v>24</v>
      </c>
      <c r="C185" s="16" t="s">
        <v>175</v>
      </c>
      <c r="D185" s="16" t="s">
        <v>195</v>
      </c>
      <c r="E185" s="2">
        <v>810</v>
      </c>
      <c r="F185" s="45">
        <v>674</v>
      </c>
      <c r="G185" s="2">
        <v>689</v>
      </c>
      <c r="H185" s="2">
        <v>682</v>
      </c>
      <c r="I185" s="2">
        <v>673</v>
      </c>
      <c r="J185" s="2">
        <v>721</v>
      </c>
      <c r="K185" s="42">
        <v>829</v>
      </c>
      <c r="L185" s="42">
        <v>637</v>
      </c>
      <c r="M185" s="42">
        <v>647</v>
      </c>
      <c r="N185" s="42">
        <v>799</v>
      </c>
      <c r="O185" s="42">
        <v>1015</v>
      </c>
    </row>
    <row r="186" spans="1:15" ht="18">
      <c r="A186" s="44"/>
      <c r="B186" s="15" t="s">
        <v>397</v>
      </c>
      <c r="C186" s="16" t="s">
        <v>398</v>
      </c>
      <c r="D186" s="16" t="s">
        <v>195</v>
      </c>
      <c r="E186" s="45">
        <v>735</v>
      </c>
      <c r="F186" s="45">
        <v>808</v>
      </c>
      <c r="G186" s="45">
        <v>1425</v>
      </c>
      <c r="H186" s="45">
        <v>1972</v>
      </c>
      <c r="I186" s="45">
        <v>1689</v>
      </c>
      <c r="J186" s="45">
        <v>1474</v>
      </c>
      <c r="K186" s="45">
        <v>1448</v>
      </c>
      <c r="L186" s="45">
        <v>1191</v>
      </c>
      <c r="M186" s="45">
        <v>1245</v>
      </c>
      <c r="N186" s="45">
        <v>956</v>
      </c>
      <c r="O186" s="45">
        <v>1600</v>
      </c>
    </row>
    <row r="187" spans="1:15" ht="18">
      <c r="A187" s="44"/>
      <c r="B187" s="15" t="s">
        <v>399</v>
      </c>
      <c r="C187" s="16" t="s">
        <v>400</v>
      </c>
      <c r="D187" s="16" t="s">
        <v>195</v>
      </c>
      <c r="E187" s="45">
        <v>561</v>
      </c>
      <c r="F187" s="45">
        <v>665</v>
      </c>
      <c r="G187" s="45">
        <v>1425</v>
      </c>
      <c r="H187" s="45">
        <v>1972</v>
      </c>
      <c r="I187" s="45">
        <v>1689</v>
      </c>
      <c r="J187" s="45">
        <v>1474</v>
      </c>
      <c r="K187" s="45">
        <v>1448</v>
      </c>
      <c r="L187" s="45">
        <v>1191</v>
      </c>
      <c r="M187" s="45">
        <v>1245</v>
      </c>
      <c r="N187" s="45">
        <v>956</v>
      </c>
      <c r="O187" s="45">
        <v>1600</v>
      </c>
    </row>
    <row r="188" spans="1:15" s="2" customFormat="1"/>
    <row r="189" spans="1:15" s="2" customFormat="1">
      <c r="A189" s="39"/>
      <c r="B189" s="39"/>
      <c r="C189" s="52" t="s">
        <v>266</v>
      </c>
      <c r="D189" s="52"/>
      <c r="E189" s="18" t="e">
        <f>SUM(SUMPRODUCT(1*(E3:E4="")),SUMPRODUCT(1*(E6:E9="")),SUMPRODUCT(1*(E11:E23="")),SUMPRODUCT(1*(E26:E41="")),SUMPRODUCT(1*(E44:E53="")),SUMPRODUCT(1*(E56:E63="")),SUMPRODUCT(1*(E65:E85="")),SUMPRODUCT(1*(E87:E92="")),SUMPRODUCT(1*(E94:E99="")),SUMPRODUCT(1*(E101:E118="")),SUMPRODUCT(1*(E120:E122="")),SUMPRODUCT(1*(E124:E141="")),SUMPRODUCT(1*(E143:E145="")),SUMPRODUCT(1*(E151:E163="")),SUMPRODUCT(1*(E165:E185="")))</f>
        <v>#DIV/0!</v>
      </c>
      <c r="F189" s="18" t="e">
        <f>SUM(SUMPRODUCT(1*(F3:F4="")),SUMPRODUCT(1*(F6:F9="")),SUMPRODUCT(1*(F11:F23="")),SUMPRODUCT(1*(F26:F41="")),SUMPRODUCT(1*(F44:F53="")),SUMPRODUCT(1*(F56:F63="")),SUMPRODUCT(1*(F65:F85="")),SUMPRODUCT(1*(F87:F92="")),SUMPRODUCT(1*(F94:F99="")),SUMPRODUCT(1*(F101:F118="")),SUMPRODUCT(1*(F120:F122="")),SUMPRODUCT(1*(F124:F141="")),SUMPRODUCT(1*(F143:F145="")),SUMPRODUCT(1*(F151:F163="")),SUMPRODUCT(1*(F165:F185="")))</f>
        <v>#DIV/0!</v>
      </c>
      <c r="G189" s="18" t="e">
        <f>SUM(SUMPRODUCT(1*(G3:G4="")),SUMPRODUCT(1*(G6:G9="")),SUMPRODUCT(1*(G11:G23="")),SUMPRODUCT(1*(G26:G41="")),SUMPRODUCT(1*(G44:G53="")),SUMPRODUCT(1*(G56:G63="")),SUMPRODUCT(1*(G65:G85="")),SUMPRODUCT(1*(G87:G92="")),SUMPRODUCT(1*(G94:G99="")),SUMPRODUCT(1*(G101:G118="")),SUMPRODUCT(1*(G120:G122="")),SUMPRODUCT(1*(G124:G141="")),SUMPRODUCT(1*(G143:G145="")),SUMPRODUCT(1*(G151:G163="")),SUMPRODUCT(1*(G165:G185="")))</f>
        <v>#VALUE!</v>
      </c>
      <c r="H189" s="18" t="e">
        <f>SUM(SUMPRODUCT(1*(H3:H4="")),SUMPRODUCT(1*(H6:H9="")),SUMPRODUCT(1*(H11:H23="")),SUMPRODUCT(1*(H26:H41="")),SUMPRODUCT(1*(H44:H53="")),SUMPRODUCT(1*(H56:H63="")),SUMPRODUCT(1*(H65:H85="")),SUMPRODUCT(1*(H87:H92="")),SUMPRODUCT(1*(H94:H99="")),SUMPRODUCT(1*(H101:H118="")),SUMPRODUCT(1*(H120:H122="")),SUMPRODUCT(1*(H124:H141="")),SUMPRODUCT(1*(H143:H145="")),SUMPRODUCT(1*(H151:H163="")),SUMPRODUCT(1*(H165:H185="")))</f>
        <v>#VALUE!</v>
      </c>
      <c r="I189" s="18" t="e">
        <f>SUM(SUMPRODUCT(1*(I3:I4="")),SUMPRODUCT(1*(I6:I9="")),SUMPRODUCT(1*(I11:I23="")),SUMPRODUCT(1*(I26:I41="")),SUMPRODUCT(1*(I44:I53="")),SUMPRODUCT(1*(I56:I63="")),SUMPRODUCT(1*(I65:I85="")),SUMPRODUCT(1*(I87:I92="")),SUMPRODUCT(1*(I94:I99="")),SUMPRODUCT(1*(I101:I118="")),SUMPRODUCT(1*(I120:I122="")),SUMPRODUCT(1*(I124:I141="")),SUMPRODUCT(1*(I143:I145="")),SUMPRODUCT(1*(I151:I163="")),SUMPRODUCT(1*(I165:I185="")))</f>
        <v>#VALUE!</v>
      </c>
      <c r="J189" s="18" t="e">
        <f>SUM(SUMPRODUCT(1*(J3:J4="")),SUMPRODUCT(1*(J6:J9="")),SUMPRODUCT(1*(J11:J23="")),SUMPRODUCT(1*(J26:J41="")),SUMPRODUCT(1*(J44:J53="")),SUMPRODUCT(1*(J56:J63="")),SUMPRODUCT(1*(J65:J85="")),SUMPRODUCT(1*(J87:J92="")),SUMPRODUCT(1*(J94:J99="")),SUMPRODUCT(1*(J101:J118="")),SUMPRODUCT(1*(J120:J122="")),SUMPRODUCT(1*(J124:J141="")),SUMPRODUCT(1*(J143:J145="")),SUMPRODUCT(1*(J151:J163="")),SUMPRODUCT(1*(J165:J185="")))</f>
        <v>#DIV/0!</v>
      </c>
      <c r="K189" s="18" t="e">
        <f>SUM(SUMPRODUCT(1*(K3:K4="")),SUMPRODUCT(1*(K6:K9="")),SUMPRODUCT(1*(K11:K23="")),SUMPRODUCT(1*(K26:K41="")),SUMPRODUCT(1*(K44:K53="")),SUMPRODUCT(1*(K56:K63="")),SUMPRODUCT(1*(K65:K85="")),SUMPRODUCT(1*(K87:K92="")),SUMPRODUCT(1*(K94:K99="")),SUMPRODUCT(1*(K101:K118="")),SUMPRODUCT(1*(K120:K122="")),SUMPRODUCT(1*(K124:K141="")),SUMPRODUCT(1*(K143:K145="")),SUMPRODUCT(1*(K151:K163="")),SUMPRODUCT(1*(K165:K185="")))</f>
        <v>#DIV/0!</v>
      </c>
      <c r="L189" s="18" t="e">
        <f>SUM(SUMPRODUCT(1*(L3:L4="")),SUMPRODUCT(1*(L6:L9="")),SUMPRODUCT(1*(L11:L23="")),SUMPRODUCT(1*(L26:L41="")),SUMPRODUCT(1*(L44:L53="")),SUMPRODUCT(1*(L56:L63="")),SUMPRODUCT(1*(L65:L85="")),SUMPRODUCT(1*(L87:L92="")),SUMPRODUCT(1*(L94:L99="")),SUMPRODUCT(1*(L101:L118="")),SUMPRODUCT(1*(L120:L122="")),SUMPRODUCT(1*(L124:L141="")),SUMPRODUCT(1*(L143:L145="")),SUMPRODUCT(1*(L151:L163="")),SUMPRODUCT(1*(L165:L185="")))</f>
        <v>#DIV/0!</v>
      </c>
      <c r="M189" s="18" t="e">
        <f>SUM(SUMPRODUCT(1*(M3:M4="")),SUMPRODUCT(1*(N6:N9="")),SUMPRODUCT(1*(N11:N23="")),SUMPRODUCT(1*(M26:M41="")),SUMPRODUCT(1*(M44:M53="")),SUMPRODUCT(1*(M56:M63="")),SUMPRODUCT(1*(M65:M85="")),SUMPRODUCT(1*(M87:M92="")),SUMPRODUCT(1*(M94:M99="")),SUMPRODUCT(1*(M101:M118="")),SUMPRODUCT(1*(M120:M122="")),SUMPRODUCT(1*(M124:M141="")),SUMPRODUCT(1*(M143:M145="")),SUMPRODUCT(1*(M151:M163="")),SUMPRODUCT(1*(M165:M185="")))</f>
        <v>#DIV/0!</v>
      </c>
      <c r="N189" s="18" t="e">
        <f>SUM(SUMPRODUCT(1*(N3:N4="")),SUMPRODUCT(1*(#REF!="")),SUMPRODUCT(1*(O11:O23="")),SUMPRODUCT(1*(N26:N41="")),SUMPRODUCT(1*(N51:N53="")),SUMPRODUCT(1*(N56:N63="")),SUMPRODUCT(1*(N65:N85="")),SUMPRODUCT(1*(N87:N92="")),SUMPRODUCT(1*(N94:N99="")),SUMPRODUCT(1*(N101:N118="")),SUMPRODUCT(1*(N120:N122="")),SUMPRODUCT(1*(N124:N141="")),SUMPRODUCT(1*(N143:N145="")),SUMPRODUCT(1*(N151:N163="")),SUMPRODUCT(1*(N165:N185="")))</f>
        <v>#REF!</v>
      </c>
      <c r="O189" s="18" t="e">
        <f>SUM(SUMPRODUCT(1*(O3:O4="")),SUMPRODUCT(1*(O6:O9="")),SUMPRODUCT(1*(P11:P23="")),SUMPRODUCT(1*(O26:O41="")),SUMPRODUCT(1*(O44:O53="")),SUMPRODUCT(1*(O56:O63="")),SUMPRODUCT(1*(O65:O85="")),SUMPRODUCT(1*(O87:O92="")),SUMPRODUCT(1*(O94:O99="")),SUMPRODUCT(1*(O101:O118="")),SUMPRODUCT(1*(O120:O122="")),SUMPRODUCT(1*(O124:O141="")),SUMPRODUCT(1*(O143:O145="")),SUMPRODUCT(1*(O151:O163="")),SUMPRODUCT(1*(O165:O185="")))</f>
        <v>#DIV/0!</v>
      </c>
    </row>
    <row r="190" spans="1:15" s="2" customFormat="1"/>
    <row r="191" spans="1:15">
      <c r="B191" s="51"/>
      <c r="C191" s="51"/>
      <c r="D191" s="51"/>
      <c r="E191" s="51"/>
      <c r="F191" s="33"/>
      <c r="G191" s="51"/>
      <c r="H191" s="51"/>
      <c r="I191" s="33"/>
      <c r="J191" s="33"/>
      <c r="K191" s="33"/>
      <c r="L191" s="33"/>
      <c r="M191" s="33"/>
      <c r="N191" s="33"/>
    </row>
    <row r="192" spans="1:15">
      <c r="B192" s="51"/>
      <c r="C192" s="51"/>
      <c r="D192" s="51"/>
      <c r="E192" s="51"/>
      <c r="F192" s="33"/>
      <c r="G192" s="51"/>
      <c r="H192" s="51"/>
      <c r="I192" s="33"/>
      <c r="J192" s="33"/>
      <c r="K192" s="33"/>
      <c r="L192" s="33"/>
      <c r="M192" s="33"/>
      <c r="N192" s="33"/>
    </row>
    <row r="193" spans="2:14">
      <c r="B193" s="51"/>
      <c r="C193" s="51"/>
      <c r="D193" s="51"/>
      <c r="E193" s="51"/>
      <c r="F193" s="33"/>
      <c r="G193" s="51"/>
      <c r="H193" s="51"/>
      <c r="I193" s="33"/>
      <c r="J193" s="33"/>
      <c r="K193" s="33"/>
      <c r="L193" s="33"/>
      <c r="M193" s="33"/>
      <c r="N193" s="33"/>
    </row>
    <row r="194" spans="2:14">
      <c r="B194" s="51"/>
      <c r="C194" s="51"/>
      <c r="D194" s="51"/>
      <c r="E194" s="51"/>
      <c r="F194" s="33"/>
      <c r="G194" s="51"/>
      <c r="H194" s="51"/>
      <c r="I194" s="33"/>
      <c r="J194" s="33"/>
      <c r="K194" s="33"/>
      <c r="L194" s="33"/>
      <c r="M194" s="33"/>
      <c r="N194" s="33"/>
    </row>
    <row r="195" spans="2:14">
      <c r="B195" s="51"/>
      <c r="C195" s="51"/>
      <c r="D195" s="51"/>
      <c r="E195" s="51"/>
      <c r="F195" s="33"/>
      <c r="G195" s="51"/>
      <c r="H195" s="51"/>
      <c r="I195" s="33"/>
      <c r="J195" s="33"/>
      <c r="K195" s="33"/>
      <c r="L195" s="33"/>
      <c r="M195" s="33"/>
      <c r="N195" s="33"/>
    </row>
    <row r="196" spans="2:14">
      <c r="B196" s="51"/>
      <c r="C196" s="51"/>
      <c r="D196" s="51"/>
      <c r="E196" s="51"/>
      <c r="F196" s="33"/>
      <c r="G196" s="51"/>
      <c r="H196" s="51"/>
      <c r="I196" s="33"/>
      <c r="J196" s="33"/>
      <c r="K196" s="33"/>
      <c r="L196" s="33"/>
      <c r="M196" s="33"/>
      <c r="N196" s="33"/>
    </row>
    <row r="197" spans="2:14">
      <c r="B197" s="51"/>
      <c r="C197" s="51"/>
      <c r="D197" s="51"/>
      <c r="E197" s="51"/>
      <c r="F197" s="33"/>
      <c r="G197" s="51"/>
      <c r="H197" s="51"/>
      <c r="I197" s="33"/>
      <c r="J197" s="33"/>
      <c r="K197" s="33"/>
      <c r="L197" s="33"/>
      <c r="M197" s="33"/>
      <c r="N197" s="33"/>
    </row>
    <row r="198" spans="2:14">
      <c r="B198" s="51"/>
      <c r="C198" s="51"/>
      <c r="D198" s="51"/>
      <c r="E198" s="51"/>
      <c r="F198" s="33"/>
      <c r="G198" s="51"/>
      <c r="H198" s="51"/>
      <c r="I198" s="33"/>
      <c r="J198" s="33"/>
      <c r="K198" s="33"/>
      <c r="L198" s="33"/>
      <c r="M198" s="33"/>
      <c r="N198" s="33"/>
    </row>
    <row r="199" spans="2:14">
      <c r="B199" s="51"/>
      <c r="C199" s="51"/>
      <c r="D199" s="51"/>
      <c r="E199" s="51"/>
      <c r="F199" s="33"/>
      <c r="G199" s="51"/>
      <c r="H199" s="51"/>
      <c r="I199" s="33"/>
      <c r="J199" s="33"/>
      <c r="K199" s="33"/>
      <c r="L199" s="33"/>
      <c r="M199" s="33"/>
      <c r="N199" s="33"/>
    </row>
    <row r="200" spans="2:14">
      <c r="B200" s="51"/>
      <c r="C200" s="51"/>
      <c r="D200" s="51"/>
      <c r="E200" s="51"/>
      <c r="F200" s="33"/>
      <c r="G200" s="51"/>
      <c r="H200" s="51"/>
      <c r="I200" s="33"/>
      <c r="J200" s="33"/>
      <c r="K200" s="33"/>
      <c r="L200" s="33"/>
      <c r="M200" s="33"/>
      <c r="N200" s="33"/>
    </row>
    <row r="201" spans="2:14">
      <c r="B201" s="51"/>
      <c r="C201" s="51"/>
      <c r="D201" s="51"/>
      <c r="E201" s="51"/>
      <c r="F201" s="33"/>
      <c r="G201" s="51"/>
      <c r="H201" s="51"/>
      <c r="I201" s="33"/>
      <c r="J201" s="33"/>
      <c r="K201" s="33"/>
      <c r="L201" s="33"/>
      <c r="M201" s="33"/>
      <c r="N201" s="33"/>
    </row>
    <row r="202" spans="2:14">
      <c r="B202" s="51"/>
      <c r="C202" s="51"/>
      <c r="D202" s="51"/>
      <c r="E202" s="51"/>
      <c r="F202" s="33"/>
      <c r="G202" s="51"/>
      <c r="H202" s="51"/>
      <c r="I202" s="33"/>
      <c r="J202" s="33"/>
      <c r="K202" s="33"/>
      <c r="L202" s="33"/>
      <c r="M202" s="33"/>
      <c r="N202" s="33"/>
    </row>
    <row r="203" spans="2:14">
      <c r="B203" s="51"/>
      <c r="C203" s="51"/>
      <c r="D203" s="51"/>
      <c r="E203" s="51"/>
      <c r="F203" s="33"/>
      <c r="G203" s="51"/>
      <c r="H203" s="51"/>
      <c r="I203" s="33"/>
      <c r="J203" s="33"/>
      <c r="K203" s="33"/>
      <c r="L203" s="33"/>
      <c r="M203" s="33"/>
      <c r="N203" s="33"/>
    </row>
    <row r="204" spans="2:14">
      <c r="B204" s="51"/>
      <c r="C204" s="51"/>
      <c r="D204" s="51"/>
      <c r="E204" s="51"/>
      <c r="F204" s="33"/>
      <c r="G204" s="51"/>
      <c r="H204" s="51"/>
      <c r="I204" s="33"/>
      <c r="J204" s="33"/>
      <c r="K204" s="33"/>
      <c r="L204" s="33"/>
      <c r="M204" s="33"/>
      <c r="N204" s="33"/>
    </row>
    <row r="205" spans="2:14">
      <c r="B205" s="51"/>
      <c r="C205" s="51"/>
      <c r="D205" s="51"/>
      <c r="E205" s="51"/>
      <c r="F205" s="33"/>
      <c r="G205" s="33"/>
      <c r="H205" s="33"/>
      <c r="I205" s="33"/>
      <c r="J205" s="33"/>
      <c r="K205" s="33"/>
      <c r="L205" s="33"/>
      <c r="M205" s="33"/>
      <c r="N205" s="33"/>
    </row>
    <row r="206" spans="2:14">
      <c r="B206" s="51"/>
      <c r="C206" s="51"/>
      <c r="D206" s="51"/>
      <c r="E206" s="51"/>
      <c r="F206" s="33"/>
      <c r="G206" s="33"/>
      <c r="H206" s="33"/>
      <c r="I206" s="33"/>
      <c r="J206" s="33"/>
      <c r="K206" s="33"/>
      <c r="L206" s="33"/>
      <c r="M206" s="33"/>
      <c r="N206" s="33"/>
    </row>
    <row r="207" spans="2:14">
      <c r="B207" s="33"/>
      <c r="C207" s="33"/>
      <c r="D207" s="33"/>
      <c r="E207" s="33"/>
      <c r="F207" s="33"/>
      <c r="G207" s="33"/>
      <c r="H207" s="33"/>
      <c r="I207" s="33"/>
      <c r="J207" s="33"/>
      <c r="K207" s="33"/>
      <c r="L207" s="33"/>
      <c r="M207" s="33"/>
      <c r="N207" s="33"/>
    </row>
    <row r="208" spans="2:14">
      <c r="B208" s="33"/>
      <c r="C208" s="33"/>
      <c r="D208" s="33"/>
      <c r="E208" s="33"/>
      <c r="F208" s="33"/>
      <c r="G208" s="33"/>
      <c r="H208" s="33"/>
      <c r="I208" s="33"/>
      <c r="J208" s="33"/>
      <c r="K208" s="33"/>
      <c r="L208" s="33"/>
      <c r="M208" s="33"/>
      <c r="N208" s="33"/>
    </row>
    <row r="209" spans="2:14">
      <c r="B209" s="33"/>
      <c r="C209" s="33"/>
      <c r="D209" s="33"/>
      <c r="E209" s="33"/>
      <c r="F209" s="33"/>
      <c r="G209" s="33"/>
      <c r="H209" s="33"/>
      <c r="I209" s="33"/>
      <c r="J209" s="33"/>
      <c r="K209" s="33"/>
      <c r="L209" s="33"/>
      <c r="M209" s="33"/>
      <c r="N209" s="33"/>
    </row>
    <row r="210" spans="2:14">
      <c r="B210" s="33"/>
      <c r="C210" s="33"/>
      <c r="D210" s="33"/>
      <c r="E210" s="33"/>
      <c r="F210" s="33"/>
      <c r="G210" s="33"/>
      <c r="H210" s="33"/>
      <c r="I210" s="33"/>
      <c r="J210" s="33"/>
      <c r="K210" s="33"/>
      <c r="L210" s="33"/>
      <c r="M210" s="33"/>
      <c r="N210" s="33"/>
    </row>
    <row r="211" spans="2:14">
      <c r="B211" s="33"/>
      <c r="C211" s="33"/>
      <c r="D211" s="33"/>
      <c r="E211" s="33"/>
      <c r="F211" s="33"/>
      <c r="G211" s="33"/>
      <c r="H211" s="33"/>
      <c r="I211" s="33"/>
      <c r="J211" s="33"/>
      <c r="K211" s="33"/>
      <c r="L211" s="33"/>
      <c r="M211" s="33"/>
      <c r="N211" s="33"/>
    </row>
    <row r="212" spans="2:14">
      <c r="B212" s="33"/>
      <c r="C212" s="33"/>
      <c r="D212" s="33"/>
      <c r="E212" s="33"/>
      <c r="F212" s="33"/>
      <c r="G212" s="33"/>
      <c r="H212" s="33"/>
      <c r="I212" s="33"/>
      <c r="J212" s="33"/>
      <c r="K212" s="33"/>
      <c r="L212" s="33"/>
      <c r="M212" s="33"/>
      <c r="N212" s="33"/>
    </row>
    <row r="213" spans="2:14">
      <c r="B213" s="33"/>
      <c r="C213" s="33"/>
      <c r="D213" s="33"/>
      <c r="E213" s="33"/>
      <c r="F213" s="33"/>
      <c r="G213" s="33"/>
      <c r="H213" s="33"/>
      <c r="I213" s="33"/>
      <c r="J213" s="33"/>
      <c r="K213" s="33"/>
      <c r="L213" s="33"/>
      <c r="M213" s="33"/>
      <c r="N213" s="33"/>
    </row>
  </sheetData>
  <mergeCells count="33">
    <mergeCell ref="G191:H204"/>
    <mergeCell ref="A65:A85"/>
    <mergeCell ref="C189:D189"/>
    <mergeCell ref="B191:E206"/>
    <mergeCell ref="A164:XFD164"/>
    <mergeCell ref="A165:A185"/>
    <mergeCell ref="A93:XFD93"/>
    <mergeCell ref="A100:XFD100"/>
    <mergeCell ref="A87:A92"/>
    <mergeCell ref="A146:XFD146"/>
    <mergeCell ref="A147:A149"/>
    <mergeCell ref="A3:A9"/>
    <mergeCell ref="A10:XFD10"/>
    <mergeCell ref="A25:XFD25"/>
    <mergeCell ref="A42:XFD42"/>
    <mergeCell ref="A55:XFD55"/>
    <mergeCell ref="A11:A23"/>
    <mergeCell ref="A2:XFD2"/>
    <mergeCell ref="A26:A41"/>
    <mergeCell ref="A151:A163"/>
    <mergeCell ref="A94:A99"/>
    <mergeCell ref="A123:XFD123"/>
    <mergeCell ref="A150:XFD150"/>
    <mergeCell ref="A56:A62"/>
    <mergeCell ref="A101:A118"/>
    <mergeCell ref="A120:A122"/>
    <mergeCell ref="A119:XFD119"/>
    <mergeCell ref="A124:A141"/>
    <mergeCell ref="A143:A145"/>
    <mergeCell ref="A142:XFD142"/>
    <mergeCell ref="A43:A54"/>
    <mergeCell ref="A64:XFD64"/>
    <mergeCell ref="A86:XFD86"/>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I104"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G254"/>
  <sheetViews>
    <sheetView topLeftCell="A9" zoomScale="85" zoomScaleNormal="85" workbookViewId="0">
      <selection activeCell="F26" sqref="F26"/>
    </sheetView>
  </sheetViews>
  <sheetFormatPr baseColWidth="10" defaultColWidth="9.140625" defaultRowHeight="15"/>
  <cols>
    <col min="1" max="1" width="21.28515625" customWidth="1"/>
    <col min="2" max="2" width="24.7109375" style="1" customWidth="1"/>
    <col min="3" max="3" width="13.28515625" style="2" customWidth="1"/>
    <col min="4" max="4" width="9.42578125" style="2" customWidth="1"/>
    <col min="5" max="5" width="75.85546875" style="2" customWidth="1"/>
    <col min="6" max="6" width="68.7109375" style="30" customWidth="1"/>
    <col min="7" max="7" width="22.85546875" customWidth="1"/>
  </cols>
  <sheetData>
    <row r="1" spans="1:7">
      <c r="A1" s="12" t="s">
        <v>188</v>
      </c>
      <c r="B1" s="13" t="s">
        <v>191</v>
      </c>
      <c r="C1" s="12" t="s">
        <v>189</v>
      </c>
      <c r="D1" s="12" t="s">
        <v>190</v>
      </c>
      <c r="E1" s="12" t="s">
        <v>192</v>
      </c>
      <c r="F1" s="12" t="s">
        <v>193</v>
      </c>
      <c r="G1" s="12" t="s">
        <v>194</v>
      </c>
    </row>
    <row r="2" spans="1:7" s="55" customFormat="1"/>
    <row r="3" spans="1:7">
      <c r="A3" s="50" t="s">
        <v>26</v>
      </c>
      <c r="B3" s="11" t="s">
        <v>0</v>
      </c>
      <c r="C3" s="4" t="s">
        <v>34</v>
      </c>
      <c r="D3" s="4" t="s">
        <v>34</v>
      </c>
      <c r="E3" s="3" t="s">
        <v>353</v>
      </c>
      <c r="F3" s="30" t="s">
        <v>365</v>
      </c>
      <c r="G3" t="s">
        <v>183</v>
      </c>
    </row>
    <row r="4" spans="1:7" ht="15" customHeight="1">
      <c r="A4" s="50"/>
      <c r="B4" s="6" t="s">
        <v>1</v>
      </c>
      <c r="C4" s="4" t="s">
        <v>34</v>
      </c>
      <c r="D4" s="4" t="s">
        <v>34</v>
      </c>
      <c r="E4" s="3" t="s">
        <v>354</v>
      </c>
      <c r="F4" s="30" t="s">
        <v>184</v>
      </c>
      <c r="G4" t="s">
        <v>184</v>
      </c>
    </row>
    <row r="5" spans="1:7" ht="90" customHeight="1">
      <c r="A5" s="50"/>
      <c r="B5" s="6" t="s">
        <v>224</v>
      </c>
      <c r="C5" s="4" t="s">
        <v>34</v>
      </c>
      <c r="D5" s="4" t="s">
        <v>34</v>
      </c>
      <c r="E5" s="3"/>
    </row>
    <row r="6" spans="1:7">
      <c r="A6" s="50"/>
      <c r="B6" s="6" t="s">
        <v>2</v>
      </c>
      <c r="C6" s="4" t="s">
        <v>34</v>
      </c>
      <c r="D6" s="4" t="s">
        <v>34</v>
      </c>
      <c r="E6" s="5">
        <v>27349</v>
      </c>
    </row>
    <row r="7" spans="1:7" ht="18">
      <c r="A7" s="50"/>
      <c r="B7" s="6" t="s">
        <v>3</v>
      </c>
      <c r="C7" s="4" t="s">
        <v>35</v>
      </c>
      <c r="D7" s="4" t="s">
        <v>195</v>
      </c>
      <c r="E7" s="9">
        <v>9.9499999999999993</v>
      </c>
      <c r="F7" s="31">
        <v>9.07</v>
      </c>
      <c r="G7" s="10"/>
    </row>
    <row r="8" spans="1:7" ht="18">
      <c r="A8" s="50"/>
      <c r="B8" s="6" t="s">
        <v>4</v>
      </c>
      <c r="C8" s="4" t="s">
        <v>36</v>
      </c>
      <c r="D8" s="4" t="s">
        <v>195</v>
      </c>
      <c r="E8" s="9">
        <v>33.46</v>
      </c>
      <c r="F8" s="31">
        <v>19.82</v>
      </c>
      <c r="G8" s="10"/>
    </row>
    <row r="9" spans="1:7" ht="18">
      <c r="A9" s="50"/>
      <c r="B9" s="6" t="s">
        <v>5</v>
      </c>
      <c r="C9" s="4" t="s">
        <v>37</v>
      </c>
      <c r="D9" s="4" t="s">
        <v>195</v>
      </c>
      <c r="E9" s="9">
        <v>33.15</v>
      </c>
      <c r="F9" s="31">
        <v>28.63</v>
      </c>
      <c r="G9" s="10"/>
    </row>
    <row r="10" spans="1:7" s="54" customFormat="1"/>
    <row r="11" spans="1:7" ht="18" customHeight="1">
      <c r="A11" s="48" t="s">
        <v>27</v>
      </c>
      <c r="B11" s="15" t="s">
        <v>6</v>
      </c>
      <c r="C11" s="16" t="s">
        <v>52</v>
      </c>
      <c r="D11" s="16" t="s">
        <v>34</v>
      </c>
      <c r="E11" s="2">
        <v>4</v>
      </c>
      <c r="F11" s="30">
        <v>2</v>
      </c>
    </row>
    <row r="12" spans="1:7">
      <c r="A12" s="48"/>
      <c r="B12" s="15" t="s">
        <v>7</v>
      </c>
      <c r="C12" s="16" t="s">
        <v>34</v>
      </c>
      <c r="D12" s="16" t="s">
        <v>34</v>
      </c>
      <c r="E12" s="2" t="s">
        <v>355</v>
      </c>
      <c r="F12" s="2" t="s">
        <v>355</v>
      </c>
    </row>
    <row r="13" spans="1:7">
      <c r="A13" s="48"/>
      <c r="B13" s="15" t="s">
        <v>8</v>
      </c>
      <c r="C13" s="16" t="s">
        <v>34</v>
      </c>
      <c r="D13" s="16" t="s">
        <v>34</v>
      </c>
      <c r="E13" s="2" t="s">
        <v>356</v>
      </c>
      <c r="F13" s="2" t="s">
        <v>356</v>
      </c>
    </row>
    <row r="14" spans="1:7">
      <c r="A14" s="48"/>
      <c r="B14" s="15" t="s">
        <v>9</v>
      </c>
      <c r="C14" s="16" t="s">
        <v>34</v>
      </c>
      <c r="D14" s="16" t="s">
        <v>34</v>
      </c>
      <c r="E14" s="2" t="s">
        <v>357</v>
      </c>
      <c r="F14" s="30" t="s">
        <v>366</v>
      </c>
    </row>
    <row r="15" spans="1:7">
      <c r="A15" s="48"/>
      <c r="B15" s="15" t="s">
        <v>1</v>
      </c>
      <c r="C15" s="16" t="s">
        <v>34</v>
      </c>
      <c r="D15" s="16" t="s">
        <v>34</v>
      </c>
      <c r="E15" s="2" t="s">
        <v>358</v>
      </c>
      <c r="F15" s="30" t="s">
        <v>367</v>
      </c>
    </row>
    <row r="16" spans="1:7" ht="18">
      <c r="A16" s="48"/>
      <c r="B16" s="15" t="s">
        <v>10</v>
      </c>
      <c r="C16" s="16" t="s">
        <v>39</v>
      </c>
      <c r="D16" s="16" t="s">
        <v>196</v>
      </c>
      <c r="E16" s="2">
        <v>538</v>
      </c>
    </row>
    <row r="17" spans="1:7" ht="18">
      <c r="A17" s="48"/>
      <c r="B17" s="15" t="s">
        <v>359</v>
      </c>
      <c r="C17" s="16" t="s">
        <v>360</v>
      </c>
      <c r="D17" s="16" t="s">
        <v>361</v>
      </c>
      <c r="E17" s="14">
        <v>2535</v>
      </c>
      <c r="F17" s="31">
        <v>1775</v>
      </c>
      <c r="G17" s="10"/>
    </row>
    <row r="18" spans="1:7" ht="18">
      <c r="A18" s="48"/>
      <c r="B18" s="15" t="s">
        <v>225</v>
      </c>
      <c r="C18" s="16" t="s">
        <v>226</v>
      </c>
      <c r="D18" s="16" t="s">
        <v>227</v>
      </c>
      <c r="E18" s="14">
        <v>0.5</v>
      </c>
      <c r="F18" s="31">
        <v>0.47</v>
      </c>
      <c r="G18" s="10"/>
    </row>
    <row r="19" spans="1:7" ht="18">
      <c r="A19" s="48"/>
      <c r="B19" s="15" t="s">
        <v>197</v>
      </c>
      <c r="C19" s="16" t="s">
        <v>199</v>
      </c>
      <c r="D19" s="16" t="s">
        <v>195</v>
      </c>
      <c r="E19" s="21">
        <v>0.68300000000000005</v>
      </c>
      <c r="F19" s="31"/>
      <c r="G19" s="10"/>
    </row>
    <row r="20" spans="1:7" ht="18">
      <c r="A20" s="48"/>
      <c r="B20" s="15" t="s">
        <v>198</v>
      </c>
      <c r="C20" s="16" t="s">
        <v>200</v>
      </c>
      <c r="D20" s="16" t="s">
        <v>195</v>
      </c>
      <c r="E20" s="21">
        <v>2.7930000000000001</v>
      </c>
      <c r="F20" s="31"/>
      <c r="G20" s="10"/>
    </row>
    <row r="21" spans="1:7" ht="18">
      <c r="A21" s="48"/>
      <c r="B21" s="15" t="s">
        <v>228</v>
      </c>
      <c r="C21" s="16" t="s">
        <v>229</v>
      </c>
      <c r="D21" s="16" t="s">
        <v>201</v>
      </c>
      <c r="E21" s="14"/>
      <c r="F21" s="31"/>
      <c r="G21" s="10"/>
    </row>
    <row r="22" spans="1:7" s="51" customFormat="1" ht="18.75" customHeight="1"/>
    <row r="23" spans="1:7" ht="18" customHeight="1">
      <c r="A23" s="48" t="s">
        <v>28</v>
      </c>
      <c r="B23" s="15" t="s">
        <v>54</v>
      </c>
      <c r="C23" s="16" t="s">
        <v>53</v>
      </c>
      <c r="D23" s="16" t="s">
        <v>196</v>
      </c>
      <c r="E23" s="2">
        <v>43000</v>
      </c>
      <c r="F23" s="30">
        <v>17168</v>
      </c>
    </row>
    <row r="24" spans="1:7">
      <c r="A24" s="48"/>
      <c r="B24" s="15" t="s">
        <v>55</v>
      </c>
      <c r="C24" s="16" t="s">
        <v>56</v>
      </c>
      <c r="D24" s="16" t="s">
        <v>196</v>
      </c>
      <c r="E24" s="2">
        <v>25630</v>
      </c>
      <c r="F24" s="30">
        <v>12882</v>
      </c>
    </row>
    <row r="25" spans="1:7">
      <c r="A25" s="48"/>
      <c r="B25" s="15" t="s">
        <v>61</v>
      </c>
      <c r="C25" s="16" t="s">
        <v>57</v>
      </c>
      <c r="D25" s="16" t="s">
        <v>196</v>
      </c>
      <c r="F25" s="30">
        <v>6123</v>
      </c>
    </row>
    <row r="26" spans="1:7" ht="30">
      <c r="A26" s="48"/>
      <c r="B26" s="15" t="s">
        <v>60</v>
      </c>
      <c r="C26" s="16" t="s">
        <v>59</v>
      </c>
      <c r="D26" s="16" t="s">
        <v>196</v>
      </c>
      <c r="E26" s="2">
        <v>18397</v>
      </c>
      <c r="F26" s="30">
        <v>4649</v>
      </c>
    </row>
    <row r="27" spans="1:7" ht="30">
      <c r="A27" s="48"/>
      <c r="B27" s="15" t="s">
        <v>204</v>
      </c>
      <c r="C27" s="16" t="s">
        <v>230</v>
      </c>
      <c r="D27" s="16" t="s">
        <v>196</v>
      </c>
      <c r="F27" s="30">
        <v>19504</v>
      </c>
    </row>
    <row r="28" spans="1:7">
      <c r="A28" s="48"/>
      <c r="B28" s="15" t="s">
        <v>202</v>
      </c>
      <c r="C28" s="16" t="s">
        <v>203</v>
      </c>
      <c r="D28" s="16" t="s">
        <v>196</v>
      </c>
      <c r="E28" s="2">
        <v>28304</v>
      </c>
      <c r="F28" s="30">
        <v>16783</v>
      </c>
    </row>
    <row r="29" spans="1:7">
      <c r="A29" s="48"/>
      <c r="B29" s="15" t="s">
        <v>62</v>
      </c>
      <c r="C29" s="16" t="s">
        <v>58</v>
      </c>
      <c r="D29" s="16" t="s">
        <v>34</v>
      </c>
      <c r="E29" s="2">
        <f>E24/E23</f>
        <v>0.59604651162790701</v>
      </c>
      <c r="F29" s="2">
        <f t="shared" ref="F29:G29" si="0">F24/F23</f>
        <v>0.75034948741845298</v>
      </c>
      <c r="G29" s="2" t="e">
        <f t="shared" si="0"/>
        <v>#DIV/0!</v>
      </c>
    </row>
    <row r="30" spans="1:7">
      <c r="A30" s="48"/>
      <c r="B30" s="15" t="s">
        <v>180</v>
      </c>
      <c r="C30" s="16" t="s">
        <v>179</v>
      </c>
      <c r="D30" s="16" t="s">
        <v>34</v>
      </c>
      <c r="E30" s="2">
        <f>E25/E23</f>
        <v>0</v>
      </c>
      <c r="F30" s="2">
        <f t="shared" ref="F30:G30" si="1">F25/F23</f>
        <v>0.35665191053122086</v>
      </c>
      <c r="G30" s="2" t="e">
        <f t="shared" si="1"/>
        <v>#DIV/0!</v>
      </c>
    </row>
    <row r="31" spans="1:7">
      <c r="A31" s="48"/>
      <c r="B31" s="15" t="s">
        <v>181</v>
      </c>
      <c r="C31" s="16" t="s">
        <v>182</v>
      </c>
      <c r="D31" s="16" t="s">
        <v>34</v>
      </c>
      <c r="E31" s="2">
        <f>E26/E23</f>
        <v>0.42783720930232561</v>
      </c>
      <c r="F31" s="2">
        <f t="shared" ref="F31:G31" si="2">F26/F23</f>
        <v>0.27079450139794969</v>
      </c>
      <c r="G31" s="2" t="e">
        <f t="shared" si="2"/>
        <v>#DIV/0!</v>
      </c>
    </row>
    <row r="32" spans="1:7" ht="18">
      <c r="A32" s="48"/>
      <c r="B32" s="15" t="s">
        <v>231</v>
      </c>
      <c r="C32" s="16" t="s">
        <v>232</v>
      </c>
      <c r="D32" s="16" t="s">
        <v>233</v>
      </c>
      <c r="F32" s="2"/>
      <c r="G32" s="2"/>
    </row>
    <row r="33" spans="1:7" s="51" customFormat="1"/>
    <row r="34" spans="1:7" ht="15" customHeight="1">
      <c r="A34" s="48" t="s">
        <v>164</v>
      </c>
      <c r="B34" s="15" t="s">
        <v>165</v>
      </c>
      <c r="C34" s="16" t="s">
        <v>174</v>
      </c>
      <c r="D34" s="16" t="s">
        <v>34</v>
      </c>
    </row>
    <row r="35" spans="1:7" ht="18">
      <c r="A35" s="48"/>
      <c r="B35" s="15" t="s">
        <v>166</v>
      </c>
      <c r="C35" s="16" t="s">
        <v>173</v>
      </c>
      <c r="D35" s="16" t="s">
        <v>34</v>
      </c>
      <c r="E35" s="2">
        <v>28</v>
      </c>
    </row>
    <row r="36" spans="1:7" ht="18">
      <c r="A36" s="48"/>
      <c r="B36" s="15" t="s">
        <v>167</v>
      </c>
      <c r="C36" s="16" t="s">
        <v>172</v>
      </c>
      <c r="D36" s="16" t="s">
        <v>195</v>
      </c>
    </row>
    <row r="37" spans="1:7" ht="18">
      <c r="A37" s="48"/>
      <c r="B37" s="15" t="s">
        <v>168</v>
      </c>
      <c r="C37" s="16" t="s">
        <v>235</v>
      </c>
      <c r="D37" s="16" t="s">
        <v>195</v>
      </c>
    </row>
    <row r="38" spans="1:7" ht="18">
      <c r="A38" s="48"/>
      <c r="B38" s="15" t="s">
        <v>169</v>
      </c>
      <c r="C38" s="16" t="s">
        <v>171</v>
      </c>
      <c r="D38" s="16" t="s">
        <v>195</v>
      </c>
    </row>
    <row r="39" spans="1:7" ht="18">
      <c r="A39" s="48"/>
      <c r="B39" s="15" t="s">
        <v>236</v>
      </c>
      <c r="C39" s="16" t="s">
        <v>238</v>
      </c>
      <c r="D39" s="16" t="s">
        <v>237</v>
      </c>
    </row>
    <row r="40" spans="1:7" ht="45">
      <c r="A40" s="48"/>
      <c r="B40" s="15" t="s">
        <v>239</v>
      </c>
      <c r="C40" s="16" t="s">
        <v>34</v>
      </c>
      <c r="D40" s="16" t="s">
        <v>34</v>
      </c>
    </row>
    <row r="41" spans="1:7">
      <c r="A41" s="48"/>
      <c r="B41" s="15" t="s">
        <v>240</v>
      </c>
      <c r="C41" s="16" t="s">
        <v>34</v>
      </c>
      <c r="D41" s="16" t="s">
        <v>34</v>
      </c>
    </row>
    <row r="42" spans="1:7" ht="90" customHeight="1">
      <c r="A42" s="48"/>
      <c r="B42" s="15" t="s">
        <v>170</v>
      </c>
      <c r="C42" s="16" t="s">
        <v>34</v>
      </c>
      <c r="D42" s="16" t="s">
        <v>34</v>
      </c>
    </row>
    <row r="43" spans="1:7" s="51" customFormat="1"/>
    <row r="44" spans="1:7" ht="18">
      <c r="A44" s="48" t="s">
        <v>29</v>
      </c>
      <c r="B44" s="15" t="s">
        <v>41</v>
      </c>
      <c r="C44" s="16" t="s">
        <v>40</v>
      </c>
      <c r="D44" s="16" t="s">
        <v>195</v>
      </c>
    </row>
    <row r="45" spans="1:7" ht="18">
      <c r="A45" s="48"/>
      <c r="B45" s="17" t="s">
        <v>234</v>
      </c>
      <c r="C45" s="16" t="s">
        <v>49</v>
      </c>
      <c r="D45" s="16" t="s">
        <v>34</v>
      </c>
      <c r="E45" s="2" t="e">
        <f>E44/E56</f>
        <v>#DIV/0!</v>
      </c>
      <c r="F45" s="2" t="e">
        <f t="shared" ref="F45:G45" si="3">F44/F56</f>
        <v>#DIV/0!</v>
      </c>
      <c r="G45" s="2" t="e">
        <f t="shared" si="3"/>
        <v>#DIV/0!</v>
      </c>
    </row>
    <row r="46" spans="1:7" ht="18">
      <c r="A46" s="48"/>
      <c r="B46" s="15" t="s">
        <v>214</v>
      </c>
      <c r="C46" s="16" t="s">
        <v>50</v>
      </c>
      <c r="D46" s="16" t="s">
        <v>34</v>
      </c>
      <c r="E46" s="2">
        <f>E44/E8</f>
        <v>0</v>
      </c>
      <c r="F46" s="2">
        <f t="shared" ref="F46:G46" si="4">F44/F8</f>
        <v>0</v>
      </c>
      <c r="G46" s="2" t="e">
        <f t="shared" si="4"/>
        <v>#DIV/0!</v>
      </c>
    </row>
    <row r="47" spans="1:7" ht="18">
      <c r="A47" s="48"/>
      <c r="B47" s="15" t="s">
        <v>42</v>
      </c>
      <c r="C47" s="16" t="s">
        <v>43</v>
      </c>
      <c r="D47" s="16" t="s">
        <v>195</v>
      </c>
    </row>
    <row r="48" spans="1:7" ht="18">
      <c r="A48" s="48"/>
      <c r="B48" s="15" t="s">
        <v>44</v>
      </c>
      <c r="C48" s="16" t="s">
        <v>45</v>
      </c>
      <c r="D48" s="16" t="s">
        <v>195</v>
      </c>
    </row>
    <row r="49" spans="1:7" ht="18">
      <c r="A49" s="48"/>
      <c r="B49" s="15" t="s">
        <v>46</v>
      </c>
      <c r="C49" s="16" t="s">
        <v>47</v>
      </c>
      <c r="D49" s="16" t="s">
        <v>207</v>
      </c>
    </row>
    <row r="50" spans="1:7" ht="30" customHeight="1">
      <c r="A50" s="48"/>
      <c r="B50" s="15" t="s">
        <v>51</v>
      </c>
      <c r="C50" s="16" t="s">
        <v>48</v>
      </c>
      <c r="D50" s="16" t="s">
        <v>195</v>
      </c>
    </row>
    <row r="51" spans="1:7" ht="18" customHeight="1">
      <c r="A51" s="7"/>
      <c r="B51" s="15" t="s">
        <v>177</v>
      </c>
      <c r="C51" s="16" t="s">
        <v>178</v>
      </c>
      <c r="D51" s="16" t="s">
        <v>34</v>
      </c>
      <c r="E51" s="2" t="e">
        <f>E44/E47</f>
        <v>#DIV/0!</v>
      </c>
      <c r="F51" s="2" t="e">
        <f t="shared" ref="F51:G51" si="5">F44/F47</f>
        <v>#DIV/0!</v>
      </c>
      <c r="G51" s="2" t="e">
        <f t="shared" si="5"/>
        <v>#DIV/0!</v>
      </c>
    </row>
    <row r="52" spans="1:7" s="51" customFormat="1"/>
    <row r="53" spans="1:7">
      <c r="A53" s="48" t="s">
        <v>30</v>
      </c>
      <c r="B53" s="15" t="s">
        <v>11</v>
      </c>
      <c r="C53" s="16" t="s">
        <v>34</v>
      </c>
      <c r="D53" s="16" t="s">
        <v>34</v>
      </c>
    </row>
    <row r="54" spans="1:7" ht="18">
      <c r="A54" s="48"/>
      <c r="B54" s="15" t="s">
        <v>12</v>
      </c>
      <c r="C54" s="16" t="s">
        <v>84</v>
      </c>
      <c r="D54" s="16" t="s">
        <v>34</v>
      </c>
    </row>
    <row r="55" spans="1:7" ht="18">
      <c r="A55" s="48"/>
      <c r="B55" s="15" t="s">
        <v>83</v>
      </c>
      <c r="C55" s="16" t="s">
        <v>63</v>
      </c>
      <c r="D55" s="16" t="s">
        <v>207</v>
      </c>
    </row>
    <row r="56" spans="1:7">
      <c r="A56" s="48"/>
      <c r="B56" s="15" t="s">
        <v>82</v>
      </c>
      <c r="C56" s="16" t="s">
        <v>64</v>
      </c>
      <c r="D56" s="16" t="s">
        <v>195</v>
      </c>
    </row>
    <row r="57" spans="1:7" ht="18">
      <c r="A57" s="48"/>
      <c r="B57" s="15" t="s">
        <v>65</v>
      </c>
      <c r="C57" s="16" t="s">
        <v>66</v>
      </c>
      <c r="D57" s="16" t="s">
        <v>195</v>
      </c>
    </row>
    <row r="58" spans="1:7" ht="18">
      <c r="A58" s="48"/>
      <c r="B58" s="15" t="s">
        <v>67</v>
      </c>
      <c r="C58" s="16" t="s">
        <v>68</v>
      </c>
      <c r="D58" s="16" t="s">
        <v>195</v>
      </c>
    </row>
    <row r="59" spans="1:7">
      <c r="A59" s="48"/>
      <c r="B59" s="15" t="s">
        <v>13</v>
      </c>
      <c r="C59" s="16" t="s">
        <v>69</v>
      </c>
      <c r="D59" s="16" t="s">
        <v>195</v>
      </c>
    </row>
    <row r="60" spans="1:7" ht="30" customHeight="1">
      <c r="A60" s="48"/>
      <c r="B60" s="15" t="s">
        <v>14</v>
      </c>
      <c r="C60" s="16" t="s">
        <v>70</v>
      </c>
      <c r="D60" s="16" t="s">
        <v>195</v>
      </c>
    </row>
    <row r="61" spans="1:7" ht="30">
      <c r="A61" s="48"/>
      <c r="B61" s="15" t="s">
        <v>75</v>
      </c>
      <c r="C61" s="16" t="s">
        <v>76</v>
      </c>
      <c r="D61" s="16" t="s">
        <v>195</v>
      </c>
    </row>
    <row r="62" spans="1:7">
      <c r="A62" s="48"/>
      <c r="B62" s="15" t="s">
        <v>71</v>
      </c>
      <c r="C62" s="16" t="s">
        <v>74</v>
      </c>
      <c r="D62" s="16" t="s">
        <v>34</v>
      </c>
    </row>
    <row r="63" spans="1:7" ht="30">
      <c r="A63" s="48"/>
      <c r="B63" s="15" t="s">
        <v>15</v>
      </c>
      <c r="C63" s="16" t="s">
        <v>72</v>
      </c>
      <c r="D63" s="16" t="s">
        <v>34</v>
      </c>
    </row>
    <row r="64" spans="1:7" ht="16.5">
      <c r="A64" s="48"/>
      <c r="B64" s="15" t="s">
        <v>16</v>
      </c>
      <c r="C64" s="16" t="s">
        <v>73</v>
      </c>
      <c r="D64" s="16" t="s">
        <v>209</v>
      </c>
    </row>
    <row r="65" spans="1:7">
      <c r="A65" s="48"/>
      <c r="B65" s="15" t="s">
        <v>17</v>
      </c>
      <c r="C65" s="16" t="s">
        <v>77</v>
      </c>
      <c r="D65" s="16" t="s">
        <v>210</v>
      </c>
    </row>
    <row r="66" spans="1:7">
      <c r="A66" s="48"/>
      <c r="B66" s="15" t="s">
        <v>18</v>
      </c>
      <c r="C66" s="16" t="s">
        <v>34</v>
      </c>
      <c r="D66" s="16" t="s">
        <v>34</v>
      </c>
    </row>
    <row r="67" spans="1:7" ht="30">
      <c r="A67" s="48"/>
      <c r="B67" s="15" t="s">
        <v>78</v>
      </c>
      <c r="C67" s="16" t="s">
        <v>79</v>
      </c>
      <c r="D67" s="16" t="s">
        <v>34</v>
      </c>
    </row>
    <row r="68" spans="1:7" ht="18">
      <c r="A68" s="48"/>
      <c r="B68" s="15" t="s">
        <v>80</v>
      </c>
      <c r="C68" s="16" t="s">
        <v>81</v>
      </c>
      <c r="D68" s="16" t="s">
        <v>208</v>
      </c>
      <c r="E68" s="2" t="e">
        <f>E23/E55</f>
        <v>#DIV/0!</v>
      </c>
      <c r="F68" s="2" t="e">
        <f t="shared" ref="F68:G68" si="6">F23/F55</f>
        <v>#DIV/0!</v>
      </c>
      <c r="G68" s="2" t="e">
        <f t="shared" si="6"/>
        <v>#DIV/0!</v>
      </c>
    </row>
    <row r="69" spans="1:7" s="51" customFormat="1"/>
    <row r="70" spans="1:7">
      <c r="A70" s="48" t="s">
        <v>31</v>
      </c>
      <c r="B70" s="15" t="s">
        <v>19</v>
      </c>
      <c r="C70" s="16" t="s">
        <v>34</v>
      </c>
      <c r="D70" s="16" t="s">
        <v>34</v>
      </c>
    </row>
    <row r="71" spans="1:7" ht="18">
      <c r="A71" s="48"/>
      <c r="B71" s="15" t="s">
        <v>106</v>
      </c>
      <c r="C71" s="16" t="s">
        <v>43</v>
      </c>
      <c r="D71" s="16" t="s">
        <v>195</v>
      </c>
    </row>
    <row r="72" spans="1:7" ht="18">
      <c r="A72" s="48"/>
      <c r="B72" s="15" t="s">
        <v>243</v>
      </c>
      <c r="C72" s="16" t="s">
        <v>244</v>
      </c>
      <c r="D72" s="16" t="s">
        <v>34</v>
      </c>
    </row>
    <row r="73" spans="1:7" ht="45">
      <c r="A73" s="48"/>
      <c r="B73" s="15" t="s">
        <v>241</v>
      </c>
      <c r="C73" s="16" t="s">
        <v>242</v>
      </c>
      <c r="D73" s="16" t="s">
        <v>195</v>
      </c>
    </row>
    <row r="74" spans="1:7" ht="18">
      <c r="A74" s="48"/>
      <c r="B74" s="15" t="s">
        <v>247</v>
      </c>
      <c r="C74" s="16" t="s">
        <v>245</v>
      </c>
      <c r="D74" s="16" t="s">
        <v>34</v>
      </c>
    </row>
    <row r="75" spans="1:7" ht="18">
      <c r="A75" s="48"/>
      <c r="B75" s="15" t="s">
        <v>248</v>
      </c>
      <c r="C75" s="16" t="s">
        <v>246</v>
      </c>
      <c r="D75" s="16" t="s">
        <v>34</v>
      </c>
    </row>
    <row r="76" spans="1:7" s="51" customFormat="1"/>
    <row r="77" spans="1:7" ht="18">
      <c r="A77" s="48" t="s">
        <v>32</v>
      </c>
      <c r="B77" s="15" t="s">
        <v>106</v>
      </c>
      <c r="C77" s="16" t="s">
        <v>249</v>
      </c>
      <c r="D77" s="16" t="s">
        <v>195</v>
      </c>
    </row>
    <row r="78" spans="1:7" ht="18">
      <c r="A78" s="48"/>
      <c r="B78" s="15" t="s">
        <v>257</v>
      </c>
      <c r="C78" s="16" t="s">
        <v>250</v>
      </c>
      <c r="D78" s="16" t="s">
        <v>34</v>
      </c>
    </row>
    <row r="79" spans="1:7" ht="30">
      <c r="A79" s="48"/>
      <c r="B79" s="15" t="s">
        <v>258</v>
      </c>
      <c r="C79" s="16" t="s">
        <v>251</v>
      </c>
      <c r="D79" s="16" t="s">
        <v>195</v>
      </c>
    </row>
    <row r="80" spans="1:7" ht="18">
      <c r="A80" s="48"/>
      <c r="B80" s="15" t="s">
        <v>255</v>
      </c>
      <c r="C80" s="16" t="s">
        <v>252</v>
      </c>
      <c r="D80" s="16" t="s">
        <v>34</v>
      </c>
    </row>
    <row r="81" spans="1:7" ht="18">
      <c r="A81" s="48"/>
      <c r="B81" s="15" t="s">
        <v>256</v>
      </c>
      <c r="C81" s="16" t="s">
        <v>253</v>
      </c>
      <c r="D81" s="16" t="s">
        <v>34</v>
      </c>
    </row>
    <row r="82" spans="1:7" ht="18">
      <c r="A82" s="48"/>
      <c r="B82" s="15" t="s">
        <v>215</v>
      </c>
      <c r="C82" s="16" t="s">
        <v>254</v>
      </c>
      <c r="D82" s="16" t="s">
        <v>34</v>
      </c>
    </row>
    <row r="83" spans="1:7" s="51" customFormat="1"/>
    <row r="84" spans="1:7" ht="18">
      <c r="A84" s="48" t="s">
        <v>104</v>
      </c>
      <c r="B84" s="15" t="s">
        <v>93</v>
      </c>
      <c r="C84" s="16" t="s">
        <v>101</v>
      </c>
      <c r="D84" s="16" t="s">
        <v>34</v>
      </c>
    </row>
    <row r="85" spans="1:7" ht="18">
      <c r="A85" s="48"/>
      <c r="B85" s="15" t="s">
        <v>92</v>
      </c>
      <c r="C85" s="16" t="s">
        <v>100</v>
      </c>
      <c r="D85" s="16" t="s">
        <v>34</v>
      </c>
    </row>
    <row r="86" spans="1:7" ht="18">
      <c r="A86" s="48"/>
      <c r="B86" s="15" t="s">
        <v>83</v>
      </c>
      <c r="C86" s="16" t="s">
        <v>91</v>
      </c>
      <c r="D86" s="16" t="s">
        <v>207</v>
      </c>
    </row>
    <row r="87" spans="1:7" ht="18">
      <c r="A87" s="48"/>
      <c r="B87" s="15" t="s">
        <v>212</v>
      </c>
      <c r="C87" s="16" t="s">
        <v>90</v>
      </c>
      <c r="D87" s="16" t="s">
        <v>34</v>
      </c>
      <c r="E87" s="2" t="e">
        <f>E86/E55</f>
        <v>#DIV/0!</v>
      </c>
      <c r="F87" s="2" t="e">
        <f t="shared" ref="F87:G87" si="7">F86/F55</f>
        <v>#DIV/0!</v>
      </c>
      <c r="G87" s="2" t="e">
        <f t="shared" si="7"/>
        <v>#DIV/0!</v>
      </c>
    </row>
    <row r="88" spans="1:7" ht="18">
      <c r="A88" s="48"/>
      <c r="B88" s="15" t="s">
        <v>82</v>
      </c>
      <c r="C88" s="16" t="s">
        <v>89</v>
      </c>
      <c r="D88" s="16" t="s">
        <v>195</v>
      </c>
    </row>
    <row r="89" spans="1:7" ht="18">
      <c r="A89" s="48"/>
      <c r="B89" s="15" t="s">
        <v>213</v>
      </c>
      <c r="C89" s="16" t="s">
        <v>88</v>
      </c>
      <c r="D89" s="16" t="s">
        <v>34</v>
      </c>
      <c r="E89" s="2" t="e">
        <f>E88/E56</f>
        <v>#DIV/0!</v>
      </c>
      <c r="F89" s="2" t="e">
        <f t="shared" ref="F89:G89" si="8">F88/F56</f>
        <v>#DIV/0!</v>
      </c>
      <c r="G89" s="2" t="e">
        <f t="shared" si="8"/>
        <v>#DIV/0!</v>
      </c>
    </row>
    <row r="90" spans="1:7" ht="18">
      <c r="A90" s="48"/>
      <c r="B90" s="15" t="s">
        <v>65</v>
      </c>
      <c r="C90" s="16" t="s">
        <v>87</v>
      </c>
      <c r="D90" s="16" t="s">
        <v>195</v>
      </c>
    </row>
    <row r="91" spans="1:7" ht="18">
      <c r="A91" s="48"/>
      <c r="B91" s="15" t="s">
        <v>67</v>
      </c>
      <c r="C91" s="16" t="s">
        <v>86</v>
      </c>
      <c r="D91" s="16" t="s">
        <v>195</v>
      </c>
    </row>
    <row r="92" spans="1:7" ht="18">
      <c r="A92" s="48"/>
      <c r="B92" s="15" t="s">
        <v>13</v>
      </c>
      <c r="C92" s="16" t="s">
        <v>85</v>
      </c>
      <c r="D92" s="16" t="s">
        <v>195</v>
      </c>
    </row>
    <row r="93" spans="1:7" ht="30">
      <c r="A93" s="48"/>
      <c r="B93" s="15" t="s">
        <v>14</v>
      </c>
      <c r="C93" s="16" t="s">
        <v>94</v>
      </c>
      <c r="D93" s="16" t="s">
        <v>195</v>
      </c>
    </row>
    <row r="94" spans="1:7" ht="30">
      <c r="A94" s="48"/>
      <c r="B94" s="15" t="s">
        <v>75</v>
      </c>
      <c r="C94" s="16" t="s">
        <v>117</v>
      </c>
      <c r="D94" s="16" t="s">
        <v>195</v>
      </c>
    </row>
    <row r="95" spans="1:7" ht="18.75">
      <c r="A95" s="48"/>
      <c r="B95" s="15" t="s">
        <v>71</v>
      </c>
      <c r="C95" s="16" t="s">
        <v>95</v>
      </c>
      <c r="D95" s="16" t="s">
        <v>34</v>
      </c>
    </row>
    <row r="96" spans="1:7" ht="30">
      <c r="A96" s="48"/>
      <c r="B96" s="15" t="s">
        <v>15</v>
      </c>
      <c r="C96" s="16" t="s">
        <v>96</v>
      </c>
      <c r="D96" s="16" t="s">
        <v>34</v>
      </c>
    </row>
    <row r="97" spans="1:7" ht="18">
      <c r="A97" s="48"/>
      <c r="B97" s="15" t="s">
        <v>16</v>
      </c>
      <c r="C97" s="16" t="s">
        <v>97</v>
      </c>
      <c r="D97" s="16" t="s">
        <v>211</v>
      </c>
    </row>
    <row r="98" spans="1:7" ht="18">
      <c r="A98" s="48"/>
      <c r="B98" s="15" t="s">
        <v>17</v>
      </c>
      <c r="C98" s="16" t="s">
        <v>98</v>
      </c>
      <c r="D98" s="16" t="s">
        <v>211</v>
      </c>
    </row>
    <row r="99" spans="1:7">
      <c r="A99" s="48"/>
      <c r="B99" s="15" t="s">
        <v>18</v>
      </c>
      <c r="C99" s="16" t="s">
        <v>34</v>
      </c>
      <c r="D99" s="16" t="s">
        <v>34</v>
      </c>
    </row>
    <row r="100" spans="1:7" ht="30">
      <c r="A100" s="48"/>
      <c r="B100" s="15" t="s">
        <v>78</v>
      </c>
      <c r="C100" s="16" t="s">
        <v>99</v>
      </c>
      <c r="D100" s="16" t="s">
        <v>34</v>
      </c>
    </row>
    <row r="101" spans="1:7" ht="18">
      <c r="A101" s="48"/>
      <c r="B101" s="15" t="s">
        <v>102</v>
      </c>
      <c r="C101" s="16" t="s">
        <v>103</v>
      </c>
      <c r="D101" s="16" t="s">
        <v>208</v>
      </c>
      <c r="E101" s="2" t="e">
        <f>E86*E85/(E55*E60)</f>
        <v>#DIV/0!</v>
      </c>
      <c r="F101" s="2" t="e">
        <f t="shared" ref="F101:G101" si="9">F86*F85/(F55*F60)</f>
        <v>#DIV/0!</v>
      </c>
      <c r="G101" s="2" t="e">
        <f t="shared" si="9"/>
        <v>#DIV/0!</v>
      </c>
    </row>
    <row r="102" spans="1:7" s="54" customFormat="1"/>
    <row r="103" spans="1:7" ht="18">
      <c r="A103" s="48" t="s">
        <v>105</v>
      </c>
      <c r="B103" s="15" t="s">
        <v>106</v>
      </c>
      <c r="C103" s="16" t="s">
        <v>108</v>
      </c>
      <c r="D103" s="16" t="s">
        <v>195</v>
      </c>
    </row>
    <row r="104" spans="1:7" ht="18">
      <c r="A104" s="48"/>
      <c r="B104" s="15" t="s">
        <v>216</v>
      </c>
      <c r="C104" s="16" t="s">
        <v>109</v>
      </c>
      <c r="D104" s="16" t="s">
        <v>34</v>
      </c>
      <c r="E104" s="2" t="e">
        <f>E103/E88</f>
        <v>#DIV/0!</v>
      </c>
      <c r="F104" s="2" t="e">
        <f t="shared" ref="F104:G104" si="10">F103/F88</f>
        <v>#DIV/0!</v>
      </c>
      <c r="G104" s="2" t="e">
        <f t="shared" si="10"/>
        <v>#DIV/0!</v>
      </c>
    </row>
    <row r="105" spans="1:7" ht="18">
      <c r="A105" s="48"/>
      <c r="B105" s="15" t="s">
        <v>107</v>
      </c>
      <c r="C105" s="16" t="s">
        <v>110</v>
      </c>
      <c r="D105" s="16" t="s">
        <v>34</v>
      </c>
    </row>
    <row r="106" spans="1:7" s="51" customFormat="1"/>
    <row r="107" spans="1:7" ht="15" customHeight="1">
      <c r="A107" s="48" t="s">
        <v>111</v>
      </c>
      <c r="B107" s="15" t="s">
        <v>11</v>
      </c>
      <c r="C107" s="16" t="s">
        <v>118</v>
      </c>
      <c r="D107" s="16" t="s">
        <v>195</v>
      </c>
    </row>
    <row r="108" spans="1:7" ht="18">
      <c r="A108" s="48"/>
      <c r="B108" s="15" t="s">
        <v>12</v>
      </c>
      <c r="C108" s="16" t="s">
        <v>119</v>
      </c>
      <c r="D108" s="16" t="s">
        <v>195</v>
      </c>
    </row>
    <row r="109" spans="1:7" ht="18">
      <c r="A109" s="48"/>
      <c r="B109" s="15" t="s">
        <v>83</v>
      </c>
      <c r="C109" s="16" t="s">
        <v>120</v>
      </c>
      <c r="D109" s="16" t="s">
        <v>207</v>
      </c>
    </row>
    <row r="110" spans="1:7" ht="18">
      <c r="A110" s="48"/>
      <c r="B110" s="15" t="s">
        <v>217</v>
      </c>
      <c r="C110" s="16" t="s">
        <v>121</v>
      </c>
      <c r="D110" s="16" t="s">
        <v>34</v>
      </c>
      <c r="E110" s="2" t="e">
        <f>E109/E55</f>
        <v>#DIV/0!</v>
      </c>
      <c r="F110" s="2" t="e">
        <f t="shared" ref="F110:G110" si="11">F109/F55</f>
        <v>#DIV/0!</v>
      </c>
      <c r="G110" s="2" t="e">
        <f t="shared" si="11"/>
        <v>#DIV/0!</v>
      </c>
    </row>
    <row r="111" spans="1:7" ht="18">
      <c r="A111" s="48"/>
      <c r="B111" s="15" t="s">
        <v>82</v>
      </c>
      <c r="C111" s="16" t="s">
        <v>122</v>
      </c>
      <c r="D111" s="16" t="s">
        <v>195</v>
      </c>
    </row>
    <row r="112" spans="1:7" ht="18">
      <c r="A112" s="48"/>
      <c r="B112" s="15" t="s">
        <v>218</v>
      </c>
      <c r="C112" s="16" t="s">
        <v>123</v>
      </c>
      <c r="D112" s="16" t="s">
        <v>34</v>
      </c>
      <c r="E112" s="2" t="e">
        <f>E111/E56</f>
        <v>#DIV/0!</v>
      </c>
      <c r="F112" s="2" t="e">
        <f t="shared" ref="F112:G112" si="12">F111/F56</f>
        <v>#DIV/0!</v>
      </c>
      <c r="G112" s="2" t="e">
        <f t="shared" si="12"/>
        <v>#DIV/0!</v>
      </c>
    </row>
    <row r="113" spans="1:7" ht="18">
      <c r="A113" s="48"/>
      <c r="B113" s="15" t="s">
        <v>65</v>
      </c>
      <c r="C113" s="16" t="s">
        <v>124</v>
      </c>
      <c r="D113" s="16" t="s">
        <v>195</v>
      </c>
    </row>
    <row r="114" spans="1:7" ht="18">
      <c r="A114" s="48"/>
      <c r="B114" s="15" t="s">
        <v>67</v>
      </c>
      <c r="C114" s="16" t="s">
        <v>125</v>
      </c>
      <c r="D114" s="16" t="s">
        <v>195</v>
      </c>
    </row>
    <row r="115" spans="1:7" ht="18">
      <c r="A115" s="48"/>
      <c r="B115" s="15" t="s">
        <v>13</v>
      </c>
      <c r="C115" s="16" t="s">
        <v>126</v>
      </c>
      <c r="D115" s="16" t="s">
        <v>195</v>
      </c>
    </row>
    <row r="116" spans="1:7" ht="30">
      <c r="A116" s="48"/>
      <c r="B116" s="15" t="s">
        <v>14</v>
      </c>
      <c r="C116" s="16" t="s">
        <v>127</v>
      </c>
      <c r="D116" s="16" t="s">
        <v>195</v>
      </c>
    </row>
    <row r="117" spans="1:7" ht="30">
      <c r="A117" s="48"/>
      <c r="B117" s="15" t="s">
        <v>75</v>
      </c>
      <c r="C117" s="16" t="s">
        <v>128</v>
      </c>
      <c r="D117" s="16" t="s">
        <v>195</v>
      </c>
    </row>
    <row r="118" spans="1:7" ht="18">
      <c r="A118" s="48"/>
      <c r="B118" s="15" t="s">
        <v>71</v>
      </c>
      <c r="C118" s="16" t="s">
        <v>134</v>
      </c>
      <c r="D118" s="16" t="s">
        <v>34</v>
      </c>
    </row>
    <row r="119" spans="1:7" ht="30">
      <c r="A119" s="48"/>
      <c r="B119" s="15" t="s">
        <v>15</v>
      </c>
      <c r="C119" s="16" t="s">
        <v>133</v>
      </c>
      <c r="D119" s="16" t="s">
        <v>34</v>
      </c>
    </row>
    <row r="120" spans="1:7" ht="18">
      <c r="A120" s="48"/>
      <c r="B120" s="15" t="s">
        <v>16</v>
      </c>
      <c r="C120" s="16" t="s">
        <v>132</v>
      </c>
      <c r="D120" s="16" t="s">
        <v>211</v>
      </c>
    </row>
    <row r="121" spans="1:7" ht="18">
      <c r="A121" s="48"/>
      <c r="B121" s="15" t="s">
        <v>17</v>
      </c>
      <c r="C121" s="16" t="s">
        <v>131</v>
      </c>
      <c r="D121" s="16" t="s">
        <v>211</v>
      </c>
    </row>
    <row r="122" spans="1:7">
      <c r="A122" s="48"/>
      <c r="B122" s="15" t="s">
        <v>18</v>
      </c>
      <c r="C122" s="16" t="s">
        <v>34</v>
      </c>
      <c r="D122" s="16" t="s">
        <v>34</v>
      </c>
    </row>
    <row r="123" spans="1:7" ht="30">
      <c r="A123" s="48"/>
      <c r="B123" s="15" t="s">
        <v>78</v>
      </c>
      <c r="C123" s="16" t="s">
        <v>130</v>
      </c>
      <c r="D123" s="16" t="s">
        <v>34</v>
      </c>
    </row>
    <row r="124" spans="1:7" ht="18">
      <c r="A124" s="48"/>
      <c r="B124" s="15" t="s">
        <v>102</v>
      </c>
      <c r="C124" s="16" t="s">
        <v>129</v>
      </c>
      <c r="D124" s="16" t="s">
        <v>208</v>
      </c>
      <c r="E124" s="2" t="e">
        <f>E109*E108/(E55*E56)</f>
        <v>#DIV/0!</v>
      </c>
      <c r="F124" s="2" t="e">
        <f t="shared" ref="F124:G124" si="13">F109*F108/(F55*F56)</f>
        <v>#DIV/0!</v>
      </c>
      <c r="G124" s="2" t="e">
        <f t="shared" si="13"/>
        <v>#DIV/0!</v>
      </c>
    </row>
    <row r="125" spans="1:7" s="54" customFormat="1"/>
    <row r="126" spans="1:7" ht="18">
      <c r="A126" s="48" t="s">
        <v>112</v>
      </c>
      <c r="B126" s="15" t="s">
        <v>106</v>
      </c>
      <c r="C126" s="16" t="s">
        <v>114</v>
      </c>
      <c r="D126" s="16" t="s">
        <v>195</v>
      </c>
    </row>
    <row r="127" spans="1:7" ht="18">
      <c r="A127" s="48"/>
      <c r="B127" s="15" t="s">
        <v>223</v>
      </c>
      <c r="C127" s="16" t="s">
        <v>115</v>
      </c>
      <c r="D127" s="16" t="s">
        <v>34</v>
      </c>
      <c r="E127" s="2" t="e">
        <f>E126/E111</f>
        <v>#DIV/0!</v>
      </c>
      <c r="F127" s="2" t="e">
        <f t="shared" ref="F127:G127" si="14">F126/F111</f>
        <v>#DIV/0!</v>
      </c>
      <c r="G127" s="2" t="e">
        <f t="shared" si="14"/>
        <v>#DIV/0!</v>
      </c>
    </row>
    <row r="128" spans="1:7" ht="18">
      <c r="A128" s="48"/>
      <c r="B128" s="15" t="s">
        <v>113</v>
      </c>
      <c r="C128" s="16" t="s">
        <v>116</v>
      </c>
      <c r="D128" s="16" t="s">
        <v>34</v>
      </c>
    </row>
    <row r="129" spans="1:7" s="51" customFormat="1"/>
    <row r="130" spans="1:7">
      <c r="A130" s="48" t="s">
        <v>33</v>
      </c>
      <c r="B130" s="15" t="s">
        <v>19</v>
      </c>
      <c r="C130" s="16" t="s">
        <v>34</v>
      </c>
      <c r="D130" s="16" t="s">
        <v>34</v>
      </c>
    </row>
    <row r="131" spans="1:7">
      <c r="A131" s="48"/>
      <c r="B131" s="15" t="s">
        <v>136</v>
      </c>
      <c r="C131" s="16" t="s">
        <v>137</v>
      </c>
      <c r="D131" s="16" t="s">
        <v>195</v>
      </c>
    </row>
    <row r="132" spans="1:7">
      <c r="A132" s="48"/>
      <c r="B132" s="15" t="s">
        <v>135</v>
      </c>
      <c r="C132" s="16" t="s">
        <v>138</v>
      </c>
      <c r="D132" s="16" t="s">
        <v>195</v>
      </c>
    </row>
    <row r="133" spans="1:7">
      <c r="A133" s="48"/>
      <c r="B133" s="15" t="s">
        <v>142</v>
      </c>
      <c r="C133" s="16" t="s">
        <v>139</v>
      </c>
      <c r="D133" s="16" t="s">
        <v>34</v>
      </c>
      <c r="E133" s="2" t="e">
        <f>E131/E132</f>
        <v>#DIV/0!</v>
      </c>
      <c r="F133" s="2" t="e">
        <f t="shared" ref="F133:G133" si="15">F131/F132</f>
        <v>#DIV/0!</v>
      </c>
      <c r="G133" s="2" t="e">
        <f t="shared" si="15"/>
        <v>#DIV/0!</v>
      </c>
    </row>
    <row r="134" spans="1:7">
      <c r="A134" s="48"/>
      <c r="B134" s="15" t="s">
        <v>141</v>
      </c>
      <c r="C134" s="16" t="s">
        <v>140</v>
      </c>
      <c r="D134" s="16" t="s">
        <v>34</v>
      </c>
      <c r="E134" s="2" t="e">
        <f>E131/E56</f>
        <v>#DIV/0!</v>
      </c>
      <c r="F134" s="2" t="e">
        <f t="shared" ref="F134:G134" si="16">F131/F56</f>
        <v>#DIV/0!</v>
      </c>
      <c r="G134" s="2" t="e">
        <f t="shared" si="16"/>
        <v>#DIV/0!</v>
      </c>
    </row>
    <row r="135" spans="1:7" ht="18">
      <c r="A135" s="48"/>
      <c r="B135" s="15" t="s">
        <v>219</v>
      </c>
      <c r="C135" s="16" t="s">
        <v>143</v>
      </c>
      <c r="D135" s="16" t="s">
        <v>34</v>
      </c>
      <c r="E135" s="2" t="e">
        <f>E132/E44</f>
        <v>#DIV/0!</v>
      </c>
      <c r="F135" s="2" t="e">
        <f t="shared" ref="F135:G135" si="17">F132/F44</f>
        <v>#DIV/0!</v>
      </c>
      <c r="G135" s="2" t="e">
        <f t="shared" si="17"/>
        <v>#DIV/0!</v>
      </c>
    </row>
    <row r="136" spans="1:7" ht="18">
      <c r="A136" s="48"/>
      <c r="B136" s="15" t="s">
        <v>145</v>
      </c>
      <c r="C136" s="16" t="s">
        <v>144</v>
      </c>
      <c r="D136" s="16" t="s">
        <v>34</v>
      </c>
    </row>
    <row r="137" spans="1:7" ht="18">
      <c r="A137" s="48"/>
      <c r="B137" s="15" t="s">
        <v>146</v>
      </c>
      <c r="C137" s="16" t="s">
        <v>147</v>
      </c>
      <c r="D137" s="16" t="s">
        <v>195</v>
      </c>
    </row>
    <row r="138" spans="1:7" ht="18">
      <c r="A138" s="48"/>
      <c r="B138" s="15" t="s">
        <v>148</v>
      </c>
      <c r="C138" s="16" t="s">
        <v>149</v>
      </c>
      <c r="D138" s="16" t="s">
        <v>195</v>
      </c>
    </row>
    <row r="139" spans="1:7" ht="18">
      <c r="A139" s="48"/>
      <c r="B139" s="15" t="s">
        <v>259</v>
      </c>
      <c r="C139" s="16" t="s">
        <v>260</v>
      </c>
      <c r="D139" s="16" t="s">
        <v>261</v>
      </c>
    </row>
    <row r="140" spans="1:7" s="51" customFormat="1"/>
    <row r="141" spans="1:7" ht="18">
      <c r="A141" s="48" t="s">
        <v>25</v>
      </c>
      <c r="B141" s="15" t="s">
        <v>151</v>
      </c>
      <c r="C141" s="16" t="s">
        <v>150</v>
      </c>
      <c r="D141" s="16" t="s">
        <v>222</v>
      </c>
      <c r="E141" s="2">
        <f>522/3.6</f>
        <v>145</v>
      </c>
    </row>
    <row r="142" spans="1:7" ht="30">
      <c r="A142" s="48"/>
      <c r="B142" s="15" t="s">
        <v>155</v>
      </c>
      <c r="C142" s="16" t="s">
        <v>154</v>
      </c>
      <c r="D142" s="16" t="s">
        <v>222</v>
      </c>
      <c r="E142" s="2">
        <f>426/3.6</f>
        <v>118.33333333333333</v>
      </c>
    </row>
    <row r="143" spans="1:7" ht="18">
      <c r="A143" s="48"/>
      <c r="B143" s="15" t="s">
        <v>152</v>
      </c>
      <c r="C143" s="16" t="s">
        <v>153</v>
      </c>
      <c r="D143" s="16" t="s">
        <v>222</v>
      </c>
    </row>
    <row r="144" spans="1:7" ht="18">
      <c r="A144" s="48"/>
      <c r="B144" s="15" t="s">
        <v>20</v>
      </c>
      <c r="C144" s="16" t="s">
        <v>156</v>
      </c>
      <c r="D144" s="16" t="s">
        <v>222</v>
      </c>
    </row>
    <row r="145" spans="1:7" ht="18">
      <c r="A145" s="48"/>
      <c r="B145" s="15" t="s">
        <v>21</v>
      </c>
      <c r="C145" s="16" t="s">
        <v>157</v>
      </c>
      <c r="D145" s="16" t="s">
        <v>222</v>
      </c>
    </row>
    <row r="146" spans="1:7" ht="18">
      <c r="A146" s="48"/>
      <c r="B146" s="15" t="s">
        <v>158</v>
      </c>
      <c r="C146" s="16" t="s">
        <v>159</v>
      </c>
      <c r="D146" s="16" t="s">
        <v>222</v>
      </c>
      <c r="E146" s="2">
        <f>488/60</f>
        <v>8.1333333333333329</v>
      </c>
    </row>
    <row r="147" spans="1:7">
      <c r="A147" s="48"/>
      <c r="B147" s="15" t="s">
        <v>162</v>
      </c>
      <c r="C147" s="16" t="s">
        <v>160</v>
      </c>
      <c r="D147" s="16" t="s">
        <v>221</v>
      </c>
      <c r="E147" s="2">
        <v>3815</v>
      </c>
    </row>
    <row r="148" spans="1:7">
      <c r="A148" s="48"/>
      <c r="B148" s="15" t="s">
        <v>163</v>
      </c>
      <c r="C148" s="16" t="s">
        <v>161</v>
      </c>
      <c r="D148" s="16" t="s">
        <v>220</v>
      </c>
    </row>
    <row r="149" spans="1:7">
      <c r="A149" s="48"/>
      <c r="B149" s="15" t="s">
        <v>22</v>
      </c>
      <c r="C149" s="16" t="s">
        <v>34</v>
      </c>
      <c r="D149" s="16" t="s">
        <v>34</v>
      </c>
      <c r="E149" s="2" t="s">
        <v>364</v>
      </c>
    </row>
    <row r="150" spans="1:7" ht="18">
      <c r="A150" s="48"/>
      <c r="B150" s="15" t="s">
        <v>23</v>
      </c>
      <c r="C150" s="16" t="s">
        <v>176</v>
      </c>
      <c r="D150" s="16" t="s">
        <v>195</v>
      </c>
      <c r="E150" s="2">
        <v>735</v>
      </c>
    </row>
    <row r="151" spans="1:7" ht="18">
      <c r="A151" s="48"/>
      <c r="B151" s="15" t="s">
        <v>24</v>
      </c>
      <c r="C151" s="16" t="s">
        <v>175</v>
      </c>
      <c r="D151" s="16" t="s">
        <v>195</v>
      </c>
      <c r="E151" s="2">
        <v>561</v>
      </c>
    </row>
    <row r="152" spans="1:7" s="53" customFormat="1"/>
    <row r="153" spans="1:7">
      <c r="C153" s="1"/>
      <c r="D153" s="1"/>
      <c r="E153" s="1"/>
      <c r="F153" s="29"/>
      <c r="G153" s="8"/>
    </row>
    <row r="154" spans="1:7">
      <c r="C154" s="1"/>
      <c r="D154" s="1"/>
      <c r="E154" s="1"/>
      <c r="F154" s="29"/>
      <c r="G154" s="8"/>
    </row>
    <row r="155" spans="1:7">
      <c r="C155" s="1"/>
      <c r="D155" s="1"/>
      <c r="E155" s="1"/>
      <c r="F155" s="29"/>
      <c r="G155" s="8"/>
    </row>
    <row r="156" spans="1:7">
      <c r="C156" s="1"/>
      <c r="D156" s="1"/>
      <c r="E156" s="1"/>
      <c r="F156" s="29"/>
      <c r="G156" s="8"/>
    </row>
    <row r="157" spans="1:7">
      <c r="C157" s="1"/>
      <c r="D157" s="1"/>
      <c r="E157" s="1"/>
      <c r="F157" s="29"/>
      <c r="G157" s="8"/>
    </row>
    <row r="158" spans="1:7">
      <c r="C158" s="1"/>
      <c r="D158" s="1"/>
      <c r="E158" s="1"/>
      <c r="F158" s="29"/>
      <c r="G158" s="8"/>
    </row>
    <row r="159" spans="1:7">
      <c r="C159" s="1"/>
      <c r="D159" s="1"/>
      <c r="E159" s="1"/>
      <c r="F159" s="29"/>
      <c r="G159" s="8"/>
    </row>
    <row r="160" spans="1:7">
      <c r="C160" s="1"/>
      <c r="D160" s="1"/>
      <c r="E160" s="1"/>
      <c r="F160" s="29"/>
      <c r="G160" s="8"/>
    </row>
    <row r="161" spans="2:7">
      <c r="C161" s="1"/>
      <c r="D161" s="1"/>
      <c r="E161" s="1"/>
      <c r="F161" s="29"/>
      <c r="G161" s="8"/>
    </row>
    <row r="162" spans="2:7">
      <c r="C162" s="1"/>
      <c r="D162" s="1"/>
      <c r="E162" s="1"/>
      <c r="F162" s="29"/>
      <c r="G162" s="8"/>
    </row>
    <row r="163" spans="2:7">
      <c r="C163" s="1"/>
      <c r="D163" s="1"/>
      <c r="E163" s="1"/>
      <c r="F163" s="29"/>
      <c r="G163" s="8"/>
    </row>
    <row r="164" spans="2:7">
      <c r="C164" s="1"/>
      <c r="D164" s="1"/>
      <c r="E164" s="1"/>
      <c r="F164" s="29"/>
      <c r="G164" s="8"/>
    </row>
    <row r="165" spans="2:7">
      <c r="C165" s="1"/>
      <c r="D165" s="1"/>
      <c r="E165" s="1"/>
      <c r="F165" s="29"/>
      <c r="G165" s="8"/>
    </row>
    <row r="166" spans="2:7">
      <c r="C166" s="1"/>
      <c r="D166" s="1"/>
      <c r="E166" s="1"/>
      <c r="F166" s="29"/>
      <c r="G166" s="8"/>
    </row>
    <row r="167" spans="2:7">
      <c r="C167" s="1"/>
      <c r="D167" s="1"/>
      <c r="E167" s="1"/>
      <c r="F167" s="29"/>
      <c r="G167" s="8"/>
    </row>
    <row r="168" spans="2:7">
      <c r="C168" s="1"/>
      <c r="D168" s="1"/>
      <c r="E168" s="1"/>
      <c r="F168" s="29"/>
      <c r="G168" s="8"/>
    </row>
    <row r="169" spans="2:7">
      <c r="B169" s="8"/>
      <c r="C169" s="8"/>
      <c r="D169" s="8"/>
      <c r="E169" s="8"/>
      <c r="F169" s="29"/>
      <c r="G169" s="8"/>
    </row>
    <row r="170" spans="2:7">
      <c r="B170" s="8"/>
      <c r="C170" s="8"/>
      <c r="D170" s="8"/>
      <c r="E170" s="8"/>
      <c r="F170" s="29"/>
      <c r="G170" s="8"/>
    </row>
    <row r="171" spans="2:7">
      <c r="B171" s="8"/>
      <c r="C171" s="8"/>
      <c r="D171" s="8"/>
      <c r="E171" s="8"/>
      <c r="F171" s="29"/>
      <c r="G171" s="8"/>
    </row>
    <row r="172" spans="2:7">
      <c r="B172" s="8"/>
      <c r="C172" s="8"/>
      <c r="D172" s="8"/>
      <c r="E172" s="8"/>
      <c r="F172" s="29"/>
      <c r="G172" s="8"/>
    </row>
    <row r="173" spans="2:7">
      <c r="B173" s="8"/>
      <c r="C173" s="8"/>
      <c r="D173" s="8"/>
      <c r="E173" s="8"/>
      <c r="F173" s="29"/>
      <c r="G173" s="8"/>
    </row>
    <row r="174" spans="2:7">
      <c r="B174" s="8"/>
      <c r="C174" s="8"/>
      <c r="D174" s="8"/>
      <c r="E174" s="8"/>
      <c r="F174" s="29"/>
      <c r="G174" s="8"/>
    </row>
    <row r="175" spans="2:7">
      <c r="B175" s="8"/>
      <c r="C175" s="8"/>
      <c r="D175" s="8"/>
      <c r="E175" s="8"/>
      <c r="F175" s="29"/>
      <c r="G175" s="8"/>
    </row>
    <row r="214" spans="2:2">
      <c r="B214" s="1" t="s">
        <v>362</v>
      </c>
    </row>
    <row r="254" spans="3:3">
      <c r="C254" s="2" t="s">
        <v>363</v>
      </c>
    </row>
  </sheetData>
  <mergeCells count="29">
    <mergeCell ref="A23:A32"/>
    <mergeCell ref="A2:XFD2"/>
    <mergeCell ref="A3:A9"/>
    <mergeCell ref="A10:XFD10"/>
    <mergeCell ref="A11:A21"/>
    <mergeCell ref="A22:XFD22"/>
    <mergeCell ref="A84:A101"/>
    <mergeCell ref="A33:XFD33"/>
    <mergeCell ref="A34:A42"/>
    <mergeCell ref="A43:XFD43"/>
    <mergeCell ref="A44:A50"/>
    <mergeCell ref="A52:XFD52"/>
    <mergeCell ref="A53:A68"/>
    <mergeCell ref="A69:XFD69"/>
    <mergeCell ref="A70:A75"/>
    <mergeCell ref="A76:XFD76"/>
    <mergeCell ref="A77:A82"/>
    <mergeCell ref="A83:XFD83"/>
    <mergeCell ref="A102:XFD102"/>
    <mergeCell ref="A103:A105"/>
    <mergeCell ref="A106:XFD106"/>
    <mergeCell ref="A107:A124"/>
    <mergeCell ref="A125:XFD125"/>
    <mergeCell ref="A152:XFD152"/>
    <mergeCell ref="A126:A128"/>
    <mergeCell ref="A129:XFD129"/>
    <mergeCell ref="A130:A139"/>
    <mergeCell ref="A140:XFD140"/>
    <mergeCell ref="A141:A151"/>
  </mergeCells>
  <pageMargins left="0.7" right="0.7" top="0.75" bottom="0.75" header="0.3" footer="0.3"/>
  <pageSetup paperSize="9" scale="96" fitToHeight="0" orientation="landscape" horizontalDpi="1200" verticalDpi="1200"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11" sqref="C11"/>
    </sheetView>
  </sheetViews>
  <sheetFormatPr baseColWidth="10" defaultColWidth="9.140625" defaultRowHeight="15"/>
  <cols>
    <col min="1" max="1" width="19.140625" customWidth="1"/>
    <col min="2" max="2" width="12" customWidth="1"/>
    <col min="3" max="3" width="12.7109375" customWidth="1"/>
  </cols>
  <sheetData>
    <row r="1" spans="1:3" ht="17.25">
      <c r="A1" s="25" t="s">
        <v>340</v>
      </c>
      <c r="B1" s="26" t="s">
        <v>338</v>
      </c>
      <c r="C1" s="10">
        <v>9.8066499999999994</v>
      </c>
    </row>
    <row r="2" spans="1:3" ht="17.25">
      <c r="A2" s="25" t="s">
        <v>339</v>
      </c>
      <c r="B2" s="26" t="s">
        <v>341</v>
      </c>
      <c r="C2" s="10">
        <v>32.173999999999999</v>
      </c>
    </row>
    <row r="3" spans="1:3">
      <c r="A3" s="25" t="s">
        <v>350</v>
      </c>
      <c r="B3" s="26" t="s">
        <v>196</v>
      </c>
      <c r="C3" s="10">
        <f>CONVERT(C4,"lbm","kg")</f>
        <v>90.718474000000001</v>
      </c>
    </row>
    <row r="4" spans="1:3">
      <c r="A4" s="25" t="s">
        <v>345</v>
      </c>
      <c r="B4" s="26" t="s">
        <v>342</v>
      </c>
      <c r="C4" s="10">
        <v>200</v>
      </c>
    </row>
    <row r="5" spans="1:3">
      <c r="A5" s="25" t="s">
        <v>351</v>
      </c>
      <c r="B5" s="26" t="s">
        <v>196</v>
      </c>
      <c r="C5" s="10">
        <f>CONVERT(C6,"lbm","kg")</f>
        <v>79.378664749999999</v>
      </c>
    </row>
    <row r="6" spans="1:3">
      <c r="A6" s="25" t="s">
        <v>346</v>
      </c>
      <c r="B6" s="26" t="s">
        <v>342</v>
      </c>
      <c r="C6" s="10">
        <v>175</v>
      </c>
    </row>
    <row r="7" spans="1:3">
      <c r="A7" s="25" t="s">
        <v>352</v>
      </c>
      <c r="B7" s="26" t="s">
        <v>196</v>
      </c>
      <c r="C7" s="10">
        <f>CONVERT(C8,"lbm","kg")</f>
        <v>18.143694800000002</v>
      </c>
    </row>
    <row r="8" spans="1:3">
      <c r="A8" s="25" t="s">
        <v>347</v>
      </c>
      <c r="B8" s="26" t="s">
        <v>342</v>
      </c>
      <c r="C8" s="10">
        <v>40</v>
      </c>
    </row>
    <row r="9" spans="1:3">
      <c r="A9" s="25" t="s">
        <v>349</v>
      </c>
      <c r="B9" s="26" t="s">
        <v>196</v>
      </c>
      <c r="C9" s="10">
        <f>CONVERT(C10,"lbm","kg")</f>
        <v>13.607771100000001</v>
      </c>
    </row>
    <row r="10" spans="1:3">
      <c r="A10" s="25" t="s">
        <v>348</v>
      </c>
      <c r="B10" s="26" t="s">
        <v>342</v>
      </c>
      <c r="C10" s="10">
        <v>30</v>
      </c>
    </row>
    <row r="11" spans="1:3">
      <c r="A11" s="25" t="s">
        <v>403</v>
      </c>
      <c r="B11" s="26"/>
      <c r="C11">
        <v>0.51444400000000001</v>
      </c>
    </row>
    <row r="12" spans="1:3">
      <c r="A12" s="25" t="s">
        <v>412</v>
      </c>
      <c r="B12" s="26"/>
      <c r="C12" s="56">
        <v>745.69987200000003</v>
      </c>
    </row>
  </sheetData>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L22" sqref="L22"/>
    </sheetView>
  </sheetViews>
  <sheetFormatPr baseColWidth="10" defaultRowHeight="15"/>
  <cols>
    <col min="1" max="1" width="31.85546875" customWidth="1"/>
  </cols>
  <sheetData>
    <row r="1" spans="1:2">
      <c r="B1" t="s">
        <v>357</v>
      </c>
    </row>
    <row r="2" spans="1:2">
      <c r="A2" t="s">
        <v>413</v>
      </c>
      <c r="B2">
        <f>745.699872*3400/1000</f>
        <v>2535.3795648000005</v>
      </c>
    </row>
    <row r="3" spans="1:2">
      <c r="A3" t="s">
        <v>415</v>
      </c>
      <c r="B3">
        <v>0.48899999999999999</v>
      </c>
    </row>
    <row r="4" spans="1:2">
      <c r="A4" t="s">
        <v>414</v>
      </c>
      <c r="B4">
        <f>745.699872*2745/1000</f>
        <v>2046.94614864</v>
      </c>
    </row>
    <row r="5" spans="1:2">
      <c r="A5" t="s">
        <v>416</v>
      </c>
      <c r="B5">
        <v>0.51400000000000001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Aviones Semejantes Long-Range</vt:lpstr>
      <vt:lpstr>Aviones Semejantes Anfibio</vt:lpstr>
      <vt:lpstr>Constants</vt:lpstr>
      <vt:lpstr>Motores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2017-07-13T17:03:51Z</dcterms:modified>
</cp:coreProperties>
</file>