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505" yWindow="-15" windowWidth="14310" windowHeight="12240" activeTab="1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Sheet1" sheetId="8" r:id="rId8"/>
    <sheet name="BOX PLOT" sheetId="9" r:id="rId9"/>
    <sheet name="Consolidação" sheetId="10" r:id="rId10"/>
    <sheet name="Gráfico 1999" sheetId="13" r:id="rId11"/>
    <sheet name="Graficos" sheetId="11" r:id="rId12"/>
    <sheet name="Grafico 2005" sheetId="12" r:id="rId13"/>
    <sheet name="Plan5" sheetId="14" r:id="rId14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calcChain.xml><?xml version="1.0" encoding="utf-8"?>
<calcChain xmlns="http://schemas.openxmlformats.org/spreadsheetml/2006/main">
  <c r="M8" i="2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L8"/>
  <c r="L9"/>
  <c r="L10"/>
  <c r="L11"/>
  <c r="L12"/>
  <c r="L13"/>
  <c r="L14"/>
  <c r="L15"/>
  <c r="L16"/>
  <c r="L17"/>
  <c r="L18"/>
  <c r="L19"/>
  <c r="L20"/>
  <c r="L21"/>
  <c r="S21" s="1"/>
  <c r="L22"/>
  <c r="L23"/>
  <c r="L24"/>
  <c r="L25"/>
  <c r="S25" s="1"/>
  <c r="L26"/>
  <c r="L27"/>
  <c r="L28"/>
  <c r="L29"/>
  <c r="S29" s="1"/>
  <c r="L30"/>
  <c r="L31"/>
  <c r="L32"/>
  <c r="L33"/>
  <c r="S33" s="1"/>
  <c r="L34"/>
  <c r="L35"/>
  <c r="L36"/>
  <c r="L37"/>
  <c r="S37" s="1"/>
  <c r="J8"/>
  <c r="J9"/>
  <c r="J10"/>
  <c r="J11"/>
  <c r="J12"/>
  <c r="J13"/>
  <c r="J14"/>
  <c r="J15"/>
  <c r="J16"/>
  <c r="J17"/>
  <c r="J18"/>
  <c r="J19"/>
  <c r="J20"/>
  <c r="T20" s="1"/>
  <c r="J21"/>
  <c r="J22"/>
  <c r="J23"/>
  <c r="J24"/>
  <c r="T24" s="1"/>
  <c r="J25"/>
  <c r="J26"/>
  <c r="J27"/>
  <c r="J28"/>
  <c r="T28" s="1"/>
  <c r="J29"/>
  <c r="J30"/>
  <c r="J31"/>
  <c r="J32"/>
  <c r="T32" s="1"/>
  <c r="J33"/>
  <c r="J34"/>
  <c r="J35"/>
  <c r="J36"/>
  <c r="T36" s="1"/>
  <c r="J37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T21"/>
  <c r="T22"/>
  <c r="T23"/>
  <c r="T25"/>
  <c r="T26"/>
  <c r="T27"/>
  <c r="T29"/>
  <c r="T30"/>
  <c r="T31"/>
  <c r="T33"/>
  <c r="T34"/>
  <c r="T35"/>
  <c r="T37"/>
  <c r="S20"/>
  <c r="S22"/>
  <c r="S23"/>
  <c r="S24"/>
  <c r="S26"/>
  <c r="S27"/>
  <c r="S28"/>
  <c r="S30"/>
  <c r="S31"/>
  <c r="S32"/>
  <c r="S34"/>
  <c r="S35"/>
  <c r="S36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H41" l="1"/>
  <c r="H39"/>
  <c r="H37"/>
  <c r="H35"/>
  <c r="H33"/>
  <c r="H31"/>
  <c r="H29"/>
  <c r="H27"/>
  <c r="H25"/>
  <c r="H23"/>
  <c r="H21"/>
  <c r="G37"/>
  <c r="G35"/>
  <c r="G33"/>
  <c r="G31"/>
  <c r="G29"/>
  <c r="G27"/>
  <c r="G25"/>
  <c r="G23"/>
  <c r="G21"/>
  <c r="F39"/>
  <c r="F37"/>
  <c r="F35"/>
  <c r="F33"/>
  <c r="F31"/>
  <c r="F29"/>
  <c r="F27"/>
  <c r="F25"/>
  <c r="F23"/>
  <c r="F21"/>
  <c r="E37"/>
  <c r="E35"/>
  <c r="E33"/>
  <c r="E31"/>
  <c r="E29"/>
  <c r="E27"/>
  <c r="E25"/>
  <c r="E23"/>
  <c r="E21"/>
  <c r="D37"/>
  <c r="D35"/>
  <c r="D33"/>
  <c r="D31"/>
  <c r="D29"/>
  <c r="D27"/>
  <c r="D25"/>
  <c r="D23"/>
  <c r="D21"/>
  <c r="M38"/>
  <c r="M40"/>
  <c r="M42"/>
  <c r="M44"/>
  <c r="M46"/>
  <c r="M48"/>
  <c r="M50"/>
  <c r="M52"/>
  <c r="M54"/>
  <c r="M56"/>
  <c r="M58"/>
  <c r="M60"/>
  <c r="M62"/>
  <c r="M64"/>
  <c r="L38"/>
  <c r="S38" s="1"/>
  <c r="L40"/>
  <c r="S40" s="1"/>
  <c r="L42"/>
  <c r="S42" s="1"/>
  <c r="L44"/>
  <c r="S44" s="1"/>
  <c r="L46"/>
  <c r="S46" s="1"/>
  <c r="L48"/>
  <c r="S48" s="1"/>
  <c r="L50"/>
  <c r="S50" s="1"/>
  <c r="L52"/>
  <c r="S52" s="1"/>
  <c r="L54"/>
  <c r="S54" s="1"/>
  <c r="L56"/>
  <c r="S56" s="1"/>
  <c r="L58"/>
  <c r="S58" s="1"/>
  <c r="L60"/>
  <c r="S60" s="1"/>
  <c r="L62"/>
  <c r="S62" s="1"/>
  <c r="L64"/>
  <c r="S64" s="1"/>
  <c r="K38"/>
  <c r="R38" s="1"/>
  <c r="K40"/>
  <c r="R40" s="1"/>
  <c r="K42"/>
  <c r="R42" s="1"/>
  <c r="K44"/>
  <c r="R44" s="1"/>
  <c r="K46"/>
  <c r="R46" s="1"/>
  <c r="K48"/>
  <c r="R48" s="1"/>
  <c r="K50"/>
  <c r="R50" s="1"/>
  <c r="K52"/>
  <c r="R52" s="1"/>
  <c r="K54"/>
  <c r="R54" s="1"/>
  <c r="K56"/>
  <c r="R56" s="1"/>
  <c r="K58"/>
  <c r="R58" s="1"/>
  <c r="K60"/>
  <c r="R60" s="1"/>
  <c r="K62"/>
  <c r="R62" s="1"/>
  <c r="K64"/>
  <c r="R64" s="1"/>
  <c r="J38"/>
  <c r="T38" s="1"/>
  <c r="J40"/>
  <c r="T40" s="1"/>
  <c r="J42"/>
  <c r="T42" s="1"/>
  <c r="J44"/>
  <c r="T44" s="1"/>
  <c r="J46"/>
  <c r="T46" s="1"/>
  <c r="J48"/>
  <c r="T48" s="1"/>
  <c r="J50"/>
  <c r="T50" s="1"/>
  <c r="J52"/>
  <c r="T52" s="1"/>
  <c r="J54"/>
  <c r="T54" s="1"/>
  <c r="J56"/>
  <c r="T56" s="1"/>
  <c r="J58"/>
  <c r="T58" s="1"/>
  <c r="J60"/>
  <c r="T60" s="1"/>
  <c r="J62"/>
  <c r="T62" s="1"/>
  <c r="J64"/>
  <c r="T64" s="1"/>
  <c r="T8"/>
  <c r="T10"/>
  <c r="T12"/>
  <c r="T14"/>
  <c r="T16"/>
  <c r="T18"/>
  <c r="S8" l="1"/>
  <c r="S10"/>
  <c r="S12"/>
  <c r="S14"/>
  <c r="S16"/>
  <c r="S18"/>
  <c r="K8"/>
  <c r="R8" s="1"/>
  <c r="K10"/>
  <c r="R10" s="1"/>
  <c r="K12"/>
  <c r="R12" s="1"/>
  <c r="K14"/>
  <c r="R14" s="1"/>
  <c r="K16"/>
  <c r="R16" s="1"/>
  <c r="K18"/>
  <c r="R18" s="1"/>
  <c r="I18" i="14" l="1"/>
  <c r="H5" i="2" l="1"/>
  <c r="G5"/>
  <c r="F5"/>
  <c r="E5"/>
  <c r="D5"/>
  <c r="I25" i="1"/>
  <c r="H25"/>
  <c r="G25"/>
  <c r="F25"/>
  <c r="E25"/>
  <c r="D25"/>
  <c r="I24"/>
  <c r="H24"/>
  <c r="G24"/>
  <c r="F24"/>
  <c r="E24"/>
  <c r="D24"/>
  <c r="I23"/>
  <c r="H23"/>
  <c r="G23"/>
  <c r="F23"/>
  <c r="E23"/>
  <c r="D23"/>
  <c r="I22"/>
  <c r="H22"/>
  <c r="G22"/>
  <c r="F22"/>
  <c r="E22"/>
  <c r="D22"/>
  <c r="I21"/>
  <c r="H21"/>
  <c r="G21"/>
  <c r="F21"/>
  <c r="E21"/>
  <c r="D21"/>
  <c r="F15" i="2" l="1"/>
  <c r="F55"/>
  <c r="F59"/>
  <c r="F57"/>
  <c r="F51"/>
  <c r="F61"/>
  <c r="F53"/>
  <c r="E15"/>
  <c r="E55"/>
  <c r="E51"/>
  <c r="E61"/>
  <c r="E57"/>
  <c r="E53"/>
  <c r="E59"/>
  <c r="D15"/>
  <c r="D59"/>
  <c r="D51"/>
  <c r="D55"/>
  <c r="D57"/>
  <c r="D61"/>
  <c r="D53"/>
  <c r="H15"/>
  <c r="H57"/>
  <c r="H51"/>
  <c r="H53"/>
  <c r="H55"/>
  <c r="H59"/>
  <c r="H61"/>
  <c r="G15"/>
  <c r="G59"/>
  <c r="G51"/>
  <c r="G55"/>
  <c r="G57"/>
  <c r="G61"/>
  <c r="G53"/>
  <c r="G49"/>
  <c r="E49"/>
  <c r="F67"/>
  <c r="G65"/>
  <c r="D63"/>
  <c r="H63"/>
  <c r="G7"/>
  <c r="E45"/>
  <c r="G63"/>
  <c r="F19"/>
  <c r="E9"/>
  <c r="G19"/>
  <c r="E39"/>
  <c r="F45"/>
  <c r="E65"/>
  <c r="F9"/>
  <c r="E17"/>
  <c r="F43"/>
  <c r="E47"/>
  <c r="F65"/>
  <c r="F7"/>
  <c r="E11"/>
  <c r="F17"/>
  <c r="G43"/>
  <c r="F63"/>
  <c r="E67"/>
  <c r="D41"/>
  <c r="D49"/>
  <c r="H11"/>
  <c r="G13"/>
  <c r="D39"/>
  <c r="G41"/>
  <c r="H47"/>
  <c r="H67"/>
  <c r="E7"/>
  <c r="D9"/>
  <c r="H9"/>
  <c r="G11"/>
  <c r="F13"/>
  <c r="E19"/>
  <c r="D17"/>
  <c r="H17"/>
  <c r="G39"/>
  <c r="F41"/>
  <c r="E43"/>
  <c r="D45"/>
  <c r="H45"/>
  <c r="G47"/>
  <c r="F49"/>
  <c r="E63"/>
  <c r="D65"/>
  <c r="H65"/>
  <c r="G67"/>
  <c r="D13"/>
  <c r="H13"/>
  <c r="H49"/>
  <c r="D11"/>
  <c r="D47"/>
  <c r="D67"/>
  <c r="D7"/>
  <c r="H7"/>
  <c r="G9"/>
  <c r="F11"/>
  <c r="E13"/>
  <c r="D19"/>
  <c r="H19"/>
  <c r="G17"/>
  <c r="E41"/>
  <c r="D43"/>
  <c r="H43"/>
  <c r="G45"/>
  <c r="F47"/>
  <c r="M65" l="1"/>
  <c r="K65"/>
  <c r="R65" s="1"/>
  <c r="J65"/>
  <c r="T65" s="1"/>
  <c r="L65"/>
  <c r="S65" s="1"/>
  <c r="M39"/>
  <c r="K39"/>
  <c r="R39" s="1"/>
  <c r="L39"/>
  <c r="S39" s="1"/>
  <c r="J39"/>
  <c r="T39" s="1"/>
  <c r="L61"/>
  <c r="S61" s="1"/>
  <c r="J61"/>
  <c r="T61" s="1"/>
  <c r="M61"/>
  <c r="K61"/>
  <c r="R61" s="1"/>
  <c r="M59"/>
  <c r="K59"/>
  <c r="R59" s="1"/>
  <c r="L59"/>
  <c r="S59" s="1"/>
  <c r="J59"/>
  <c r="T59" s="1"/>
  <c r="L49"/>
  <c r="S49" s="1"/>
  <c r="J49"/>
  <c r="T49" s="1"/>
  <c r="M49"/>
  <c r="K49"/>
  <c r="R49" s="1"/>
  <c r="L53"/>
  <c r="S53" s="1"/>
  <c r="J53"/>
  <c r="T53" s="1"/>
  <c r="M53"/>
  <c r="K53"/>
  <c r="R53" s="1"/>
  <c r="M51"/>
  <c r="K51"/>
  <c r="R51" s="1"/>
  <c r="L51"/>
  <c r="S51" s="1"/>
  <c r="J51"/>
  <c r="T51" s="1"/>
  <c r="M43"/>
  <c r="K43"/>
  <c r="R43" s="1"/>
  <c r="L43"/>
  <c r="S43" s="1"/>
  <c r="J43"/>
  <c r="T43" s="1"/>
  <c r="L45"/>
  <c r="S45" s="1"/>
  <c r="J45"/>
  <c r="T45" s="1"/>
  <c r="M45"/>
  <c r="K45"/>
  <c r="R45" s="1"/>
  <c r="M55"/>
  <c r="K55"/>
  <c r="R55" s="1"/>
  <c r="L55"/>
  <c r="S55" s="1"/>
  <c r="J55"/>
  <c r="T55" s="1"/>
  <c r="M47"/>
  <c r="K47"/>
  <c r="R47" s="1"/>
  <c r="L47"/>
  <c r="S47" s="1"/>
  <c r="J47"/>
  <c r="T47" s="1"/>
  <c r="L41"/>
  <c r="S41" s="1"/>
  <c r="J41"/>
  <c r="T41" s="1"/>
  <c r="M41"/>
  <c r="K41"/>
  <c r="R41" s="1"/>
  <c r="M63"/>
  <c r="K63"/>
  <c r="R63" s="1"/>
  <c r="L63"/>
  <c r="S63" s="1"/>
  <c r="J63"/>
  <c r="T63" s="1"/>
  <c r="L57"/>
  <c r="S57" s="1"/>
  <c r="J57"/>
  <c r="T57" s="1"/>
  <c r="M57"/>
  <c r="K57"/>
  <c r="R57" s="1"/>
  <c r="T13"/>
  <c r="K13"/>
  <c r="R13" s="1"/>
  <c r="S13"/>
  <c r="T15"/>
  <c r="K15"/>
  <c r="R15" s="1"/>
  <c r="S15"/>
  <c r="J7"/>
  <c r="T7" s="1"/>
  <c r="K7"/>
  <c r="R7" s="1"/>
  <c r="M7"/>
  <c r="L7"/>
  <c r="S7" s="1"/>
  <c r="T11"/>
  <c r="S11"/>
  <c r="K11"/>
  <c r="R11" s="1"/>
  <c r="T9"/>
  <c r="K9"/>
  <c r="R9" s="1"/>
  <c r="S9"/>
  <c r="T19"/>
  <c r="S19"/>
  <c r="K19"/>
  <c r="R19" s="1"/>
  <c r="T17"/>
  <c r="K17"/>
  <c r="R17" s="1"/>
  <c r="S17"/>
</calcChain>
</file>

<file path=xl/sharedStrings.xml><?xml version="1.0" encoding="utf-8"?>
<sst xmlns="http://schemas.openxmlformats.org/spreadsheetml/2006/main" count="213" uniqueCount="106">
  <si>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</si>
  <si>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</si>
  <si>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</si>
  <si>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</si>
  <si>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</si>
  <si>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</si>
  <si>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</si>
  <si>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</si>
  <si>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</si>
  <si>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</si>
  <si>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</si>
  <si>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</si>
  <si>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</si>
  <si>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</si>
  <si>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</si>
  <si>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</si>
  <si>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</si>
  <si>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</si>
  <si>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</si>
  <si>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</si>
  <si>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</si>
  <si>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</si>
  <si>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0.2  (Total Sucess)</t>
  </si>
  <si>
    <t>Time Score DF 0.5 (Total Sucess)</t>
  </si>
  <si>
    <t>Time Score DF 0.8 (Total Success)</t>
  </si>
  <si>
    <t>Domain Time Score 0.8 (Total Success)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</si>
  <si>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</si>
  <si>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</si>
  <si>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</si>
  <si>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</si>
  <si>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</si>
  <si>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</si>
  <si>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</si>
  <si>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</si>
  <si>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</si>
  <si>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Methods</t>
  </si>
  <si>
    <t>Performance</t>
  </si>
  <si>
    <t>TS (β =  0.2)</t>
  </si>
  <si>
    <t>TS (β =  0.5)</t>
  </si>
  <si>
    <t>TS (β =  0.8)</t>
  </si>
  <si>
    <t xml:space="preserve">CTS (α = 0.8) </t>
  </si>
  <si>
    <t xml:space="preserve">CTS (α = 0.5) </t>
  </si>
  <si>
    <t xml:space="preserve">CTS (α = 0.2) 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</si>
  <si>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</si>
  <si>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</si>
  <si>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</si>
  <si>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</si>
  <si>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</si>
  <si>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</si>
  <si>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</si>
  <si>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</si>
  <si>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>Random Predictor</t>
  </si>
  <si>
    <t>VALOR 1</t>
  </si>
  <si>
    <t>VALOR 2</t>
  </si>
  <si>
    <t>VALOR 3</t>
  </si>
  <si>
    <t>VALOR 4</t>
  </si>
  <si>
    <t>ini</t>
  </si>
  <si>
    <t>ALTO</t>
  </si>
  <si>
    <t>BAIXO</t>
  </si>
  <si>
    <t>VALOR</t>
  </si>
  <si>
    <t>CN</t>
  </si>
  <si>
    <t>JC</t>
  </si>
  <si>
    <t>AA</t>
  </si>
  <si>
    <t>PA</t>
  </si>
  <si>
    <t>PREDITOR</t>
  </si>
  <si>
    <t>CTwCN (β = 0.8)</t>
  </si>
  <si>
    <t>CTwCN (β = 0.5)</t>
  </si>
  <si>
    <t>CTwCN (β = 0.2)</t>
  </si>
  <si>
    <t>CTwAA (β = 0.8)</t>
  </si>
  <si>
    <t>CTwAA (β = 0.5)</t>
  </si>
  <si>
    <t>CTwAA (β = 0.2)</t>
  </si>
  <si>
    <t>Min</t>
  </si>
  <si>
    <t>Max</t>
  </si>
  <si>
    <t>2 períodos</t>
  </si>
  <si>
    <t>A</t>
  </si>
  <si>
    <t>B</t>
  </si>
  <si>
    <t>CASA</t>
  </si>
  <si>
    <t>CACHORRO</t>
  </si>
  <si>
    <t>JC (A e B)</t>
  </si>
  <si>
    <t>MAX(A e B)</t>
  </si>
  <si>
    <t>QTDE(A e B)</t>
  </si>
  <si>
    <t>DF</t>
  </si>
  <si>
    <t>WeigthedbyTimeandContext</t>
  </si>
  <si>
    <t>Maximo</t>
  </si>
  <si>
    <t>Media</t>
  </si>
  <si>
    <t>DADOS DE 1994-1998</t>
  </si>
  <si>
    <t>min</t>
  </si>
  <si>
    <t>Soma</t>
  </si>
  <si>
    <t>Consolidado</t>
  </si>
  <si>
    <t xml:space="preserve">CTS (β = 0.8, α = 0.8) </t>
  </si>
  <si>
    <t>Domain Time Score 0.8 0.5 (Total Success)</t>
  </si>
  <si>
    <t xml:space="preserve">CTS (β = 0.8, α = 0.5) </t>
  </si>
  <si>
    <t>Domain Time Score 0.8 0.2 (Total Success)</t>
  </si>
  <si>
    <t xml:space="preserve">CTS (β = 0.8, α = 0.2) </t>
  </si>
  <si>
    <t>Domain Time Score 0.5 0.8 (Total Success)</t>
  </si>
  <si>
    <t xml:space="preserve">CTS (β = 0.5, α = 0.8) </t>
  </si>
  <si>
    <t>Domain Time Score 0.5 0.5 (Total Success)</t>
  </si>
  <si>
    <t xml:space="preserve">CTS (β = 0.5, α = 0.5) </t>
  </si>
  <si>
    <t>Domain Time Score 0.5 0.2 (Total Success)</t>
  </si>
  <si>
    <t xml:space="preserve">CTS (β = 0.5, α = 0.2) </t>
  </si>
  <si>
    <t>Domain Time Score 0.2 0.8 (Total Success)</t>
  </si>
  <si>
    <t xml:space="preserve">CTS (β = 0.2, α = 0.8) </t>
  </si>
  <si>
    <t>Domain Time Score 0.2 0.5 (Total Success)</t>
  </si>
  <si>
    <t xml:space="preserve">CTS (β = 0.2, α = 0.5) </t>
  </si>
  <si>
    <t>Domain Time Score 0.2 0.2 (Total Success)</t>
  </si>
  <si>
    <t xml:space="preserve">CTS (β = 0.2, α = 0.2) </t>
  </si>
</sst>
</file>

<file path=xl/styles.xml><?xml version="1.0" encoding="utf-8"?>
<styleSheet xmlns="http://schemas.openxmlformats.org/spreadsheetml/2006/main">
  <numFmts count="1">
    <numFmt numFmtId="164" formatCode="_-* #,##0.00_-;\-* #,##0.00_-;_-* \-??_-;_-@_-"/>
  </numFmts>
  <fonts count="8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1" applyNumberFormat="1" applyFont="1" applyBorder="1" applyAlignment="1" applyProtection="1"/>
    <xf numFmtId="2" fontId="0" fillId="2" borderId="3" xfId="1" applyNumberFormat="1" applyFont="1" applyFill="1" applyBorder="1" applyAlignment="1" applyProtection="1"/>
    <xf numFmtId="2" fontId="0" fillId="0" borderId="3" xfId="0" applyNumberFormat="1" applyBorder="1"/>
    <xf numFmtId="2" fontId="0" fillId="2" borderId="3" xfId="0" applyNumberFormat="1" applyFill="1" applyBorder="1"/>
    <xf numFmtId="2" fontId="0" fillId="0" borderId="3" xfId="0" applyNumberFormat="1" applyFont="1" applyBorder="1"/>
    <xf numFmtId="0" fontId="0" fillId="0" borderId="3" xfId="0" applyFont="1" applyBorder="1"/>
    <xf numFmtId="2" fontId="0" fillId="0" borderId="0" xfId="0" applyNumberFormat="1"/>
    <xf numFmtId="0" fontId="2" fillId="2" borderId="9" xfId="0" applyFont="1" applyFill="1" applyBorder="1"/>
    <xf numFmtId="2" fontId="0" fillId="0" borderId="0" xfId="0" applyNumberFormat="1" applyBorder="1"/>
    <xf numFmtId="0" fontId="0" fillId="3" borderId="3" xfId="0" applyFill="1" applyBorder="1"/>
    <xf numFmtId="2" fontId="0" fillId="3" borderId="3" xfId="0" applyNumberFormat="1" applyFill="1" applyBorder="1"/>
    <xf numFmtId="0" fontId="0" fillId="4" borderId="3" xfId="0" applyFill="1" applyBorder="1"/>
    <xf numFmtId="2" fontId="0" fillId="4" borderId="3" xfId="0" applyNumberForma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6" fillId="0" borderId="0" xfId="0" applyFont="1"/>
    <xf numFmtId="0" fontId="0" fillId="6" borderId="3" xfId="0" applyFill="1" applyBorder="1"/>
    <xf numFmtId="2" fontId="0" fillId="6" borderId="3" xfId="0" applyNumberFormat="1" applyFill="1" applyBorder="1"/>
    <xf numFmtId="2" fontId="0" fillId="7" borderId="3" xfId="0" applyNumberFormat="1" applyFill="1" applyBorder="1"/>
    <xf numFmtId="0" fontId="0" fillId="7" borderId="3" xfId="0" applyFont="1" applyFill="1" applyBorder="1"/>
    <xf numFmtId="2" fontId="0" fillId="8" borderId="3" xfId="0" applyNumberFormat="1" applyFill="1" applyBorder="1"/>
    <xf numFmtId="0" fontId="0" fillId="4" borderId="3" xfId="0" applyFont="1" applyFill="1" applyBorder="1"/>
    <xf numFmtId="0" fontId="0" fillId="9" borderId="3" xfId="0" applyFont="1" applyFill="1" applyBorder="1"/>
    <xf numFmtId="2" fontId="0" fillId="9" borderId="3" xfId="0" applyNumberFormat="1" applyFill="1" applyBorder="1"/>
    <xf numFmtId="0" fontId="0" fillId="10" borderId="3" xfId="0" applyFont="1" applyFill="1" applyBorder="1"/>
    <xf numFmtId="2" fontId="0" fillId="10" borderId="3" xfId="0" applyNumberFormat="1" applyFill="1" applyBorder="1"/>
    <xf numFmtId="2" fontId="0" fillId="8" borderId="3" xfId="0" applyNumberFormat="1" applyFont="1" applyFill="1" applyBorder="1"/>
    <xf numFmtId="2" fontId="7" fillId="0" borderId="3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6" borderId="3" xfId="0" applyNumberFormat="1" applyFont="1" applyFill="1" applyBorder="1"/>
    <xf numFmtId="0" fontId="0" fillId="8" borderId="3" xfId="0" applyFill="1" applyBorder="1"/>
    <xf numFmtId="2" fontId="0" fillId="12" borderId="3" xfId="0" applyNumberFormat="1" applyFill="1" applyBorder="1"/>
    <xf numFmtId="0" fontId="0" fillId="11" borderId="3" xfId="0" applyFill="1" applyBorder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1994-1999'!$C$7:$C$65</c:f>
              <c:strCache>
                <c:ptCount val="1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</c:strCache>
            </c:strRef>
          </c:cat>
          <c:val>
            <c:numRef>
              <c:f>'Results 1994-1999'!$K$7:$K$65</c:f>
              <c:numCache>
                <c:formatCode>0.00</c:formatCode>
                <c:ptCount val="16"/>
                <c:pt idx="0">
                  <c:v>32.150810051826525</c:v>
                </c:pt>
                <c:pt idx="1">
                  <c:v>42.867746735768698</c:v>
                </c:pt>
                <c:pt idx="2">
                  <c:v>37.232448644868803</c:v>
                </c:pt>
                <c:pt idx="3">
                  <c:v>0</c:v>
                </c:pt>
                <c:pt idx="4">
                  <c:v>52.380923567369862</c:v>
                </c:pt>
                <c:pt idx="5">
                  <c:v>51.832288599395305</c:v>
                </c:pt>
                <c:pt idx="6">
                  <c:v>51.996879089787676</c:v>
                </c:pt>
                <c:pt idx="7">
                  <c:v>52.545514057762219</c:v>
                </c:pt>
                <c:pt idx="8">
                  <c:v>52.531798183562863</c:v>
                </c:pt>
                <c:pt idx="9">
                  <c:v>50.522701510013114</c:v>
                </c:pt>
                <c:pt idx="10">
                  <c:v>52.038026712385758</c:v>
                </c:pt>
                <c:pt idx="11">
                  <c:v>48.991710555164232</c:v>
                </c:pt>
                <c:pt idx="12">
                  <c:v>48.991710555164232</c:v>
                </c:pt>
                <c:pt idx="13">
                  <c:v>52.202617202778129</c:v>
                </c:pt>
                <c:pt idx="14">
                  <c:v>50.522701510013114</c:v>
                </c:pt>
                <c:pt idx="15">
                  <c:v>52.504366435164123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1994-1999'!$C$7:$C$65</c:f>
              <c:strCache>
                <c:ptCount val="1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</c:strCache>
            </c:strRef>
          </c:cat>
          <c:val>
            <c:numRef>
              <c:f>'Results 1994-1999'!$L$7:$L$65</c:f>
              <c:numCache>
                <c:formatCode>0.00</c:formatCode>
                <c:ptCount val="16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51.228260665590575</c:v>
                </c:pt>
                <c:pt idx="4">
                  <c:v>116.84857606990991</c:v>
                </c:pt>
                <c:pt idx="5">
                  <c:v>119.46458896699743</c:v>
                </c:pt>
                <c:pt idx="6">
                  <c:v>117.72058036893907</c:v>
                </c:pt>
                <c:pt idx="7">
                  <c:v>116.15097263068655</c:v>
                </c:pt>
                <c:pt idx="8">
                  <c:v>116.15097263068655</c:v>
                </c:pt>
                <c:pt idx="9">
                  <c:v>109.87254167767647</c:v>
                </c:pt>
                <c:pt idx="10">
                  <c:v>120.68539498563828</c:v>
                </c:pt>
                <c:pt idx="11">
                  <c:v>120.33659326602661</c:v>
                </c:pt>
                <c:pt idx="12">
                  <c:v>109.87254167767647</c:v>
                </c:pt>
                <c:pt idx="13">
                  <c:v>117.72058036893907</c:v>
                </c:pt>
                <c:pt idx="14">
                  <c:v>118.59258466796825</c:v>
                </c:pt>
                <c:pt idx="15">
                  <c:v>112.13975285515232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  <a:alpha val="94000"/>
                </a:sysClr>
              </a:solidFill>
              <a:ln>
                <a:noFill/>
              </a:ln>
            </c:spPr>
          </c:marker>
          <c:dLbls>
            <c:dLblPos val="t"/>
            <c:showVal val="1"/>
          </c:dLbls>
          <c:cat>
            <c:strRef>
              <c:f>'Results 1994-1999'!$C$7:$C$65</c:f>
              <c:strCache>
                <c:ptCount val="1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</c:strCache>
            </c:strRef>
          </c:cat>
          <c:val>
            <c:numRef>
              <c:f>'Results 1994-1999'!$M$7:$M$65</c:f>
              <c:numCache>
                <c:formatCode>0.00</c:formatCode>
                <c:ptCount val="16"/>
                <c:pt idx="0">
                  <c:v>64.021785706914997</c:v>
                </c:pt>
                <c:pt idx="1">
                  <c:v>68.452801996168631</c:v>
                </c:pt>
                <c:pt idx="2">
                  <c:v>54.133986275616806</c:v>
                </c:pt>
                <c:pt idx="3">
                  <c:v>22.977961815583711</c:v>
                </c:pt>
                <c:pt idx="4">
                  <c:v>76.308833434568356</c:v>
                </c:pt>
                <c:pt idx="5">
                  <c:v>76.407139155048924</c:v>
                </c:pt>
                <c:pt idx="6">
                  <c:v>74.616811207217083</c:v>
                </c:pt>
                <c:pt idx="7">
                  <c:v>75.560496214461722</c:v>
                </c:pt>
                <c:pt idx="8">
                  <c:v>74.778873389897186</c:v>
                </c:pt>
                <c:pt idx="9">
                  <c:v>71.943999226408778</c:v>
                </c:pt>
                <c:pt idx="10">
                  <c:v>76.751271156693207</c:v>
                </c:pt>
                <c:pt idx="11">
                  <c:v>72.46879619043591</c:v>
                </c:pt>
                <c:pt idx="12">
                  <c:v>71.546384349517808</c:v>
                </c:pt>
                <c:pt idx="13">
                  <c:v>74.777160500454912</c:v>
                </c:pt>
                <c:pt idx="14">
                  <c:v>74.190572905749377</c:v>
                </c:pt>
                <c:pt idx="15">
                  <c:v>74.456921442041818</c:v>
                </c:pt>
              </c:numCache>
            </c:numRef>
          </c:val>
        </c:ser>
        <c:hiLowLines/>
        <c:axId val="84878848"/>
        <c:axId val="84880384"/>
      </c:stockChart>
      <c:catAx>
        <c:axId val="84878848"/>
        <c:scaling>
          <c:orientation val="minMax"/>
        </c:scaling>
        <c:axPos val="b"/>
        <c:tickLblPos val="nextTo"/>
        <c:crossAx val="84880384"/>
        <c:crosses val="autoZero"/>
        <c:auto val="1"/>
        <c:lblAlgn val="ctr"/>
        <c:lblOffset val="100"/>
      </c:catAx>
      <c:valAx>
        <c:axId val="84880384"/>
        <c:scaling>
          <c:orientation val="minMax"/>
        </c:scaling>
        <c:axPos val="l"/>
        <c:majorGridlines/>
        <c:numFmt formatCode="0.00" sourceLinked="1"/>
        <c:tickLblPos val="nextTo"/>
        <c:crossAx val="8487884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Consolidado - CT</a:t>
            </a:r>
            <a:r>
              <a:rPr lang="pt-BR" baseline="0"/>
              <a:t> 0.2 - TS 0.8</a:t>
            </a:r>
            <a:endParaRPr lang="pt-BR"/>
          </a:p>
        </c:rich>
      </c:tx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Consolidação!$C$4:$C$27</c:f>
              <c:numCache>
                <c:formatCode>0.00</c:formatCode>
                <c:ptCount val="24"/>
                <c:pt idx="0">
                  <c:v>32.15</c:v>
                </c:pt>
                <c:pt idx="1">
                  <c:v>36.908787347875801</c:v>
                </c:pt>
                <c:pt idx="2">
                  <c:v>33.24</c:v>
                </c:pt>
                <c:pt idx="3">
                  <c:v>0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  <c:pt idx="18">
                  <c:v>37.72</c:v>
                </c:pt>
                <c:pt idx="19">
                  <c:v>37.32</c:v>
                </c:pt>
                <c:pt idx="20">
                  <c:v>35.89</c:v>
                </c:pt>
                <c:pt idx="21">
                  <c:v>38.950000000000003</c:v>
                </c:pt>
                <c:pt idx="22">
                  <c:v>40.58</c:v>
                </c:pt>
                <c:pt idx="23">
                  <c:v>39.15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Consolidação!$D$4:$D$27</c:f>
              <c:numCache>
                <c:formatCode>0.00</c:formatCode>
                <c:ptCount val="24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  <c:pt idx="18">
                  <c:v>110.22</c:v>
                </c:pt>
                <c:pt idx="19">
                  <c:v>111.79</c:v>
                </c:pt>
                <c:pt idx="20">
                  <c:v>111.44</c:v>
                </c:pt>
                <c:pt idx="21">
                  <c:v>116.15</c:v>
                </c:pt>
                <c:pt idx="22">
                  <c:v>119.64</c:v>
                </c:pt>
                <c:pt idx="23">
                  <c:v>118.94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Consolidação!$E$4:$E$27</c:f>
              <c:numCache>
                <c:formatCode>0.00</c:formatCode>
                <c:ptCount val="24"/>
                <c:pt idx="0">
                  <c:v>57.799113252337122</c:v>
                </c:pt>
                <c:pt idx="1">
                  <c:v>61.777822317087249</c:v>
                </c:pt>
                <c:pt idx="2">
                  <c:v>53.22846164266376</c:v>
                </c:pt>
                <c:pt idx="3">
                  <c:v>15.83596770142999</c:v>
                </c:pt>
                <c:pt idx="4">
                  <c:v>68.319876807257899</c:v>
                </c:pt>
                <c:pt idx="5">
                  <c:v>67.44445891073272</c:v>
                </c:pt>
                <c:pt idx="6">
                  <c:v>65.914823320017987</c:v>
                </c:pt>
                <c:pt idx="7">
                  <c:v>67.261264633293266</c:v>
                </c:pt>
                <c:pt idx="8">
                  <c:v>67.53133804704018</c:v>
                </c:pt>
                <c:pt idx="9">
                  <c:v>68.440832120035736</c:v>
                </c:pt>
                <c:pt idx="10">
                  <c:v>62.428427601667707</c:v>
                </c:pt>
                <c:pt idx="11">
                  <c:v>62.631869911194805</c:v>
                </c:pt>
                <c:pt idx="12">
                  <c:v>63.441964528872155</c:v>
                </c:pt>
                <c:pt idx="13">
                  <c:v>66.873569087833317</c:v>
                </c:pt>
                <c:pt idx="14">
                  <c:v>66.679140020726706</c:v>
                </c:pt>
                <c:pt idx="15">
                  <c:v>66.840645985746988</c:v>
                </c:pt>
                <c:pt idx="16">
                  <c:v>56.309986934508949</c:v>
                </c:pt>
                <c:pt idx="17">
                  <c:v>61.126513553899898</c:v>
                </c:pt>
                <c:pt idx="18">
                  <c:v>63.21366631821347</c:v>
                </c:pt>
                <c:pt idx="19">
                  <c:v>64.676900559795769</c:v>
                </c:pt>
                <c:pt idx="20">
                  <c:v>64.007288608525243</c:v>
                </c:pt>
                <c:pt idx="21">
                  <c:v>66.569381772580357</c:v>
                </c:pt>
                <c:pt idx="22">
                  <c:v>67.001779271276206</c:v>
                </c:pt>
                <c:pt idx="23">
                  <c:v>66.787775012655061</c:v>
                </c:pt>
              </c:numCache>
            </c:numRef>
          </c:val>
        </c:ser>
        <c:hiLowLines/>
        <c:axId val="98170368"/>
        <c:axId val="98171904"/>
      </c:stockChart>
      <c:catAx>
        <c:axId val="98170368"/>
        <c:scaling>
          <c:orientation val="minMax"/>
        </c:scaling>
        <c:axPos val="b"/>
        <c:tickLblPos val="nextTo"/>
        <c:crossAx val="98171904"/>
        <c:crosses val="autoZero"/>
        <c:auto val="1"/>
        <c:lblAlgn val="ctr"/>
        <c:lblOffset val="100"/>
      </c:catAx>
      <c:valAx>
        <c:axId val="98171904"/>
        <c:scaling>
          <c:orientation val="minMax"/>
        </c:scaling>
        <c:axPos val="l"/>
        <c:majorGridlines/>
        <c:numFmt formatCode="0.00" sourceLinked="1"/>
        <c:tickLblPos val="nextTo"/>
        <c:crossAx val="981703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2005 - vencedor</a:t>
            </a:r>
            <a:r>
              <a:rPr lang="pt-BR" baseline="0"/>
              <a:t> TS - 0.8, SEGUIDO DE CTS 0.2</a:t>
            </a:r>
          </a:p>
        </c:rich>
      </c:tx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Consolidação!$I$4:$I$27</c:f>
              <c:numCache>
                <c:formatCode>0.00</c:formatCode>
                <c:ptCount val="24"/>
                <c:pt idx="0">
                  <c:v>32.15</c:v>
                </c:pt>
                <c:pt idx="1">
                  <c:v>42.87</c:v>
                </c:pt>
                <c:pt idx="2">
                  <c:v>37.229999999999997</c:v>
                </c:pt>
                <c:pt idx="3">
                  <c:v>0</c:v>
                </c:pt>
                <c:pt idx="4">
                  <c:v>55.12</c:v>
                </c:pt>
                <c:pt idx="5">
                  <c:v>52</c:v>
                </c:pt>
                <c:pt idx="6">
                  <c:v>51.83</c:v>
                </c:pt>
                <c:pt idx="7">
                  <c:v>48.99</c:v>
                </c:pt>
                <c:pt idx="8">
                  <c:v>48.99</c:v>
                </c:pt>
                <c:pt idx="9">
                  <c:v>52.04</c:v>
                </c:pt>
                <c:pt idx="10">
                  <c:v>47.46</c:v>
                </c:pt>
                <c:pt idx="11">
                  <c:v>44.4</c:v>
                </c:pt>
                <c:pt idx="12">
                  <c:v>45.93</c:v>
                </c:pt>
                <c:pt idx="13">
                  <c:v>52.01</c:v>
                </c:pt>
                <c:pt idx="14">
                  <c:v>52.05</c:v>
                </c:pt>
                <c:pt idx="15">
                  <c:v>53.14</c:v>
                </c:pt>
                <c:pt idx="16">
                  <c:v>33.68</c:v>
                </c:pt>
                <c:pt idx="17">
                  <c:v>39.81</c:v>
                </c:pt>
                <c:pt idx="18">
                  <c:v>48.69</c:v>
                </c:pt>
                <c:pt idx="19">
                  <c:v>49.93</c:v>
                </c:pt>
                <c:pt idx="20">
                  <c:v>48.99</c:v>
                </c:pt>
                <c:pt idx="21">
                  <c:v>51.68</c:v>
                </c:pt>
                <c:pt idx="22">
                  <c:v>52.05</c:v>
                </c:pt>
                <c:pt idx="23">
                  <c:v>50.52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Consolidação!$J$4:$J$27</c:f>
              <c:numCache>
                <c:formatCode>0.00</c:formatCode>
                <c:ptCount val="24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  <c:pt idx="18">
                  <c:v>110.22</c:v>
                </c:pt>
                <c:pt idx="19">
                  <c:v>111.79</c:v>
                </c:pt>
                <c:pt idx="20">
                  <c:v>111.44</c:v>
                </c:pt>
                <c:pt idx="21">
                  <c:v>116.15</c:v>
                </c:pt>
                <c:pt idx="22">
                  <c:v>119.64</c:v>
                </c:pt>
                <c:pt idx="23">
                  <c:v>118.94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Consolidação!$K$4:$K$27</c:f>
              <c:numCache>
                <c:formatCode>0.00</c:formatCode>
                <c:ptCount val="24"/>
                <c:pt idx="0">
                  <c:v>64.021785706914997</c:v>
                </c:pt>
                <c:pt idx="1">
                  <c:v>68.452801996168631</c:v>
                </c:pt>
                <c:pt idx="2">
                  <c:v>54.133986275616806</c:v>
                </c:pt>
                <c:pt idx="3">
                  <c:v>22.977961815583711</c:v>
                </c:pt>
                <c:pt idx="4">
                  <c:v>76.832036013985856</c:v>
                </c:pt>
                <c:pt idx="5">
                  <c:v>76.091255533515721</c:v>
                </c:pt>
                <c:pt idx="6">
                  <c:v>74.409492249332772</c:v>
                </c:pt>
                <c:pt idx="7">
                  <c:v>71.581264521478971</c:v>
                </c:pt>
                <c:pt idx="8">
                  <c:v>74.607911624903977</c:v>
                </c:pt>
                <c:pt idx="9">
                  <c:v>76.751271156693207</c:v>
                </c:pt>
                <c:pt idx="10">
                  <c:v>70.290097926395603</c:v>
                </c:pt>
                <c:pt idx="11">
                  <c:v>70.250966455667751</c:v>
                </c:pt>
                <c:pt idx="12">
                  <c:v>71.069536353321297</c:v>
                </c:pt>
                <c:pt idx="13">
                  <c:v>74.733400306207528</c:v>
                </c:pt>
                <c:pt idx="14">
                  <c:v>73.880118002727684</c:v>
                </c:pt>
                <c:pt idx="15">
                  <c:v>74.982961324419634</c:v>
                </c:pt>
                <c:pt idx="16">
                  <c:v>61.630140107373961</c:v>
                </c:pt>
                <c:pt idx="17">
                  <c:v>66.507572445941406</c:v>
                </c:pt>
                <c:pt idx="18">
                  <c:v>71.171228153483696</c:v>
                </c:pt>
                <c:pt idx="19">
                  <c:v>72.300588030597723</c:v>
                </c:pt>
                <c:pt idx="20">
                  <c:v>72.52601474736386</c:v>
                </c:pt>
                <c:pt idx="21">
                  <c:v>75.792562808614363</c:v>
                </c:pt>
                <c:pt idx="22">
                  <c:v>75.839746099678493</c:v>
                </c:pt>
                <c:pt idx="23">
                  <c:v>74.401278399146435</c:v>
                </c:pt>
              </c:numCache>
            </c:numRef>
          </c:val>
        </c:ser>
        <c:hiLowLines/>
        <c:axId val="98236288"/>
        <c:axId val="98237824"/>
      </c:stockChart>
      <c:catAx>
        <c:axId val="98236288"/>
        <c:scaling>
          <c:orientation val="minMax"/>
        </c:scaling>
        <c:axPos val="b"/>
        <c:tickLblPos val="nextTo"/>
        <c:crossAx val="98237824"/>
        <c:crosses val="autoZero"/>
        <c:auto val="1"/>
        <c:lblAlgn val="ctr"/>
        <c:lblOffset val="100"/>
      </c:catAx>
      <c:valAx>
        <c:axId val="98237824"/>
        <c:scaling>
          <c:orientation val="minMax"/>
        </c:scaling>
        <c:axPos val="l"/>
        <c:majorGridlines/>
        <c:numFmt formatCode="0.00" sourceLinked="1"/>
        <c:tickLblPos val="nextTo"/>
        <c:crossAx val="9823628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1994-1999'!$C$7:$C$49</c:f>
              <c:strCache>
                <c:ptCount val="1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</c:strCache>
            </c:strRef>
          </c:cat>
          <c:val>
            <c:numRef>
              <c:f>'Results 1994-1999'!$R$7:$R$49</c:f>
              <c:numCache>
                <c:formatCode>0.00</c:formatCode>
                <c:ptCount val="16"/>
                <c:pt idx="0">
                  <c:v>32.150810051826525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0</c:v>
                </c:pt>
                <c:pt idx="4">
                  <c:v>37.520535204470413</c:v>
                </c:pt>
                <c:pt idx="5">
                  <c:v>38.540114965461456</c:v>
                </c:pt>
                <c:pt idx="6">
                  <c:v>37.112703300074003</c:v>
                </c:pt>
                <c:pt idx="7">
                  <c:v>37.724451156668628</c:v>
                </c:pt>
                <c:pt idx="8">
                  <c:v>39.559694726452499</c:v>
                </c:pt>
                <c:pt idx="9">
                  <c:v>39.763610678650707</c:v>
                </c:pt>
                <c:pt idx="10">
                  <c:v>38.336199013263247</c:v>
                </c:pt>
                <c:pt idx="11">
                  <c:v>38.540114965461456</c:v>
                </c:pt>
                <c:pt idx="12">
                  <c:v>38.947946869857873</c:v>
                </c:pt>
                <c:pt idx="13">
                  <c:v>36.50095544347937</c:v>
                </c:pt>
                <c:pt idx="14">
                  <c:v>37.112703300074003</c:v>
                </c:pt>
                <c:pt idx="15">
                  <c:v>37.724451156668628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1994-1999'!$C$7:$C$49</c:f>
              <c:strCache>
                <c:ptCount val="1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</c:strCache>
            </c:strRef>
          </c:cat>
          <c:val>
            <c:numRef>
              <c:f>'Results 1994-1999'!$S$7:$S$49</c:f>
              <c:numCache>
                <c:formatCode>0.00</c:formatCode>
                <c:ptCount val="16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51.228260665590575</c:v>
                </c:pt>
                <c:pt idx="4">
                  <c:v>116.84857606990991</c:v>
                </c:pt>
                <c:pt idx="5">
                  <c:v>119.46458896699743</c:v>
                </c:pt>
                <c:pt idx="6">
                  <c:v>117.72058036893907</c:v>
                </c:pt>
                <c:pt idx="7">
                  <c:v>116.15097263068655</c:v>
                </c:pt>
                <c:pt idx="8">
                  <c:v>116.15097263068655</c:v>
                </c:pt>
                <c:pt idx="9">
                  <c:v>109.87254167767647</c:v>
                </c:pt>
                <c:pt idx="10">
                  <c:v>120.68539498563828</c:v>
                </c:pt>
                <c:pt idx="11">
                  <c:v>120.33659326602661</c:v>
                </c:pt>
                <c:pt idx="12">
                  <c:v>109.87254167767647</c:v>
                </c:pt>
                <c:pt idx="13">
                  <c:v>117.72058036893907</c:v>
                </c:pt>
                <c:pt idx="14">
                  <c:v>118.59258466796825</c:v>
                </c:pt>
                <c:pt idx="15">
                  <c:v>112.13975285515232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  <a:alpha val="94000"/>
                </a:sysClr>
              </a:solidFill>
              <a:ln>
                <a:noFill/>
              </a:ln>
            </c:spPr>
          </c:marker>
          <c:dLbls>
            <c:dLblPos val="t"/>
            <c:showVal val="1"/>
          </c:dLbls>
          <c:cat>
            <c:strRef>
              <c:f>'Results 1994-1999'!$C$7:$C$49</c:f>
              <c:strCache>
                <c:ptCount val="1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</c:strCache>
            </c:strRef>
          </c:cat>
          <c:val>
            <c:numRef>
              <c:f>'Results 1994-1999'!$T$7:$T$49</c:f>
              <c:numCache>
                <c:formatCode>0.00</c:formatCode>
                <c:ptCount val="16"/>
                <c:pt idx="0">
                  <c:v>57.799113252337122</c:v>
                </c:pt>
                <c:pt idx="1">
                  <c:v>61.777822317087249</c:v>
                </c:pt>
                <c:pt idx="2">
                  <c:v>53.22846164266376</c:v>
                </c:pt>
                <c:pt idx="3">
                  <c:v>15.83596770142999</c:v>
                </c:pt>
                <c:pt idx="4">
                  <c:v>66.90527710307542</c:v>
                </c:pt>
                <c:pt idx="5">
                  <c:v>67.820431166876261</c:v>
                </c:pt>
                <c:pt idx="6">
                  <c:v>66.828639250042826</c:v>
                </c:pt>
                <c:pt idx="7">
                  <c:v>66.807977774655782</c:v>
                </c:pt>
                <c:pt idx="8">
                  <c:v>67.780912200108787</c:v>
                </c:pt>
                <c:pt idx="9">
                  <c:v>65.777287220986366</c:v>
                </c:pt>
                <c:pt idx="10">
                  <c:v>68.85701037333115</c:v>
                </c:pt>
                <c:pt idx="11">
                  <c:v>66.89835017832138</c:v>
                </c:pt>
                <c:pt idx="12">
                  <c:v>64.825029475364929</c:v>
                </c:pt>
                <c:pt idx="13">
                  <c:v>67.412894484092334</c:v>
                </c:pt>
                <c:pt idx="14">
                  <c:v>66.843715093241642</c:v>
                </c:pt>
                <c:pt idx="15">
                  <c:v>66.435854178817436</c:v>
                </c:pt>
              </c:numCache>
            </c:numRef>
          </c:val>
        </c:ser>
        <c:hiLowLines/>
        <c:axId val="97281536"/>
        <c:axId val="97283072"/>
      </c:stockChart>
      <c:catAx>
        <c:axId val="97281536"/>
        <c:scaling>
          <c:orientation val="minMax"/>
        </c:scaling>
        <c:axPos val="b"/>
        <c:tickLblPos val="nextTo"/>
        <c:crossAx val="97283072"/>
        <c:crosses val="autoZero"/>
        <c:auto val="1"/>
        <c:lblAlgn val="ctr"/>
        <c:lblOffset val="100"/>
      </c:catAx>
      <c:valAx>
        <c:axId val="97283072"/>
        <c:scaling>
          <c:orientation val="minMax"/>
        </c:scaling>
        <c:axPos val="l"/>
        <c:majorGridlines/>
        <c:numFmt formatCode="0.00" sourceLinked="1"/>
        <c:tickLblPos val="nextTo"/>
        <c:crossAx val="9728153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0,14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1994-1999'!$C$7:$C$67</c:f>
              <c:strCache>
                <c:ptCount val="1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</c:strCache>
            </c:strRef>
          </c:cat>
          <c:val>
            <c:numRef>
              <c:f>'Results 1994-1999'!$D$7:$D$67</c:f>
              <c:numCache>
                <c:formatCode>0.00</c:formatCode>
                <c:ptCount val="16"/>
                <c:pt idx="0">
                  <c:v>32.150810051826525</c:v>
                </c:pt>
                <c:pt idx="1">
                  <c:v>42.867746735768698</c:v>
                </c:pt>
                <c:pt idx="2">
                  <c:v>39.805764826070934</c:v>
                </c:pt>
                <c:pt idx="3">
                  <c:v>0</c:v>
                </c:pt>
                <c:pt idx="4">
                  <c:v>55.115674374559752</c:v>
                </c:pt>
                <c:pt idx="5">
                  <c:v>53.584683419710871</c:v>
                </c:pt>
                <c:pt idx="6">
                  <c:v>52.053692464861996</c:v>
                </c:pt>
                <c:pt idx="7">
                  <c:v>55.115674374559752</c:v>
                </c:pt>
                <c:pt idx="8">
                  <c:v>53.584683419710871</c:v>
                </c:pt>
                <c:pt idx="9">
                  <c:v>50.522701510013114</c:v>
                </c:pt>
                <c:pt idx="10">
                  <c:v>52.053692464861996</c:v>
                </c:pt>
                <c:pt idx="11">
                  <c:v>48.991710555164232</c:v>
                </c:pt>
                <c:pt idx="12">
                  <c:v>48.991710555164232</c:v>
                </c:pt>
                <c:pt idx="13">
                  <c:v>53.584683419710871</c:v>
                </c:pt>
                <c:pt idx="14">
                  <c:v>50.522701510013114</c:v>
                </c:pt>
                <c:pt idx="15">
                  <c:v>59.708647239106398</c:v>
                </c:pt>
              </c:numCache>
            </c:numRef>
          </c:val>
        </c:ser>
        <c:shape val="cylinder"/>
        <c:axId val="97303552"/>
        <c:axId val="97354496"/>
        <c:axId val="0"/>
      </c:bar3DChart>
      <c:catAx>
        <c:axId val="97303552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7354496"/>
        <c:crosses val="autoZero"/>
        <c:auto val="1"/>
        <c:lblAlgn val="ctr"/>
        <c:lblOffset val="100"/>
      </c:catAx>
      <c:valAx>
        <c:axId val="9735449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730355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0,07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1994-1999'!$C$7:$C$67</c:f>
              <c:strCache>
                <c:ptCount val="1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</c:strCache>
            </c:strRef>
          </c:cat>
          <c:val>
            <c:numRef>
              <c:f>'Results 1994-1999'!$E$7:$E$67</c:f>
              <c:numCache>
                <c:formatCode>0.00</c:formatCode>
                <c:ptCount val="16"/>
                <c:pt idx="0">
                  <c:v>77.008155640850319</c:v>
                </c:pt>
                <c:pt idx="1">
                  <c:v>75.9385979236163</c:v>
                </c:pt>
                <c:pt idx="2">
                  <c:v>58.825674447871783</c:v>
                </c:pt>
                <c:pt idx="3">
                  <c:v>10.695577172340323</c:v>
                </c:pt>
                <c:pt idx="4">
                  <c:v>93.051521399360809</c:v>
                </c:pt>
                <c:pt idx="5">
                  <c:v>93.051521399360809</c:v>
                </c:pt>
                <c:pt idx="6">
                  <c:v>87.703732813190655</c:v>
                </c:pt>
                <c:pt idx="7">
                  <c:v>89.842848247658708</c:v>
                </c:pt>
                <c:pt idx="8">
                  <c:v>87.703732813190655</c:v>
                </c:pt>
                <c:pt idx="9">
                  <c:v>83.42550194425452</c:v>
                </c:pt>
                <c:pt idx="10">
                  <c:v>95.190636833828876</c:v>
                </c:pt>
                <c:pt idx="11">
                  <c:v>77.008155640850319</c:v>
                </c:pt>
                <c:pt idx="12">
                  <c:v>84.495059661488568</c:v>
                </c:pt>
                <c:pt idx="13">
                  <c:v>86.634175095956621</c:v>
                </c:pt>
                <c:pt idx="14">
                  <c:v>85.564617378722588</c:v>
                </c:pt>
                <c:pt idx="15">
                  <c:v>83.42550194425452</c:v>
                </c:pt>
              </c:numCache>
            </c:numRef>
          </c:val>
        </c:ser>
        <c:shape val="cylinder"/>
        <c:axId val="85505152"/>
        <c:axId val="85506688"/>
        <c:axId val="0"/>
      </c:bar3DChart>
      <c:catAx>
        <c:axId val="85505152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5506688"/>
        <c:crosses val="autoZero"/>
        <c:auto val="1"/>
        <c:lblAlgn val="ctr"/>
        <c:lblOffset val="100"/>
      </c:catAx>
      <c:valAx>
        <c:axId val="8550668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550515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0,27</a:t>
            </a:r>
          </a:p>
        </c:rich>
      </c:tx>
    </c:title>
    <c:view3D>
      <c:rAngAx val="1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showVal val="1"/>
          </c:dLbls>
          <c:cat>
            <c:strRef>
              <c:f>'Results 1994-1999'!$C$7:$C$67</c:f>
              <c:strCache>
                <c:ptCount val="1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</c:strCache>
            </c:strRef>
          </c:cat>
          <c:val>
            <c:numRef>
              <c:f>'Results 1994-1999'!$F$7:$F$67</c:f>
              <c:numCache>
                <c:formatCode>0.00</c:formatCode>
                <c:ptCount val="16"/>
                <c:pt idx="0">
                  <c:v>58.315883419674044</c:v>
                </c:pt>
                <c:pt idx="1">
                  <c:v>59.571917831790088</c:v>
                </c:pt>
                <c:pt idx="2">
                  <c:v>37.232448644868803</c:v>
                </c:pt>
                <c:pt idx="3">
                  <c:v>51.228260665590575</c:v>
                </c:pt>
                <c:pt idx="4">
                  <c:v>64.147471761641441</c:v>
                </c:pt>
                <c:pt idx="5">
                  <c:v>64.10261338978016</c:v>
                </c:pt>
                <c:pt idx="6">
                  <c:v>63.609171299305984</c:v>
                </c:pt>
                <c:pt idx="7">
                  <c:v>64.147471761641441</c:v>
                </c:pt>
                <c:pt idx="8">
                  <c:v>63.923179902335001</c:v>
                </c:pt>
                <c:pt idx="9">
                  <c:v>63.340021068138256</c:v>
                </c:pt>
                <c:pt idx="10">
                  <c:v>63.788604786751144</c:v>
                </c:pt>
                <c:pt idx="11">
                  <c:v>63.654029671167287</c:v>
                </c:pt>
                <c:pt idx="12">
                  <c:v>62.128845027883493</c:v>
                </c:pt>
                <c:pt idx="13">
                  <c:v>63.743746414889856</c:v>
                </c:pt>
                <c:pt idx="14">
                  <c:v>63.87832153047372</c:v>
                </c:pt>
                <c:pt idx="15">
                  <c:v>64.506338736531745</c:v>
                </c:pt>
              </c:numCache>
            </c:numRef>
          </c:val>
        </c:ser>
        <c:shape val="cylinder"/>
        <c:axId val="97430528"/>
        <c:axId val="97436416"/>
        <c:axId val="0"/>
      </c:bar3DChart>
      <c:catAx>
        <c:axId val="97430528"/>
        <c:scaling>
          <c:orientation val="minMax"/>
        </c:scaling>
        <c:axPos val="b"/>
        <c:numFmt formatCode="ge\r\a\l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7436416"/>
        <c:crosses val="autoZero"/>
        <c:auto val="1"/>
        <c:lblAlgn val="ctr"/>
        <c:lblOffset val="100"/>
      </c:catAx>
      <c:valAx>
        <c:axId val="9743641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9743052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autoTitleDeleted val="1"/>
    <c:plotArea>
      <c:layout/>
      <c:barChart>
        <c:barDir val="col"/>
        <c:grouping val="clustered"/>
        <c:ser>
          <c:idx val="0"/>
          <c:order val="0"/>
          <c:dLbls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outEnd"/>
            <c:showVal val="1"/>
          </c:dLbls>
          <c:cat>
            <c:strRef>
              <c:f>'Results 1994-1999'!$C$7:$C$67</c:f>
              <c:strCache>
                <c:ptCount val="1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</c:strCache>
            </c:strRef>
          </c:cat>
          <c:val>
            <c:numRef>
              <c:f>'Results 1994-1999'!$G$7:$G$67</c:f>
              <c:numCache>
                <c:formatCode>0.00</c:formatCode>
                <c:ptCount val="16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40.635400334759709</c:v>
                </c:pt>
                <c:pt idx="4">
                  <c:v>116.84857606990991</c:v>
                </c:pt>
                <c:pt idx="5">
                  <c:v>119.46458896699743</c:v>
                </c:pt>
                <c:pt idx="6">
                  <c:v>117.72058036893907</c:v>
                </c:pt>
                <c:pt idx="7">
                  <c:v>116.15097263068655</c:v>
                </c:pt>
                <c:pt idx="8">
                  <c:v>116.15097263068655</c:v>
                </c:pt>
                <c:pt idx="9">
                  <c:v>109.87254167767647</c:v>
                </c:pt>
                <c:pt idx="10">
                  <c:v>120.68539498563828</c:v>
                </c:pt>
                <c:pt idx="11">
                  <c:v>120.33659326602661</c:v>
                </c:pt>
                <c:pt idx="12">
                  <c:v>109.87254167767647</c:v>
                </c:pt>
                <c:pt idx="13">
                  <c:v>117.72058036893907</c:v>
                </c:pt>
                <c:pt idx="14">
                  <c:v>118.59258466796825</c:v>
                </c:pt>
                <c:pt idx="15">
                  <c:v>112.13975285515232</c:v>
                </c:pt>
              </c:numCache>
            </c:numRef>
          </c:val>
        </c:ser>
        <c:dLbls>
          <c:showVal val="1"/>
        </c:dLbls>
        <c:axId val="97493376"/>
        <c:axId val="97494912"/>
      </c:barChart>
      <c:catAx>
        <c:axId val="97493376"/>
        <c:scaling>
          <c:orientation val="minMax"/>
        </c:scaling>
        <c:axPos val="b"/>
        <c:numFmt formatCode="ge\r\a\l" sourceLinked="1"/>
        <c:tickLblPos val="nextTo"/>
        <c:crossAx val="97494912"/>
        <c:crosses val="autoZero"/>
        <c:auto val="1"/>
        <c:lblAlgn val="ctr"/>
        <c:lblOffset val="100"/>
      </c:catAx>
      <c:valAx>
        <c:axId val="97494912"/>
        <c:scaling>
          <c:orientation val="minMax"/>
        </c:scaling>
        <c:axPos val="l"/>
        <c:majorGridlines/>
        <c:numFmt formatCode="#,##0.00" sourceLinked="0"/>
        <c:tickLblPos val="nextTo"/>
        <c:crossAx val="97493376"/>
        <c:crosses val="autoZero"/>
        <c:crossBetween val="between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6"/>
  <c:chart>
    <c:autoTitleDeleted val="1"/>
    <c:plotArea>
      <c:layout/>
      <c:barChart>
        <c:barDir val="col"/>
        <c:grouping val="clustered"/>
        <c:ser>
          <c:idx val="0"/>
          <c:order val="0"/>
          <c:dLbls>
            <c:dLblPos val="ctr"/>
            <c:showVal val="1"/>
          </c:dLbls>
          <c:cat>
            <c:strRef>
              <c:f>'Results 1994-1999'!$C$7:$C$67</c:f>
              <c:strCache>
                <c:ptCount val="16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(β = 0.8, α = 0.8) </c:v>
                </c:pt>
                <c:pt idx="8">
                  <c:v>CTS (β = 0.8, α = 0.5) </c:v>
                </c:pt>
                <c:pt idx="9">
                  <c:v>CTS (β = 0.8, α = 0.2) </c:v>
                </c:pt>
                <c:pt idx="10">
                  <c:v>CTS (β = 0.5, α = 0.8) </c:v>
                </c:pt>
                <c:pt idx="11">
                  <c:v>CTS (β = 0.5, α = 0.5) </c:v>
                </c:pt>
                <c:pt idx="12">
                  <c:v>CTS (β = 0.5, α = 0.2) </c:v>
                </c:pt>
                <c:pt idx="13">
                  <c:v>CTS (β = 0.2, α = 0.8) </c:v>
                </c:pt>
                <c:pt idx="14">
                  <c:v>CTS (β = 0.2, α = 0.5) </c:v>
                </c:pt>
                <c:pt idx="15">
                  <c:v>CTS (β = 0.2, α = 0.2) </c:v>
                </c:pt>
              </c:strCache>
            </c:strRef>
          </c:cat>
          <c:val>
            <c:numRef>
              <c:f>'Results 1994-1999'!$H$7:$H$67</c:f>
              <c:numCache>
                <c:formatCode>0.00</c:formatCode>
                <c:ptCount val="16"/>
                <c:pt idx="0">
                  <c:v>51.132779015227761</c:v>
                </c:pt>
                <c:pt idx="1">
                  <c:v>52.792399793350768</c:v>
                </c:pt>
                <c:pt idx="2">
                  <c:v>50.570428173053855</c:v>
                </c:pt>
                <c:pt idx="3">
                  <c:v>12.33057090522794</c:v>
                </c:pt>
                <c:pt idx="4">
                  <c:v>52.380923567369862</c:v>
                </c:pt>
                <c:pt idx="5">
                  <c:v>51.832288599395305</c:v>
                </c:pt>
                <c:pt idx="6">
                  <c:v>51.996879089787676</c:v>
                </c:pt>
                <c:pt idx="7">
                  <c:v>52.545514057762219</c:v>
                </c:pt>
                <c:pt idx="8">
                  <c:v>52.531798183562863</c:v>
                </c:pt>
                <c:pt idx="9">
                  <c:v>52.559229931961582</c:v>
                </c:pt>
                <c:pt idx="10">
                  <c:v>52.038026712385758</c:v>
                </c:pt>
                <c:pt idx="11">
                  <c:v>52.353491818971129</c:v>
                </c:pt>
                <c:pt idx="12">
                  <c:v>52.243764825376218</c:v>
                </c:pt>
                <c:pt idx="13">
                  <c:v>52.202617202778129</c:v>
                </c:pt>
                <c:pt idx="14">
                  <c:v>52.394639441569218</c:v>
                </c:pt>
                <c:pt idx="15">
                  <c:v>52.504366435164123</c:v>
                </c:pt>
              </c:numCache>
            </c:numRef>
          </c:val>
        </c:ser>
        <c:dLbls>
          <c:showVal val="1"/>
        </c:dLbls>
        <c:axId val="97534336"/>
        <c:axId val="97535872"/>
      </c:barChart>
      <c:catAx>
        <c:axId val="97534336"/>
        <c:scaling>
          <c:orientation val="minMax"/>
        </c:scaling>
        <c:axPos val="b"/>
        <c:majorGridlines/>
        <c:numFmt formatCode="ge\r\a\l" sourceLinked="1"/>
        <c:majorTickMark val="none"/>
        <c:tickLblPos val="nextTo"/>
        <c:crossAx val="97535872"/>
        <c:crosses val="autoZero"/>
        <c:auto val="1"/>
        <c:lblAlgn val="ctr"/>
        <c:lblOffset val="100"/>
      </c:catAx>
      <c:valAx>
        <c:axId val="97535872"/>
        <c:scaling>
          <c:orientation val="minMax"/>
        </c:scaling>
        <c:axPos val="l"/>
        <c:majorGridlines/>
        <c:numFmt formatCode="#,##0.00" sourceLinked="0"/>
        <c:tickLblPos val="nextTo"/>
        <c:crossAx val="97534336"/>
        <c:crosses val="autoZero"/>
        <c:crossBetween val="between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plotArea>
      <c:layout/>
      <c:stockChart>
        <c:ser>
          <c:idx val="0"/>
          <c:order val="0"/>
          <c:tx>
            <c:strRef>
              <c:f>'BOX PLOT'!$C$26</c:f>
              <c:strCache>
                <c:ptCount val="1"/>
                <c:pt idx="0">
                  <c:v>BAIXO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Pos val="t"/>
            <c:showVal val="1"/>
          </c:dLbls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PLOT'!$D$26:$U$26</c:f>
              <c:numCache>
                <c:formatCode>General</c:formatCode>
                <c:ptCount val="18"/>
                <c:pt idx="0">
                  <c:v>32.15</c:v>
                </c:pt>
                <c:pt idx="1">
                  <c:v>36.908787347875801</c:v>
                </c:pt>
                <c:pt idx="2">
                  <c:v>33.24</c:v>
                </c:pt>
                <c:pt idx="3">
                  <c:v>0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</c:numCache>
            </c:numRef>
          </c:val>
        </c:ser>
        <c:ser>
          <c:idx val="1"/>
          <c:order val="1"/>
          <c:tx>
            <c:strRef>
              <c:f>'BOX PLOT'!$C$27</c:f>
              <c:strCache>
                <c:ptCount val="1"/>
                <c:pt idx="0">
                  <c:v>ALTO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PLOT'!$D$27:$U$27</c:f>
              <c:numCache>
                <c:formatCode>General</c:formatCode>
                <c:ptCount val="18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 formatCode="0.00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</c:numCache>
            </c:numRef>
          </c:val>
        </c:ser>
        <c:ser>
          <c:idx val="2"/>
          <c:order val="2"/>
          <c:tx>
            <c:strRef>
              <c:f>'BOX PLOT'!$C$28</c:f>
              <c:strCache>
                <c:ptCount val="1"/>
                <c:pt idx="0">
                  <c:v>PREDITOR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PLOT'!$D$28:$U$28</c:f>
              <c:numCache>
                <c:formatCode>General</c:formatCode>
                <c:ptCount val="18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</c:numCache>
            </c:numRef>
          </c:val>
        </c:ser>
        <c:ser>
          <c:idx val="3"/>
          <c:order val="3"/>
          <c:tx>
            <c:strRef>
              <c:f>'BOX PLOT'!$C$29</c:f>
              <c:strCache>
                <c:ptCount val="1"/>
                <c:pt idx="0">
                  <c:v>VALOR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PLOT'!$D$29:$U$29</c:f>
              <c:numCache>
                <c:formatCode>General</c:formatCode>
                <c:ptCount val="18"/>
                <c:pt idx="0" formatCode="0.00">
                  <c:v>57.799113252337122</c:v>
                </c:pt>
                <c:pt idx="1">
                  <c:v>61.777822317087249</c:v>
                </c:pt>
                <c:pt idx="2">
                  <c:v>53.22</c:v>
                </c:pt>
                <c:pt idx="3">
                  <c:v>15.83</c:v>
                </c:pt>
                <c:pt idx="4">
                  <c:v>68.319876807257899</c:v>
                </c:pt>
                <c:pt idx="5">
                  <c:v>67.44445891073272</c:v>
                </c:pt>
                <c:pt idx="6">
                  <c:v>65.914823320017987</c:v>
                </c:pt>
                <c:pt idx="7">
                  <c:v>67.261264633293266</c:v>
                </c:pt>
                <c:pt idx="8">
                  <c:v>67.53133804704018</c:v>
                </c:pt>
                <c:pt idx="9">
                  <c:v>68.440832120035736</c:v>
                </c:pt>
                <c:pt idx="10">
                  <c:v>62.428427601667707</c:v>
                </c:pt>
                <c:pt idx="11">
                  <c:v>62.631869911194805</c:v>
                </c:pt>
                <c:pt idx="12">
                  <c:v>63.441964528872155</c:v>
                </c:pt>
                <c:pt idx="13">
                  <c:v>66.873569087833317</c:v>
                </c:pt>
                <c:pt idx="14">
                  <c:v>66.679140020726706</c:v>
                </c:pt>
                <c:pt idx="15">
                  <c:v>66.840645985746988</c:v>
                </c:pt>
                <c:pt idx="16">
                  <c:v>56.309986934508949</c:v>
                </c:pt>
                <c:pt idx="17">
                  <c:v>61.126513553899898</c:v>
                </c:pt>
              </c:numCache>
            </c:numRef>
          </c:val>
        </c:ser>
        <c:dLbls>
          <c:showVal val="1"/>
        </c:dLbls>
        <c:hiLowLines/>
        <c:upDownBars>
          <c:gapWidth val="150"/>
          <c:upBars/>
          <c:downBars/>
        </c:upDownBars>
        <c:axId val="97982720"/>
        <c:axId val="97992704"/>
      </c:stockChart>
      <c:catAx>
        <c:axId val="97982720"/>
        <c:scaling>
          <c:orientation val="minMax"/>
        </c:scaling>
        <c:axPos val="b"/>
        <c:majorTickMark val="none"/>
        <c:tickLblPos val="nextTo"/>
        <c:crossAx val="97992704"/>
        <c:crosses val="autoZero"/>
        <c:auto val="1"/>
        <c:lblAlgn val="ctr"/>
        <c:lblOffset val="100"/>
      </c:catAx>
      <c:valAx>
        <c:axId val="9799270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Performance versus</a:t>
                </a:r>
                <a:r>
                  <a:rPr lang="pt-BR" baseline="0"/>
                  <a:t> random predictor</a:t>
                </a:r>
                <a:endParaRPr lang="pt-BR"/>
              </a:p>
            </c:rich>
          </c:tx>
        </c:title>
        <c:numFmt formatCode="General" sourceLinked="1"/>
        <c:majorTickMark val="none"/>
        <c:tickLblPos val="nextTo"/>
        <c:crossAx val="9798272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1999 VENCEDOR</a:t>
            </a:r>
            <a:r>
              <a:rPr lang="pt-BR" baseline="0"/>
              <a:t> CTS 0.8 SEGUIDO DE TS 0.8</a:t>
            </a:r>
            <a:endParaRPr lang="pt-BR"/>
          </a:p>
        </c:rich>
      </c:tx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Consolidação!$F$4:$F$27</c:f>
              <c:numCache>
                <c:formatCode>0.00</c:formatCode>
                <c:ptCount val="24"/>
                <c:pt idx="0">
                  <c:v>37.93</c:v>
                </c:pt>
                <c:pt idx="1">
                  <c:v>36.908787347875801</c:v>
                </c:pt>
                <c:pt idx="2">
                  <c:v>33.24</c:v>
                </c:pt>
                <c:pt idx="3">
                  <c:v>2.41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  <c:pt idx="18">
                  <c:v>37.72</c:v>
                </c:pt>
                <c:pt idx="19">
                  <c:v>37.32</c:v>
                </c:pt>
                <c:pt idx="20">
                  <c:v>35.89</c:v>
                </c:pt>
                <c:pt idx="21">
                  <c:v>38.950000000000003</c:v>
                </c:pt>
                <c:pt idx="22">
                  <c:v>40.58</c:v>
                </c:pt>
                <c:pt idx="23">
                  <c:v>39.15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Consolidação!$G$4:$G$27</c:f>
              <c:numCache>
                <c:formatCode>0.00</c:formatCode>
                <c:ptCount val="24"/>
                <c:pt idx="0">
                  <c:v>63.65</c:v>
                </c:pt>
                <c:pt idx="1">
                  <c:v>66.150000000000006</c:v>
                </c:pt>
                <c:pt idx="2">
                  <c:v>66.239999999999995</c:v>
                </c:pt>
                <c:pt idx="3">
                  <c:v>26.54</c:v>
                </c:pt>
                <c:pt idx="4">
                  <c:v>83.1</c:v>
                </c:pt>
                <c:pt idx="5">
                  <c:v>80.7</c:v>
                </c:pt>
                <c:pt idx="6">
                  <c:v>79.489999999999995</c:v>
                </c:pt>
                <c:pt idx="7">
                  <c:v>91.54</c:v>
                </c:pt>
                <c:pt idx="8">
                  <c:v>85.51</c:v>
                </c:pt>
                <c:pt idx="9">
                  <c:v>85.51</c:v>
                </c:pt>
                <c:pt idx="10">
                  <c:v>72.27</c:v>
                </c:pt>
                <c:pt idx="11">
                  <c:v>69.86</c:v>
                </c:pt>
                <c:pt idx="12">
                  <c:v>71.06</c:v>
                </c:pt>
                <c:pt idx="13">
                  <c:v>73.47</c:v>
                </c:pt>
                <c:pt idx="14">
                  <c:v>72.27</c:v>
                </c:pt>
                <c:pt idx="15">
                  <c:v>73.47</c:v>
                </c:pt>
                <c:pt idx="16">
                  <c:v>64.900000000000006</c:v>
                </c:pt>
                <c:pt idx="17">
                  <c:v>68.650000000000006</c:v>
                </c:pt>
                <c:pt idx="18">
                  <c:v>74.67</c:v>
                </c:pt>
                <c:pt idx="19">
                  <c:v>74.67</c:v>
                </c:pt>
                <c:pt idx="20">
                  <c:v>68.650000000000006</c:v>
                </c:pt>
                <c:pt idx="21">
                  <c:v>72.27</c:v>
                </c:pt>
                <c:pt idx="22">
                  <c:v>69.89</c:v>
                </c:pt>
                <c:pt idx="23">
                  <c:v>71.14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Consolidação!$H$4:$H$27</c:f>
              <c:numCache>
                <c:formatCode>0.00</c:formatCode>
                <c:ptCount val="24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59.807717600529955</c:v>
                </c:pt>
                <c:pt idx="5">
                  <c:v>58.79766228794972</c:v>
                </c:pt>
                <c:pt idx="6">
                  <c:v>57.420154390703189</c:v>
                </c:pt>
                <c:pt idx="7">
                  <c:v>62.94126474510756</c:v>
                </c:pt>
                <c:pt idx="8">
                  <c:v>60.454764469176368</c:v>
                </c:pt>
                <c:pt idx="9">
                  <c:v>60.130393083378259</c:v>
                </c:pt>
                <c:pt idx="10">
                  <c:v>54.566757276939811</c:v>
                </c:pt>
                <c:pt idx="11">
                  <c:v>55.012773366721866</c:v>
                </c:pt>
                <c:pt idx="12">
                  <c:v>55.814392704423014</c:v>
                </c:pt>
                <c:pt idx="13">
                  <c:v>59.013737869459099</c:v>
                </c:pt>
                <c:pt idx="14">
                  <c:v>59.478162038725735</c:v>
                </c:pt>
                <c:pt idx="15">
                  <c:v>58.698330647074314</c:v>
                </c:pt>
                <c:pt idx="16">
                  <c:v>50.989833761643936</c:v>
                </c:pt>
                <c:pt idx="17">
                  <c:v>55.745454661858368</c:v>
                </c:pt>
                <c:pt idx="18">
                  <c:v>55.25610448294325</c:v>
                </c:pt>
                <c:pt idx="19">
                  <c:v>57.053213088993814</c:v>
                </c:pt>
                <c:pt idx="20">
                  <c:v>55.488562469686634</c:v>
                </c:pt>
                <c:pt idx="21">
                  <c:v>57.346200736546351</c:v>
                </c:pt>
                <c:pt idx="22">
                  <c:v>58.163812442873926</c:v>
                </c:pt>
                <c:pt idx="23">
                  <c:v>59.174271626163673</c:v>
                </c:pt>
              </c:numCache>
            </c:numRef>
          </c:val>
        </c:ser>
        <c:hiLowLines/>
        <c:axId val="98083968"/>
        <c:axId val="98085504"/>
      </c:stockChart>
      <c:catAx>
        <c:axId val="98083968"/>
        <c:scaling>
          <c:orientation val="minMax"/>
        </c:scaling>
        <c:axPos val="b"/>
        <c:tickLblPos val="nextTo"/>
        <c:crossAx val="98085504"/>
        <c:crosses val="autoZero"/>
        <c:auto val="1"/>
        <c:lblAlgn val="ctr"/>
        <c:lblOffset val="100"/>
      </c:catAx>
      <c:valAx>
        <c:axId val="98085504"/>
        <c:scaling>
          <c:orientation val="minMax"/>
        </c:scaling>
        <c:axPos val="l"/>
        <c:majorGridlines/>
        <c:numFmt formatCode="0.00" sourceLinked="1"/>
        <c:tickLblPos val="nextTo"/>
        <c:crossAx val="980839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109903</xdr:colOff>
      <xdr:row>68</xdr:row>
      <xdr:rowOff>44450</xdr:rowOff>
    </xdr:from>
    <xdr:to>
      <xdr:col>9</xdr:col>
      <xdr:colOff>190500</xdr:colOff>
      <xdr:row>83</xdr:row>
      <xdr:rowOff>14654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586154</xdr:colOff>
      <xdr:row>78</xdr:row>
      <xdr:rowOff>73268</xdr:rowOff>
    </xdr:from>
    <xdr:to>
      <xdr:col>19</xdr:col>
      <xdr:colOff>355600</xdr:colOff>
      <xdr:row>97</xdr:row>
      <xdr:rowOff>29307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28575</xdr:rowOff>
    </xdr:from>
    <xdr:to>
      <xdr:col>21</xdr:col>
      <xdr:colOff>180974</xdr:colOff>
      <xdr:row>33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447674</xdr:colOff>
      <xdr:row>2</xdr:row>
      <xdr:rowOff>57149</xdr:rowOff>
    </xdr:from>
    <xdr:to>
      <xdr:col>14</xdr:col>
      <xdr:colOff>409469</xdr:colOff>
      <xdr:row>25</xdr:row>
      <xdr:rowOff>704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5</xdr:row>
      <xdr:rowOff>66675</xdr:rowOff>
    </xdr:from>
    <xdr:to>
      <xdr:col>13</xdr:col>
      <xdr:colOff>561540</xdr:colOff>
      <xdr:row>27</xdr:row>
      <xdr:rowOff>134054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95249</xdr:rowOff>
    </xdr:from>
    <xdr:to>
      <xdr:col>16</xdr:col>
      <xdr:colOff>28440</xdr:colOff>
      <xdr:row>30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123822</xdr:colOff>
      <xdr:row>8</xdr:row>
      <xdr:rowOff>104774</xdr:rowOff>
    </xdr:from>
    <xdr:to>
      <xdr:col>21</xdr:col>
      <xdr:colOff>390525</xdr:colOff>
      <xdr:row>31</xdr:row>
      <xdr:rowOff>114299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6</xdr:row>
      <xdr:rowOff>76200</xdr:rowOff>
    </xdr:from>
    <xdr:to>
      <xdr:col>19</xdr:col>
      <xdr:colOff>333374</xdr:colOff>
      <xdr:row>32</xdr:row>
      <xdr:rowOff>38099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31</xdr:row>
      <xdr:rowOff>71436</xdr:rowOff>
    </xdr:from>
    <xdr:to>
      <xdr:col>19</xdr:col>
      <xdr:colOff>95249</xdr:colOff>
      <xdr:row>48</xdr:row>
      <xdr:rowOff>114300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476250</xdr:colOff>
      <xdr:row>29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</xdr:row>
      <xdr:rowOff>0</xdr:rowOff>
    </xdr:from>
    <xdr:to>
      <xdr:col>21</xdr:col>
      <xdr:colOff>552449</xdr:colOff>
      <xdr:row>27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5"/>
  <sheetViews>
    <sheetView zoomScaleNormal="100" workbookViewId="0">
      <selection activeCell="B14" sqref="B14:I14"/>
    </sheetView>
  </sheetViews>
  <sheetFormatPr defaultRowHeight="15"/>
  <cols>
    <col min="2" max="2" width="8.5703125"/>
    <col min="6" max="6" width="13"/>
    <col min="8" max="8" width="7.28515625"/>
    <col min="9" max="9" width="11.140625"/>
    <col min="19" max="19" width="33"/>
  </cols>
  <sheetData>
    <row r="2" spans="2:12" ht="32.25" customHeight="1">
      <c r="B2" s="47" t="s">
        <v>0</v>
      </c>
      <c r="C2" s="47"/>
      <c r="D2" s="47"/>
      <c r="E2" s="47"/>
      <c r="F2" s="47"/>
      <c r="G2" s="47"/>
      <c r="H2" s="47"/>
      <c r="I2" s="47"/>
    </row>
    <row r="3" spans="2:12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>
      <c r="B8" s="6" t="s">
        <v>10</v>
      </c>
      <c r="C8" s="2"/>
      <c r="D8" s="2">
        <v>5345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>
      <c r="B9" s="1"/>
      <c r="C9" s="2"/>
      <c r="D9" s="2"/>
      <c r="E9" s="2"/>
      <c r="F9" s="2"/>
      <c r="G9" s="2"/>
      <c r="H9" s="2"/>
      <c r="I9" s="7"/>
    </row>
    <row r="10" spans="2:12" ht="36" customHeight="1">
      <c r="B10" s="48" t="s">
        <v>11</v>
      </c>
      <c r="C10" s="48"/>
      <c r="D10" s="48"/>
      <c r="E10" s="48"/>
      <c r="F10" s="48"/>
      <c r="G10" s="48"/>
      <c r="H10" s="48"/>
      <c r="I10" s="48"/>
    </row>
    <row r="11" spans="2:12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>
      <c r="B12" s="6" t="s">
        <v>6</v>
      </c>
      <c r="C12" s="2"/>
      <c r="D12" s="2">
        <v>5114</v>
      </c>
      <c r="E12" s="2">
        <v>6227</v>
      </c>
      <c r="F12" s="2">
        <v>18136</v>
      </c>
      <c r="G12" s="2">
        <v>812</v>
      </c>
      <c r="H12" s="2">
        <v>1069</v>
      </c>
      <c r="I12" s="7">
        <v>463</v>
      </c>
    </row>
    <row r="13" spans="2:12">
      <c r="B13" s="6" t="s">
        <v>7</v>
      </c>
      <c r="C13" s="2"/>
      <c r="D13" s="2">
        <v>9098</v>
      </c>
      <c r="E13" s="2">
        <v>13367</v>
      </c>
      <c r="F13" s="2">
        <v>27970</v>
      </c>
      <c r="G13" s="2">
        <v>1893</v>
      </c>
      <c r="H13" s="2">
        <v>2639</v>
      </c>
      <c r="I13" s="7">
        <v>1293</v>
      </c>
    </row>
    <row r="14" spans="2:12">
      <c r="B14" s="6" t="s">
        <v>8</v>
      </c>
      <c r="C14" s="2"/>
      <c r="D14" s="2">
        <v>11728</v>
      </c>
      <c r="E14" s="2">
        <v>16003</v>
      </c>
      <c r="F14" s="2">
        <v>176676</v>
      </c>
      <c r="G14" s="2">
        <v>2476</v>
      </c>
      <c r="H14" s="2">
        <v>13837</v>
      </c>
      <c r="I14" s="7">
        <v>8246</v>
      </c>
    </row>
    <row r="15" spans="2:12">
      <c r="B15" s="6" t="s">
        <v>9</v>
      </c>
      <c r="C15" s="2"/>
      <c r="D15" s="2">
        <v>25280</v>
      </c>
      <c r="E15" s="2">
        <v>22612</v>
      </c>
      <c r="F15" s="2">
        <v>157192</v>
      </c>
      <c r="G15" s="2">
        <v>4437</v>
      </c>
      <c r="H15" s="2">
        <v>12897</v>
      </c>
      <c r="I15" s="7">
        <v>7507</v>
      </c>
    </row>
    <row r="16" spans="2:12">
      <c r="B16" s="6" t="s">
        <v>10</v>
      </c>
      <c r="C16" s="2"/>
      <c r="D16" s="2">
        <v>25280</v>
      </c>
      <c r="E16" s="2">
        <v>22473</v>
      </c>
      <c r="F16" s="2">
        <v>363512</v>
      </c>
      <c r="G16" s="2">
        <v>6197</v>
      </c>
      <c r="H16" s="2">
        <v>52056</v>
      </c>
      <c r="I16" s="7">
        <v>37362</v>
      </c>
    </row>
    <row r="17" spans="1:12">
      <c r="B17" s="1"/>
      <c r="C17" s="2"/>
      <c r="D17" s="2"/>
      <c r="E17" s="2"/>
      <c r="F17" s="2"/>
      <c r="G17" s="2"/>
      <c r="H17" s="2"/>
      <c r="I17" s="7"/>
    </row>
    <row r="18" spans="1:12" ht="24.75" customHeight="1">
      <c r="B18" s="48" t="s">
        <v>12</v>
      </c>
      <c r="C18" s="48"/>
      <c r="D18" s="48"/>
      <c r="E18" s="48"/>
      <c r="F18" s="48"/>
      <c r="G18" s="48"/>
      <c r="H18" s="48"/>
      <c r="I18" s="48"/>
    </row>
    <row r="19" spans="1:12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>
      <c r="B20" s="1"/>
      <c r="C20" s="2"/>
      <c r="D20" s="3"/>
      <c r="E20" s="3"/>
      <c r="F20" s="3"/>
      <c r="G20" s="3"/>
      <c r="H20" s="3"/>
      <c r="I20" s="4"/>
    </row>
    <row r="21" spans="1:12">
      <c r="B21" s="6" t="s">
        <v>6</v>
      </c>
      <c r="C21" s="2"/>
      <c r="D21" s="2">
        <f t="shared" ref="D21:I25" si="0">D4-D12</f>
        <v>-2992</v>
      </c>
      <c r="E21" s="2">
        <f t="shared" si="0"/>
        <v>-2940</v>
      </c>
      <c r="F21" s="2">
        <f t="shared" si="0"/>
        <v>-12412</v>
      </c>
      <c r="G21" s="2">
        <f t="shared" si="0"/>
        <v>-326</v>
      </c>
      <c r="H21" s="2">
        <f t="shared" si="0"/>
        <v>-550</v>
      </c>
      <c r="I21" s="7">
        <f t="shared" si="0"/>
        <v>-63</v>
      </c>
    </row>
    <row r="22" spans="1:12">
      <c r="A22" s="9"/>
      <c r="B22" s="10" t="s">
        <v>7</v>
      </c>
      <c r="C22" s="11"/>
      <c r="D22" s="12">
        <f t="shared" si="0"/>
        <v>-3857</v>
      </c>
      <c r="E22" s="12">
        <f t="shared" si="0"/>
        <v>-3869</v>
      </c>
      <c r="F22" s="12">
        <f t="shared" si="0"/>
        <v>-12128</v>
      </c>
      <c r="G22" s="12">
        <f t="shared" si="0"/>
        <v>-455</v>
      </c>
      <c r="H22" s="12">
        <f t="shared" si="0"/>
        <v>-328</v>
      </c>
      <c r="I22" s="13">
        <f t="shared" si="0"/>
        <v>283</v>
      </c>
      <c r="J22" s="9"/>
    </row>
    <row r="23" spans="1:12">
      <c r="B23" s="14" t="s">
        <v>8</v>
      </c>
      <c r="C23" s="15"/>
      <c r="D23" s="2">
        <f t="shared" si="0"/>
        <v>-6314</v>
      </c>
      <c r="E23" s="2">
        <f t="shared" si="0"/>
        <v>-5749</v>
      </c>
      <c r="F23" s="2">
        <f t="shared" si="0"/>
        <v>-128870</v>
      </c>
      <c r="G23" s="2">
        <f t="shared" si="0"/>
        <v>-686</v>
      </c>
      <c r="H23" s="2">
        <f t="shared" si="0"/>
        <v>-7183</v>
      </c>
      <c r="I23" s="7">
        <f t="shared" si="0"/>
        <v>-4952</v>
      </c>
    </row>
    <row r="24" spans="1:12">
      <c r="B24" s="10" t="s">
        <v>9</v>
      </c>
      <c r="C24" s="11"/>
      <c r="D24" s="12">
        <f t="shared" si="0"/>
        <v>-19811</v>
      </c>
      <c r="E24" s="12">
        <f t="shared" si="0"/>
        <v>-15912</v>
      </c>
      <c r="F24" s="12">
        <f t="shared" si="0"/>
        <v>-137311</v>
      </c>
      <c r="G24" s="12">
        <f t="shared" si="0"/>
        <v>-3184</v>
      </c>
      <c r="H24" s="12">
        <f t="shared" si="0"/>
        <v>-10998</v>
      </c>
      <c r="I24" s="13">
        <f t="shared" si="0"/>
        <v>-6357</v>
      </c>
    </row>
    <row r="25" spans="1:12">
      <c r="B25" s="6" t="s">
        <v>10</v>
      </c>
      <c r="C25" s="16"/>
      <c r="D25" s="2">
        <f t="shared" si="0"/>
        <v>-19935</v>
      </c>
      <c r="E25" s="2">
        <f t="shared" si="0"/>
        <v>-16657</v>
      </c>
      <c r="F25" s="2">
        <f t="shared" si="0"/>
        <v>-321660</v>
      </c>
      <c r="G25" s="2">
        <f t="shared" si="0"/>
        <v>-4636</v>
      </c>
      <c r="H25" s="2">
        <f t="shared" si="0"/>
        <v>-45878</v>
      </c>
      <c r="I25" s="7">
        <f t="shared" si="0"/>
        <v>-31611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B2:K27"/>
  <sheetViews>
    <sheetView workbookViewId="0">
      <selection activeCell="N14" sqref="N14"/>
    </sheetView>
  </sheetViews>
  <sheetFormatPr defaultRowHeight="15"/>
  <cols>
    <col min="2" max="2" width="26.5703125" bestFit="1" customWidth="1"/>
    <col min="3" max="3" width="10" customWidth="1"/>
    <col min="4" max="4" width="10.42578125" customWidth="1"/>
    <col min="5" max="5" width="10.140625" bestFit="1" customWidth="1"/>
    <col min="6" max="8" width="9.140625" customWidth="1"/>
    <col min="9" max="9" width="12" customWidth="1"/>
    <col min="10" max="10" width="9.140625" customWidth="1"/>
    <col min="11" max="11" width="12" customWidth="1"/>
  </cols>
  <sheetData>
    <row r="2" spans="2:11">
      <c r="B2" s="2"/>
      <c r="C2" s="28" t="s">
        <v>71</v>
      </c>
      <c r="D2" s="28" t="s">
        <v>72</v>
      </c>
      <c r="E2" s="28" t="s">
        <v>73</v>
      </c>
      <c r="F2" s="30" t="s">
        <v>71</v>
      </c>
      <c r="G2" s="30" t="s">
        <v>72</v>
      </c>
      <c r="H2" s="30">
        <v>1999</v>
      </c>
      <c r="I2" s="32" t="s">
        <v>71</v>
      </c>
      <c r="J2" s="32" t="s">
        <v>72</v>
      </c>
      <c r="K2" s="32">
        <v>2005</v>
      </c>
    </row>
    <row r="3" spans="2:11">
      <c r="B3" s="2" t="s">
        <v>36</v>
      </c>
      <c r="C3" s="29"/>
      <c r="D3" s="29"/>
      <c r="E3" s="29">
        <v>0.15277538017018943</v>
      </c>
      <c r="F3" s="31"/>
      <c r="G3" s="31"/>
      <c r="H3" s="31">
        <v>0.15450148607375971</v>
      </c>
      <c r="I3" s="33"/>
      <c r="J3" s="33"/>
      <c r="K3" s="33">
        <v>0.15104927426661915</v>
      </c>
    </row>
    <row r="4" spans="2:11">
      <c r="B4" s="2" t="s">
        <v>15</v>
      </c>
      <c r="C4" s="29">
        <v>32.15</v>
      </c>
      <c r="D4" s="29">
        <v>101.5</v>
      </c>
      <c r="E4" s="29">
        <v>57.799113252337122</v>
      </c>
      <c r="F4" s="31">
        <v>37.93</v>
      </c>
      <c r="G4" s="31">
        <v>63.65</v>
      </c>
      <c r="H4" s="31">
        <v>51.576440797759247</v>
      </c>
      <c r="I4" s="33">
        <v>32.15</v>
      </c>
      <c r="J4" s="33">
        <v>101.5</v>
      </c>
      <c r="K4" s="33">
        <v>64.021785706914997</v>
      </c>
    </row>
    <row r="5" spans="2:11">
      <c r="B5" s="2" t="s">
        <v>17</v>
      </c>
      <c r="C5" s="29">
        <v>36.908787347875801</v>
      </c>
      <c r="D5" s="29">
        <v>111.09334769631732</v>
      </c>
      <c r="E5" s="29">
        <v>61.777822317087249</v>
      </c>
      <c r="F5" s="31">
        <v>36.908787347875801</v>
      </c>
      <c r="G5" s="31">
        <v>66.150000000000006</v>
      </c>
      <c r="H5" s="31">
        <v>55.102842638005868</v>
      </c>
      <c r="I5" s="33">
        <v>42.87</v>
      </c>
      <c r="J5" s="33">
        <v>111.09334769631732</v>
      </c>
      <c r="K5" s="33">
        <v>68.452801996168631</v>
      </c>
    </row>
    <row r="6" spans="2:11">
      <c r="B6" s="2" t="s">
        <v>19</v>
      </c>
      <c r="C6" s="29">
        <v>33.24</v>
      </c>
      <c r="D6" s="29">
        <v>84.24</v>
      </c>
      <c r="E6" s="29">
        <v>53.22846164266376</v>
      </c>
      <c r="F6" s="31">
        <v>33.24</v>
      </c>
      <c r="G6" s="31">
        <v>66.239999999999995</v>
      </c>
      <c r="H6" s="31">
        <v>52.322937009710721</v>
      </c>
      <c r="I6" s="33">
        <v>37.229999999999997</v>
      </c>
      <c r="J6" s="33">
        <v>84.24</v>
      </c>
      <c r="K6" s="33">
        <v>54.133986275616806</v>
      </c>
    </row>
    <row r="7" spans="2:11">
      <c r="B7" s="2" t="s">
        <v>21</v>
      </c>
      <c r="C7" s="29">
        <v>0</v>
      </c>
      <c r="D7" s="29">
        <v>51.23</v>
      </c>
      <c r="E7" s="29">
        <v>15.83596770142999</v>
      </c>
      <c r="F7" s="31">
        <v>2.41</v>
      </c>
      <c r="G7" s="31">
        <v>26.54</v>
      </c>
      <c r="H7" s="31">
        <v>8.6939735872762718</v>
      </c>
      <c r="I7" s="33">
        <v>0</v>
      </c>
      <c r="J7" s="33">
        <v>51.23</v>
      </c>
      <c r="K7" s="33">
        <v>22.977961815583711</v>
      </c>
    </row>
    <row r="8" spans="2:11">
      <c r="B8" s="2" t="s">
        <v>39</v>
      </c>
      <c r="C8" s="29">
        <v>38.540114965461456</v>
      </c>
      <c r="D8" s="29">
        <v>119.46458896699743</v>
      </c>
      <c r="E8" s="29">
        <v>68.319876807257899</v>
      </c>
      <c r="F8" s="31">
        <v>38.540114965461456</v>
      </c>
      <c r="G8" s="31">
        <v>83.1</v>
      </c>
      <c r="H8" s="31">
        <v>59.807717600529955</v>
      </c>
      <c r="I8" s="33">
        <v>55.12</v>
      </c>
      <c r="J8" s="33">
        <v>119.46458896699743</v>
      </c>
      <c r="K8" s="33">
        <v>76.832036013985856</v>
      </c>
    </row>
    <row r="9" spans="2:11">
      <c r="B9" s="2" t="s">
        <v>38</v>
      </c>
      <c r="C9" s="29">
        <v>37.520535204470413</v>
      </c>
      <c r="D9" s="29">
        <v>117.72058036893907</v>
      </c>
      <c r="E9" s="29">
        <v>67.44445891073272</v>
      </c>
      <c r="F9" s="31">
        <v>37.520535204470413</v>
      </c>
      <c r="G9" s="31">
        <v>80.7</v>
      </c>
      <c r="H9" s="31">
        <v>58.79766228794972</v>
      </c>
      <c r="I9" s="33">
        <v>52</v>
      </c>
      <c r="J9" s="33">
        <v>117.72058036893907</v>
      </c>
      <c r="K9" s="33">
        <v>76.091255533515721</v>
      </c>
    </row>
    <row r="10" spans="2:11">
      <c r="B10" s="2" t="s">
        <v>37</v>
      </c>
      <c r="C10" s="29">
        <v>37.112703300074003</v>
      </c>
      <c r="D10" s="29">
        <v>116.84857606990991</v>
      </c>
      <c r="E10" s="29">
        <v>65.914823320017987</v>
      </c>
      <c r="F10" s="31">
        <v>37.112703300074003</v>
      </c>
      <c r="G10" s="31">
        <v>79.489999999999995</v>
      </c>
      <c r="H10" s="31">
        <v>57.420154390703189</v>
      </c>
      <c r="I10" s="33">
        <v>51.83</v>
      </c>
      <c r="J10" s="33">
        <v>116.84857606990991</v>
      </c>
      <c r="K10" s="33">
        <v>74.409492249332772</v>
      </c>
    </row>
    <row r="11" spans="2:11">
      <c r="B11" s="2" t="s">
        <v>40</v>
      </c>
      <c r="C11" s="29">
        <v>38.132283061065039</v>
      </c>
      <c r="D11" s="29">
        <v>110.04694253748231</v>
      </c>
      <c r="E11" s="29">
        <v>67.261264633293266</v>
      </c>
      <c r="F11" s="31">
        <v>38.132283061065039</v>
      </c>
      <c r="G11" s="31">
        <v>91.54</v>
      </c>
      <c r="H11" s="31">
        <v>62.94126474510756</v>
      </c>
      <c r="I11" s="33">
        <v>48.99</v>
      </c>
      <c r="J11" s="33">
        <v>110.04694253748231</v>
      </c>
      <c r="K11" s="33">
        <v>71.581264521478971</v>
      </c>
    </row>
    <row r="12" spans="2:11">
      <c r="B12" s="2" t="s">
        <v>41</v>
      </c>
      <c r="C12" s="29">
        <v>38.336199013263247</v>
      </c>
      <c r="D12" s="29">
        <v>120.33659326602661</v>
      </c>
      <c r="E12" s="29">
        <v>67.53133804704018</v>
      </c>
      <c r="F12" s="31">
        <v>38.336199013263247</v>
      </c>
      <c r="G12" s="31">
        <v>85.51</v>
      </c>
      <c r="H12" s="31">
        <v>60.454764469176368</v>
      </c>
      <c r="I12" s="33">
        <v>48.99</v>
      </c>
      <c r="J12" s="33">
        <v>120.33659326602661</v>
      </c>
      <c r="K12" s="33">
        <v>74.607911624903977</v>
      </c>
    </row>
    <row r="13" spans="2:11">
      <c r="B13" s="2" t="s">
        <v>42</v>
      </c>
      <c r="C13" s="29">
        <v>38.336199013263247</v>
      </c>
      <c r="D13" s="29">
        <v>120.68539498563828</v>
      </c>
      <c r="E13" s="29">
        <v>68.440832120035736</v>
      </c>
      <c r="F13" s="31">
        <v>38.336199013263247</v>
      </c>
      <c r="G13" s="31">
        <v>85.51</v>
      </c>
      <c r="H13" s="31">
        <v>60.130393083378259</v>
      </c>
      <c r="I13" s="33">
        <v>52.04</v>
      </c>
      <c r="J13" s="33">
        <v>120.68539498563828</v>
      </c>
      <c r="K13" s="33">
        <v>76.751271156693207</v>
      </c>
    </row>
    <row r="14" spans="2:11">
      <c r="B14" s="24" t="s">
        <v>43</v>
      </c>
      <c r="C14" s="29">
        <v>35.685291634686529</v>
      </c>
      <c r="D14" s="29">
        <v>109.69814081787064</v>
      </c>
      <c r="E14" s="29">
        <v>62.428427601667707</v>
      </c>
      <c r="F14" s="31">
        <v>35.685291634686529</v>
      </c>
      <c r="G14" s="31">
        <v>72.27</v>
      </c>
      <c r="H14" s="31">
        <v>54.566757276939811</v>
      </c>
      <c r="I14" s="33">
        <v>47.46</v>
      </c>
      <c r="J14" s="33">
        <v>109.69814081787064</v>
      </c>
      <c r="K14" s="33">
        <v>70.290097926395603</v>
      </c>
    </row>
    <row r="15" spans="2:11">
      <c r="B15" s="24" t="s">
        <v>44</v>
      </c>
      <c r="C15" s="29">
        <v>36.297039491281161</v>
      </c>
      <c r="D15" s="29">
        <v>112.488554574764</v>
      </c>
      <c r="E15" s="29">
        <v>62.631869911194805</v>
      </c>
      <c r="F15" s="31">
        <v>36.297039491281161</v>
      </c>
      <c r="G15" s="31">
        <v>69.86</v>
      </c>
      <c r="H15" s="31">
        <v>55.012773366721866</v>
      </c>
      <c r="I15" s="33">
        <v>44.4</v>
      </c>
      <c r="J15" s="33">
        <v>112.488554574764</v>
      </c>
      <c r="K15" s="33">
        <v>70.250966455667751</v>
      </c>
    </row>
    <row r="16" spans="2:11">
      <c r="B16" s="24" t="s">
        <v>45</v>
      </c>
      <c r="C16" s="29">
        <v>35.073543778091903</v>
      </c>
      <c r="D16" s="29">
        <v>112.66295543456984</v>
      </c>
      <c r="E16" s="29">
        <v>63.441964528872155</v>
      </c>
      <c r="F16" s="31">
        <v>35.073543778091903</v>
      </c>
      <c r="G16" s="31">
        <v>71.06</v>
      </c>
      <c r="H16" s="31">
        <v>55.814392704423014</v>
      </c>
      <c r="I16" s="33">
        <v>45.93</v>
      </c>
      <c r="J16" s="33">
        <v>112.66295543456984</v>
      </c>
      <c r="K16" s="33">
        <v>71.069536353321297</v>
      </c>
    </row>
    <row r="17" spans="2:11">
      <c r="B17" s="24" t="s">
        <v>46</v>
      </c>
      <c r="C17" s="29">
        <v>39.967526630848923</v>
      </c>
      <c r="D17" s="29">
        <v>116.67417521010407</v>
      </c>
      <c r="E17" s="29">
        <v>66.873569087833317</v>
      </c>
      <c r="F17" s="31">
        <v>39.967526630848923</v>
      </c>
      <c r="G17" s="31">
        <v>73.47</v>
      </c>
      <c r="H17" s="31">
        <v>59.013737869459099</v>
      </c>
      <c r="I17" s="33">
        <v>52.01</v>
      </c>
      <c r="J17" s="33">
        <v>116.67417521010407</v>
      </c>
      <c r="K17" s="33">
        <v>74.733400306207528</v>
      </c>
    </row>
    <row r="18" spans="2:11">
      <c r="B18" s="24" t="s">
        <v>47</v>
      </c>
      <c r="C18" s="29">
        <v>39.967526630848923</v>
      </c>
      <c r="D18" s="29">
        <v>119.98779154641494</v>
      </c>
      <c r="E18" s="29">
        <v>66.679140020726706</v>
      </c>
      <c r="F18" s="31">
        <v>39.967526630848923</v>
      </c>
      <c r="G18" s="31">
        <v>72.27</v>
      </c>
      <c r="H18" s="31">
        <v>59.478162038725735</v>
      </c>
      <c r="I18" s="33">
        <v>52.05</v>
      </c>
      <c r="J18" s="33">
        <v>119.98779154641494</v>
      </c>
      <c r="K18" s="33">
        <v>73.880118002727684</v>
      </c>
    </row>
    <row r="19" spans="2:11">
      <c r="B19" s="24" t="s">
        <v>48</v>
      </c>
      <c r="C19" s="29">
        <v>39.355778774254297</v>
      </c>
      <c r="D19" s="29">
        <v>119.2901881071916</v>
      </c>
      <c r="E19" s="29">
        <v>66.840645985746988</v>
      </c>
      <c r="F19" s="31">
        <v>39.355778774254297</v>
      </c>
      <c r="G19" s="31">
        <v>73.47</v>
      </c>
      <c r="H19" s="31">
        <v>58.698330647074314</v>
      </c>
      <c r="I19" s="33">
        <v>53.14</v>
      </c>
      <c r="J19" s="33">
        <v>119.2901881071916</v>
      </c>
      <c r="K19" s="33">
        <v>74.982961324419634</v>
      </c>
    </row>
    <row r="20" spans="2:11">
      <c r="B20" s="2" t="s">
        <v>49</v>
      </c>
      <c r="C20" s="29">
        <v>33.681801006675407</v>
      </c>
      <c r="D20" s="29">
        <v>99.58289094913215</v>
      </c>
      <c r="E20" s="29">
        <v>56.309986934508949</v>
      </c>
      <c r="F20" s="31">
        <v>33.681801006675407</v>
      </c>
      <c r="G20" s="31">
        <v>64.900000000000006</v>
      </c>
      <c r="H20" s="31">
        <v>50.989833761643936</v>
      </c>
      <c r="I20" s="33">
        <v>33.68</v>
      </c>
      <c r="J20" s="33">
        <v>99.58289094913215</v>
      </c>
      <c r="K20" s="33">
        <v>61.630140107373961</v>
      </c>
    </row>
    <row r="21" spans="2:11">
      <c r="B21" s="2" t="s">
        <v>50</v>
      </c>
      <c r="C21" s="29">
        <v>36.297039491281161</v>
      </c>
      <c r="D21" s="29">
        <v>107.08212792078309</v>
      </c>
      <c r="E21" s="29">
        <v>61.126513553899898</v>
      </c>
      <c r="F21" s="31">
        <v>36.297039491281161</v>
      </c>
      <c r="G21" s="31">
        <v>68.650000000000006</v>
      </c>
      <c r="H21" s="31">
        <v>55.745454661858368</v>
      </c>
      <c r="I21" s="33">
        <v>39.81</v>
      </c>
      <c r="J21" s="33">
        <v>107.08212792078309</v>
      </c>
      <c r="K21" s="33">
        <v>66.507572445941406</v>
      </c>
    </row>
    <row r="22" spans="2:11">
      <c r="B22" s="24" t="s">
        <v>65</v>
      </c>
      <c r="C22" s="29">
        <v>37.72</v>
      </c>
      <c r="D22" s="29">
        <v>110.22</v>
      </c>
      <c r="E22" s="29">
        <v>63.21366631821347</v>
      </c>
      <c r="F22" s="31">
        <v>37.72</v>
      </c>
      <c r="G22" s="31">
        <v>74.67</v>
      </c>
      <c r="H22" s="31">
        <v>55.25610448294325</v>
      </c>
      <c r="I22" s="33">
        <v>48.69</v>
      </c>
      <c r="J22" s="33">
        <v>110.22</v>
      </c>
      <c r="K22" s="33">
        <v>71.171228153483696</v>
      </c>
    </row>
    <row r="23" spans="2:11">
      <c r="B23" s="24" t="s">
        <v>66</v>
      </c>
      <c r="C23" s="29">
        <v>37.32</v>
      </c>
      <c r="D23" s="29">
        <v>111.79</v>
      </c>
      <c r="E23" s="29">
        <v>64.676900559795769</v>
      </c>
      <c r="F23" s="31">
        <v>37.32</v>
      </c>
      <c r="G23" s="31">
        <v>74.67</v>
      </c>
      <c r="H23" s="31">
        <v>57.053213088993814</v>
      </c>
      <c r="I23" s="33">
        <v>49.93</v>
      </c>
      <c r="J23" s="33">
        <v>111.79</v>
      </c>
      <c r="K23" s="33">
        <v>72.300588030597723</v>
      </c>
    </row>
    <row r="24" spans="2:11">
      <c r="B24" s="24" t="s">
        <v>67</v>
      </c>
      <c r="C24" s="29">
        <v>35.89</v>
      </c>
      <c r="D24" s="29">
        <v>111.44</v>
      </c>
      <c r="E24" s="29">
        <v>64.007288608525243</v>
      </c>
      <c r="F24" s="31">
        <v>35.89</v>
      </c>
      <c r="G24" s="31">
        <v>68.650000000000006</v>
      </c>
      <c r="H24" s="31">
        <v>55.488562469686634</v>
      </c>
      <c r="I24" s="33">
        <v>48.99</v>
      </c>
      <c r="J24" s="33">
        <v>111.44</v>
      </c>
      <c r="K24" s="33">
        <v>72.52601474736386</v>
      </c>
    </row>
    <row r="25" spans="2:11">
      <c r="B25" s="24" t="s">
        <v>68</v>
      </c>
      <c r="C25" s="29">
        <v>38.950000000000003</v>
      </c>
      <c r="D25" s="29">
        <v>116.15</v>
      </c>
      <c r="E25" s="29">
        <v>66.569381772580357</v>
      </c>
      <c r="F25" s="31">
        <v>38.950000000000003</v>
      </c>
      <c r="G25" s="31">
        <v>72.27</v>
      </c>
      <c r="H25" s="31">
        <v>57.346200736546351</v>
      </c>
      <c r="I25" s="33">
        <v>51.68</v>
      </c>
      <c r="J25" s="33">
        <v>116.15</v>
      </c>
      <c r="K25" s="33">
        <v>75.792562808614363</v>
      </c>
    </row>
    <row r="26" spans="2:11">
      <c r="B26" s="24" t="s">
        <v>69</v>
      </c>
      <c r="C26" s="29">
        <v>40.58</v>
      </c>
      <c r="D26" s="29">
        <v>119.64</v>
      </c>
      <c r="E26" s="29">
        <v>67.001779271276206</v>
      </c>
      <c r="F26" s="31">
        <v>40.58</v>
      </c>
      <c r="G26" s="31">
        <v>69.89</v>
      </c>
      <c r="H26" s="31">
        <v>58.163812442873926</v>
      </c>
      <c r="I26" s="33">
        <v>52.05</v>
      </c>
      <c r="J26" s="33">
        <v>119.64</v>
      </c>
      <c r="K26" s="33">
        <v>75.839746099678493</v>
      </c>
    </row>
    <row r="27" spans="2:11">
      <c r="B27" s="24" t="s">
        <v>70</v>
      </c>
      <c r="C27" s="29">
        <v>39.15</v>
      </c>
      <c r="D27" s="29">
        <v>118.94</v>
      </c>
      <c r="E27" s="29">
        <v>66.787775012655061</v>
      </c>
      <c r="F27" s="31">
        <v>39.15</v>
      </c>
      <c r="G27" s="31">
        <v>71.14</v>
      </c>
      <c r="H27" s="31">
        <v>59.174271626163673</v>
      </c>
      <c r="I27" s="33">
        <v>50.52</v>
      </c>
      <c r="J27" s="33">
        <v>118.94</v>
      </c>
      <c r="K27" s="33">
        <v>74.401278399146435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V17" sqref="V17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9" sqref="I29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W5" sqref="W5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C4:I18"/>
  <sheetViews>
    <sheetView workbookViewId="0">
      <selection activeCell="M22" sqref="M22"/>
    </sheetView>
  </sheetViews>
  <sheetFormatPr defaultRowHeight="15"/>
  <cols>
    <col min="3" max="4" width="11" bestFit="1" customWidth="1"/>
    <col min="6" max="6" width="11" bestFit="1" customWidth="1"/>
    <col min="8" max="8" width="27.140625" bestFit="1" customWidth="1"/>
  </cols>
  <sheetData>
    <row r="4" spans="3:7">
      <c r="C4" s="34" t="s">
        <v>74</v>
      </c>
      <c r="D4" s="34" t="s">
        <v>75</v>
      </c>
    </row>
    <row r="5" spans="3:7">
      <c r="C5" t="s">
        <v>76</v>
      </c>
      <c r="D5" t="s">
        <v>76</v>
      </c>
    </row>
    <row r="6" spans="3:7">
      <c r="C6" t="s">
        <v>77</v>
      </c>
      <c r="D6" t="s">
        <v>77</v>
      </c>
    </row>
    <row r="8" spans="3:7">
      <c r="F8" t="s">
        <v>78</v>
      </c>
      <c r="G8">
        <v>0.5</v>
      </c>
    </row>
    <row r="9" spans="3:7">
      <c r="F9" t="s">
        <v>79</v>
      </c>
      <c r="G9">
        <v>0</v>
      </c>
    </row>
    <row r="10" spans="3:7">
      <c r="F10" t="s">
        <v>80</v>
      </c>
      <c r="G10">
        <v>2</v>
      </c>
    </row>
    <row r="11" spans="3:7">
      <c r="F11" t="s">
        <v>81</v>
      </c>
      <c r="G11">
        <v>0.2</v>
      </c>
    </row>
    <row r="12" spans="3:7">
      <c r="F12" t="s">
        <v>81</v>
      </c>
      <c r="G12">
        <v>0.5</v>
      </c>
    </row>
    <row r="13" spans="3:7">
      <c r="F13" t="s">
        <v>81</v>
      </c>
      <c r="G13">
        <v>0.8</v>
      </c>
    </row>
    <row r="18" spans="8:9">
      <c r="H18" t="s">
        <v>82</v>
      </c>
      <c r="I18">
        <f>G10*((G11^G9 ) *  1/(G11^G8) +1 )</f>
        <v>6.4721359549995796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C1:T67"/>
  <sheetViews>
    <sheetView tabSelected="1" topLeftCell="G79" zoomScale="130" zoomScaleNormal="130" workbookViewId="0">
      <selection activeCell="B88" sqref="B88"/>
    </sheetView>
  </sheetViews>
  <sheetFormatPr defaultRowHeight="15" outlineLevelRow="2"/>
  <cols>
    <col min="3" max="3" width="36.5703125" customWidth="1"/>
    <col min="4" max="4" width="6.5703125" bestFit="1" customWidth="1"/>
    <col min="5" max="5" width="9.140625" customWidth="1"/>
    <col min="6" max="6" width="7.5703125" customWidth="1"/>
    <col min="7" max="7" width="9.42578125" customWidth="1"/>
    <col min="8" max="8" width="8.42578125" customWidth="1"/>
    <col min="14" max="14" width="9.7109375" bestFit="1" customWidth="1"/>
    <col min="15" max="15" width="10.85546875" bestFit="1" customWidth="1"/>
    <col min="16" max="16" width="9.7109375" bestFit="1" customWidth="1"/>
  </cols>
  <sheetData>
    <row r="1" spans="3:20">
      <c r="C1" s="17"/>
    </row>
    <row r="2" spans="3:20">
      <c r="C2" s="49" t="s">
        <v>13</v>
      </c>
      <c r="D2" s="49"/>
      <c r="E2" s="49"/>
      <c r="F2" s="49"/>
      <c r="G2" s="49"/>
      <c r="H2" s="49"/>
    </row>
    <row r="3" spans="3:20">
      <c r="N3" s="50" t="s">
        <v>85</v>
      </c>
      <c r="O3" s="50"/>
      <c r="P3" s="50"/>
      <c r="R3" s="50" t="s">
        <v>88</v>
      </c>
      <c r="S3" s="50"/>
      <c r="T3" s="50"/>
    </row>
    <row r="4" spans="3:20">
      <c r="C4" s="3" t="s">
        <v>35</v>
      </c>
      <c r="D4" s="3" t="s">
        <v>6</v>
      </c>
      <c r="E4" s="18" t="s">
        <v>7</v>
      </c>
      <c r="F4" s="18" t="s">
        <v>8</v>
      </c>
      <c r="G4" s="18" t="s">
        <v>9</v>
      </c>
      <c r="H4" s="3" t="s">
        <v>10</v>
      </c>
      <c r="J4" s="26" t="s">
        <v>87</v>
      </c>
      <c r="K4" t="s">
        <v>71</v>
      </c>
      <c r="L4" t="s">
        <v>83</v>
      </c>
      <c r="M4" t="s">
        <v>84</v>
      </c>
      <c r="N4" t="s">
        <v>86</v>
      </c>
      <c r="O4" t="s">
        <v>72</v>
      </c>
      <c r="P4" t="s">
        <v>84</v>
      </c>
      <c r="Q4" t="s">
        <v>87</v>
      </c>
      <c r="R4" t="s">
        <v>71</v>
      </c>
      <c r="S4" t="s">
        <v>72</v>
      </c>
      <c r="T4" t="s">
        <v>84</v>
      </c>
    </row>
    <row r="5" spans="3:20">
      <c r="C5" s="2" t="s">
        <v>36</v>
      </c>
      <c r="D5" s="19">
        <f>( 'First Table'!I12 / ( ( ('First Table'!G12 * ('First Table'!G12 - 1))/2) - 'First Table'!H12) *100)</f>
        <v>0.14107380628098368</v>
      </c>
      <c r="E5" s="20">
        <f>( 'First Table'!I13 / ( ( ('First Table'!G13 * ('First Table'!G13 - 1))/2) - 'First Table'!H13)*100)</f>
        <v>7.2309814841016284E-2</v>
      </c>
      <c r="F5" s="20">
        <f>( 'First Table'!I14 / ( ( ('First Table'!G14 * ('First Table'!G14 - 1))/2) - 'First Table'!H14)*100)</f>
        <v>0.27034177613169963</v>
      </c>
      <c r="G5" s="20">
        <f>( 'First Table'!I15 / ( ( ('First Table'!G15 * ('First Table'!G15 - 1))/2) - 'First Table'!H15)*100 )</f>
        <v>7.6380933601495837E-2</v>
      </c>
      <c r="H5" s="19">
        <f>( 'First Table'!I16 / ( ( ('First Table'!G16 * ('First Table'!G16 - 1))/2) - 'First Table'!H16) *100)</f>
        <v>0.19514004047790037</v>
      </c>
    </row>
    <row r="6" spans="3:20" hidden="1" outlineLevel="2">
      <c r="C6" s="2" t="s">
        <v>14</v>
      </c>
      <c r="D6" s="21">
        <v>21</v>
      </c>
      <c r="E6" s="22">
        <v>72</v>
      </c>
      <c r="F6" s="22">
        <v>1300</v>
      </c>
      <c r="G6" s="22">
        <v>582</v>
      </c>
      <c r="H6" s="21">
        <v>3728</v>
      </c>
    </row>
    <row r="7" spans="3:20" collapsed="1">
      <c r="C7" s="2" t="s">
        <v>15</v>
      </c>
      <c r="D7" s="19">
        <f>((D6/ 'First Table'!I12  )*100)/D5</f>
        <v>32.150810051826525</v>
      </c>
      <c r="E7" s="22">
        <f>((E6/   'First Table'!I13    )*100)/E5</f>
        <v>77.008155640850319</v>
      </c>
      <c r="F7" s="22">
        <f>((F6/   'First Table'!I14    )*100)/F5</f>
        <v>58.315883419674044</v>
      </c>
      <c r="G7" s="22">
        <f>((G6/   'First Table'!I15    )*100)/G5</f>
        <v>101.50130040699635</v>
      </c>
      <c r="H7" s="21">
        <f>((H6/   'First Table'!I16    )*100)/H5</f>
        <v>51.132779015227761</v>
      </c>
      <c r="J7" s="25">
        <f>SUM(D7:H7)</f>
        <v>320.108928534575</v>
      </c>
      <c r="K7" s="25">
        <f>MIN(D7:H7)</f>
        <v>32.150810051826525</v>
      </c>
      <c r="L7" s="25">
        <f>MAX(D7:H7)</f>
        <v>101.50130040699635</v>
      </c>
      <c r="M7" s="25">
        <f>SUM(D7:H7)/5</f>
        <v>64.021785706914997</v>
      </c>
      <c r="N7" s="25">
        <v>37.92836710886683</v>
      </c>
      <c r="O7" s="25">
        <v>63.653874187198333</v>
      </c>
      <c r="P7" s="25">
        <v>51.576440797759247</v>
      </c>
      <c r="Q7" s="25">
        <v>257.88220398879622</v>
      </c>
      <c r="R7" s="25">
        <f>MIN(K7,N7)</f>
        <v>32.150810051826525</v>
      </c>
      <c r="S7" s="25">
        <f>MAX(L7,O7)</f>
        <v>101.50130040699635</v>
      </c>
      <c r="T7" s="25">
        <f>(Q7+J7)/10</f>
        <v>57.799113252337122</v>
      </c>
    </row>
    <row r="8" spans="3:20" hidden="1" outlineLevel="2">
      <c r="C8" s="2" t="s">
        <v>16</v>
      </c>
      <c r="D8" s="21">
        <v>28</v>
      </c>
      <c r="E8" s="22">
        <v>71</v>
      </c>
      <c r="F8" s="22">
        <v>1328</v>
      </c>
      <c r="G8" s="22">
        <v>637</v>
      </c>
      <c r="H8" s="21">
        <v>3849</v>
      </c>
      <c r="J8" s="25">
        <f t="shared" ref="J8:J37" si="0">SUM(D8:H8)</f>
        <v>5913</v>
      </c>
      <c r="K8" s="25">
        <f t="shared" ref="K8:K65" si="1">MIN(D8:H8)</f>
        <v>28</v>
      </c>
      <c r="L8" s="25">
        <f t="shared" ref="L8:L37" si="2">MAX(D8:H8)</f>
        <v>3849</v>
      </c>
      <c r="M8" s="25">
        <f t="shared" ref="M8:M37" si="3">SUM(D8:H8)/5</f>
        <v>1182.5999999999999</v>
      </c>
      <c r="N8" s="25">
        <v>14</v>
      </c>
      <c r="O8" s="25">
        <v>181</v>
      </c>
      <c r="P8" s="25">
        <v>88.6</v>
      </c>
      <c r="Q8" s="25">
        <v>443</v>
      </c>
      <c r="R8" s="25">
        <f t="shared" ref="R8:R65" si="4">MIN(K8,N8)</f>
        <v>14</v>
      </c>
      <c r="S8" s="25">
        <f t="shared" ref="S8:S65" si="5">MAX(L8,O8)</f>
        <v>3849</v>
      </c>
      <c r="T8" s="25">
        <f t="shared" ref="T8:T65" si="6">(Q8+J8)/10</f>
        <v>635.6</v>
      </c>
    </row>
    <row r="9" spans="3:20" collapsed="1">
      <c r="C9" s="35" t="s">
        <v>17</v>
      </c>
      <c r="D9" s="21">
        <f>((D8/ 'First Table'!I12  )*100)/D5</f>
        <v>42.867746735768698</v>
      </c>
      <c r="E9" s="22">
        <f>((E8/   'First Table'!I13    )*100)/E5</f>
        <v>75.9385979236163</v>
      </c>
      <c r="F9" s="22">
        <f>((F8/   'First Table'!I14    )*100)/F5</f>
        <v>59.571917831790088</v>
      </c>
      <c r="G9" s="22">
        <f>((G8/ 'First Table'!I15  )*100)/G5</f>
        <v>111.09334769631732</v>
      </c>
      <c r="H9" s="36">
        <f>((H8/   'First Table'!I16    )*100)/H5</f>
        <v>52.792399793350768</v>
      </c>
      <c r="J9" s="25">
        <f t="shared" si="0"/>
        <v>342.26400998084318</v>
      </c>
      <c r="K9" s="25">
        <f t="shared" si="1"/>
        <v>42.867746735768698</v>
      </c>
      <c r="L9" s="25">
        <f t="shared" si="2"/>
        <v>111.09334769631732</v>
      </c>
      <c r="M9" s="25">
        <f t="shared" si="3"/>
        <v>68.452801996168631</v>
      </c>
      <c r="N9" s="25">
        <v>36.908787347875787</v>
      </c>
      <c r="O9" s="25">
        <v>66.150104547480638</v>
      </c>
      <c r="P9" s="25">
        <v>55.102842638005868</v>
      </c>
      <c r="Q9" s="25">
        <v>275.51421319002935</v>
      </c>
      <c r="R9" s="25">
        <f t="shared" si="4"/>
        <v>36.908787347875787</v>
      </c>
      <c r="S9" s="25">
        <f t="shared" si="5"/>
        <v>111.09334769631732</v>
      </c>
      <c r="T9" s="25">
        <f t="shared" si="6"/>
        <v>61.777822317087249</v>
      </c>
    </row>
    <row r="10" spans="3:20" hidden="1" outlineLevel="2">
      <c r="C10" s="2" t="s">
        <v>18</v>
      </c>
      <c r="D10" s="21">
        <v>26</v>
      </c>
      <c r="E10" s="22">
        <v>55</v>
      </c>
      <c r="F10" s="22">
        <v>830</v>
      </c>
      <c r="G10" s="22">
        <v>483</v>
      </c>
      <c r="H10" s="21">
        <v>3687</v>
      </c>
      <c r="J10" s="25">
        <f t="shared" si="0"/>
        <v>5081</v>
      </c>
      <c r="K10" s="25">
        <f t="shared" si="1"/>
        <v>26</v>
      </c>
      <c r="L10" s="25">
        <f t="shared" si="2"/>
        <v>3687</v>
      </c>
      <c r="M10" s="25">
        <f t="shared" si="3"/>
        <v>1016.2</v>
      </c>
      <c r="N10" s="25">
        <v>14</v>
      </c>
      <c r="O10" s="25">
        <v>163</v>
      </c>
      <c r="P10" s="25">
        <v>81</v>
      </c>
      <c r="Q10" s="25">
        <v>405</v>
      </c>
      <c r="R10" s="25">
        <f t="shared" si="4"/>
        <v>14</v>
      </c>
      <c r="S10" s="25">
        <f t="shared" si="5"/>
        <v>3687</v>
      </c>
      <c r="T10" s="25">
        <f t="shared" si="6"/>
        <v>548.6</v>
      </c>
    </row>
    <row r="11" spans="3:20" collapsed="1">
      <c r="C11" s="2" t="s">
        <v>19</v>
      </c>
      <c r="D11" s="21">
        <f>((D10/ 'First Table'!I12  )*100)/D5</f>
        <v>39.805764826070934</v>
      </c>
      <c r="E11" s="22">
        <f>((E10/   'First Table'!I13    )*100)/E5</f>
        <v>58.825674447871783</v>
      </c>
      <c r="F11" s="22">
        <f>((F10/   'First Table'!I14    )*100)/F5</f>
        <v>37.232448644868803</v>
      </c>
      <c r="G11" s="22">
        <f>((G10/ 'First Table'!I15  )*100)/G5</f>
        <v>84.235615286218632</v>
      </c>
      <c r="H11" s="21">
        <f>((H10/   'First Table'!I16    )*100)/H5</f>
        <v>50.570428173053855</v>
      </c>
      <c r="J11" s="25">
        <f t="shared" si="0"/>
        <v>270.66993137808402</v>
      </c>
      <c r="K11" s="25">
        <f t="shared" si="1"/>
        <v>37.232448644868803</v>
      </c>
      <c r="L11" s="25">
        <f t="shared" si="2"/>
        <v>84.235615286218632</v>
      </c>
      <c r="M11" s="25">
        <f t="shared" si="3"/>
        <v>54.133986275616806</v>
      </c>
      <c r="N11" s="25">
        <v>33.238300208308033</v>
      </c>
      <c r="O11" s="25">
        <v>66.243096505289046</v>
      </c>
      <c r="P11" s="25">
        <v>52.322937009710721</v>
      </c>
      <c r="Q11" s="25">
        <v>261.61468504855361</v>
      </c>
      <c r="R11" s="25">
        <f t="shared" si="4"/>
        <v>33.238300208308033</v>
      </c>
      <c r="S11" s="25">
        <f t="shared" si="5"/>
        <v>84.235615286218632</v>
      </c>
      <c r="T11" s="25">
        <f t="shared" si="6"/>
        <v>53.22846164266376</v>
      </c>
    </row>
    <row r="12" spans="3:20" hidden="1" outlineLevel="2">
      <c r="C12" s="2" t="s">
        <v>20</v>
      </c>
      <c r="D12" s="21">
        <v>0</v>
      </c>
      <c r="E12" s="22">
        <v>10</v>
      </c>
      <c r="F12" s="22">
        <v>1142</v>
      </c>
      <c r="G12" s="22">
        <v>233</v>
      </c>
      <c r="H12" s="21">
        <v>899</v>
      </c>
      <c r="J12" s="25">
        <f t="shared" si="0"/>
        <v>2284</v>
      </c>
      <c r="K12" s="25">
        <f t="shared" si="1"/>
        <v>0</v>
      </c>
      <c r="L12" s="25">
        <f t="shared" si="2"/>
        <v>1142</v>
      </c>
      <c r="M12" s="25">
        <f t="shared" si="3"/>
        <v>456.8</v>
      </c>
      <c r="N12" s="25">
        <v>1</v>
      </c>
      <c r="O12" s="25">
        <v>71</v>
      </c>
      <c r="P12" s="25">
        <v>21</v>
      </c>
      <c r="Q12" s="25">
        <v>105</v>
      </c>
      <c r="R12" s="25">
        <f t="shared" si="4"/>
        <v>0</v>
      </c>
      <c r="S12" s="25">
        <f t="shared" si="5"/>
        <v>1142</v>
      </c>
      <c r="T12" s="25">
        <f t="shared" si="6"/>
        <v>238.9</v>
      </c>
    </row>
    <row r="13" spans="3:20" collapsed="1">
      <c r="C13" s="2" t="s">
        <v>21</v>
      </c>
      <c r="D13" s="21">
        <f>((D12/ 'First Table'!I12  )*100)/D5</f>
        <v>0</v>
      </c>
      <c r="E13" s="22">
        <f>((E12/   'First Table'!I13    )*100)/E5</f>
        <v>10.695577172340323</v>
      </c>
      <c r="F13" s="22">
        <f>((F12/   'First Table'!I14    )*100)/F5</f>
        <v>51.228260665590575</v>
      </c>
      <c r="G13" s="22">
        <f>((G12/ 'First Table'!I15  )*100)/G5</f>
        <v>40.635400334759709</v>
      </c>
      <c r="H13" s="21">
        <f>((H12/   'First Table'!I16    )*100)/H5</f>
        <v>12.33057090522794</v>
      </c>
      <c r="J13" s="25">
        <f t="shared" si="0"/>
        <v>114.88980907791856</v>
      </c>
      <c r="K13" s="25">
        <f t="shared" si="1"/>
        <v>0</v>
      </c>
      <c r="L13" s="25">
        <f t="shared" si="2"/>
        <v>51.228260665590575</v>
      </c>
      <c r="M13" s="25">
        <f t="shared" si="3"/>
        <v>22.977961815583711</v>
      </c>
      <c r="N13" s="25">
        <v>2.4088398729196023</v>
      </c>
      <c r="O13" s="25">
        <v>26.535664168310316</v>
      </c>
      <c r="P13" s="25">
        <v>8.6939735872762718</v>
      </c>
      <c r="Q13" s="25">
        <v>43.469867936381355</v>
      </c>
      <c r="R13" s="25">
        <f t="shared" si="4"/>
        <v>0</v>
      </c>
      <c r="S13" s="25">
        <f t="shared" si="5"/>
        <v>51.228260665590575</v>
      </c>
      <c r="T13" s="25">
        <f t="shared" si="6"/>
        <v>15.83596770142999</v>
      </c>
    </row>
    <row r="14" spans="3:20" ht="13.5" hidden="1" customHeight="1" outlineLevel="2">
      <c r="C14" s="2" t="s">
        <v>24</v>
      </c>
      <c r="D14" s="21">
        <v>36</v>
      </c>
      <c r="E14" s="21">
        <v>87</v>
      </c>
      <c r="F14" s="21">
        <v>1430</v>
      </c>
      <c r="G14" s="21">
        <v>670</v>
      </c>
      <c r="H14" s="21">
        <v>3819</v>
      </c>
      <c r="J14" s="25">
        <f t="shared" si="0"/>
        <v>6042</v>
      </c>
      <c r="K14" s="25">
        <f t="shared" si="1"/>
        <v>36</v>
      </c>
      <c r="L14" s="25">
        <f t="shared" si="2"/>
        <v>3819</v>
      </c>
      <c r="M14" s="25">
        <f t="shared" si="3"/>
        <v>1208.4000000000001</v>
      </c>
      <c r="N14" s="25">
        <v>14</v>
      </c>
      <c r="O14" s="25">
        <v>184</v>
      </c>
      <c r="P14" s="25">
        <v>88.6</v>
      </c>
      <c r="Q14" s="25">
        <v>443</v>
      </c>
      <c r="R14" s="25">
        <f t="shared" si="4"/>
        <v>14</v>
      </c>
      <c r="S14" s="25">
        <f t="shared" si="5"/>
        <v>3819</v>
      </c>
      <c r="T14" s="25">
        <f t="shared" si="6"/>
        <v>648.5</v>
      </c>
    </row>
    <row r="15" spans="3:20" ht="13.5" customHeight="1" collapsed="1">
      <c r="C15" s="52" t="s">
        <v>39</v>
      </c>
      <c r="D15" s="39">
        <f>((D14/ 'First Table'!I12  )*100)/'Results 1994-1999'!D5</f>
        <v>55.115674374559752</v>
      </c>
      <c r="E15" s="39">
        <f>((E14/   'First Table'!I13   )*100)/'Results 1994-1999'!E5</f>
        <v>93.051521399360809</v>
      </c>
      <c r="F15" s="39">
        <f>((F14/   'First Table'!I14    )*100)/'Results 1994-1999'!F5</f>
        <v>64.147471761641441</v>
      </c>
      <c r="G15" s="21">
        <f>((G14/ 'First Table'!I15  )*100)/'Results 1994-1999'!G5</f>
        <v>116.84857606990991</v>
      </c>
      <c r="H15" s="39">
        <f>((H14/   'First Table'!I16    )*100)/'Results 1994-1999'!H5</f>
        <v>52.380923567369862</v>
      </c>
      <c r="J15" s="25">
        <f t="shared" si="0"/>
        <v>381.54416717284175</v>
      </c>
      <c r="K15" s="25">
        <f t="shared" si="1"/>
        <v>52.380923567369862</v>
      </c>
      <c r="L15" s="25">
        <f t="shared" si="2"/>
        <v>116.84857606990991</v>
      </c>
      <c r="M15" s="25">
        <f t="shared" si="3"/>
        <v>76.308833434568356</v>
      </c>
      <c r="N15" s="25">
        <v>37.520535204470413</v>
      </c>
      <c r="O15" s="25">
        <v>79.491715806346861</v>
      </c>
      <c r="P15" s="25">
        <v>57.501720771582484</v>
      </c>
      <c r="Q15" s="25">
        <v>287.50860385791242</v>
      </c>
      <c r="R15" s="25">
        <f t="shared" si="4"/>
        <v>37.520535204470413</v>
      </c>
      <c r="S15" s="25">
        <f t="shared" si="5"/>
        <v>116.84857606990991</v>
      </c>
      <c r="T15" s="25">
        <f t="shared" si="6"/>
        <v>66.90527710307542</v>
      </c>
    </row>
    <row r="16" spans="3:20" hidden="1" outlineLevel="2">
      <c r="C16" s="2" t="s">
        <v>23</v>
      </c>
      <c r="D16" s="21">
        <v>35</v>
      </c>
      <c r="E16" s="21">
        <v>87</v>
      </c>
      <c r="F16" s="21">
        <v>1429</v>
      </c>
      <c r="G16" s="21">
        <v>685</v>
      </c>
      <c r="H16" s="21">
        <v>3779</v>
      </c>
      <c r="J16" s="25">
        <f t="shared" si="0"/>
        <v>6015</v>
      </c>
      <c r="K16" s="25">
        <f t="shared" si="1"/>
        <v>35</v>
      </c>
      <c r="L16" s="25">
        <f t="shared" si="2"/>
        <v>3779</v>
      </c>
      <c r="M16" s="25">
        <f t="shared" si="3"/>
        <v>1203</v>
      </c>
      <c r="N16" s="25">
        <v>15</v>
      </c>
      <c r="O16" s="25">
        <v>189</v>
      </c>
      <c r="P16" s="25">
        <v>90.4</v>
      </c>
      <c r="Q16" s="25">
        <v>452</v>
      </c>
      <c r="R16" s="25">
        <f t="shared" si="4"/>
        <v>15</v>
      </c>
      <c r="S16" s="25">
        <f t="shared" si="5"/>
        <v>3779</v>
      </c>
      <c r="T16" s="25">
        <f t="shared" si="6"/>
        <v>646.70000000000005</v>
      </c>
    </row>
    <row r="17" spans="3:20" collapsed="1">
      <c r="C17" s="52" t="s">
        <v>38</v>
      </c>
      <c r="D17" s="39">
        <f>((D16/ 'First Table'!I12  )*100)/D5</f>
        <v>53.584683419710871</v>
      </c>
      <c r="E17" s="39">
        <f>((E16/   'First Table'!I13   )*100)/E5</f>
        <v>93.051521399360809</v>
      </c>
      <c r="F17" s="21">
        <f>((F16/   'First Table'!I14    )*100)/F5</f>
        <v>64.10261338978016</v>
      </c>
      <c r="G17" s="39">
        <f>((G16/ 'First Table'!I15  )*100)/G5</f>
        <v>119.46458896699743</v>
      </c>
      <c r="H17" s="21">
        <f>((H16/   'First Table'!I16    )*100)/H5</f>
        <v>51.832288599395305</v>
      </c>
      <c r="J17" s="25">
        <f t="shared" si="0"/>
        <v>382.03569577524462</v>
      </c>
      <c r="K17" s="25">
        <f t="shared" si="1"/>
        <v>51.832288599395305</v>
      </c>
      <c r="L17" s="25">
        <f t="shared" si="2"/>
        <v>119.46458896699743</v>
      </c>
      <c r="M17" s="25">
        <f t="shared" si="3"/>
        <v>76.407139155048924</v>
      </c>
      <c r="N17" s="25">
        <v>38.540114965461456</v>
      </c>
      <c r="O17" s="25">
        <v>83.104975615726289</v>
      </c>
      <c r="P17" s="25">
        <v>59.233723178703613</v>
      </c>
      <c r="Q17" s="25">
        <v>296.16861589351805</v>
      </c>
      <c r="R17" s="25">
        <f t="shared" si="4"/>
        <v>38.540114965461456</v>
      </c>
      <c r="S17" s="25">
        <f t="shared" si="5"/>
        <v>119.46458896699743</v>
      </c>
      <c r="T17" s="25">
        <f t="shared" si="6"/>
        <v>67.820431166876261</v>
      </c>
    </row>
    <row r="18" spans="3:20" hidden="1" outlineLevel="2">
      <c r="C18" s="2" t="s">
        <v>22</v>
      </c>
      <c r="D18" s="21">
        <v>34</v>
      </c>
      <c r="E18" s="22">
        <v>82</v>
      </c>
      <c r="F18" s="22">
        <v>1418</v>
      </c>
      <c r="G18" s="22">
        <v>675</v>
      </c>
      <c r="H18" s="21">
        <v>3791</v>
      </c>
      <c r="J18" s="25">
        <f t="shared" si="0"/>
        <v>6000</v>
      </c>
      <c r="K18" s="25">
        <f t="shared" si="1"/>
        <v>34</v>
      </c>
      <c r="L18" s="25">
        <f t="shared" si="2"/>
        <v>3791</v>
      </c>
      <c r="M18" s="25">
        <f t="shared" si="3"/>
        <v>1200</v>
      </c>
      <c r="N18" s="25">
        <v>15</v>
      </c>
      <c r="O18" s="25">
        <v>182</v>
      </c>
      <c r="P18" s="25">
        <v>89.2</v>
      </c>
      <c r="Q18" s="25">
        <v>446</v>
      </c>
      <c r="R18" s="25">
        <f t="shared" si="4"/>
        <v>15</v>
      </c>
      <c r="S18" s="25">
        <f t="shared" si="5"/>
        <v>3791</v>
      </c>
      <c r="T18" s="25">
        <f t="shared" si="6"/>
        <v>644.6</v>
      </c>
    </row>
    <row r="19" spans="3:20" collapsed="1">
      <c r="C19" s="2" t="s">
        <v>37</v>
      </c>
      <c r="D19" s="21">
        <f>((D18/ 'First Table'!I12  )*100)/D5</f>
        <v>52.053692464861996</v>
      </c>
      <c r="E19" s="22">
        <f>((E18/   'First Table'!I13   )*100)/E5</f>
        <v>87.703732813190655</v>
      </c>
      <c r="F19" s="22">
        <f>((F18/   'First Table'!I14    )*100)/F5</f>
        <v>63.609171299305984</v>
      </c>
      <c r="G19" s="22">
        <f>((G18/ 'First Table'!I15  )*100)/G5</f>
        <v>117.72058036893907</v>
      </c>
      <c r="H19" s="21">
        <f>((H18/   'First Table'!I16    )*100)/H5</f>
        <v>51.996879089787676</v>
      </c>
      <c r="J19" s="25">
        <f t="shared" si="0"/>
        <v>373.08405603608543</v>
      </c>
      <c r="K19" s="25">
        <f t="shared" si="1"/>
        <v>51.996879089787676</v>
      </c>
      <c r="L19" s="25">
        <f t="shared" si="2"/>
        <v>117.72058036893907</v>
      </c>
      <c r="M19" s="25">
        <f t="shared" si="3"/>
        <v>74.616811207217083</v>
      </c>
      <c r="N19" s="25">
        <v>37.112703300074003</v>
      </c>
      <c r="O19" s="25">
        <v>80.696135742806661</v>
      </c>
      <c r="P19" s="25">
        <v>59.040467292868563</v>
      </c>
      <c r="Q19" s="25">
        <v>295.20233646434281</v>
      </c>
      <c r="R19" s="25">
        <f t="shared" si="4"/>
        <v>37.112703300074003</v>
      </c>
      <c r="S19" s="25">
        <f t="shared" si="5"/>
        <v>117.72058036893907</v>
      </c>
      <c r="T19" s="25">
        <f t="shared" si="6"/>
        <v>66.828639250042826</v>
      </c>
    </row>
    <row r="20" spans="3:20" hidden="1" outlineLevel="1">
      <c r="C20" s="2" t="s">
        <v>25</v>
      </c>
      <c r="D20" s="21">
        <v>36</v>
      </c>
      <c r="E20" s="21">
        <v>84</v>
      </c>
      <c r="F20" s="21">
        <v>1430</v>
      </c>
      <c r="G20" s="21">
        <v>666</v>
      </c>
      <c r="H20" s="21">
        <v>3831</v>
      </c>
      <c r="J20" s="25">
        <f t="shared" si="0"/>
        <v>6047</v>
      </c>
      <c r="K20" s="25">
        <f t="shared" si="1"/>
        <v>36</v>
      </c>
      <c r="L20" s="25">
        <f t="shared" si="2"/>
        <v>3831</v>
      </c>
      <c r="M20" s="25">
        <f t="shared" si="3"/>
        <v>1209.4000000000001</v>
      </c>
      <c r="N20" s="25">
        <v>15</v>
      </c>
      <c r="O20" s="25">
        <v>185</v>
      </c>
      <c r="P20" s="25">
        <v>89.2</v>
      </c>
      <c r="Q20" s="25">
        <v>446</v>
      </c>
      <c r="R20" s="25">
        <f t="shared" si="4"/>
        <v>15</v>
      </c>
      <c r="S20" s="25">
        <f t="shared" si="5"/>
        <v>3831</v>
      </c>
      <c r="T20" s="25">
        <f t="shared" si="6"/>
        <v>649.29999999999995</v>
      </c>
    </row>
    <row r="21" spans="3:20" collapsed="1">
      <c r="C21" s="24" t="s">
        <v>89</v>
      </c>
      <c r="D21" s="21">
        <f>((D20/ 'First Table'!I12  )*100)/D5</f>
        <v>55.115674374559752</v>
      </c>
      <c r="E21" s="45">
        <f>((E20/    'First Table'!I13   )*100)/E5</f>
        <v>89.842848247658708</v>
      </c>
      <c r="F21" s="39">
        <f>((F20/    'First Table'!I14    )*100)/F5</f>
        <v>64.147471761641441</v>
      </c>
      <c r="G21" s="21">
        <f>((G20/ 'First Table'!I15  )*100)/G5</f>
        <v>116.15097263068655</v>
      </c>
      <c r="H21" s="21">
        <f>((H20/   'First Table'!I16    )*100)/H5</f>
        <v>52.545514057762219</v>
      </c>
      <c r="I21" s="27"/>
      <c r="J21" s="25">
        <f t="shared" si="0"/>
        <v>377.80248107230864</v>
      </c>
      <c r="K21" s="25">
        <f t="shared" si="1"/>
        <v>52.545514057762219</v>
      </c>
      <c r="L21" s="25">
        <f t="shared" si="2"/>
        <v>116.15097263068655</v>
      </c>
      <c r="M21" s="25">
        <f t="shared" si="3"/>
        <v>75.560496214461722</v>
      </c>
      <c r="N21" s="25">
        <v>37.724451156668628</v>
      </c>
      <c r="O21" s="25">
        <v>81.900555679266475</v>
      </c>
      <c r="P21" s="25">
        <v>58.055459334849843</v>
      </c>
      <c r="Q21" s="25">
        <v>290.27729667424921</v>
      </c>
      <c r="R21" s="25">
        <f t="shared" si="4"/>
        <v>37.724451156668628</v>
      </c>
      <c r="S21" s="25">
        <f t="shared" si="5"/>
        <v>116.15097263068655</v>
      </c>
      <c r="T21" s="25">
        <f t="shared" si="6"/>
        <v>66.807977774655782</v>
      </c>
    </row>
    <row r="22" spans="3:20" hidden="1" outlineLevel="1">
      <c r="C22" s="2" t="s">
        <v>90</v>
      </c>
      <c r="D22" s="21">
        <v>35</v>
      </c>
      <c r="E22" s="39">
        <v>82</v>
      </c>
      <c r="F22" s="39">
        <v>1425</v>
      </c>
      <c r="G22" s="21">
        <v>666</v>
      </c>
      <c r="H22" s="21">
        <v>3830</v>
      </c>
      <c r="I22" s="27"/>
      <c r="J22" s="25">
        <f t="shared" si="0"/>
        <v>6038</v>
      </c>
      <c r="K22" s="25">
        <f t="shared" si="1"/>
        <v>35</v>
      </c>
      <c r="L22" s="25">
        <f t="shared" si="2"/>
        <v>3830</v>
      </c>
      <c r="M22" s="25">
        <f t="shared" si="3"/>
        <v>1207.5999999999999</v>
      </c>
      <c r="N22" s="25">
        <v>16</v>
      </c>
      <c r="O22" s="25">
        <v>194</v>
      </c>
      <c r="P22" s="25">
        <v>92.6</v>
      </c>
      <c r="Q22" s="25">
        <v>463</v>
      </c>
      <c r="R22" s="25">
        <f t="shared" si="4"/>
        <v>16</v>
      </c>
      <c r="S22" s="25">
        <f t="shared" si="5"/>
        <v>3830</v>
      </c>
      <c r="T22" s="25">
        <f t="shared" si="6"/>
        <v>650.1</v>
      </c>
    </row>
    <row r="23" spans="3:20" collapsed="1">
      <c r="C23" s="2" t="s">
        <v>91</v>
      </c>
      <c r="D23" s="21">
        <f>((D22/  'First Table'!I12  )*100)/D5</f>
        <v>53.584683419710871</v>
      </c>
      <c r="E23" s="45">
        <f>((E22/    'First Table'!I13   )*100)/E5</f>
        <v>87.703732813190655</v>
      </c>
      <c r="F23" s="39">
        <f>((F22/   'First Table'!I14    )*100)/F5</f>
        <v>63.923179902335001</v>
      </c>
      <c r="G23" s="21">
        <f>((G22/ 'First Table'!I15  )*100)/G5</f>
        <v>116.15097263068655</v>
      </c>
      <c r="H23" s="21">
        <f>((H22/  'First Table'!I16    )*100)/H5</f>
        <v>52.531798183562863</v>
      </c>
      <c r="I23" s="27"/>
      <c r="J23" s="25">
        <f t="shared" si="0"/>
        <v>373.89436694948591</v>
      </c>
      <c r="K23" s="25">
        <f t="shared" si="1"/>
        <v>52.531798183562863</v>
      </c>
      <c r="L23" s="25">
        <f t="shared" si="2"/>
        <v>116.15097263068655</v>
      </c>
      <c r="M23" s="25">
        <f t="shared" si="3"/>
        <v>74.778873389897186</v>
      </c>
      <c r="N23" s="25">
        <v>39.559694726452499</v>
      </c>
      <c r="O23" s="25">
        <v>84.309395552186075</v>
      </c>
      <c r="P23" s="25">
        <v>60.782951010320382</v>
      </c>
      <c r="Q23" s="25">
        <v>303.9147550516019</v>
      </c>
      <c r="R23" s="25">
        <f t="shared" si="4"/>
        <v>39.559694726452499</v>
      </c>
      <c r="S23" s="25">
        <f t="shared" si="5"/>
        <v>116.15097263068655</v>
      </c>
      <c r="T23" s="25">
        <f t="shared" si="6"/>
        <v>67.780912200108787</v>
      </c>
    </row>
    <row r="24" spans="3:20" hidden="1" outlineLevel="1">
      <c r="C24" s="2" t="s">
        <v>92</v>
      </c>
      <c r="D24" s="21">
        <v>33</v>
      </c>
      <c r="E24" s="39">
        <v>78</v>
      </c>
      <c r="F24" s="39">
        <v>1412</v>
      </c>
      <c r="G24" s="21">
        <v>630</v>
      </c>
      <c r="H24" s="21">
        <v>3832</v>
      </c>
      <c r="I24" s="27"/>
      <c r="J24" s="25">
        <f t="shared" si="0"/>
        <v>5985</v>
      </c>
      <c r="K24" s="25">
        <f t="shared" si="1"/>
        <v>33</v>
      </c>
      <c r="L24" s="25">
        <f t="shared" si="2"/>
        <v>3832</v>
      </c>
      <c r="M24" s="25">
        <f t="shared" si="3"/>
        <v>1197</v>
      </c>
      <c r="N24" s="25">
        <v>16</v>
      </c>
      <c r="O24" s="25">
        <v>195</v>
      </c>
      <c r="P24" s="25">
        <v>91.8</v>
      </c>
      <c r="Q24" s="25">
        <v>459</v>
      </c>
      <c r="R24" s="25">
        <f t="shared" si="4"/>
        <v>16</v>
      </c>
      <c r="S24" s="25">
        <f t="shared" si="5"/>
        <v>3832</v>
      </c>
      <c r="T24" s="25">
        <f t="shared" si="6"/>
        <v>644.4</v>
      </c>
    </row>
    <row r="25" spans="3:20" collapsed="1">
      <c r="C25" s="54" t="s">
        <v>93</v>
      </c>
      <c r="D25" s="21">
        <f>((D24/  'First Table'!I12  )*100)/D5</f>
        <v>50.522701510013114</v>
      </c>
      <c r="E25" s="45">
        <f>((E24/     'First Table'!I13   )*100)/E5</f>
        <v>83.42550194425452</v>
      </c>
      <c r="F25" s="39">
        <f>((F24/   'First Table'!I14    )*100)/F5</f>
        <v>63.340021068138256</v>
      </c>
      <c r="G25" s="21">
        <f>((G24/ 'First Table'!I15  )*100)/G5</f>
        <v>109.87254167767647</v>
      </c>
      <c r="H25" s="53">
        <f>((H24/   'First Table'!I16    )*100)/H5</f>
        <v>52.559229931961582</v>
      </c>
      <c r="I25" s="27"/>
      <c r="J25" s="25">
        <f t="shared" si="0"/>
        <v>359.71999613204389</v>
      </c>
      <c r="K25" s="25">
        <f t="shared" si="1"/>
        <v>50.522701510013114</v>
      </c>
      <c r="L25" s="25">
        <f t="shared" si="2"/>
        <v>109.87254167767647</v>
      </c>
      <c r="M25" s="25">
        <f t="shared" si="3"/>
        <v>71.943999226408778</v>
      </c>
      <c r="N25" s="25">
        <v>39.763610678650707</v>
      </c>
      <c r="O25" s="25">
        <v>79.491715806346861</v>
      </c>
      <c r="P25" s="25">
        <v>59.610575215563948</v>
      </c>
      <c r="Q25" s="25">
        <v>298.05287607781975</v>
      </c>
      <c r="R25" s="25">
        <f t="shared" si="4"/>
        <v>39.763610678650707</v>
      </c>
      <c r="S25" s="25">
        <f t="shared" si="5"/>
        <v>109.87254167767647</v>
      </c>
      <c r="T25" s="25">
        <f t="shared" si="6"/>
        <v>65.777287220986366</v>
      </c>
    </row>
    <row r="26" spans="3:20" hidden="1" outlineLevel="1">
      <c r="C26" s="2" t="s">
        <v>94</v>
      </c>
      <c r="D26" s="21">
        <v>34</v>
      </c>
      <c r="E26" s="39">
        <v>89</v>
      </c>
      <c r="F26" s="39">
        <v>1422</v>
      </c>
      <c r="G26" s="21">
        <v>692</v>
      </c>
      <c r="H26" s="21">
        <v>3794</v>
      </c>
      <c r="I26" s="27"/>
      <c r="J26" s="25">
        <f t="shared" si="0"/>
        <v>6031</v>
      </c>
      <c r="K26" s="25">
        <f t="shared" si="1"/>
        <v>34</v>
      </c>
      <c r="L26" s="25">
        <f t="shared" si="2"/>
        <v>3794</v>
      </c>
      <c r="M26" s="25">
        <f t="shared" si="3"/>
        <v>1206.2</v>
      </c>
      <c r="N26" s="25">
        <v>16</v>
      </c>
      <c r="O26" s="25">
        <v>188</v>
      </c>
      <c r="P26" s="25">
        <v>91.6</v>
      </c>
      <c r="Q26" s="25">
        <v>458</v>
      </c>
      <c r="R26" s="25">
        <f t="shared" si="4"/>
        <v>16</v>
      </c>
      <c r="S26" s="25">
        <f t="shared" si="5"/>
        <v>3794</v>
      </c>
      <c r="T26" s="25">
        <f t="shared" si="6"/>
        <v>648.9</v>
      </c>
    </row>
    <row r="27" spans="3:20" collapsed="1">
      <c r="C27" s="35" t="s">
        <v>95</v>
      </c>
      <c r="D27" s="21">
        <f>((D26/ 'First Table'!I12  )*100)/D5</f>
        <v>52.053692464861996</v>
      </c>
      <c r="E27" s="51">
        <f>((E26/     'First Table'!I13   )*100)/E5</f>
        <v>95.190636833828876</v>
      </c>
      <c r="F27" s="39">
        <f>((F26/    'First Table'!I14    )*100)/F5</f>
        <v>63.788604786751144</v>
      </c>
      <c r="G27" s="36">
        <f>((G26/ 'First Table'!I15  )*100)/G5</f>
        <v>120.68539498563828</v>
      </c>
      <c r="H27" s="21">
        <f>((H26/   'First Table'!I16    )*100)/H5</f>
        <v>52.038026712385758</v>
      </c>
      <c r="I27" s="27"/>
      <c r="J27" s="25">
        <f t="shared" si="0"/>
        <v>383.75635578346606</v>
      </c>
      <c r="K27" s="25">
        <f t="shared" si="1"/>
        <v>52.038026712385758</v>
      </c>
      <c r="L27" s="25">
        <f t="shared" si="2"/>
        <v>120.68539498563828</v>
      </c>
      <c r="M27" s="25">
        <f t="shared" si="3"/>
        <v>76.751271156693207</v>
      </c>
      <c r="N27" s="25">
        <v>38.336199013263247</v>
      </c>
      <c r="O27" s="25">
        <v>84.309395552186075</v>
      </c>
      <c r="P27" s="25">
        <v>60.9627495899691</v>
      </c>
      <c r="Q27" s="25">
        <v>304.81374794984549</v>
      </c>
      <c r="R27" s="25">
        <f t="shared" si="4"/>
        <v>38.336199013263247</v>
      </c>
      <c r="S27" s="25">
        <f t="shared" si="5"/>
        <v>120.68539498563828</v>
      </c>
      <c r="T27" s="25">
        <f t="shared" si="6"/>
        <v>68.85701037333115</v>
      </c>
    </row>
    <row r="28" spans="3:20" hidden="1" outlineLevel="1">
      <c r="C28" s="2" t="s">
        <v>96</v>
      </c>
      <c r="D28" s="21">
        <v>32</v>
      </c>
      <c r="E28" s="39">
        <v>72</v>
      </c>
      <c r="F28" s="39">
        <v>1419</v>
      </c>
      <c r="G28" s="46">
        <v>690</v>
      </c>
      <c r="H28" s="21">
        <v>3817</v>
      </c>
      <c r="I28" s="27"/>
      <c r="J28" s="25">
        <f t="shared" si="0"/>
        <v>6030</v>
      </c>
      <c r="K28" s="25">
        <f t="shared" si="1"/>
        <v>32</v>
      </c>
      <c r="L28" s="25">
        <f t="shared" si="2"/>
        <v>3817</v>
      </c>
      <c r="M28" s="25">
        <f t="shared" si="3"/>
        <v>1206</v>
      </c>
      <c r="N28" s="25">
        <v>16</v>
      </c>
      <c r="O28" s="25">
        <v>189</v>
      </c>
      <c r="P28" s="25">
        <v>92.2</v>
      </c>
      <c r="Q28" s="25">
        <v>461</v>
      </c>
      <c r="R28" s="25">
        <f t="shared" si="4"/>
        <v>16</v>
      </c>
      <c r="S28" s="25">
        <f t="shared" si="5"/>
        <v>3817</v>
      </c>
      <c r="T28" s="25">
        <f t="shared" si="6"/>
        <v>649.1</v>
      </c>
    </row>
    <row r="29" spans="3:20" collapsed="1">
      <c r="C29" s="2" t="s">
        <v>97</v>
      </c>
      <c r="D29" s="21">
        <f>((D28/  'First Table'!I12  )*100)/D5</f>
        <v>48.991710555164232</v>
      </c>
      <c r="E29" s="45">
        <f>((E28/    'First Table'!I13   )*100)/E5</f>
        <v>77.008155640850319</v>
      </c>
      <c r="F29" s="39">
        <f>((F28/   'First Table'!I14    )*100)/F5</f>
        <v>63.654029671167287</v>
      </c>
      <c r="G29" s="21">
        <f>((G28/ 'First Table'!I15  )*100)/G5</f>
        <v>120.33659326602661</v>
      </c>
      <c r="H29" s="21">
        <f>((H28/    'First Table'!I16    )*100)/H5</f>
        <v>52.353491818971129</v>
      </c>
      <c r="I29" s="27"/>
      <c r="J29" s="25">
        <f t="shared" si="0"/>
        <v>362.34398095217955</v>
      </c>
      <c r="K29" s="25">
        <f t="shared" si="1"/>
        <v>48.991710555164232</v>
      </c>
      <c r="L29" s="25">
        <f t="shared" si="2"/>
        <v>120.33659326602661</v>
      </c>
      <c r="M29" s="25">
        <f t="shared" si="3"/>
        <v>72.46879619043591</v>
      </c>
      <c r="N29" s="25">
        <v>38.540114965461456</v>
      </c>
      <c r="O29" s="25">
        <v>84.309395552186075</v>
      </c>
      <c r="P29" s="25">
        <v>61.327904166206849</v>
      </c>
      <c r="Q29" s="25">
        <v>306.63952083103425</v>
      </c>
      <c r="R29" s="25">
        <f t="shared" si="4"/>
        <v>38.540114965461456</v>
      </c>
      <c r="S29" s="25">
        <f t="shared" si="5"/>
        <v>120.33659326602661</v>
      </c>
      <c r="T29" s="25">
        <f t="shared" si="6"/>
        <v>66.89835017832138</v>
      </c>
    </row>
    <row r="30" spans="3:20" hidden="1" outlineLevel="1">
      <c r="C30" s="2" t="s">
        <v>98</v>
      </c>
      <c r="D30" s="21">
        <v>32</v>
      </c>
      <c r="E30" s="39">
        <v>79</v>
      </c>
      <c r="F30" s="39">
        <v>1385</v>
      </c>
      <c r="G30" s="46">
        <v>630</v>
      </c>
      <c r="H30" s="21">
        <v>3809</v>
      </c>
      <c r="I30" s="27"/>
      <c r="J30" s="25">
        <f t="shared" si="0"/>
        <v>5935</v>
      </c>
      <c r="K30" s="25">
        <f t="shared" si="1"/>
        <v>32</v>
      </c>
      <c r="L30" s="25">
        <f t="shared" si="2"/>
        <v>3809</v>
      </c>
      <c r="M30" s="25">
        <f t="shared" si="3"/>
        <v>1187</v>
      </c>
      <c r="N30" s="25">
        <v>14</v>
      </c>
      <c r="O30" s="25">
        <v>191</v>
      </c>
      <c r="P30" s="25">
        <v>90.8</v>
      </c>
      <c r="Q30" s="25">
        <v>454</v>
      </c>
      <c r="R30" s="25">
        <f t="shared" si="4"/>
        <v>14</v>
      </c>
      <c r="S30" s="25">
        <f t="shared" si="5"/>
        <v>3809</v>
      </c>
      <c r="T30" s="25">
        <f t="shared" si="6"/>
        <v>638.9</v>
      </c>
    </row>
    <row r="31" spans="3:20" collapsed="1">
      <c r="C31" s="2" t="s">
        <v>99</v>
      </c>
      <c r="D31" s="21">
        <f>((D30/ 'First Table'!I12  )*100)/D5</f>
        <v>48.991710555164232</v>
      </c>
      <c r="E31" s="45">
        <f>((E30/   'First Table'!I13   )*100)/E5</f>
        <v>84.495059661488568</v>
      </c>
      <c r="F31" s="39">
        <f>((F30/    'First Table'!I14    )*100)/F5</f>
        <v>62.128845027883493</v>
      </c>
      <c r="G31" s="21">
        <f>((G30/ 'First Table'!I15  )*100)/G5</f>
        <v>109.87254167767647</v>
      </c>
      <c r="H31" s="21">
        <f>((H30/  'First Table'!I16    )*100)/H5</f>
        <v>52.243764825376218</v>
      </c>
      <c r="I31" s="27"/>
      <c r="J31" s="25">
        <f t="shared" si="0"/>
        <v>357.73192174758901</v>
      </c>
      <c r="K31" s="25">
        <f t="shared" si="1"/>
        <v>48.991710555164232</v>
      </c>
      <c r="L31" s="25">
        <f t="shared" si="2"/>
        <v>109.87254167767647</v>
      </c>
      <c r="M31" s="25">
        <f t="shared" si="3"/>
        <v>71.546384349517808</v>
      </c>
      <c r="N31" s="25">
        <v>38.947946869857873</v>
      </c>
      <c r="O31" s="25">
        <v>77.082875933427275</v>
      </c>
      <c r="P31" s="25">
        <v>58.103674601212063</v>
      </c>
      <c r="Q31" s="25">
        <v>290.5183730060603</v>
      </c>
      <c r="R31" s="25">
        <f t="shared" si="4"/>
        <v>38.947946869857873</v>
      </c>
      <c r="S31" s="25">
        <f t="shared" si="5"/>
        <v>109.87254167767647</v>
      </c>
      <c r="T31" s="25">
        <f t="shared" si="6"/>
        <v>64.825029475364929</v>
      </c>
    </row>
    <row r="32" spans="3:20" hidden="1" outlineLevel="1">
      <c r="C32" s="2" t="s">
        <v>100</v>
      </c>
      <c r="D32" s="21">
        <v>35</v>
      </c>
      <c r="E32" s="39">
        <v>81</v>
      </c>
      <c r="F32" s="39">
        <v>1421</v>
      </c>
      <c r="G32" s="21">
        <v>675</v>
      </c>
      <c r="H32" s="21">
        <v>3806</v>
      </c>
      <c r="I32" s="27"/>
      <c r="J32" s="25">
        <f t="shared" si="0"/>
        <v>6018</v>
      </c>
      <c r="K32" s="25">
        <f t="shared" si="1"/>
        <v>35</v>
      </c>
      <c r="L32" s="25">
        <f t="shared" si="2"/>
        <v>3806</v>
      </c>
      <c r="M32" s="25">
        <f t="shared" si="3"/>
        <v>1203.5999999999999</v>
      </c>
      <c r="N32" s="25">
        <v>15</v>
      </c>
      <c r="O32" s="25">
        <v>179</v>
      </c>
      <c r="P32" s="25">
        <v>89.8</v>
      </c>
      <c r="Q32" s="25">
        <v>449</v>
      </c>
      <c r="R32" s="25">
        <f t="shared" si="4"/>
        <v>15</v>
      </c>
      <c r="S32" s="25">
        <f t="shared" si="5"/>
        <v>3806</v>
      </c>
      <c r="T32" s="25">
        <f t="shared" si="6"/>
        <v>646.70000000000005</v>
      </c>
    </row>
    <row r="33" spans="3:20" collapsed="1">
      <c r="C33" s="2" t="s">
        <v>101</v>
      </c>
      <c r="D33" s="21">
        <f>((D32/ 'First Table'!I12  )*100)/D5</f>
        <v>53.584683419710871</v>
      </c>
      <c r="E33" s="45">
        <f>((E32/    'First Table'!I13   )*100)/E5</f>
        <v>86.634175095956621</v>
      </c>
      <c r="F33" s="39">
        <f>((F32/   'First Table'!I14    )*100)/F5</f>
        <v>63.743746414889856</v>
      </c>
      <c r="G33" s="21">
        <f>((G32/'First Table'!I15  )*100)/G5</f>
        <v>117.72058036893907</v>
      </c>
      <c r="H33" s="21">
        <f>((H32/   'First Table'!I16    )*100)/H5</f>
        <v>52.202617202778129</v>
      </c>
      <c r="I33" s="27"/>
      <c r="J33" s="25">
        <f t="shared" si="0"/>
        <v>373.88580250227454</v>
      </c>
      <c r="K33" s="25">
        <f t="shared" si="1"/>
        <v>52.202617202778129</v>
      </c>
      <c r="L33" s="25">
        <f t="shared" si="2"/>
        <v>117.72058036893907</v>
      </c>
      <c r="M33" s="25">
        <f t="shared" si="3"/>
        <v>74.777160500454912</v>
      </c>
      <c r="N33" s="25">
        <v>36.50095544347937</v>
      </c>
      <c r="O33" s="25">
        <v>83.104975615726289</v>
      </c>
      <c r="P33" s="25">
        <v>60.048628467729785</v>
      </c>
      <c r="Q33" s="25">
        <v>300.24314233864891</v>
      </c>
      <c r="R33" s="25">
        <f t="shared" si="4"/>
        <v>36.50095544347937</v>
      </c>
      <c r="S33" s="25">
        <f t="shared" si="5"/>
        <v>117.72058036893907</v>
      </c>
      <c r="T33" s="25">
        <f t="shared" si="6"/>
        <v>67.412894484092334</v>
      </c>
    </row>
    <row r="34" spans="3:20" hidden="1" outlineLevel="1">
      <c r="C34" s="2" t="s">
        <v>102</v>
      </c>
      <c r="D34" s="21">
        <v>33</v>
      </c>
      <c r="E34" s="39">
        <v>80</v>
      </c>
      <c r="F34" s="39">
        <v>1424</v>
      </c>
      <c r="G34" s="21">
        <v>680</v>
      </c>
      <c r="H34" s="21">
        <v>3820</v>
      </c>
      <c r="I34" s="27"/>
      <c r="J34" s="25">
        <f t="shared" si="0"/>
        <v>6037</v>
      </c>
      <c r="K34" s="25">
        <f t="shared" si="1"/>
        <v>33</v>
      </c>
      <c r="L34" s="25">
        <f t="shared" si="2"/>
        <v>3820</v>
      </c>
      <c r="M34" s="25">
        <f t="shared" si="3"/>
        <v>1207.4000000000001</v>
      </c>
      <c r="N34" s="25">
        <v>15</v>
      </c>
      <c r="O34" s="25">
        <v>182</v>
      </c>
      <c r="P34" s="25">
        <v>90</v>
      </c>
      <c r="Q34" s="25">
        <v>450</v>
      </c>
      <c r="R34" s="25">
        <f t="shared" si="4"/>
        <v>15</v>
      </c>
      <c r="S34" s="25">
        <f t="shared" si="5"/>
        <v>3820</v>
      </c>
      <c r="T34" s="25">
        <f t="shared" si="6"/>
        <v>648.70000000000005</v>
      </c>
    </row>
    <row r="35" spans="3:20" collapsed="1">
      <c r="C35" s="2" t="s">
        <v>103</v>
      </c>
      <c r="D35" s="21">
        <f>((D34/  'First Table'!I12  )*100)/D5</f>
        <v>50.522701510013114</v>
      </c>
      <c r="E35" s="45">
        <f>((E34/   'First Table'!I13   )*100)/E5</f>
        <v>85.564617378722588</v>
      </c>
      <c r="F35" s="39">
        <f>((F34/  'First Table'!I14    )*100)/F5</f>
        <v>63.87832153047372</v>
      </c>
      <c r="G35" s="21">
        <f>((G34/ 'First Table'!I15  )*100)/G5</f>
        <v>118.59258466796825</v>
      </c>
      <c r="H35" s="21">
        <f>((H34/   'First Table'!I16    )*100)/H5</f>
        <v>52.394639441569218</v>
      </c>
      <c r="I35" s="27"/>
      <c r="J35" s="25">
        <f t="shared" si="0"/>
        <v>370.95286452874689</v>
      </c>
      <c r="K35" s="25">
        <f t="shared" si="1"/>
        <v>50.522701510013114</v>
      </c>
      <c r="L35" s="25">
        <f t="shared" si="2"/>
        <v>118.59258466796825</v>
      </c>
      <c r="M35" s="25">
        <f t="shared" si="3"/>
        <v>74.190572905749377</v>
      </c>
      <c r="N35" s="25">
        <v>37.112703300074003</v>
      </c>
      <c r="O35" s="25">
        <v>83.104975615726289</v>
      </c>
      <c r="P35" s="25">
        <v>59.496857280733913</v>
      </c>
      <c r="Q35" s="25">
        <v>297.48428640366956</v>
      </c>
      <c r="R35" s="25">
        <f t="shared" si="4"/>
        <v>37.112703300074003</v>
      </c>
      <c r="S35" s="25">
        <f t="shared" si="5"/>
        <v>118.59258466796825</v>
      </c>
      <c r="T35" s="25">
        <f t="shared" si="6"/>
        <v>66.843715093241642</v>
      </c>
    </row>
    <row r="36" spans="3:20" hidden="1" outlineLevel="1">
      <c r="C36" s="2" t="s">
        <v>104</v>
      </c>
      <c r="D36" s="21">
        <v>39</v>
      </c>
      <c r="E36" s="39">
        <v>78</v>
      </c>
      <c r="F36" s="39">
        <v>1438</v>
      </c>
      <c r="G36" s="21">
        <v>643</v>
      </c>
      <c r="H36" s="21">
        <v>3828</v>
      </c>
      <c r="I36" s="27"/>
      <c r="J36" s="25">
        <f t="shared" si="0"/>
        <v>6026</v>
      </c>
      <c r="K36" s="25">
        <f t="shared" si="1"/>
        <v>39</v>
      </c>
      <c r="L36" s="25">
        <f t="shared" si="2"/>
        <v>3828</v>
      </c>
      <c r="M36" s="25">
        <f t="shared" si="3"/>
        <v>1205.2</v>
      </c>
      <c r="N36" s="25">
        <v>15</v>
      </c>
      <c r="O36" s="25">
        <v>185</v>
      </c>
      <c r="P36" s="25">
        <v>89.6</v>
      </c>
      <c r="Q36" s="25">
        <v>448</v>
      </c>
      <c r="R36" s="25">
        <f t="shared" si="4"/>
        <v>15</v>
      </c>
      <c r="S36" s="25">
        <f t="shared" si="5"/>
        <v>3828</v>
      </c>
      <c r="T36" s="25">
        <f t="shared" si="6"/>
        <v>647.4</v>
      </c>
    </row>
    <row r="37" spans="3:20" collapsed="1">
      <c r="C37" s="35" t="s">
        <v>105</v>
      </c>
      <c r="D37" s="36">
        <f>((D36/  'First Table'!I12  )*100)/D5</f>
        <v>59.708647239106398</v>
      </c>
      <c r="E37" s="45">
        <f>((E36/   'First Table'!I13   )*100)/E5</f>
        <v>83.42550194425452</v>
      </c>
      <c r="F37" s="36">
        <f>((F36/    'First Table'!I14    )*100)/F5</f>
        <v>64.506338736531745</v>
      </c>
      <c r="G37" s="21">
        <f>((G36/'First Table'!I15  )*100)/G5</f>
        <v>112.13975285515232</v>
      </c>
      <c r="H37" s="21">
        <f>((H36/    'First Table'!I16    )*100)/H5</f>
        <v>52.504366435164123</v>
      </c>
      <c r="I37" s="27"/>
      <c r="J37" s="25">
        <f t="shared" si="0"/>
        <v>372.28460721020912</v>
      </c>
      <c r="K37" s="25">
        <f t="shared" si="1"/>
        <v>52.504366435164123</v>
      </c>
      <c r="L37" s="25">
        <f t="shared" si="2"/>
        <v>112.13975285515232</v>
      </c>
      <c r="M37" s="25">
        <f t="shared" si="3"/>
        <v>74.456921442041818</v>
      </c>
      <c r="N37" s="25">
        <v>37.724451156668628</v>
      </c>
      <c r="O37" s="25">
        <v>77.082875933427275</v>
      </c>
      <c r="P37" s="25">
        <v>58.414786915593027</v>
      </c>
      <c r="Q37" s="25">
        <v>292.07393457796513</v>
      </c>
      <c r="R37" s="25">
        <f t="shared" si="4"/>
        <v>37.724451156668628</v>
      </c>
      <c r="S37" s="25">
        <f t="shared" si="5"/>
        <v>112.13975285515232</v>
      </c>
      <c r="T37" s="25">
        <f t="shared" si="6"/>
        <v>66.435854178817436</v>
      </c>
    </row>
    <row r="38" spans="3:20" hidden="1" outlineLevel="2">
      <c r="C38" s="24" t="s">
        <v>26</v>
      </c>
      <c r="D38" s="21">
        <v>31</v>
      </c>
      <c r="E38" s="21">
        <v>74</v>
      </c>
      <c r="F38" s="21">
        <v>1471</v>
      </c>
      <c r="G38" s="21">
        <v>629</v>
      </c>
      <c r="H38" s="21">
        <v>3584</v>
      </c>
      <c r="J38" s="25">
        <f t="shared" ref="J8:J65" si="7">SUM(D38:H38)</f>
        <v>5789</v>
      </c>
      <c r="K38" s="25">
        <f t="shared" si="1"/>
        <v>31</v>
      </c>
      <c r="L38" s="25">
        <f t="shared" ref="L8:L65" si="8">MAX(D38:H38)</f>
        <v>3584</v>
      </c>
      <c r="M38" s="25">
        <f t="shared" ref="M8:M65" si="9">SUM(D38:H38)/5</f>
        <v>1157.8</v>
      </c>
      <c r="N38" s="25">
        <v>14</v>
      </c>
      <c r="O38" s="25">
        <v>175</v>
      </c>
      <c r="P38" s="25">
        <v>84</v>
      </c>
      <c r="Q38" s="25">
        <v>420</v>
      </c>
      <c r="R38" s="25">
        <f t="shared" si="4"/>
        <v>14</v>
      </c>
      <c r="S38" s="25">
        <f t="shared" si="5"/>
        <v>3584</v>
      </c>
      <c r="T38" s="25">
        <f t="shared" si="6"/>
        <v>620.9</v>
      </c>
    </row>
    <row r="39" spans="3:20" hidden="1" collapsed="1">
      <c r="C39" s="40" t="s">
        <v>43</v>
      </c>
      <c r="D39" s="21">
        <f>((D38/ 'First Table'!I12  )*100)/D5</f>
        <v>47.46071960031535</v>
      </c>
      <c r="E39" s="21">
        <f>((E38/   'First Table'!I13   )*100)/E5</f>
        <v>79.147271075318386</v>
      </c>
      <c r="F39" s="31">
        <f>((F38/   'First Table'!I14    )*100)/F5</f>
        <v>65.986665007954244</v>
      </c>
      <c r="G39" s="21">
        <f>((G38/ 'First Table'!I15  )*100)/G5</f>
        <v>109.69814081787064</v>
      </c>
      <c r="H39" s="21">
        <f>((H38/   'First Table'!I16    )*100)/H5</f>
        <v>49.157693130519391</v>
      </c>
      <c r="J39" s="25">
        <f t="shared" si="7"/>
        <v>351.45048963197803</v>
      </c>
      <c r="K39" s="25">
        <f t="shared" si="1"/>
        <v>47.46071960031535</v>
      </c>
      <c r="L39" s="25">
        <f t="shared" si="8"/>
        <v>109.69814081787064</v>
      </c>
      <c r="M39" s="25">
        <f t="shared" si="9"/>
        <v>70.290097926395603</v>
      </c>
      <c r="N39" s="25">
        <v>35.685291634686529</v>
      </c>
      <c r="O39" s="25">
        <v>72.26519618758806</v>
      </c>
      <c r="P39" s="25">
        <v>54.566757276939811</v>
      </c>
      <c r="Q39" s="25">
        <v>272.83378638469907</v>
      </c>
      <c r="R39" s="25">
        <f t="shared" si="4"/>
        <v>35.685291634686529</v>
      </c>
      <c r="S39" s="25">
        <f t="shared" si="5"/>
        <v>109.69814081787064</v>
      </c>
      <c r="T39" s="25">
        <f t="shared" si="6"/>
        <v>62.428427601667707</v>
      </c>
    </row>
    <row r="40" spans="3:20" hidden="1" outlineLevel="2">
      <c r="C40" s="24" t="s">
        <v>27</v>
      </c>
      <c r="D40" s="21">
        <v>29</v>
      </c>
      <c r="E40" s="21">
        <v>75</v>
      </c>
      <c r="F40" s="21">
        <v>1425</v>
      </c>
      <c r="G40" s="21">
        <v>645</v>
      </c>
      <c r="H40" s="21">
        <v>3662</v>
      </c>
      <c r="J40" s="25">
        <f t="shared" si="7"/>
        <v>5836</v>
      </c>
      <c r="K40" s="25">
        <f t="shared" si="1"/>
        <v>29</v>
      </c>
      <c r="L40" s="25">
        <f t="shared" si="8"/>
        <v>3662</v>
      </c>
      <c r="M40" s="25">
        <f t="shared" si="9"/>
        <v>1167.2</v>
      </c>
      <c r="N40" s="25">
        <v>15</v>
      </c>
      <c r="O40" s="25">
        <v>178</v>
      </c>
      <c r="P40" s="25">
        <v>84.4</v>
      </c>
      <c r="Q40" s="25">
        <v>422</v>
      </c>
      <c r="R40" s="25">
        <f t="shared" si="4"/>
        <v>15</v>
      </c>
      <c r="S40" s="25">
        <f t="shared" si="5"/>
        <v>3662</v>
      </c>
      <c r="T40" s="25">
        <f t="shared" si="6"/>
        <v>625.79999999999995</v>
      </c>
    </row>
    <row r="41" spans="3:20" hidden="1" collapsed="1">
      <c r="C41" s="24" t="s">
        <v>44</v>
      </c>
      <c r="D41" s="21">
        <f>((D40/ 'First Table'!I12  )*100)/D5</f>
        <v>44.398737690617573</v>
      </c>
      <c r="E41" s="21">
        <f>((E40/   'First Table'!I13   )*100)/E5</f>
        <v>80.21682879255242</v>
      </c>
      <c r="F41" s="21">
        <f>((F40/   'First Table'!I14    )*100)/F5</f>
        <v>63.923179902335001</v>
      </c>
      <c r="G41" s="21">
        <f>((G40/ 'First Table'!I15  )*100)/G5</f>
        <v>112.488554574764</v>
      </c>
      <c r="H41" s="21">
        <f>((H40/    'First Table'!I16    )*100)/H5</f>
        <v>50.227531318069765</v>
      </c>
      <c r="J41" s="25">
        <f t="shared" si="7"/>
        <v>351.25483227833877</v>
      </c>
      <c r="K41" s="25">
        <f t="shared" si="1"/>
        <v>44.398737690617573</v>
      </c>
      <c r="L41" s="25">
        <f t="shared" si="8"/>
        <v>112.488554574764</v>
      </c>
      <c r="M41" s="25">
        <f t="shared" si="9"/>
        <v>70.250966455667751</v>
      </c>
      <c r="N41" s="25">
        <v>36.297039491281161</v>
      </c>
      <c r="O41" s="25">
        <v>69.856356314668474</v>
      </c>
      <c r="P41" s="25">
        <v>55.012773366721866</v>
      </c>
      <c r="Q41" s="25">
        <v>275.06386683360932</v>
      </c>
      <c r="R41" s="25">
        <f t="shared" si="4"/>
        <v>36.297039491281161</v>
      </c>
      <c r="S41" s="25">
        <f t="shared" si="5"/>
        <v>112.488554574764</v>
      </c>
      <c r="T41" s="25">
        <f t="shared" si="6"/>
        <v>62.631869911194805</v>
      </c>
    </row>
    <row r="42" spans="3:20" hidden="1" outlineLevel="2">
      <c r="C42" s="24" t="s">
        <v>28</v>
      </c>
      <c r="D42" s="21">
        <v>30</v>
      </c>
      <c r="E42" s="21">
        <v>77</v>
      </c>
      <c r="F42" s="21">
        <v>1418</v>
      </c>
      <c r="G42" s="21">
        <v>646</v>
      </c>
      <c r="H42" s="21">
        <v>3703</v>
      </c>
      <c r="J42" s="25">
        <f t="shared" si="7"/>
        <v>5874</v>
      </c>
      <c r="K42" s="25">
        <f t="shared" si="1"/>
        <v>30</v>
      </c>
      <c r="L42" s="25">
        <f t="shared" si="8"/>
        <v>3703</v>
      </c>
      <c r="M42" s="25">
        <f t="shared" si="9"/>
        <v>1174.8</v>
      </c>
      <c r="N42" s="25">
        <v>16</v>
      </c>
      <c r="O42" s="25">
        <v>172</v>
      </c>
      <c r="P42" s="25">
        <v>83.6</v>
      </c>
      <c r="Q42" s="25">
        <v>418</v>
      </c>
      <c r="R42" s="25">
        <f t="shared" si="4"/>
        <v>16</v>
      </c>
      <c r="S42" s="25">
        <f t="shared" si="5"/>
        <v>3703</v>
      </c>
      <c r="T42" s="25">
        <f t="shared" si="6"/>
        <v>629.20000000000005</v>
      </c>
    </row>
    <row r="43" spans="3:20" hidden="1" collapsed="1">
      <c r="C43" s="24" t="s">
        <v>45</v>
      </c>
      <c r="D43" s="21">
        <f>((D42/ 'First Table'!I12  )*100)/D5</f>
        <v>45.929728645466469</v>
      </c>
      <c r="E43" s="21">
        <f>((E42/   'First Table'!I13   )*100)/E5</f>
        <v>82.355944227020487</v>
      </c>
      <c r="F43" s="21">
        <f>((F42/   'First Table'!I14    )*100)/F5</f>
        <v>63.609171299305984</v>
      </c>
      <c r="G43" s="21">
        <f>((G42/ 'First Table'!I15  )*100)/G5</f>
        <v>112.66295543456984</v>
      </c>
      <c r="H43" s="21">
        <f>((H42/   'First Table'!I16    )*100)/H5</f>
        <v>50.789882160243671</v>
      </c>
      <c r="J43" s="25">
        <f t="shared" si="7"/>
        <v>355.34768176660646</v>
      </c>
      <c r="K43" s="25">
        <f t="shared" si="1"/>
        <v>45.929728645466469</v>
      </c>
      <c r="L43" s="25">
        <f t="shared" si="8"/>
        <v>112.66295543456984</v>
      </c>
      <c r="M43" s="25">
        <f t="shared" si="9"/>
        <v>71.069536353321297</v>
      </c>
      <c r="N43" s="25">
        <v>35.073543778091903</v>
      </c>
      <c r="O43" s="25">
        <v>71.06077625112826</v>
      </c>
      <c r="P43" s="25">
        <v>55.814392704423014</v>
      </c>
      <c r="Q43" s="25">
        <v>279.07196352211508</v>
      </c>
      <c r="R43" s="25">
        <f t="shared" si="4"/>
        <v>35.073543778091903</v>
      </c>
      <c r="S43" s="25">
        <f t="shared" si="5"/>
        <v>112.66295543456984</v>
      </c>
      <c r="T43" s="25">
        <f t="shared" si="6"/>
        <v>63.441964528872155</v>
      </c>
    </row>
    <row r="44" spans="3:20" hidden="1" outlineLevel="2">
      <c r="C44" s="24" t="s">
        <v>29</v>
      </c>
      <c r="D44" s="21">
        <v>37</v>
      </c>
      <c r="E44" s="21">
        <v>78</v>
      </c>
      <c r="F44" s="21">
        <v>1447</v>
      </c>
      <c r="G44" s="21">
        <v>669</v>
      </c>
      <c r="H44" s="21">
        <v>3792</v>
      </c>
      <c r="J44" s="25">
        <f t="shared" si="7"/>
        <v>6023</v>
      </c>
      <c r="K44" s="25">
        <f t="shared" si="1"/>
        <v>37</v>
      </c>
      <c r="L44" s="25">
        <f t="shared" si="8"/>
        <v>3792</v>
      </c>
      <c r="M44" s="25">
        <f t="shared" si="9"/>
        <v>1204.5999999999999</v>
      </c>
      <c r="N44" s="25">
        <v>15</v>
      </c>
      <c r="O44" s="25">
        <v>196</v>
      </c>
      <c r="P44" s="25">
        <v>92.6</v>
      </c>
      <c r="Q44" s="25">
        <v>463</v>
      </c>
      <c r="R44" s="25">
        <f t="shared" si="4"/>
        <v>15</v>
      </c>
      <c r="S44" s="25">
        <f t="shared" si="5"/>
        <v>3792</v>
      </c>
      <c r="T44" s="25">
        <f t="shared" si="6"/>
        <v>648.6</v>
      </c>
    </row>
    <row r="45" spans="3:20" hidden="1" collapsed="1">
      <c r="C45" s="38" t="s">
        <v>46</v>
      </c>
      <c r="D45" s="37">
        <f>((D44/ 'First Table'!I12  )*100)/D5</f>
        <v>56.646665329408634</v>
      </c>
      <c r="E45" s="21">
        <f>((E44/   'First Table'!I13   )*100)/E5</f>
        <v>83.42550194425452</v>
      </c>
      <c r="F45" s="21">
        <f>((F44/   'First Table'!I14    )*100)/F5</f>
        <v>64.910064083283331</v>
      </c>
      <c r="G45" s="21">
        <f>((G44/ 'First Table'!I15  )*100)/G5</f>
        <v>116.67417521010407</v>
      </c>
      <c r="H45" s="21">
        <f>((H44/   'First Table'!I16    )*100)/H5</f>
        <v>52.010594963987039</v>
      </c>
      <c r="J45" s="25">
        <f t="shared" si="7"/>
        <v>373.66700153103761</v>
      </c>
      <c r="K45" s="25">
        <f t="shared" si="1"/>
        <v>52.010594963987039</v>
      </c>
      <c r="L45" s="25">
        <f t="shared" si="8"/>
        <v>116.67417521010407</v>
      </c>
      <c r="M45" s="25">
        <f t="shared" si="9"/>
        <v>74.733400306207528</v>
      </c>
      <c r="N45" s="25">
        <v>39.967526630848923</v>
      </c>
      <c r="O45" s="25">
        <v>73.46961612404786</v>
      </c>
      <c r="P45" s="25">
        <v>59.013737869459099</v>
      </c>
      <c r="Q45" s="25">
        <v>295.0686893472955</v>
      </c>
      <c r="R45" s="25">
        <f t="shared" si="4"/>
        <v>39.967526630848923</v>
      </c>
      <c r="S45" s="25">
        <f t="shared" si="5"/>
        <v>116.67417521010407</v>
      </c>
      <c r="T45" s="25">
        <f t="shared" si="6"/>
        <v>66.873569087833317</v>
      </c>
    </row>
    <row r="46" spans="3:20" hidden="1" outlineLevel="2">
      <c r="C46" s="24" t="s">
        <v>30</v>
      </c>
      <c r="D46" s="21">
        <v>34</v>
      </c>
      <c r="E46" s="21">
        <v>76</v>
      </c>
      <c r="F46" s="21">
        <v>1407</v>
      </c>
      <c r="G46" s="21">
        <v>688</v>
      </c>
      <c r="H46" s="21">
        <v>3861</v>
      </c>
      <c r="J46" s="25">
        <f t="shared" si="7"/>
        <v>6066</v>
      </c>
      <c r="K46" s="25">
        <f t="shared" si="1"/>
        <v>34</v>
      </c>
      <c r="L46" s="25">
        <f t="shared" si="8"/>
        <v>3861</v>
      </c>
      <c r="M46" s="25">
        <f t="shared" si="9"/>
        <v>1213.2</v>
      </c>
      <c r="N46" s="25">
        <v>16</v>
      </c>
      <c r="O46" s="25">
        <v>196</v>
      </c>
      <c r="P46" s="25">
        <v>92.8</v>
      </c>
      <c r="Q46" s="25">
        <v>464</v>
      </c>
      <c r="R46" s="25">
        <f t="shared" si="4"/>
        <v>16</v>
      </c>
      <c r="S46" s="25">
        <f t="shared" si="5"/>
        <v>3861</v>
      </c>
      <c r="T46" s="25">
        <f t="shared" si="6"/>
        <v>653</v>
      </c>
    </row>
    <row r="47" spans="3:20" hidden="1" collapsed="1">
      <c r="C47" s="41" t="s">
        <v>47</v>
      </c>
      <c r="D47" s="21">
        <f>((D46/ 'First Table'!I12  )*100)/D5</f>
        <v>52.053692464861996</v>
      </c>
      <c r="E47" s="21">
        <f>((E46/   'First Table'!I13   )*100)/E5</f>
        <v>81.286386509786468</v>
      </c>
      <c r="F47" s="21">
        <f>((F46/   'First Table'!I14    )*100)/F5</f>
        <v>63.115729208831823</v>
      </c>
      <c r="G47" s="42">
        <f>((G46/ 'First Table'!I15  )*100)/G5</f>
        <v>119.98779154641494</v>
      </c>
      <c r="H47" s="21">
        <f>((H46/   'First Table'!I16    )*100)/H5</f>
        <v>52.956990283743139</v>
      </c>
      <c r="J47" s="25">
        <f t="shared" si="7"/>
        <v>369.40059001363841</v>
      </c>
      <c r="K47" s="25">
        <f t="shared" si="1"/>
        <v>52.053692464861996</v>
      </c>
      <c r="L47" s="25">
        <f t="shared" si="8"/>
        <v>119.98779154641494</v>
      </c>
      <c r="M47" s="25">
        <f t="shared" si="9"/>
        <v>73.880118002727684</v>
      </c>
      <c r="N47" s="25">
        <v>39.967526630848923</v>
      </c>
      <c r="O47" s="25">
        <v>72.26519618758806</v>
      </c>
      <c r="P47" s="25">
        <v>59.478162038725735</v>
      </c>
      <c r="Q47" s="25">
        <v>297.39081019362868</v>
      </c>
      <c r="R47" s="25">
        <f t="shared" si="4"/>
        <v>39.967526630848923</v>
      </c>
      <c r="S47" s="25">
        <f t="shared" si="5"/>
        <v>119.98779154641494</v>
      </c>
      <c r="T47" s="25">
        <f t="shared" si="6"/>
        <v>66.679140020726706</v>
      </c>
    </row>
    <row r="48" spans="3:20" hidden="1" outlineLevel="2">
      <c r="C48" s="24" t="s">
        <v>31</v>
      </c>
      <c r="D48" s="21">
        <v>35</v>
      </c>
      <c r="E48" s="21">
        <v>80</v>
      </c>
      <c r="F48" s="21">
        <v>1412</v>
      </c>
      <c r="G48" s="21">
        <v>684</v>
      </c>
      <c r="H48" s="21">
        <v>3874</v>
      </c>
      <c r="J48" s="25">
        <f t="shared" si="7"/>
        <v>6085</v>
      </c>
      <c r="K48" s="25">
        <f t="shared" si="1"/>
        <v>35</v>
      </c>
      <c r="L48" s="25">
        <f t="shared" si="8"/>
        <v>3874</v>
      </c>
      <c r="M48" s="25">
        <f t="shared" si="9"/>
        <v>1217</v>
      </c>
      <c r="N48" s="25">
        <v>16</v>
      </c>
      <c r="O48" s="25">
        <v>193</v>
      </c>
      <c r="P48" s="25">
        <v>91.4</v>
      </c>
      <c r="Q48" s="25">
        <v>457</v>
      </c>
      <c r="R48" s="25">
        <f t="shared" si="4"/>
        <v>16</v>
      </c>
      <c r="S48" s="25">
        <f t="shared" si="5"/>
        <v>3874</v>
      </c>
      <c r="T48" s="25">
        <f t="shared" si="6"/>
        <v>654.20000000000005</v>
      </c>
    </row>
    <row r="49" spans="3:20" hidden="1" collapsed="1">
      <c r="C49" s="43" t="s">
        <v>48</v>
      </c>
      <c r="D49" s="21">
        <f>((D48/ 'First Table'!I12  )*100)/D5</f>
        <v>53.584683419710871</v>
      </c>
      <c r="E49" s="21">
        <f>((E48/   'First Table'!I13   )*100)/E5</f>
        <v>85.564617378722588</v>
      </c>
      <c r="F49" s="21">
        <f>((F48/   'First Table'!I14    )*100)/F5</f>
        <v>63.340021068138256</v>
      </c>
      <c r="G49" s="21">
        <f>((G48/ 'First Table'!I15  )*100)/G5</f>
        <v>119.2901881071916</v>
      </c>
      <c r="H49" s="44">
        <f>((H48/   'First Table'!I16    )*100)/H5</f>
        <v>53.135296648334858</v>
      </c>
      <c r="J49" s="25">
        <f t="shared" si="7"/>
        <v>374.91480662209818</v>
      </c>
      <c r="K49" s="25">
        <f t="shared" si="1"/>
        <v>53.135296648334858</v>
      </c>
      <c r="L49" s="25">
        <f t="shared" si="8"/>
        <v>119.2901881071916</v>
      </c>
      <c r="M49" s="25">
        <f t="shared" si="9"/>
        <v>74.982961324419634</v>
      </c>
      <c r="N49" s="25">
        <v>39.355778774254297</v>
      </c>
      <c r="O49" s="25">
        <v>73.46961612404786</v>
      </c>
      <c r="P49" s="25">
        <v>58.698330647074314</v>
      </c>
      <c r="Q49" s="25">
        <v>293.49165323537159</v>
      </c>
      <c r="R49" s="25">
        <f t="shared" si="4"/>
        <v>39.355778774254297</v>
      </c>
      <c r="S49" s="25">
        <f t="shared" si="5"/>
        <v>119.2901881071916</v>
      </c>
      <c r="T49" s="25">
        <f t="shared" si="6"/>
        <v>66.840645985746988</v>
      </c>
    </row>
    <row r="50" spans="3:20" hidden="1" outlineLevel="2">
      <c r="C50" s="24" t="s">
        <v>26</v>
      </c>
      <c r="D50" s="21">
        <v>33</v>
      </c>
      <c r="E50" s="21">
        <v>76</v>
      </c>
      <c r="F50" s="21">
        <v>1452</v>
      </c>
      <c r="G50" s="21">
        <v>632</v>
      </c>
      <c r="H50" s="21">
        <v>3550</v>
      </c>
      <c r="J50" s="25">
        <f t="shared" si="7"/>
        <v>5743</v>
      </c>
      <c r="K50" s="25">
        <f t="shared" si="1"/>
        <v>33</v>
      </c>
      <c r="L50" s="25">
        <f t="shared" si="8"/>
        <v>3550</v>
      </c>
      <c r="M50" s="25">
        <f t="shared" si="9"/>
        <v>1148.5999999999999</v>
      </c>
      <c r="R50" s="25">
        <f t="shared" si="4"/>
        <v>33</v>
      </c>
      <c r="S50" s="25">
        <f t="shared" si="5"/>
        <v>3550</v>
      </c>
      <c r="T50" s="25">
        <f t="shared" si="6"/>
        <v>574.29999999999995</v>
      </c>
    </row>
    <row r="51" spans="3:20" hidden="1" collapsed="1">
      <c r="C51" s="24" t="s">
        <v>65</v>
      </c>
      <c r="D51" s="21">
        <f>((D50/ 'First Table'!I12  )*100)/D5</f>
        <v>50.522701510013114</v>
      </c>
      <c r="E51" s="21">
        <f>((E50/   'First Table'!I13   )*100)/E5</f>
        <v>81.286386509786468</v>
      </c>
      <c r="F51" s="21">
        <f>((F50/   'First Table'!I14    )*100)/F5</f>
        <v>65.134355942589764</v>
      </c>
      <c r="G51" s="21">
        <f>((G50/ 'First Table'!I15  )*100)/G5</f>
        <v>110.22134339728814</v>
      </c>
      <c r="H51" s="21">
        <f>((H50/   'First Table'!I16    )*100)/H5</f>
        <v>48.691353407741026</v>
      </c>
      <c r="J51" s="25">
        <f t="shared" si="7"/>
        <v>355.85614076741848</v>
      </c>
      <c r="K51" s="25">
        <f t="shared" si="1"/>
        <v>48.691353407741026</v>
      </c>
      <c r="L51" s="25">
        <f t="shared" si="8"/>
        <v>110.22134339728814</v>
      </c>
      <c r="M51" s="25">
        <f t="shared" si="9"/>
        <v>71.171228153483696</v>
      </c>
      <c r="R51" s="25">
        <f t="shared" si="4"/>
        <v>48.691353407741026</v>
      </c>
      <c r="S51" s="25">
        <f t="shared" si="5"/>
        <v>110.22134339728814</v>
      </c>
      <c r="T51" s="25">
        <f t="shared" si="6"/>
        <v>35.585614076741848</v>
      </c>
    </row>
    <row r="52" spans="3:20" hidden="1" outlineLevel="2">
      <c r="C52" s="24" t="s">
        <v>27</v>
      </c>
      <c r="D52" s="21">
        <v>33</v>
      </c>
      <c r="E52" s="21">
        <v>80</v>
      </c>
      <c r="F52" s="21">
        <v>1420</v>
      </c>
      <c r="G52" s="21">
        <v>641</v>
      </c>
      <c r="H52" s="21">
        <v>3640</v>
      </c>
      <c r="J52" s="25">
        <f t="shared" si="7"/>
        <v>5814</v>
      </c>
      <c r="K52" s="25">
        <f t="shared" si="1"/>
        <v>33</v>
      </c>
      <c r="L52" s="25">
        <f t="shared" si="8"/>
        <v>3640</v>
      </c>
      <c r="M52" s="25">
        <f t="shared" si="9"/>
        <v>1162.8</v>
      </c>
      <c r="R52" s="25">
        <f t="shared" si="4"/>
        <v>33</v>
      </c>
      <c r="S52" s="25">
        <f t="shared" si="5"/>
        <v>3640</v>
      </c>
      <c r="T52" s="25">
        <f t="shared" si="6"/>
        <v>581.4</v>
      </c>
    </row>
    <row r="53" spans="3:20" hidden="1" collapsed="1">
      <c r="C53" s="24" t="s">
        <v>66</v>
      </c>
      <c r="D53" s="21">
        <f>((D52/ 'First Table'!I12  )*100)/D5</f>
        <v>50.522701510013114</v>
      </c>
      <c r="E53" s="21">
        <f>((E52/   'First Table'!I13   )*100)/E5</f>
        <v>85.564617378722588</v>
      </c>
      <c r="F53" s="21">
        <f>((F52/   'First Table'!I14    )*100)/F5</f>
        <v>63.69888804302856</v>
      </c>
      <c r="G53" s="21">
        <f>((G52/ 'First Table'!I15  )*100)/G5</f>
        <v>111.79095113554065</v>
      </c>
      <c r="H53" s="21">
        <f>((H52/   'First Table'!I16    )*100)/H5</f>
        <v>49.925782085683757</v>
      </c>
      <c r="J53" s="25">
        <f t="shared" si="7"/>
        <v>361.50294015298863</v>
      </c>
      <c r="K53" s="25">
        <f t="shared" si="1"/>
        <v>49.925782085683757</v>
      </c>
      <c r="L53" s="25">
        <f t="shared" si="8"/>
        <v>111.79095113554065</v>
      </c>
      <c r="M53" s="25">
        <f t="shared" si="9"/>
        <v>72.300588030597723</v>
      </c>
      <c r="R53" s="25">
        <f t="shared" si="4"/>
        <v>49.925782085683757</v>
      </c>
      <c r="S53" s="25">
        <f t="shared" si="5"/>
        <v>111.79095113554065</v>
      </c>
      <c r="T53" s="25">
        <f t="shared" si="6"/>
        <v>36.150294015298861</v>
      </c>
    </row>
    <row r="54" spans="3:20" hidden="1" outlineLevel="2">
      <c r="C54" s="24" t="s">
        <v>28</v>
      </c>
      <c r="D54" s="21">
        <v>32</v>
      </c>
      <c r="E54" s="21">
        <v>82</v>
      </c>
      <c r="F54" s="21">
        <v>1421</v>
      </c>
      <c r="G54" s="21">
        <v>639</v>
      </c>
      <c r="H54" s="21">
        <v>3700</v>
      </c>
      <c r="J54" s="25">
        <f t="shared" si="7"/>
        <v>5874</v>
      </c>
      <c r="K54" s="25">
        <f t="shared" si="1"/>
        <v>32</v>
      </c>
      <c r="L54" s="25">
        <f t="shared" si="8"/>
        <v>3700</v>
      </c>
      <c r="M54" s="25">
        <f t="shared" si="9"/>
        <v>1174.8</v>
      </c>
      <c r="R54" s="25">
        <f t="shared" si="4"/>
        <v>32</v>
      </c>
      <c r="S54" s="25">
        <f t="shared" si="5"/>
        <v>3700</v>
      </c>
      <c r="T54" s="25">
        <f t="shared" si="6"/>
        <v>587.4</v>
      </c>
    </row>
    <row r="55" spans="3:20" hidden="1" collapsed="1">
      <c r="C55" s="24" t="s">
        <v>67</v>
      </c>
      <c r="D55" s="21">
        <f>((D54/ 'First Table'!I12  )*100)/D5</f>
        <v>48.991710555164232</v>
      </c>
      <c r="E55" s="21">
        <f>((E54/   'First Table'!I13   )*100)/E5</f>
        <v>87.703732813190655</v>
      </c>
      <c r="F55" s="21">
        <f>((F54/   'First Table'!I14    )*100)/F5</f>
        <v>63.743746414889856</v>
      </c>
      <c r="G55" s="21">
        <f>((G54/ 'First Table'!I15  )*100)/G5</f>
        <v>111.44214941592898</v>
      </c>
      <c r="H55" s="21">
        <f>((H54/   'First Table'!I16    )*100)/H5</f>
        <v>50.748734537645575</v>
      </c>
      <c r="J55" s="25">
        <f t="shared" si="7"/>
        <v>362.63007373681927</v>
      </c>
      <c r="K55" s="25">
        <f t="shared" si="1"/>
        <v>48.991710555164232</v>
      </c>
      <c r="L55" s="25">
        <f t="shared" si="8"/>
        <v>111.44214941592898</v>
      </c>
      <c r="M55" s="25">
        <f t="shared" si="9"/>
        <v>72.52601474736386</v>
      </c>
      <c r="R55" s="25">
        <f t="shared" si="4"/>
        <v>48.991710555164232</v>
      </c>
      <c r="S55" s="25">
        <f t="shared" si="5"/>
        <v>111.44214941592898</v>
      </c>
      <c r="T55" s="25">
        <f t="shared" si="6"/>
        <v>36.26300737368193</v>
      </c>
    </row>
    <row r="56" spans="3:20" hidden="1" outlineLevel="2">
      <c r="C56" s="24" t="s">
        <v>29</v>
      </c>
      <c r="D56" s="21">
        <v>37</v>
      </c>
      <c r="E56" s="21">
        <v>84</v>
      </c>
      <c r="F56" s="21">
        <v>1441</v>
      </c>
      <c r="G56" s="21">
        <v>666</v>
      </c>
      <c r="H56" s="21">
        <v>3768</v>
      </c>
      <c r="J56" s="25">
        <f t="shared" si="7"/>
        <v>5996</v>
      </c>
      <c r="K56" s="25">
        <f t="shared" si="1"/>
        <v>37</v>
      </c>
      <c r="L56" s="25">
        <f t="shared" si="8"/>
        <v>3768</v>
      </c>
      <c r="M56" s="25">
        <f t="shared" si="9"/>
        <v>1199.2</v>
      </c>
      <c r="R56" s="25">
        <f t="shared" si="4"/>
        <v>37</v>
      </c>
      <c r="S56" s="25">
        <f t="shared" si="5"/>
        <v>3768</v>
      </c>
      <c r="T56" s="25">
        <f t="shared" si="6"/>
        <v>599.6</v>
      </c>
    </row>
    <row r="57" spans="3:20" hidden="1" collapsed="1">
      <c r="C57" s="24" t="s">
        <v>68</v>
      </c>
      <c r="D57" s="21">
        <f>((D56/ 'First Table'!I12  )*100)/D5</f>
        <v>56.646665329408634</v>
      </c>
      <c r="E57" s="21">
        <f>((E56/   'First Table'!I13   )*100)/E5</f>
        <v>89.842848247658708</v>
      </c>
      <c r="F57" s="21">
        <f>((F56/   'First Table'!I14    )*100)/F5</f>
        <v>64.640913852115602</v>
      </c>
      <c r="G57" s="21">
        <f>((G56/ 'First Table'!I15  )*100)/G5</f>
        <v>116.15097263068655</v>
      </c>
      <c r="H57" s="21">
        <f>((H56/   'First Table'!I16    )*100)/H5</f>
        <v>51.681413983202312</v>
      </c>
      <c r="J57" s="25">
        <f t="shared" si="7"/>
        <v>378.96281404307183</v>
      </c>
      <c r="K57" s="25">
        <f t="shared" si="1"/>
        <v>51.681413983202312</v>
      </c>
      <c r="L57" s="25">
        <f t="shared" si="8"/>
        <v>116.15097263068655</v>
      </c>
      <c r="M57" s="25">
        <f t="shared" si="9"/>
        <v>75.792562808614363</v>
      </c>
      <c r="R57" s="25">
        <f t="shared" si="4"/>
        <v>51.681413983202312</v>
      </c>
      <c r="S57" s="25">
        <f t="shared" si="5"/>
        <v>116.15097263068655</v>
      </c>
      <c r="T57" s="25">
        <f t="shared" si="6"/>
        <v>37.896281404307182</v>
      </c>
    </row>
    <row r="58" spans="3:20" hidden="1" outlineLevel="2">
      <c r="C58" s="24" t="s">
        <v>30</v>
      </c>
      <c r="D58" s="21">
        <v>34</v>
      </c>
      <c r="E58" s="21">
        <v>86</v>
      </c>
      <c r="F58" s="21">
        <v>1407</v>
      </c>
      <c r="G58" s="21">
        <v>686</v>
      </c>
      <c r="H58" s="21">
        <v>3821</v>
      </c>
      <c r="J58" s="25">
        <f t="shared" si="7"/>
        <v>6034</v>
      </c>
      <c r="K58" s="25">
        <f t="shared" si="1"/>
        <v>34</v>
      </c>
      <c r="L58" s="25">
        <f t="shared" si="8"/>
        <v>3821</v>
      </c>
      <c r="M58" s="25">
        <f t="shared" si="9"/>
        <v>1206.8</v>
      </c>
      <c r="R58" s="25">
        <f t="shared" si="4"/>
        <v>34</v>
      </c>
      <c r="S58" s="25">
        <f t="shared" si="5"/>
        <v>3821</v>
      </c>
      <c r="T58" s="25">
        <f t="shared" si="6"/>
        <v>603.4</v>
      </c>
    </row>
    <row r="59" spans="3:20" hidden="1" collapsed="1">
      <c r="C59" s="24" t="s">
        <v>69</v>
      </c>
      <c r="D59" s="21">
        <f>((D58/ 'First Table'!I12  )*100)/D5</f>
        <v>52.053692464861996</v>
      </c>
      <c r="E59" s="21">
        <f>((E58/   'First Table'!I13   )*100)/E5</f>
        <v>91.981963682126789</v>
      </c>
      <c r="F59" s="21">
        <f>((F58/   'First Table'!I14    )*100)/F5</f>
        <v>63.115729208831823</v>
      </c>
      <c r="G59" s="21">
        <f>((G58/ 'First Table'!I15  )*100)/G5</f>
        <v>119.63898982680327</v>
      </c>
      <c r="H59" s="21">
        <f>((H58/   'First Table'!I16    )*100)/H5</f>
        <v>52.408355315768581</v>
      </c>
      <c r="J59" s="25">
        <f t="shared" si="7"/>
        <v>379.19873049839248</v>
      </c>
      <c r="K59" s="25">
        <f t="shared" si="1"/>
        <v>52.053692464861996</v>
      </c>
      <c r="L59" s="25">
        <f t="shared" si="8"/>
        <v>119.63898982680327</v>
      </c>
      <c r="M59" s="25">
        <f t="shared" si="9"/>
        <v>75.839746099678493</v>
      </c>
      <c r="R59" s="25">
        <f t="shared" si="4"/>
        <v>52.053692464861996</v>
      </c>
      <c r="S59" s="25">
        <f t="shared" si="5"/>
        <v>119.63898982680327</v>
      </c>
      <c r="T59" s="25">
        <f t="shared" si="6"/>
        <v>37.919873049839246</v>
      </c>
    </row>
    <row r="60" spans="3:20" hidden="1" outlineLevel="2">
      <c r="C60" s="24" t="s">
        <v>31</v>
      </c>
      <c r="D60" s="21">
        <v>33</v>
      </c>
      <c r="E60" s="21">
        <v>81</v>
      </c>
      <c r="F60" s="21">
        <v>1407</v>
      </c>
      <c r="G60" s="21">
        <v>682</v>
      </c>
      <c r="H60" s="21">
        <v>3849</v>
      </c>
      <c r="J60" s="25">
        <f t="shared" si="7"/>
        <v>6052</v>
      </c>
      <c r="K60" s="25">
        <f t="shared" si="1"/>
        <v>33</v>
      </c>
      <c r="L60" s="25">
        <f t="shared" si="8"/>
        <v>3849</v>
      </c>
      <c r="M60" s="25">
        <f t="shared" si="9"/>
        <v>1210.4000000000001</v>
      </c>
      <c r="R60" s="25">
        <f t="shared" si="4"/>
        <v>33</v>
      </c>
      <c r="S60" s="25">
        <f t="shared" si="5"/>
        <v>3849</v>
      </c>
      <c r="T60" s="25">
        <f t="shared" si="6"/>
        <v>605.20000000000005</v>
      </c>
    </row>
    <row r="61" spans="3:20" hidden="1" collapsed="1">
      <c r="C61" s="24" t="s">
        <v>70</v>
      </c>
      <c r="D61" s="21">
        <f>((D60/ 'First Table'!I12  )*100)/D5</f>
        <v>50.522701510013114</v>
      </c>
      <c r="E61" s="21">
        <f>((E60/   'First Table'!I13   )*100)/E5</f>
        <v>86.634175095956621</v>
      </c>
      <c r="F61" s="21">
        <f>((F60/   'First Table'!I14    )*100)/F5</f>
        <v>63.115729208831823</v>
      </c>
      <c r="G61" s="21">
        <f>((G60/ 'First Table'!I15  )*100)/G5</f>
        <v>118.94138638757993</v>
      </c>
      <c r="H61" s="21">
        <f>((H60/   'First Table'!I16    )*100)/H5</f>
        <v>52.792399793350768</v>
      </c>
      <c r="J61" s="25">
        <f t="shared" si="7"/>
        <v>372.0063919957322</v>
      </c>
      <c r="K61" s="25">
        <f t="shared" si="1"/>
        <v>50.522701510013114</v>
      </c>
      <c r="L61" s="25">
        <f t="shared" si="8"/>
        <v>118.94138638757993</v>
      </c>
      <c r="M61" s="25">
        <f t="shared" si="9"/>
        <v>74.401278399146435</v>
      </c>
      <c r="R61" s="25">
        <f t="shared" si="4"/>
        <v>50.522701510013114</v>
      </c>
      <c r="S61" s="25">
        <f t="shared" si="5"/>
        <v>118.94138638757993</v>
      </c>
      <c r="T61" s="25">
        <f t="shared" si="6"/>
        <v>37.200639199573217</v>
      </c>
    </row>
    <row r="62" spans="3:20" hidden="1" outlineLevel="1">
      <c r="C62" s="24" t="s">
        <v>32</v>
      </c>
      <c r="D62" s="21">
        <v>22</v>
      </c>
      <c r="E62" s="21">
        <v>62</v>
      </c>
      <c r="F62" s="21">
        <v>1297</v>
      </c>
      <c r="G62" s="21">
        <v>571</v>
      </c>
      <c r="H62" s="21">
        <v>3674</v>
      </c>
      <c r="J62" s="25">
        <f t="shared" si="7"/>
        <v>5626</v>
      </c>
      <c r="K62" s="25">
        <f t="shared" si="1"/>
        <v>22</v>
      </c>
      <c r="L62" s="25">
        <f t="shared" si="8"/>
        <v>3674</v>
      </c>
      <c r="M62" s="25">
        <f t="shared" si="9"/>
        <v>1125.2</v>
      </c>
      <c r="R62" s="25">
        <f t="shared" si="4"/>
        <v>22</v>
      </c>
      <c r="S62" s="25">
        <f t="shared" si="5"/>
        <v>3674</v>
      </c>
      <c r="T62" s="25">
        <f t="shared" si="6"/>
        <v>562.6</v>
      </c>
    </row>
    <row r="63" spans="3:20" hidden="1" collapsed="1">
      <c r="C63" s="2" t="s">
        <v>49</v>
      </c>
      <c r="D63" s="21">
        <f>((D62/ 'First Table'!I12  )*100)/D5</f>
        <v>33.681801006675407</v>
      </c>
      <c r="E63" s="23">
        <f>((E62/   'First Table'!I13   )*100)/E5</f>
        <v>66.312578468509997</v>
      </c>
      <c r="F63" s="21">
        <f>((F62/   'First Table'!I14    )*100)/F5</f>
        <v>58.181308304090166</v>
      </c>
      <c r="G63" s="21">
        <f>((G62/ 'First Table'!I15  )*100)/G5</f>
        <v>99.58289094913215</v>
      </c>
      <c r="H63" s="21">
        <f>((H62/   'First Table'!I16    )*100)/H5</f>
        <v>50.392121808462115</v>
      </c>
      <c r="J63" s="25">
        <f t="shared" si="7"/>
        <v>308.15070053686981</v>
      </c>
      <c r="K63" s="25">
        <f t="shared" si="1"/>
        <v>33.681801006675407</v>
      </c>
      <c r="L63" s="25">
        <f t="shared" si="8"/>
        <v>99.58289094913215</v>
      </c>
      <c r="M63" s="25">
        <f t="shared" si="9"/>
        <v>61.630140107373961</v>
      </c>
      <c r="N63" s="25">
        <v>39.763610678650707</v>
      </c>
      <c r="O63" s="25">
        <v>64.901989367339482</v>
      </c>
      <c r="P63" s="25">
        <v>50.989833761643936</v>
      </c>
      <c r="Q63">
        <v>254.94916880821967</v>
      </c>
      <c r="R63" s="25">
        <f t="shared" si="4"/>
        <v>33.681801006675407</v>
      </c>
      <c r="S63" s="25">
        <f t="shared" si="5"/>
        <v>99.58289094913215</v>
      </c>
      <c r="T63" s="25">
        <f t="shared" si="6"/>
        <v>56.309986934508949</v>
      </c>
    </row>
    <row r="64" spans="3:20" hidden="1" outlineLevel="1">
      <c r="C64" s="24" t="s">
        <v>33</v>
      </c>
      <c r="D64" s="21">
        <v>26</v>
      </c>
      <c r="E64" s="21">
        <v>68</v>
      </c>
      <c r="F64" s="21">
        <v>1341</v>
      </c>
      <c r="G64" s="21">
        <v>614</v>
      </c>
      <c r="H64" s="21">
        <v>3847</v>
      </c>
      <c r="J64" s="25">
        <f t="shared" si="7"/>
        <v>5896</v>
      </c>
      <c r="K64" s="25">
        <f t="shared" si="1"/>
        <v>26</v>
      </c>
      <c r="L64" s="25">
        <f t="shared" si="8"/>
        <v>3847</v>
      </c>
      <c r="M64" s="25">
        <f t="shared" si="9"/>
        <v>1179.2</v>
      </c>
      <c r="N64" s="25">
        <v>14</v>
      </c>
      <c r="O64" s="25">
        <v>178</v>
      </c>
      <c r="P64" s="25">
        <v>90</v>
      </c>
      <c r="Q64">
        <v>450</v>
      </c>
      <c r="R64" s="25">
        <f t="shared" si="4"/>
        <v>14</v>
      </c>
      <c r="S64" s="25">
        <f t="shared" si="5"/>
        <v>3847</v>
      </c>
      <c r="T64" s="25">
        <f t="shared" si="6"/>
        <v>634.6</v>
      </c>
    </row>
    <row r="65" spans="3:20" hidden="1" collapsed="1">
      <c r="C65" s="2" t="s">
        <v>50</v>
      </c>
      <c r="D65" s="21">
        <f>((D64/ 'First Table'!I12  )*100)/D5</f>
        <v>39.805764826070934</v>
      </c>
      <c r="E65" s="23">
        <f>((E64/   'First Table'!I13   )*100)/E5</f>
        <v>72.729924771914199</v>
      </c>
      <c r="F65" s="21">
        <f>((F64/   'First Table'!I14    )*100)/F5</f>
        <v>60.155076665986833</v>
      </c>
      <c r="G65" s="21">
        <f>((G64/ 'First Table'!I15  )*100)/G5</f>
        <v>107.08212792078309</v>
      </c>
      <c r="H65" s="21">
        <f>((H64/   'First Table'!I16    )*100)/H5</f>
        <v>52.764968044952035</v>
      </c>
      <c r="J65" s="25">
        <f t="shared" si="7"/>
        <v>332.53786222970706</v>
      </c>
      <c r="K65" s="25">
        <f t="shared" si="1"/>
        <v>39.805764826070934</v>
      </c>
      <c r="L65" s="25">
        <f t="shared" si="8"/>
        <v>107.08212792078309</v>
      </c>
      <c r="M65" s="25">
        <f t="shared" si="9"/>
        <v>66.507572445941406</v>
      </c>
      <c r="N65" s="25">
        <v>36.297039491281161</v>
      </c>
      <c r="O65" s="25">
        <v>68.646334907762906</v>
      </c>
      <c r="P65" s="25">
        <v>55.745454661858368</v>
      </c>
      <c r="Q65">
        <v>278.72727330929183</v>
      </c>
      <c r="R65" s="25">
        <f t="shared" si="4"/>
        <v>36.297039491281161</v>
      </c>
      <c r="S65" s="25">
        <f t="shared" si="5"/>
        <v>107.08212792078309</v>
      </c>
      <c r="T65" s="25">
        <f t="shared" si="6"/>
        <v>61.126513553899898</v>
      </c>
    </row>
    <row r="66" spans="3:20" hidden="1" outlineLevel="2">
      <c r="C66" s="24" t="s">
        <v>34</v>
      </c>
      <c r="D66" s="21"/>
      <c r="E66" s="21"/>
      <c r="F66" s="21"/>
      <c r="G66" s="21"/>
      <c r="H66" s="21"/>
    </row>
    <row r="67" spans="3:20" hidden="1" collapsed="1">
      <c r="C67" s="24" t="s">
        <v>34</v>
      </c>
      <c r="D67" s="21">
        <f>((D66/ 'First Table'!I12  )*100)/D5</f>
        <v>0</v>
      </c>
      <c r="E67" s="21">
        <f>((E66/   'First Table'!I13   )*100)/E5</f>
        <v>0</v>
      </c>
      <c r="F67" s="21">
        <f>((F66/   'First Table'!I14    )*100)/F5</f>
        <v>0</v>
      </c>
      <c r="G67" s="21">
        <f>((G66/ 'First Table'!I15  )*100)/G5</f>
        <v>0</v>
      </c>
      <c r="H67" s="21">
        <f>((H66/   'First Table'!I16    )*100)/H5</f>
        <v>0</v>
      </c>
    </row>
  </sheetData>
  <mergeCells count="3">
    <mergeCell ref="C2:H2"/>
    <mergeCell ref="N3:P3"/>
    <mergeCell ref="R3:T3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P9" sqref="P9"/>
    </sheetView>
  </sheetViews>
  <sheetFormatPr defaultRowHeight="1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4" zoomScaleNormal="100" workbookViewId="0">
      <selection activeCell="C10" sqref="C10"/>
    </sheetView>
  </sheetViews>
  <sheetFormatPr defaultRowHeight="1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6" zoomScaleNormal="100" workbookViewId="0">
      <selection activeCell="Q15" sqref="Q15"/>
    </sheetView>
  </sheetViews>
  <sheetFormatPr defaultRowHeight="1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topLeftCell="A8" zoomScaleNormal="100" workbookViewId="0">
      <selection activeCell="O14" sqref="O14"/>
    </sheetView>
  </sheetViews>
  <sheetFormatPr defaultRowHeight="15"/>
  <sheetData>
    <row r="1" ht="12" customHeight="1"/>
    <row r="2" ht="12.75" customHeight="1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4" zoomScaleNormal="100" workbookViewId="0">
      <selection activeCell="W15" sqref="W15"/>
    </sheetView>
  </sheetViews>
  <sheetFormatPr defaultRowHeight="1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E6:H35"/>
  <sheetViews>
    <sheetView workbookViewId="0">
      <selection activeCell="F30" sqref="F30"/>
    </sheetView>
  </sheetViews>
  <sheetFormatPr defaultRowHeight="15"/>
  <cols>
    <col min="5" max="5" width="40.42578125" bestFit="1" customWidth="1"/>
    <col min="6" max="6" width="12" bestFit="1" customWidth="1"/>
  </cols>
  <sheetData>
    <row r="6" spans="5:8">
      <c r="E6" t="s">
        <v>51</v>
      </c>
      <c r="F6">
        <v>0.15277538017018943</v>
      </c>
    </row>
    <row r="7" spans="5:8">
      <c r="E7" t="s">
        <v>15</v>
      </c>
      <c r="F7">
        <v>57.799113252337122</v>
      </c>
    </row>
    <row r="8" spans="5:8">
      <c r="E8" t="s">
        <v>17</v>
      </c>
      <c r="F8">
        <v>61.777822317087249</v>
      </c>
    </row>
    <row r="9" spans="5:8">
      <c r="E9" t="s">
        <v>19</v>
      </c>
      <c r="F9">
        <v>53.22846164266376</v>
      </c>
    </row>
    <row r="10" spans="5:8">
      <c r="E10" t="s">
        <v>21</v>
      </c>
      <c r="F10">
        <v>15.83596770142999</v>
      </c>
    </row>
    <row r="11" spans="5:8">
      <c r="E11" t="s">
        <v>39</v>
      </c>
      <c r="F11">
        <v>68.319876807257899</v>
      </c>
      <c r="H11">
        <v>37.520535204470413</v>
      </c>
    </row>
    <row r="12" spans="5:8">
      <c r="E12" t="s">
        <v>38</v>
      </c>
      <c r="F12">
        <v>67.44445891073272</v>
      </c>
    </row>
    <row r="13" spans="5:8">
      <c r="E13" t="s">
        <v>37</v>
      </c>
      <c r="F13">
        <v>65.914823320017987</v>
      </c>
      <c r="H13">
        <v>37.112703300074003</v>
      </c>
    </row>
    <row r="14" spans="5:8">
      <c r="E14" t="s">
        <v>40</v>
      </c>
      <c r="F14">
        <v>67.261264633293266</v>
      </c>
    </row>
    <row r="15" spans="5:8">
      <c r="E15" t="s">
        <v>41</v>
      </c>
      <c r="F15">
        <v>67.53133804704018</v>
      </c>
      <c r="H15">
        <v>38.132283061065039</v>
      </c>
    </row>
    <row r="16" spans="5:8">
      <c r="E16" t="s">
        <v>42</v>
      </c>
      <c r="F16">
        <v>68.440832120035736</v>
      </c>
    </row>
    <row r="17" spans="5:8">
      <c r="E17" t="s">
        <v>43</v>
      </c>
      <c r="F17">
        <v>62.428427601667707</v>
      </c>
      <c r="H17">
        <v>38.336199013263247</v>
      </c>
    </row>
    <row r="18" spans="5:8">
      <c r="E18" t="s">
        <v>44</v>
      </c>
      <c r="F18">
        <v>62.631869911194805</v>
      </c>
    </row>
    <row r="19" spans="5:8">
      <c r="E19" t="s">
        <v>45</v>
      </c>
      <c r="F19">
        <v>63.441964528872155</v>
      </c>
      <c r="H19">
        <v>38.336199013263247</v>
      </c>
    </row>
    <row r="20" spans="5:8">
      <c r="E20" t="s">
        <v>46</v>
      </c>
      <c r="F20">
        <v>66.873569087833317</v>
      </c>
    </row>
    <row r="21" spans="5:8">
      <c r="E21" t="s">
        <v>47</v>
      </c>
      <c r="F21">
        <v>66.679140020726706</v>
      </c>
      <c r="H21">
        <v>35.685291634686529</v>
      </c>
    </row>
    <row r="22" spans="5:8">
      <c r="E22" t="s">
        <v>48</v>
      </c>
      <c r="F22">
        <v>66.840645985746988</v>
      </c>
    </row>
    <row r="23" spans="5:8">
      <c r="E23" t="s">
        <v>49</v>
      </c>
      <c r="F23">
        <v>56.309986934508949</v>
      </c>
      <c r="H23">
        <v>36.297039491281161</v>
      </c>
    </row>
    <row r="24" spans="5:8">
      <c r="E24" t="s">
        <v>50</v>
      </c>
      <c r="F24">
        <v>61.126513553899898</v>
      </c>
    </row>
    <row r="25" spans="5:8">
      <c r="H25">
        <v>35.073543778091903</v>
      </c>
    </row>
    <row r="27" spans="5:8">
      <c r="H27">
        <v>39.967526630848923</v>
      </c>
    </row>
    <row r="29" spans="5:8">
      <c r="H29">
        <v>39.967526630848923</v>
      </c>
    </row>
    <row r="31" spans="5:8">
      <c r="H31">
        <v>39.355778774254297</v>
      </c>
    </row>
    <row r="33" spans="8:8">
      <c r="H33">
        <v>39.763610678650707</v>
      </c>
    </row>
    <row r="35" spans="8:8">
      <c r="H35">
        <v>36.297039491281161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9:U29"/>
  <sheetViews>
    <sheetView topLeftCell="D22" workbookViewId="0">
      <selection activeCell="J29" sqref="J29"/>
    </sheetView>
  </sheetViews>
  <sheetFormatPr defaultRowHeight="15"/>
  <cols>
    <col min="1" max="1" width="2.5703125" customWidth="1"/>
    <col min="3" max="3" width="9.7109375" bestFit="1" customWidth="1"/>
    <col min="8" max="8" width="12" bestFit="1" customWidth="1"/>
    <col min="9" max="9" width="10.85546875" bestFit="1" customWidth="1"/>
    <col min="10" max="10" width="12" bestFit="1" customWidth="1"/>
    <col min="11" max="13" width="12.140625" bestFit="1" customWidth="1"/>
    <col min="14" max="19" width="13.7109375" bestFit="1" customWidth="1"/>
  </cols>
  <sheetData>
    <row r="9" spans="3:7">
      <c r="D9" t="s">
        <v>56</v>
      </c>
      <c r="E9" t="s">
        <v>57</v>
      </c>
      <c r="F9" t="s">
        <v>58</v>
      </c>
      <c r="G9" t="s">
        <v>59</v>
      </c>
    </row>
    <row r="10" spans="3:7">
      <c r="C10" t="s">
        <v>52</v>
      </c>
      <c r="D10">
        <v>10</v>
      </c>
      <c r="E10">
        <v>90</v>
      </c>
      <c r="F10">
        <v>30</v>
      </c>
      <c r="G10">
        <v>45</v>
      </c>
    </row>
    <row r="11" spans="3:7">
      <c r="C11" t="s">
        <v>53</v>
      </c>
      <c r="D11">
        <v>10</v>
      </c>
      <c r="E11">
        <v>90</v>
      </c>
      <c r="F11">
        <v>30</v>
      </c>
      <c r="G11">
        <v>55</v>
      </c>
    </row>
    <row r="12" spans="3:7">
      <c r="C12" t="s">
        <v>54</v>
      </c>
      <c r="D12">
        <v>10</v>
      </c>
      <c r="E12">
        <v>90</v>
      </c>
      <c r="F12">
        <v>20</v>
      </c>
      <c r="G12">
        <v>36</v>
      </c>
    </row>
    <row r="13" spans="3:7">
      <c r="C13" t="s">
        <v>55</v>
      </c>
      <c r="D13">
        <v>10</v>
      </c>
      <c r="E13">
        <v>90</v>
      </c>
      <c r="F13">
        <v>12</v>
      </c>
      <c r="G13">
        <v>60</v>
      </c>
    </row>
    <row r="25" spans="3:21">
      <c r="D25" t="s">
        <v>60</v>
      </c>
      <c r="E25" t="s">
        <v>62</v>
      </c>
      <c r="F25" t="s">
        <v>61</v>
      </c>
      <c r="G25" t="s">
        <v>63</v>
      </c>
      <c r="H25" t="s">
        <v>39</v>
      </c>
      <c r="I25" t="s">
        <v>38</v>
      </c>
      <c r="J25" t="s">
        <v>37</v>
      </c>
      <c r="K25" t="s">
        <v>40</v>
      </c>
      <c r="L25" t="s">
        <v>41</v>
      </c>
      <c r="M25" t="s">
        <v>42</v>
      </c>
      <c r="N25" t="s">
        <v>43</v>
      </c>
      <c r="O25" t="s">
        <v>44</v>
      </c>
      <c r="P25" t="s">
        <v>45</v>
      </c>
      <c r="Q25" t="s">
        <v>46</v>
      </c>
      <c r="R25" t="s">
        <v>47</v>
      </c>
      <c r="S25" t="s">
        <v>48</v>
      </c>
      <c r="T25" t="s">
        <v>49</v>
      </c>
      <c r="U25" t="s">
        <v>50</v>
      </c>
    </row>
    <row r="26" spans="3:21">
      <c r="C26" t="s">
        <v>58</v>
      </c>
      <c r="D26">
        <v>32.15</v>
      </c>
      <c r="E26">
        <v>36.908787347875801</v>
      </c>
      <c r="F26">
        <v>33.24</v>
      </c>
      <c r="G26">
        <v>0</v>
      </c>
      <c r="H26">
        <v>38.540114965461456</v>
      </c>
      <c r="I26">
        <v>37.520535204470413</v>
      </c>
      <c r="J26">
        <v>37.112703300074003</v>
      </c>
      <c r="K26">
        <v>38.132283061065039</v>
      </c>
      <c r="L26">
        <v>38.336199013263247</v>
      </c>
      <c r="M26">
        <v>38.336199013263247</v>
      </c>
      <c r="N26">
        <v>35.685291634686529</v>
      </c>
      <c r="O26">
        <v>36.297039491281161</v>
      </c>
      <c r="P26">
        <v>35.073543778091903</v>
      </c>
      <c r="Q26">
        <v>39.967526630848923</v>
      </c>
      <c r="R26">
        <v>39.967526630848923</v>
      </c>
      <c r="S26">
        <v>39.355778774254297</v>
      </c>
      <c r="T26">
        <v>33.681801006675407</v>
      </c>
      <c r="U26">
        <v>36.297039491281161</v>
      </c>
    </row>
    <row r="27" spans="3:21">
      <c r="C27" t="s">
        <v>57</v>
      </c>
      <c r="D27">
        <v>101.5</v>
      </c>
      <c r="E27">
        <v>111.09334769631732</v>
      </c>
      <c r="F27">
        <v>84.24</v>
      </c>
      <c r="G27">
        <v>51.23</v>
      </c>
      <c r="H27">
        <v>119.46458896699743</v>
      </c>
      <c r="I27" s="27">
        <v>117.72058036893907</v>
      </c>
      <c r="J27">
        <v>116.84857606990991</v>
      </c>
      <c r="K27">
        <v>110.04694253748231</v>
      </c>
      <c r="L27">
        <v>120.33659326602661</v>
      </c>
      <c r="M27">
        <v>120.68539498563828</v>
      </c>
      <c r="N27">
        <v>109.69814081787064</v>
      </c>
      <c r="O27">
        <v>112.488554574764</v>
      </c>
      <c r="P27">
        <v>112.66295543456984</v>
      </c>
      <c r="Q27">
        <v>116.67417521010407</v>
      </c>
      <c r="R27">
        <v>119.98779154641494</v>
      </c>
      <c r="S27">
        <v>119.2901881071916</v>
      </c>
      <c r="T27">
        <v>99.58289094913215</v>
      </c>
      <c r="U27">
        <v>107.08212792078309</v>
      </c>
    </row>
    <row r="28" spans="3:21">
      <c r="C28" t="s">
        <v>64</v>
      </c>
      <c r="D28">
        <v>0.15</v>
      </c>
      <c r="E28">
        <v>0.15</v>
      </c>
      <c r="F28">
        <v>0.15</v>
      </c>
      <c r="G28">
        <v>0.15</v>
      </c>
      <c r="H28">
        <v>0.15</v>
      </c>
      <c r="I28">
        <v>0.15</v>
      </c>
      <c r="J28">
        <v>0.15</v>
      </c>
      <c r="K28">
        <v>0.15</v>
      </c>
      <c r="L28">
        <v>0.15</v>
      </c>
      <c r="M28">
        <v>0.15</v>
      </c>
      <c r="N28">
        <v>0.15</v>
      </c>
      <c r="O28">
        <v>0.15</v>
      </c>
      <c r="P28">
        <v>0.15</v>
      </c>
      <c r="Q28">
        <v>0.15</v>
      </c>
      <c r="R28">
        <v>0.15</v>
      </c>
      <c r="S28">
        <v>0.15</v>
      </c>
      <c r="T28">
        <v>0.15</v>
      </c>
      <c r="U28">
        <v>0.15</v>
      </c>
    </row>
    <row r="29" spans="3:21">
      <c r="C29" t="s">
        <v>59</v>
      </c>
      <c r="D29" s="25">
        <v>57.799113252337122</v>
      </c>
      <c r="E29">
        <v>61.777822317087249</v>
      </c>
      <c r="F29">
        <v>53.22</v>
      </c>
      <c r="G29">
        <v>15.83</v>
      </c>
      <c r="H29">
        <v>68.319876807257899</v>
      </c>
      <c r="I29">
        <v>67.44445891073272</v>
      </c>
      <c r="J29">
        <v>65.914823320017987</v>
      </c>
      <c r="K29">
        <v>67.261264633293266</v>
      </c>
      <c r="L29">
        <v>67.53133804704018</v>
      </c>
      <c r="M29">
        <v>68.440832120035736</v>
      </c>
      <c r="N29">
        <v>62.428427601667707</v>
      </c>
      <c r="O29">
        <v>62.631869911194805</v>
      </c>
      <c r="P29">
        <v>63.441964528872155</v>
      </c>
      <c r="Q29">
        <v>66.873569087833317</v>
      </c>
      <c r="R29">
        <v>66.679140020726706</v>
      </c>
      <c r="S29">
        <v>66.840645985746988</v>
      </c>
      <c r="T29">
        <v>56.309986934508949</v>
      </c>
      <c r="U29">
        <v>61.126513553899898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  <vt:lpstr>Sheet1</vt:lpstr>
      <vt:lpstr>BOX PLOT</vt:lpstr>
      <vt:lpstr>Consolidação</vt:lpstr>
      <vt:lpstr>Gráfico 1999</vt:lpstr>
      <vt:lpstr>Graficos</vt:lpstr>
      <vt:lpstr>Grafico 2005</vt:lpstr>
      <vt:lpstr>Plan5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mac</cp:lastModifiedBy>
  <cp:revision>7</cp:revision>
  <dcterms:created xsi:type="dcterms:W3CDTF">2016-04-19T17:08:44Z</dcterms:created>
  <dcterms:modified xsi:type="dcterms:W3CDTF">2016-09-11T21:44:42Z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