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<sst xmlns="http://schemas.openxmlformats.org/spreadsheetml/2006/main" count="23" uniqueCount="21">
  <si>
    <t>性别 (男=1； 女=0)</t>
  </si>
  <si>
    <t>年龄（岁）</t>
  </si>
  <si>
    <t>体重（千克/公斤）</t>
  </si>
  <si>
    <t>身高（厘米）</t>
  </si>
  <si>
    <t>基础代谢率1（千卡/天）</t>
  </si>
  <si>
    <t>基础代谢率2（千卡/天）</t>
  </si>
  <si>
    <t>注</t>
  </si>
  <si>
    <t>基础代谢率1=按照体重计算公式</t>
  </si>
  <si>
    <t>数据来源：孙长颢主编《营养与食品卫生学》第七版第72页</t>
  </si>
  <si>
    <t>男</t>
  </si>
  <si>
    <t>女</t>
  </si>
  <si>
    <t>18-29岁</t>
  </si>
  <si>
    <t>30-60岁</t>
  </si>
  <si>
    <t>61岁及以上</t>
  </si>
  <si>
    <t>基础代谢率2=按照体表面积计算公式</t>
  </si>
  <si>
    <t>数据来源：顾景范主编《现代临床营养学》第二版第四页</t>
  </si>
  <si>
    <t>18-19岁</t>
  </si>
  <si>
    <t>20-30岁</t>
  </si>
  <si>
    <t>31-40岁</t>
  </si>
  <si>
    <t>41-50岁</t>
  </si>
  <si>
    <t>51岁及以上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</si>
</sst>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horizontal="left"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3" max="3" width="16.57"/>
    <col customWidth="1" min="5" max="5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30.0</v>
      </c>
      <c r="C2" s="3">
        <v>70.0</v>
      </c>
      <c r="D2" s="3">
        <v>175.0</v>
      </c>
      <c r="E2" s="4">
        <f> IF(AND(A2=1,B2&lt;=29,B2&gt;=18), B7, IF(AND(A2=1,B2&lt;=60,B2&gt;=30), B8, IF(AND(A2=1,B2&gt;=60), B9, IF(AND(A2=0,B2&lt;=29,B2&gt;=18), C7, IF(AND(A2=0,B2&lt;=60,B2&gt;=30), C8, IF(AND(A2=0,B2&gt;=60), C9, "error"))))))</f>
        <v>1606.45</v>
      </c>
      <c r="F2" s="4">
        <f> IF(AND(A2=1,B2&lt;=19,B2&gt;=18), B13, IF(AND(A2=1,B2&lt;=30,B2&gt;=20), B14, IF(AND(A2=1,B2&lt;=40,B2&gt;=31), B15,IF(AND(A2=1,B2&lt;=50,B2&gt;=41), B16,IF(AND(A2=1,B2&gt;=51), B17, IF(AND(A2=0,B2&lt;=19,B2&gt;=18), C13, IF(AND(A2=0,B2&lt;=30,B2&gt;=20), C14, IF(AND(A2=0,B2&lt;=40,B2&gt;=31), C15,IF(AND(A2=0,B2&lt;=50,B2&gt;=41), C16,IF(AND(A2=0,B2&gt;=51), C17,"error"))))))))))</f>
        <v>1711.36692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7</v>
      </c>
      <c r="B5" s="6"/>
      <c r="C5" s="7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 t="s">
        <v>9</v>
      </c>
      <c r="C6" s="1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11</v>
      </c>
      <c r="B7" s="2">
        <f>(15.3*C2+679)*0.95</f>
        <v>1662.5</v>
      </c>
      <c r="C7" s="2">
        <f>(14.7*C2+496)*0.95</f>
        <v>1448.75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12</v>
      </c>
      <c r="B8" s="2">
        <f>(11.6*C2+879)*0.95</f>
        <v>1606.45</v>
      </c>
      <c r="C8" s="2">
        <f>(8.7*C2+829)*0.95</f>
        <v>1366.1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13</v>
      </c>
      <c r="B9" s="1">
        <f>13.5*C2+487</f>
        <v>1432</v>
      </c>
      <c r="C9" s="2">
        <f>10.5*C2+596</f>
        <v>1331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14</v>
      </c>
      <c r="B11" s="6"/>
      <c r="C11" s="1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9</v>
      </c>
      <c r="C12" s="1" t="s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16</v>
      </c>
      <c r="B13" s="2">
        <f>(0.00607*D2+0.0127*C2-0.0698)*24*39.7</f>
        <v>1792.64556</v>
      </c>
      <c r="C13" s="2">
        <f>(0.00586*D2+0.0126*C2-0.0461)*24*36.8</f>
        <v>1643.98848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17</v>
      </c>
      <c r="B14" s="8">
        <f>(0.00607*D2+0.0127*C2-0.0698)*24*37.9</f>
        <v>1711.36692</v>
      </c>
      <c r="C14" s="8">
        <f>(0.00586*D2+0.0126*C2-0.0461)*24*35.1</f>
        <v>1568.04336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18</v>
      </c>
      <c r="B15" s="8">
        <f>(0.00607*D2+0.0127*C2-0.0698)*24*37.7</f>
        <v>1702.33596</v>
      </c>
      <c r="C15" s="8">
        <f>(0.00586*D2+0.0126*C2-0.0461)*24*35</f>
        <v>1563.576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19</v>
      </c>
      <c r="B16" s="8">
        <f>(0.00607*D2+0.0127*C2-0.0698)*24*36.8</f>
        <v>1661.69664</v>
      </c>
      <c r="C16" s="8">
        <f>(0.00586*D2+0.0126*C2-0.0461)*24*34</f>
        <v>1518.9024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20</v>
      </c>
      <c r="B17" s="8">
        <f>(0.00607*D2+0.0127*C2-0.0698)*24*35.6</f>
        <v>1607.51088</v>
      </c>
      <c r="C17" s="8">
        <f>(0.00586*D2+0.0126*C2-0.0461)*24*33.1</f>
        <v>1478.69616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