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440" windowHeight="10170" activeTab="3"/>
  </bookViews>
  <sheets>
    <sheet name="NMTC Fees Transferred" sheetId="2" r:id="rId1"/>
    <sheet name="NMTC Fee Income" sheetId="1" r:id="rId2"/>
    <sheet name="2011 Budget" sheetId="3" r:id="rId3"/>
    <sheet name="Forecast" sheetId="4" r:id="rId4"/>
  </sheets>
  <calcPr calcId="124519"/>
</workbook>
</file>

<file path=xl/calcChain.xml><?xml version="1.0" encoding="utf-8"?>
<calcChain xmlns="http://schemas.openxmlformats.org/spreadsheetml/2006/main">
  <c r="B19" i="4"/>
  <c r="B27"/>
  <c r="D35"/>
  <c r="D34"/>
  <c r="D36" l="1"/>
  <c r="H17"/>
  <c r="C29"/>
  <c r="E24"/>
  <c r="G24"/>
  <c r="H24" s="1"/>
  <c r="I24" s="1"/>
  <c r="J24" s="1"/>
  <c r="K24" s="1"/>
  <c r="D25"/>
  <c r="F25"/>
  <c r="G25" s="1"/>
  <c r="H25" s="1"/>
  <c r="I25" s="1"/>
  <c r="J25" s="1"/>
  <c r="K25"/>
  <c r="F23"/>
  <c r="G23" s="1"/>
  <c r="D23"/>
  <c r="C27"/>
  <c r="C25"/>
  <c r="D21"/>
  <c r="E21" s="1"/>
  <c r="F21" s="1"/>
  <c r="G21" s="1"/>
  <c r="H21" s="1"/>
  <c r="I21" s="1"/>
  <c r="J21" s="1"/>
  <c r="D19"/>
  <c r="E19" s="1"/>
  <c r="F19" s="1"/>
  <c r="G19" s="1"/>
  <c r="H19" s="1"/>
  <c r="I19" s="1"/>
  <c r="D17"/>
  <c r="E17" s="1"/>
  <c r="F17" s="1"/>
  <c r="G17" s="1"/>
  <c r="D15"/>
  <c r="E15" s="1"/>
  <c r="F15" s="1"/>
  <c r="G15" s="1"/>
  <c r="D13"/>
  <c r="E13" s="1"/>
  <c r="F13" s="1"/>
  <c r="G13" s="1"/>
  <c r="D11"/>
  <c r="E11" s="1"/>
  <c r="D9"/>
  <c r="F27" l="1"/>
  <c r="H23"/>
  <c r="I23" l="1"/>
  <c r="H27"/>
  <c r="I27" l="1"/>
  <c r="J23"/>
  <c r="J27" l="1"/>
  <c r="K23"/>
  <c r="K27" s="1"/>
  <c r="G16" l="1"/>
  <c r="G27" s="1"/>
  <c r="D7"/>
  <c r="E7" s="1"/>
  <c r="E27" s="1"/>
  <c r="D5"/>
  <c r="Q19" i="3"/>
  <c r="Q17"/>
  <c r="P20"/>
  <c r="O20"/>
  <c r="N20"/>
  <c r="M20"/>
  <c r="L20"/>
  <c r="K20"/>
  <c r="J20"/>
  <c r="I20"/>
  <c r="H20"/>
  <c r="M13"/>
  <c r="J13"/>
  <c r="G13"/>
  <c r="D13"/>
  <c r="O13"/>
  <c r="N13"/>
  <c r="L13"/>
  <c r="K13"/>
  <c r="I13"/>
  <c r="H13"/>
  <c r="F13"/>
  <c r="E13"/>
  <c r="O12"/>
  <c r="L12"/>
  <c r="I12"/>
  <c r="F12"/>
  <c r="N12"/>
  <c r="M12"/>
  <c r="K12"/>
  <c r="J12"/>
  <c r="D29" i="4" l="1"/>
  <c r="D27"/>
  <c r="O11" i="3"/>
  <c r="L11"/>
  <c r="I11"/>
  <c r="F11"/>
  <c r="L27" i="4" l="1"/>
  <c r="D38" s="1"/>
  <c r="D40" s="1"/>
  <c r="D30"/>
  <c r="Q14" i="3"/>
  <c r="Q13"/>
  <c r="Q12"/>
  <c r="Q11"/>
  <c r="Q10"/>
  <c r="I6" l="1"/>
  <c r="F6"/>
  <c r="O15" l="1"/>
  <c r="N15"/>
  <c r="M15"/>
  <c r="L15"/>
  <c r="K15"/>
  <c r="J15"/>
  <c r="I15"/>
  <c r="H15"/>
  <c r="G15"/>
  <c r="G20" s="1"/>
  <c r="F15"/>
  <c r="F20" s="1"/>
  <c r="E15"/>
  <c r="E20" s="1"/>
  <c r="D15"/>
  <c r="D20" s="1"/>
  <c r="Q8"/>
  <c r="Q7"/>
  <c r="Q6"/>
  <c r="Q5"/>
  <c r="Q9" l="1"/>
  <c r="Q15" s="1"/>
  <c r="Q20" s="1"/>
  <c r="J5" i="1" l="1"/>
  <c r="L5" s="1"/>
  <c r="J4"/>
  <c r="J11"/>
  <c r="J10"/>
  <c r="J9"/>
  <c r="J8"/>
  <c r="J7"/>
  <c r="J6"/>
  <c r="I21"/>
  <c r="F10" i="2"/>
  <c r="G8"/>
  <c r="K12" i="1"/>
  <c r="I12"/>
  <c r="H12"/>
  <c r="L11"/>
  <c r="L10"/>
  <c r="L9"/>
  <c r="L8"/>
  <c r="L7"/>
  <c r="L6"/>
  <c r="L4"/>
  <c r="E10" i="2"/>
  <c r="D10"/>
  <c r="C10"/>
  <c r="B10"/>
  <c r="G9"/>
  <c r="G7"/>
  <c r="G6"/>
  <c r="G5"/>
  <c r="G4"/>
  <c r="D18" i="1"/>
  <c r="J12" l="1"/>
  <c r="L12"/>
  <c r="G10" i="2"/>
  <c r="C9" i="1"/>
  <c r="B9"/>
  <c r="D8"/>
  <c r="D7"/>
  <c r="D6"/>
  <c r="D5"/>
  <c r="D4"/>
  <c r="D9" l="1"/>
  <c r="I15" s="1"/>
  <c r="I16" s="1"/>
</calcChain>
</file>

<file path=xl/sharedStrings.xml><?xml version="1.0" encoding="utf-8"?>
<sst xmlns="http://schemas.openxmlformats.org/spreadsheetml/2006/main" count="104" uniqueCount="79">
  <si>
    <t>Fiscal</t>
  </si>
  <si>
    <t>Year</t>
  </si>
  <si>
    <t>Management</t>
  </si>
  <si>
    <t>Upfront</t>
  </si>
  <si>
    <t>Total</t>
  </si>
  <si>
    <t>Income</t>
  </si>
  <si>
    <t>Loan</t>
  </si>
  <si>
    <t>Fund</t>
  </si>
  <si>
    <t>Venture</t>
  </si>
  <si>
    <t>Holding</t>
  </si>
  <si>
    <t>Company</t>
  </si>
  <si>
    <t>Aura</t>
  </si>
  <si>
    <t>Mortgage</t>
  </si>
  <si>
    <t>Transferred</t>
  </si>
  <si>
    <t>NSP</t>
  </si>
  <si>
    <t>Residential</t>
  </si>
  <si>
    <t>Back End</t>
  </si>
  <si>
    <t>Fees</t>
  </si>
  <si>
    <t>$85 Million left to be Allocated</t>
  </si>
  <si>
    <t>1st Award</t>
  </si>
  <si>
    <t>2nd Award</t>
  </si>
  <si>
    <t>3rd Award</t>
  </si>
  <si>
    <t>4th Award</t>
  </si>
  <si>
    <t>$215 Million has been Allocated</t>
  </si>
  <si>
    <t>$150 Million application submitted and pending approval</t>
  </si>
  <si>
    <t>Projected Income from 2005 to 2017</t>
  </si>
  <si>
    <t>NMTC - ongoing fees</t>
  </si>
  <si>
    <t>NMTC - upfront fees</t>
  </si>
  <si>
    <t>CDE I</t>
  </si>
  <si>
    <t>CDE II</t>
  </si>
  <si>
    <t>CDE III</t>
  </si>
  <si>
    <t>CDE IV</t>
  </si>
  <si>
    <t>CDE V</t>
  </si>
  <si>
    <t>CDE VI</t>
  </si>
  <si>
    <t>CDE VII</t>
  </si>
  <si>
    <t>CDE VIII</t>
  </si>
  <si>
    <t>CDE IX</t>
  </si>
  <si>
    <t>CDE 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</si>
  <si>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</si>
  <si>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</si>
  <si>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</si>
  <si>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</si>
  <si>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</si>
  <si>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</si>
  <si>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</si>
  <si>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</si>
  <si>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</si>
  <si>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</si>
  <si>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</si>
  <si>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</si>
  <si>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(TD Bank - SEA)</t>
  </si>
  <si>
    <t>New Alloc</t>
  </si>
  <si>
    <t>On Going Fees</t>
  </si>
  <si>
    <t>CDE I - Mgmt</t>
  </si>
  <si>
    <t>Back - end</t>
  </si>
  <si>
    <t>CDE II - Mgmt</t>
  </si>
  <si>
    <t>CDE III - Mgmt</t>
  </si>
  <si>
    <t>CDE IV - Mgmt</t>
  </si>
  <si>
    <t>CDE V - Mgmt</t>
  </si>
  <si>
    <t>CDE VI -Mgmt</t>
  </si>
  <si>
    <t>CDE - VII</t>
  </si>
  <si>
    <t>CDE - XI - (new GECC?)</t>
  </si>
  <si>
    <t>CDE - X (SEA - TD Phase I)</t>
  </si>
  <si>
    <t>CDE - X (SEA - TD Phase 2)</t>
  </si>
  <si>
    <t>Budget for 2011</t>
  </si>
  <si>
    <t>Difference = ongoing fees on new deals</t>
  </si>
  <si>
    <t>NMTC Fees - Projection</t>
  </si>
  <si>
    <t>Previously Recognized</t>
  </si>
  <si>
    <t>Upfront Fees</t>
  </si>
  <si>
    <t>On-going Mgmt Fees</t>
  </si>
  <si>
    <t>Forecasted Fees</t>
  </si>
  <si>
    <t>Total Past &amp; Future</t>
  </si>
  <si>
    <t xml:space="preserve">Upfront and </t>
  </si>
  <si>
    <t>Ongoing Fees recog</t>
  </si>
  <si>
    <t>2010 - Actual</t>
  </si>
  <si>
    <t>CDE VIII -upfront</t>
  </si>
  <si>
    <t>CDE VIII - deferred sub alloc fee</t>
  </si>
  <si>
    <t>CDE IX - upfront fee</t>
  </si>
  <si>
    <t>CDE IX - ongoing fee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</si>
</sst>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$&quot;#,##0"/>
    <numFmt numFmtId="165" formatCode="0.0000%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164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6" fontId="0" fillId="0" borderId="2" xfId="2" applyNumberFormat="1" applyFont="1" applyBorder="1"/>
    <xf numFmtId="166" fontId="0" fillId="0" borderId="0" xfId="2" applyNumberFormat="1" applyFont="1" applyFill="1"/>
    <xf numFmtId="166" fontId="0" fillId="3" borderId="3" xfId="2" applyNumberFormat="1" applyFont="1" applyFill="1" applyBorder="1"/>
    <xf numFmtId="166" fontId="0" fillId="3" borderId="4" xfId="2" applyNumberFormat="1" applyFont="1" applyFill="1" applyBorder="1"/>
    <xf numFmtId="166" fontId="0" fillId="3" borderId="5" xfId="2" applyNumberFormat="1" applyFont="1" applyFill="1" applyBorder="1"/>
    <xf numFmtId="166" fontId="0" fillId="3" borderId="6" xfId="2" applyNumberFormat="1" applyFont="1" applyFill="1" applyBorder="1"/>
    <xf numFmtId="166" fontId="0" fillId="3" borderId="7" xfId="2" applyNumberFormat="1" applyFont="1" applyFill="1" applyBorder="1"/>
    <xf numFmtId="166" fontId="0" fillId="3" borderId="8" xfId="2" applyNumberFormat="1" applyFont="1" applyFill="1" applyBorder="1"/>
    <xf numFmtId="166" fontId="0" fillId="3" borderId="9" xfId="2" applyNumberFormat="1" applyFont="1" applyFill="1" applyBorder="1"/>
    <xf numFmtId="166" fontId="0" fillId="3" borderId="0" xfId="2" applyNumberFormat="1" applyFont="1" applyFill="1" applyBorder="1"/>
    <xf numFmtId="166" fontId="0" fillId="3" borderId="10" xfId="2" applyNumberFormat="1" applyFont="1" applyFill="1" applyBorder="1"/>
    <xf numFmtId="166" fontId="0" fillId="3" borderId="0" xfId="0" applyNumberFormat="1" applyFill="1"/>
    <xf numFmtId="0" fontId="8" fillId="0" borderId="0" xfId="0" applyFont="1"/>
    <xf numFmtId="166" fontId="7" fillId="0" borderId="2" xfId="2" applyNumberFormat="1" applyFont="1" applyBorder="1"/>
    <xf numFmtId="166" fontId="0" fillId="0" borderId="1" xfId="0" applyNumberFormat="1" applyBorder="1"/>
    <xf numFmtId="166" fontId="0" fillId="0" borderId="0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workbookViewId="0">
      <selection activeCell="F22" sqref="F22"/>
    </sheetView>
  </sheetViews>
  <sheetFormatPr defaultRowHeight="15"/>
  <cols>
    <col min="1" max="1" width="9.7109375" style="1" customWidth="1"/>
    <col min="2" max="2" width="13.7109375" style="1" customWidth="1"/>
    <col min="3" max="6" width="12.7109375" style="1" customWidth="1"/>
    <col min="7" max="7" width="13.7109375" style="1" customWidth="1"/>
    <col min="8" max="16384" width="9.140625" style="1"/>
  </cols>
  <sheetData>
    <row r="2" spans="1:7">
      <c r="A2" s="3" t="s">
        <v>0</v>
      </c>
      <c r="B2" s="3" t="s">
        <v>6</v>
      </c>
      <c r="C2" s="3" t="s">
        <v>8</v>
      </c>
      <c r="D2" s="3" t="s">
        <v>9</v>
      </c>
      <c r="E2" s="3" t="s">
        <v>11</v>
      </c>
      <c r="F2" s="3" t="s">
        <v>14</v>
      </c>
      <c r="G2" s="3" t="s">
        <v>4</v>
      </c>
    </row>
    <row r="3" spans="1:7">
      <c r="A3" s="3" t="s">
        <v>1</v>
      </c>
      <c r="B3" s="3" t="s">
        <v>7</v>
      </c>
      <c r="C3" s="3" t="s">
        <v>7</v>
      </c>
      <c r="D3" s="3" t="s">
        <v>10</v>
      </c>
      <c r="E3" s="3" t="s">
        <v>12</v>
      </c>
      <c r="F3" s="3" t="s">
        <v>15</v>
      </c>
      <c r="G3" s="3" t="s">
        <v>13</v>
      </c>
    </row>
    <row r="4" spans="1:7">
      <c r="A4" s="1">
        <v>2005</v>
      </c>
      <c r="B4" s="2">
        <v>2000000</v>
      </c>
      <c r="C4" s="2">
        <v>0</v>
      </c>
      <c r="D4" s="2">
        <v>0</v>
      </c>
      <c r="E4" s="2">
        <v>0</v>
      </c>
      <c r="F4" s="2">
        <v>0</v>
      </c>
      <c r="G4" s="4">
        <f t="shared" ref="G4:G9" si="0">SUM(B4:F4)</f>
        <v>2000000</v>
      </c>
    </row>
    <row r="5" spans="1:7">
      <c r="A5" s="1">
        <v>2006</v>
      </c>
      <c r="B5" s="2">
        <v>1500000</v>
      </c>
      <c r="C5" s="2">
        <v>0</v>
      </c>
      <c r="D5" s="2">
        <v>0</v>
      </c>
      <c r="E5" s="2">
        <v>0</v>
      </c>
      <c r="F5" s="2">
        <v>0</v>
      </c>
      <c r="G5" s="4">
        <f t="shared" si="0"/>
        <v>1500000</v>
      </c>
    </row>
    <row r="6" spans="1:7">
      <c r="A6" s="1">
        <v>2007</v>
      </c>
      <c r="B6" s="2">
        <v>1000000</v>
      </c>
      <c r="C6" s="2">
        <v>0</v>
      </c>
      <c r="D6" s="2">
        <v>0</v>
      </c>
      <c r="E6" s="2">
        <v>475000</v>
      </c>
      <c r="F6" s="2">
        <v>0</v>
      </c>
      <c r="G6" s="4">
        <f t="shared" si="0"/>
        <v>1475000</v>
      </c>
    </row>
    <row r="7" spans="1:7">
      <c r="A7" s="1">
        <v>2008</v>
      </c>
      <c r="B7" s="2">
        <v>0</v>
      </c>
      <c r="C7" s="2">
        <v>100000</v>
      </c>
      <c r="D7" s="2">
        <v>1000000</v>
      </c>
      <c r="E7" s="2">
        <v>300000</v>
      </c>
      <c r="F7" s="2">
        <v>0</v>
      </c>
      <c r="G7" s="4">
        <f t="shared" si="0"/>
        <v>1400000</v>
      </c>
    </row>
    <row r="8" spans="1:7">
      <c r="A8" s="1">
        <v>2009</v>
      </c>
      <c r="B8" s="2">
        <v>1500000</v>
      </c>
      <c r="C8" s="2">
        <v>0</v>
      </c>
      <c r="D8" s="2">
        <v>0</v>
      </c>
      <c r="E8" s="2">
        <v>290000</v>
      </c>
      <c r="F8" s="2">
        <v>2100000</v>
      </c>
      <c r="G8" s="4">
        <f t="shared" si="0"/>
        <v>3890000</v>
      </c>
    </row>
    <row r="9" spans="1:7">
      <c r="A9" s="1">
        <v>2010</v>
      </c>
      <c r="B9" s="12">
        <v>1000000</v>
      </c>
      <c r="C9" s="12">
        <v>0</v>
      </c>
      <c r="D9" s="12">
        <v>300000</v>
      </c>
      <c r="E9" s="12">
        <v>200000</v>
      </c>
      <c r="F9" s="12">
        <v>300000</v>
      </c>
      <c r="G9" s="6">
        <f t="shared" si="0"/>
        <v>1800000</v>
      </c>
    </row>
    <row r="10" spans="1:7">
      <c r="B10" s="4">
        <f t="shared" ref="B10:G10" si="1">SUM(B4:B9)</f>
        <v>7000000</v>
      </c>
      <c r="C10" s="4">
        <f t="shared" si="1"/>
        <v>100000</v>
      </c>
      <c r="D10" s="4">
        <f t="shared" si="1"/>
        <v>1300000</v>
      </c>
      <c r="E10" s="4">
        <f t="shared" si="1"/>
        <v>1265000</v>
      </c>
      <c r="F10" s="4">
        <f t="shared" si="1"/>
        <v>2400000</v>
      </c>
      <c r="G10" s="4">
        <f t="shared" si="1"/>
        <v>12065000</v>
      </c>
    </row>
  </sheetData>
  <pageMargins left="0.7" right="0.7" top="0.75" bottom="0.75" header="0.3" footer="0.3"/>
  <pageSetup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3"/>
  <sheetViews>
    <sheetView workbookViewId="0">
      <selection activeCell="N8" sqref="N8"/>
    </sheetView>
  </sheetViews>
  <sheetFormatPr defaultRowHeight="15"/>
  <cols>
    <col min="1" max="1" width="10.140625" style="1" customWidth="1"/>
    <col min="2" max="2" width="14.7109375" style="1" customWidth="1"/>
    <col min="3" max="3" width="12.7109375" style="1" customWidth="1"/>
    <col min="4" max="4" width="15.7109375" style="1" customWidth="1"/>
    <col min="5" max="6" width="4.7109375" style="1" customWidth="1"/>
    <col min="7" max="7" width="9.7109375" style="1" customWidth="1"/>
    <col min="8" max="10" width="13.7109375" style="1" customWidth="1"/>
    <col min="11" max="11" width="12.7109375" style="1" customWidth="1"/>
    <col min="12" max="12" width="15.7109375" style="1" customWidth="1"/>
    <col min="13" max="16384" width="9.140625" style="1"/>
  </cols>
  <sheetData>
    <row r="2" spans="1:12">
      <c r="A2" s="3" t="s">
        <v>0</v>
      </c>
      <c r="B2" s="3" t="s">
        <v>2</v>
      </c>
      <c r="C2" s="3" t="s">
        <v>3</v>
      </c>
      <c r="D2" s="3" t="s">
        <v>4</v>
      </c>
      <c r="G2" s="3" t="s">
        <v>0</v>
      </c>
      <c r="H2" s="3" t="s">
        <v>2</v>
      </c>
      <c r="I2" s="3" t="s">
        <v>3</v>
      </c>
      <c r="J2" s="3"/>
      <c r="K2" s="3" t="s">
        <v>16</v>
      </c>
      <c r="L2" s="3" t="s">
        <v>4</v>
      </c>
    </row>
    <row r="3" spans="1:12">
      <c r="A3" s="3" t="s">
        <v>1</v>
      </c>
      <c r="B3" s="3" t="s">
        <v>17</v>
      </c>
      <c r="C3" s="3" t="s">
        <v>17</v>
      </c>
      <c r="D3" s="3" t="s">
        <v>5</v>
      </c>
      <c r="G3" s="3" t="s">
        <v>1</v>
      </c>
      <c r="H3" s="3" t="s">
        <v>17</v>
      </c>
      <c r="I3" s="3" t="s">
        <v>17</v>
      </c>
      <c r="J3" s="3"/>
      <c r="K3" s="3" t="s">
        <v>17</v>
      </c>
      <c r="L3" s="3" t="s">
        <v>5</v>
      </c>
    </row>
    <row r="4" spans="1:12">
      <c r="A4" s="1">
        <v>2005</v>
      </c>
      <c r="B4" s="2">
        <v>99432</v>
      </c>
      <c r="C4" s="2">
        <v>5834247</v>
      </c>
      <c r="D4" s="4">
        <f>SUM(B4:C4)</f>
        <v>5933679</v>
      </c>
      <c r="G4" s="1">
        <v>2010</v>
      </c>
      <c r="H4" s="2">
        <v>650925</v>
      </c>
      <c r="I4" s="2">
        <v>4250000</v>
      </c>
      <c r="J4" s="2">
        <f>48000000*0.05-150000</f>
        <v>2250000</v>
      </c>
      <c r="K4" s="2">
        <v>0</v>
      </c>
      <c r="L4" s="4">
        <f>SUM(H4:K4)</f>
        <v>7150925</v>
      </c>
    </row>
    <row r="5" spans="1:12">
      <c r="A5" s="1">
        <v>2006</v>
      </c>
      <c r="B5" s="2">
        <v>251250</v>
      </c>
      <c r="C5" s="2">
        <v>1515753</v>
      </c>
      <c r="D5" s="4">
        <f>SUM(B5:C5)</f>
        <v>1767003</v>
      </c>
      <c r="G5" s="1">
        <v>2011</v>
      </c>
      <c r="H5" s="2">
        <v>650925</v>
      </c>
      <c r="I5" s="2">
        <v>849999.96</v>
      </c>
      <c r="J5" s="2">
        <f>((85000000-48000000)*0.05)+ (48000000*0.02)+150000</f>
        <v>2960000</v>
      </c>
      <c r="K5" s="2">
        <v>0</v>
      </c>
      <c r="L5" s="4">
        <f t="shared" ref="L5:L11" si="0">SUM(H5:K5)</f>
        <v>4460924.96</v>
      </c>
    </row>
    <row r="6" spans="1:12">
      <c r="A6" s="1">
        <v>2007</v>
      </c>
      <c r="B6" s="2">
        <v>306600</v>
      </c>
      <c r="C6" s="2">
        <v>2210526</v>
      </c>
      <c r="D6" s="4">
        <f>SUM(B6:C6)</f>
        <v>2517126</v>
      </c>
      <c r="G6" s="1">
        <v>2012</v>
      </c>
      <c r="H6" s="2">
        <v>537419.25</v>
      </c>
      <c r="I6" s="2">
        <v>1133333.28</v>
      </c>
      <c r="J6" s="2">
        <f>+(48000000*0.02)+(37000000*I21)</f>
        <v>1453333.3101176471</v>
      </c>
      <c r="K6" s="2">
        <v>2486500</v>
      </c>
      <c r="L6" s="4">
        <f t="shared" si="0"/>
        <v>5610585.8401176473</v>
      </c>
    </row>
    <row r="7" spans="1:12">
      <c r="A7" s="1">
        <v>2008</v>
      </c>
      <c r="B7" s="2">
        <v>619857</v>
      </c>
      <c r="C7" s="2">
        <v>2817766</v>
      </c>
      <c r="D7" s="4">
        <f>SUM(B7:C7)</f>
        <v>3437623</v>
      </c>
      <c r="G7" s="1">
        <v>2013</v>
      </c>
      <c r="H7" s="2">
        <v>418146.5</v>
      </c>
      <c r="I7" s="2">
        <v>1133333.28</v>
      </c>
      <c r="J7" s="2">
        <f>960000+(37000000*I21)</f>
        <v>1453333.3101176471</v>
      </c>
      <c r="K7" s="2">
        <v>399713</v>
      </c>
      <c r="L7" s="4">
        <f t="shared" si="0"/>
        <v>3404526.0901176473</v>
      </c>
    </row>
    <row r="8" spans="1:12">
      <c r="A8" s="1">
        <v>2009</v>
      </c>
      <c r="B8" s="5">
        <v>649078</v>
      </c>
      <c r="C8" s="5">
        <v>1147407</v>
      </c>
      <c r="D8" s="6">
        <f>SUM(B8:C8)</f>
        <v>1796485</v>
      </c>
      <c r="G8" s="1">
        <v>2014</v>
      </c>
      <c r="H8" s="2">
        <v>343916</v>
      </c>
      <c r="I8" s="2">
        <v>1133333.28</v>
      </c>
      <c r="J8" s="2">
        <f>960000+(37000000*I21)</f>
        <v>1453333.3101176471</v>
      </c>
      <c r="K8" s="2">
        <v>2100000</v>
      </c>
      <c r="L8" s="4">
        <f t="shared" si="0"/>
        <v>5030582.5901176473</v>
      </c>
    </row>
    <row r="9" spans="1:12">
      <c r="B9" s="4">
        <f>SUM(B4:B8)</f>
        <v>1926217</v>
      </c>
      <c r="C9" s="4">
        <f>SUM(C4:C8)</f>
        <v>13525699</v>
      </c>
      <c r="D9" s="4">
        <f>SUM(D4:D8)</f>
        <v>15451916</v>
      </c>
      <c r="G9" s="1">
        <v>2015</v>
      </c>
      <c r="H9" s="2">
        <v>202166</v>
      </c>
      <c r="I9" s="2">
        <v>1133333.28</v>
      </c>
      <c r="J9" s="2">
        <f>37000000*I21</f>
        <v>493333.31011764711</v>
      </c>
      <c r="K9" s="2">
        <v>0</v>
      </c>
      <c r="L9" s="4">
        <f t="shared" si="0"/>
        <v>1828832.5901176471</v>
      </c>
    </row>
    <row r="10" spans="1:12">
      <c r="G10" s="1">
        <v>2016</v>
      </c>
      <c r="H10" s="2">
        <v>183694.3</v>
      </c>
      <c r="I10" s="2">
        <v>1133333.28</v>
      </c>
      <c r="J10" s="2">
        <f>+J9</f>
        <v>493333.31011764711</v>
      </c>
      <c r="K10" s="2">
        <v>246287</v>
      </c>
      <c r="L10" s="4">
        <f t="shared" si="0"/>
        <v>2056647.8901176471</v>
      </c>
    </row>
    <row r="11" spans="1:12">
      <c r="G11" s="1">
        <v>2017</v>
      </c>
      <c r="H11" s="5">
        <v>0</v>
      </c>
      <c r="I11" s="5">
        <v>283333.32</v>
      </c>
      <c r="J11" s="5">
        <f>+J10</f>
        <v>493333.31011764711</v>
      </c>
      <c r="K11" s="5">
        <v>0</v>
      </c>
      <c r="L11" s="6">
        <f t="shared" si="0"/>
        <v>776666.63011764712</v>
      </c>
    </row>
    <row r="12" spans="1:12">
      <c r="H12" s="4">
        <f>SUM(H4:H11)</f>
        <v>2987192.05</v>
      </c>
      <c r="I12" s="4">
        <f>SUM(I4:I11)</f>
        <v>11049999.68</v>
      </c>
      <c r="J12" s="4">
        <f>SUM(J4:J11)</f>
        <v>11049999.860705882</v>
      </c>
      <c r="K12" s="4">
        <f>SUM(K4:K11)</f>
        <v>5232500</v>
      </c>
      <c r="L12" s="4">
        <f>SUM(L4:L11)</f>
        <v>30319691.590705886</v>
      </c>
    </row>
    <row r="13" spans="1:12">
      <c r="H13" s="4"/>
      <c r="I13" s="4"/>
      <c r="J13" s="4"/>
      <c r="K13" s="4"/>
      <c r="L13" s="4"/>
    </row>
    <row r="14" spans="1:12">
      <c r="C14" s="1" t="s">
        <v>19</v>
      </c>
      <c r="D14" s="4">
        <v>70000000</v>
      </c>
      <c r="I14" s="3" t="s">
        <v>25</v>
      </c>
      <c r="J14" s="3"/>
    </row>
    <row r="15" spans="1:12">
      <c r="C15" s="1" t="s">
        <v>20</v>
      </c>
      <c r="D15" s="4">
        <v>60000000</v>
      </c>
      <c r="I15" s="4">
        <f>L12+D9</f>
        <v>45771607.590705886</v>
      </c>
      <c r="J15" s="4"/>
    </row>
    <row r="16" spans="1:12">
      <c r="C16" s="1" t="s">
        <v>21</v>
      </c>
      <c r="D16" s="4">
        <v>85000000</v>
      </c>
      <c r="I16" s="7">
        <f>+I15/D18</f>
        <v>0.15257202530235295</v>
      </c>
    </row>
    <row r="17" spans="3:9">
      <c r="C17" s="1" t="s">
        <v>22</v>
      </c>
      <c r="D17" s="6">
        <v>85000000</v>
      </c>
      <c r="E17" s="1">
        <v>0.13</v>
      </c>
    </row>
    <row r="18" spans="3:9">
      <c r="D18" s="4">
        <f>SUM(D14:D17)</f>
        <v>300000000</v>
      </c>
    </row>
    <row r="19" spans="3:9">
      <c r="D19" s="4"/>
    </row>
    <row r="20" spans="3:9">
      <c r="D20" s="3" t="s">
        <v>23</v>
      </c>
    </row>
    <row r="21" spans="3:9">
      <c r="D21" s="3" t="s">
        <v>18</v>
      </c>
      <c r="I21" s="8">
        <f>+I10/D16</f>
        <v>1.3333332705882354E-2</v>
      </c>
    </row>
    <row r="23" spans="3:9">
      <c r="D23" s="3" t="s">
        <v>24</v>
      </c>
    </row>
  </sheetData>
  <pageMargins left="0.7" right="0.7" top="0.75" bottom="0.75" header="0.3" footer="0.3"/>
  <pageSetup scale="86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Q20"/>
  <sheetViews>
    <sheetView workbookViewId="0">
      <selection activeCell="Q12" sqref="Q12:Q13"/>
    </sheetView>
  </sheetViews>
  <sheetFormatPr defaultRowHeight="15"/>
  <cols>
    <col min="4" max="4" width="10.85546875" customWidth="1"/>
    <col min="5" max="5" width="12" customWidth="1"/>
    <col min="6" max="7" width="11.7109375" customWidth="1"/>
    <col min="8" max="8" width="12" customWidth="1"/>
    <col min="9" max="9" width="12.5703125" customWidth="1"/>
    <col min="10" max="10" width="12.42578125" customWidth="1"/>
    <col min="11" max="11" width="13.42578125" customWidth="1"/>
    <col min="12" max="12" width="12.85546875" customWidth="1"/>
    <col min="13" max="13" width="11.7109375" customWidth="1"/>
    <col min="14" max="14" width="11.5703125" customWidth="1"/>
    <col min="15" max="15" width="11.7109375" customWidth="1"/>
    <col min="16" max="16" width="2.42578125" customWidth="1"/>
    <col min="17" max="17" width="12" customWidth="1"/>
  </cols>
  <sheetData>
    <row r="2" spans="1:17">
      <c r="A2">
        <v>2011</v>
      </c>
    </row>
    <row r="3" spans="1:17"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  <c r="N3" s="9" t="s">
        <v>49</v>
      </c>
      <c r="O3" s="9" t="s">
        <v>48</v>
      </c>
      <c r="Q3" s="9" t="s">
        <v>4</v>
      </c>
    </row>
    <row r="4" spans="1:17">
      <c r="A4" t="s">
        <v>26</v>
      </c>
    </row>
    <row r="5" spans="1:17">
      <c r="A5" t="s">
        <v>28</v>
      </c>
      <c r="D5" s="10">
        <v>28631</v>
      </c>
      <c r="E5" s="10"/>
      <c r="F5" s="10"/>
      <c r="G5" s="10">
        <v>28632</v>
      </c>
      <c r="H5" s="10"/>
      <c r="I5" s="10"/>
      <c r="J5" s="10">
        <v>28631</v>
      </c>
      <c r="K5" s="10"/>
      <c r="L5" s="10"/>
      <c r="M5" s="10">
        <v>28631</v>
      </c>
      <c r="N5" s="10"/>
      <c r="O5" s="10"/>
      <c r="P5" s="10"/>
      <c r="Q5" s="10">
        <f t="shared" ref="Q5:Q14" si="0">SUM(D5:O5)</f>
        <v>114525</v>
      </c>
    </row>
    <row r="6" spans="1:17">
      <c r="A6" t="s">
        <v>29</v>
      </c>
      <c r="D6" s="10"/>
      <c r="E6" s="10"/>
      <c r="F6" s="10">
        <f>8994</f>
        <v>8994</v>
      </c>
      <c r="G6" s="10"/>
      <c r="H6" s="10"/>
      <c r="I6" s="10">
        <f>8993</f>
        <v>8993</v>
      </c>
      <c r="J6" s="10"/>
      <c r="K6" s="10"/>
      <c r="L6" s="10">
        <v>8994</v>
      </c>
      <c r="M6" s="10"/>
      <c r="N6" s="10"/>
      <c r="O6" s="10">
        <v>8993</v>
      </c>
      <c r="P6" s="10"/>
      <c r="Q6" s="10">
        <f t="shared" si="0"/>
        <v>35974</v>
      </c>
    </row>
    <row r="7" spans="1:17">
      <c r="A7" t="s">
        <v>30</v>
      </c>
      <c r="D7" s="10"/>
      <c r="E7" s="10"/>
      <c r="F7" s="10">
        <v>5794</v>
      </c>
      <c r="G7" s="10"/>
      <c r="H7" s="10"/>
      <c r="I7" s="10">
        <v>5794</v>
      </c>
      <c r="J7" s="10"/>
      <c r="K7" s="10"/>
      <c r="L7" s="10">
        <v>5793</v>
      </c>
      <c r="M7" s="10"/>
      <c r="N7" s="10"/>
      <c r="O7" s="10">
        <v>5794</v>
      </c>
      <c r="P7" s="10"/>
      <c r="Q7" s="10">
        <f t="shared" si="0"/>
        <v>23175</v>
      </c>
    </row>
    <row r="8" spans="1:17">
      <c r="A8" t="s">
        <v>31</v>
      </c>
      <c r="D8" s="10"/>
      <c r="E8" s="10"/>
      <c r="F8" s="10">
        <v>21521</v>
      </c>
      <c r="G8" s="10"/>
      <c r="H8" s="10"/>
      <c r="I8" s="10">
        <v>21522</v>
      </c>
      <c r="J8" s="10"/>
      <c r="K8" s="10"/>
      <c r="L8" s="10">
        <v>21521</v>
      </c>
      <c r="M8" s="10"/>
      <c r="N8" s="10"/>
      <c r="O8" s="10">
        <v>21521</v>
      </c>
      <c r="P8" s="10"/>
      <c r="Q8" s="10">
        <f t="shared" si="0"/>
        <v>86085</v>
      </c>
    </row>
    <row r="9" spans="1:17">
      <c r="A9" t="s">
        <v>32</v>
      </c>
      <c r="D9" s="10">
        <v>1847</v>
      </c>
      <c r="E9" s="10">
        <v>1847</v>
      </c>
      <c r="F9" s="10">
        <v>1847</v>
      </c>
      <c r="G9" s="10">
        <v>1847</v>
      </c>
      <c r="H9" s="10">
        <v>1848</v>
      </c>
      <c r="I9" s="10">
        <v>1847</v>
      </c>
      <c r="J9" s="10">
        <v>1847</v>
      </c>
      <c r="K9" s="10">
        <v>1848</v>
      </c>
      <c r="L9" s="10">
        <v>1847</v>
      </c>
      <c r="M9" s="10">
        <v>1847</v>
      </c>
      <c r="N9" s="10">
        <v>1847</v>
      </c>
      <c r="O9" s="10">
        <v>1847</v>
      </c>
      <c r="P9" s="10"/>
      <c r="Q9" s="10">
        <f t="shared" si="0"/>
        <v>22166</v>
      </c>
    </row>
    <row r="10" spans="1:17">
      <c r="A10" t="s">
        <v>33</v>
      </c>
      <c r="D10" s="10"/>
      <c r="E10" s="10"/>
      <c r="F10" s="10">
        <v>47250</v>
      </c>
      <c r="G10" s="10"/>
      <c r="H10" s="10"/>
      <c r="I10" s="10">
        <v>47250</v>
      </c>
      <c r="J10" s="10"/>
      <c r="K10" s="10"/>
      <c r="L10" s="10">
        <v>47250</v>
      </c>
      <c r="M10" s="10"/>
      <c r="N10" s="10"/>
      <c r="O10" s="10">
        <v>47250</v>
      </c>
      <c r="P10" s="10"/>
      <c r="Q10" s="10">
        <f t="shared" si="0"/>
        <v>189000</v>
      </c>
    </row>
    <row r="11" spans="1:17">
      <c r="A11" t="s">
        <v>34</v>
      </c>
      <c r="D11" s="10"/>
      <c r="E11" s="10"/>
      <c r="F11" s="10">
        <f>37500+7500</f>
        <v>45000</v>
      </c>
      <c r="G11" s="10"/>
      <c r="H11" s="10"/>
      <c r="I11" s="10">
        <f>37500+7500</f>
        <v>45000</v>
      </c>
      <c r="J11" s="10"/>
      <c r="K11" s="10"/>
      <c r="L11" s="10">
        <f>37500+7500</f>
        <v>45000</v>
      </c>
      <c r="M11" s="10"/>
      <c r="N11" s="10"/>
      <c r="O11" s="10">
        <f>37500+7500</f>
        <v>45000</v>
      </c>
      <c r="P11" s="10"/>
      <c r="Q11" s="10">
        <f t="shared" si="0"/>
        <v>180000</v>
      </c>
    </row>
    <row r="12" spans="1:17">
      <c r="A12" t="s">
        <v>35</v>
      </c>
      <c r="D12" s="10">
        <v>80952</v>
      </c>
      <c r="E12" s="10">
        <v>80952</v>
      </c>
      <c r="F12" s="10">
        <f>80952+1</f>
        <v>80953</v>
      </c>
      <c r="G12" s="10">
        <v>80952</v>
      </c>
      <c r="H12" s="10">
        <v>80952</v>
      </c>
      <c r="I12" s="10">
        <f>80952+1</f>
        <v>80953</v>
      </c>
      <c r="J12" s="10">
        <f>80952</f>
        <v>80952</v>
      </c>
      <c r="K12" s="10">
        <f>80952</f>
        <v>80952</v>
      </c>
      <c r="L12" s="10">
        <f>80952+1</f>
        <v>80953</v>
      </c>
      <c r="M12" s="10">
        <f>80952</f>
        <v>80952</v>
      </c>
      <c r="N12" s="10">
        <f>80952</f>
        <v>80952</v>
      </c>
      <c r="O12" s="10">
        <f>80952+2</f>
        <v>80954</v>
      </c>
      <c r="P12" s="10"/>
      <c r="Q12" s="10">
        <f t="shared" si="0"/>
        <v>971429</v>
      </c>
    </row>
    <row r="13" spans="1:17">
      <c r="A13" t="s">
        <v>36</v>
      </c>
      <c r="D13" s="10">
        <f>77801-1</f>
        <v>77800</v>
      </c>
      <c r="E13" s="10">
        <f>77801</f>
        <v>77801</v>
      </c>
      <c r="F13" s="10">
        <f>77801</f>
        <v>77801</v>
      </c>
      <c r="G13" s="10">
        <f>77801-1</f>
        <v>77800</v>
      </c>
      <c r="H13" s="10">
        <f>77801</f>
        <v>77801</v>
      </c>
      <c r="I13" s="10">
        <f>77801</f>
        <v>77801</v>
      </c>
      <c r="J13" s="10">
        <f>77801-1</f>
        <v>77800</v>
      </c>
      <c r="K13" s="10">
        <f>77801</f>
        <v>77801</v>
      </c>
      <c r="L13" s="10">
        <f>77801</f>
        <v>77801</v>
      </c>
      <c r="M13" s="10">
        <f>77801</f>
        <v>77801</v>
      </c>
      <c r="N13" s="10">
        <f>77801</f>
        <v>77801</v>
      </c>
      <c r="O13" s="10">
        <f>77801</f>
        <v>77801</v>
      </c>
      <c r="P13" s="10"/>
      <c r="Q13" s="10">
        <f t="shared" si="0"/>
        <v>933609</v>
      </c>
    </row>
    <row r="14" spans="1:17">
      <c r="A14" t="s">
        <v>37</v>
      </c>
      <c r="D14" s="10">
        <v>0</v>
      </c>
      <c r="E14" s="10">
        <v>0</v>
      </c>
      <c r="F14" s="10">
        <v>0</v>
      </c>
      <c r="G14" s="10"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>
        <f t="shared" si="0"/>
        <v>0</v>
      </c>
    </row>
    <row r="15" spans="1:17">
      <c r="D15" s="10">
        <f>SUM(D5:D14)</f>
        <v>189230</v>
      </c>
      <c r="E15" s="10">
        <f t="shared" ref="E15:Q15" si="1">SUM(E5:E14)</f>
        <v>160600</v>
      </c>
      <c r="F15" s="10">
        <f t="shared" si="1"/>
        <v>289160</v>
      </c>
      <c r="G15" s="10">
        <f t="shared" si="1"/>
        <v>189231</v>
      </c>
      <c r="H15" s="10">
        <f t="shared" si="1"/>
        <v>160601</v>
      </c>
      <c r="I15" s="10">
        <f t="shared" si="1"/>
        <v>289160</v>
      </c>
      <c r="J15" s="10">
        <f t="shared" si="1"/>
        <v>189230</v>
      </c>
      <c r="K15" s="10">
        <f t="shared" si="1"/>
        <v>160601</v>
      </c>
      <c r="L15" s="10">
        <f t="shared" si="1"/>
        <v>289159</v>
      </c>
      <c r="M15" s="10">
        <f t="shared" si="1"/>
        <v>189231</v>
      </c>
      <c r="N15" s="10">
        <f t="shared" si="1"/>
        <v>160600</v>
      </c>
      <c r="O15" s="10">
        <f t="shared" si="1"/>
        <v>289160</v>
      </c>
      <c r="P15" s="10"/>
      <c r="Q15" s="10">
        <f t="shared" si="1"/>
        <v>2555963</v>
      </c>
    </row>
    <row r="16" spans="1:17">
      <c r="A16" t="s">
        <v>27</v>
      </c>
      <c r="D16" s="10"/>
    </row>
    <row r="17" spans="1:17">
      <c r="A17" t="s">
        <v>37</v>
      </c>
      <c r="B17" t="s">
        <v>50</v>
      </c>
      <c r="D17" s="10"/>
      <c r="E17" s="10"/>
      <c r="F17" s="10"/>
      <c r="G17" s="10">
        <v>250000</v>
      </c>
      <c r="H17" s="10"/>
      <c r="I17" s="10"/>
      <c r="J17" s="10"/>
      <c r="K17" s="10"/>
      <c r="L17" s="10"/>
      <c r="M17" s="10"/>
      <c r="N17" s="10"/>
      <c r="O17" s="10"/>
      <c r="P17" s="10"/>
      <c r="Q17" s="10">
        <f>SUM(D17:O17)</f>
        <v>250000</v>
      </c>
    </row>
    <row r="18" spans="1:17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 t="s">
        <v>51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f>SUM(D19:O19)</f>
        <v>0</v>
      </c>
    </row>
    <row r="20" spans="1:17">
      <c r="D20" s="11">
        <f>SUM(D15:D19)</f>
        <v>189230</v>
      </c>
      <c r="E20" s="11">
        <f t="shared" ref="E20:Q20" si="2">SUM(E15:E19)</f>
        <v>160600</v>
      </c>
      <c r="F20" s="11">
        <f t="shared" si="2"/>
        <v>289160</v>
      </c>
      <c r="G20" s="11">
        <f t="shared" si="2"/>
        <v>439231</v>
      </c>
      <c r="H20" s="11">
        <f t="shared" si="2"/>
        <v>160601</v>
      </c>
      <c r="I20" s="11">
        <f t="shared" si="2"/>
        <v>289160</v>
      </c>
      <c r="J20" s="11">
        <f t="shared" si="2"/>
        <v>189230</v>
      </c>
      <c r="K20" s="11">
        <f t="shared" si="2"/>
        <v>160601</v>
      </c>
      <c r="L20" s="11">
        <f t="shared" si="2"/>
        <v>289159</v>
      </c>
      <c r="M20" s="11">
        <f t="shared" si="2"/>
        <v>189231</v>
      </c>
      <c r="N20" s="11">
        <f t="shared" si="2"/>
        <v>160600</v>
      </c>
      <c r="O20" s="11">
        <f t="shared" si="2"/>
        <v>289160</v>
      </c>
      <c r="P20" s="11">
        <f t="shared" si="2"/>
        <v>0</v>
      </c>
      <c r="Q20" s="11">
        <f t="shared" si="2"/>
        <v>2805963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tabSelected="1" workbookViewId="0">
      <selection activeCell="K9" sqref="K9"/>
    </sheetView>
  </sheetViews>
  <sheetFormatPr defaultRowHeight="15"/>
  <cols>
    <col min="1" max="1" width="27.5703125" customWidth="1"/>
    <col min="2" max="2" width="19.42578125" customWidth="1"/>
    <col min="3" max="3" width="15.28515625" customWidth="1"/>
    <col min="4" max="4" width="13.28515625" customWidth="1"/>
    <col min="5" max="5" width="15.28515625" customWidth="1"/>
    <col min="6" max="6" width="14.28515625" customWidth="1"/>
    <col min="7" max="7" width="14.85546875" customWidth="1"/>
    <col min="8" max="8" width="14.5703125" customWidth="1"/>
    <col min="9" max="9" width="16.42578125" customWidth="1"/>
    <col min="10" max="10" width="15.28515625" customWidth="1"/>
    <col min="11" max="11" width="16.140625" customWidth="1"/>
    <col min="12" max="12" width="15.42578125" customWidth="1"/>
  </cols>
  <sheetData>
    <row r="1" spans="1:11">
      <c r="A1" s="28" t="s">
        <v>66</v>
      </c>
      <c r="B1" s="28"/>
    </row>
    <row r="2" spans="1:11">
      <c r="B2" s="14" t="s">
        <v>72</v>
      </c>
      <c r="C2" s="14" t="s">
        <v>1</v>
      </c>
      <c r="D2" s="13" t="s">
        <v>1</v>
      </c>
    </row>
    <row r="3" spans="1:11">
      <c r="B3" s="14" t="s">
        <v>73</v>
      </c>
      <c r="C3" s="14" t="s">
        <v>3</v>
      </c>
      <c r="D3" s="28" t="s">
        <v>52</v>
      </c>
    </row>
    <row r="4" spans="1:11">
      <c r="B4" s="15" t="s">
        <v>74</v>
      </c>
      <c r="C4" s="15">
        <v>2011</v>
      </c>
      <c r="D4" s="15">
        <v>2011</v>
      </c>
      <c r="E4" s="15">
        <v>2012</v>
      </c>
      <c r="F4" s="15">
        <v>2013</v>
      </c>
      <c r="G4" s="15">
        <v>2014</v>
      </c>
      <c r="H4" s="15">
        <v>2015</v>
      </c>
      <c r="I4" s="15">
        <v>2016</v>
      </c>
      <c r="J4" s="15">
        <v>2017</v>
      </c>
      <c r="K4" s="15">
        <v>2018</v>
      </c>
    </row>
    <row r="5" spans="1:11">
      <c r="A5" t="s">
        <v>53</v>
      </c>
      <c r="B5" s="10">
        <v>114525</v>
      </c>
      <c r="C5" s="10">
        <v>0</v>
      </c>
      <c r="D5" s="10">
        <f>+'2011 Budget'!Q5</f>
        <v>114525</v>
      </c>
      <c r="E5" s="10">
        <v>6681</v>
      </c>
      <c r="F5" s="10"/>
      <c r="G5" s="10"/>
      <c r="H5" s="10"/>
      <c r="I5" s="10"/>
      <c r="J5" s="10"/>
      <c r="K5" s="10"/>
    </row>
    <row r="6" spans="1:11">
      <c r="A6" t="s">
        <v>54</v>
      </c>
      <c r="B6" s="10"/>
      <c r="C6" s="10"/>
      <c r="D6" s="10">
        <v>0</v>
      </c>
      <c r="E6" s="17">
        <v>1272500</v>
      </c>
      <c r="F6" s="10"/>
      <c r="G6" s="10"/>
      <c r="H6" s="10"/>
      <c r="I6" s="10"/>
      <c r="J6" s="10"/>
      <c r="K6" s="10"/>
    </row>
    <row r="7" spans="1:11">
      <c r="A7" t="s">
        <v>55</v>
      </c>
      <c r="B7" s="10">
        <v>35974</v>
      </c>
      <c r="C7" s="10"/>
      <c r="D7" s="10">
        <f>+'2011 Budget'!Q6</f>
        <v>35974</v>
      </c>
      <c r="E7" s="17">
        <f>+D7</f>
        <v>35974</v>
      </c>
      <c r="F7" s="17">
        <v>26981</v>
      </c>
      <c r="G7" s="10"/>
      <c r="H7" s="10"/>
      <c r="I7" s="10"/>
      <c r="J7" s="10"/>
      <c r="K7" s="10"/>
    </row>
    <row r="8" spans="1:11">
      <c r="A8" t="s">
        <v>54</v>
      </c>
      <c r="B8" s="10"/>
      <c r="C8" s="10"/>
      <c r="D8" s="10">
        <v>0</v>
      </c>
      <c r="E8" s="17">
        <v>0</v>
      </c>
      <c r="F8" s="10">
        <v>399713</v>
      </c>
      <c r="G8" s="10"/>
      <c r="H8" s="10"/>
      <c r="I8" s="10"/>
      <c r="J8" s="10"/>
      <c r="K8" s="10"/>
    </row>
    <row r="9" spans="1:11">
      <c r="A9" t="s">
        <v>56</v>
      </c>
      <c r="B9" s="10">
        <v>23174</v>
      </c>
      <c r="C9" s="10"/>
      <c r="D9" s="10">
        <f>+'2011 Budget'!Q7</f>
        <v>23175</v>
      </c>
      <c r="E9" s="17">
        <v>17381</v>
      </c>
      <c r="F9" s="10"/>
      <c r="G9" s="10"/>
      <c r="H9" s="10"/>
      <c r="I9" s="10"/>
      <c r="J9" s="10"/>
      <c r="K9" s="10"/>
    </row>
    <row r="10" spans="1:11">
      <c r="A10" t="s">
        <v>54</v>
      </c>
      <c r="B10" s="10"/>
      <c r="C10" s="10"/>
      <c r="D10" s="10">
        <v>0</v>
      </c>
      <c r="E10" s="10">
        <v>275500</v>
      </c>
      <c r="F10" s="10"/>
      <c r="G10" s="10"/>
      <c r="H10" s="10"/>
      <c r="I10" s="10"/>
      <c r="J10" s="10"/>
      <c r="K10" s="10"/>
    </row>
    <row r="11" spans="1:11">
      <c r="A11" t="s">
        <v>57</v>
      </c>
      <c r="B11" s="10">
        <v>86085</v>
      </c>
      <c r="C11" s="10"/>
      <c r="D11" s="10">
        <f>+'2011 Budget'!Q8</f>
        <v>86085</v>
      </c>
      <c r="E11" s="17">
        <f>+D11</f>
        <v>86085</v>
      </c>
      <c r="F11" s="10"/>
      <c r="G11" s="10"/>
      <c r="H11" s="10"/>
      <c r="I11" s="10"/>
      <c r="J11" s="10"/>
      <c r="K11" s="10"/>
    </row>
    <row r="12" spans="1:11">
      <c r="A12" t="s">
        <v>54</v>
      </c>
      <c r="B12" s="10"/>
      <c r="C12" s="10"/>
      <c r="D12" s="10">
        <v>0</v>
      </c>
      <c r="E12" s="10">
        <v>956500</v>
      </c>
      <c r="F12" s="10"/>
      <c r="G12" s="10"/>
      <c r="H12" s="10"/>
      <c r="I12" s="10"/>
      <c r="J12" s="10"/>
      <c r="K12" s="10"/>
    </row>
    <row r="13" spans="1:11">
      <c r="A13" t="s">
        <v>58</v>
      </c>
      <c r="B13" s="10">
        <v>22166</v>
      </c>
      <c r="C13" s="10"/>
      <c r="D13" s="10">
        <f>+'2011 Budget'!Q9</f>
        <v>22166</v>
      </c>
      <c r="E13" s="17">
        <f>+D13</f>
        <v>22166</v>
      </c>
      <c r="F13" s="17">
        <f>+E13</f>
        <v>22166</v>
      </c>
      <c r="G13" s="10">
        <f>+F13</f>
        <v>22166</v>
      </c>
      <c r="H13" s="10">
        <v>3694</v>
      </c>
      <c r="I13" s="10"/>
      <c r="J13" s="10"/>
      <c r="K13" s="10"/>
    </row>
    <row r="14" spans="1:11">
      <c r="A14" t="s">
        <v>54</v>
      </c>
      <c r="B14" s="10"/>
      <c r="C14" s="10"/>
      <c r="D14" s="10">
        <v>0</v>
      </c>
      <c r="E14" s="10">
        <v>0</v>
      </c>
      <c r="F14" s="10">
        <v>0</v>
      </c>
      <c r="G14" s="10">
        <v>0</v>
      </c>
      <c r="H14" s="10">
        <v>246287</v>
      </c>
      <c r="I14" s="10"/>
      <c r="J14" s="10"/>
      <c r="K14" s="10"/>
    </row>
    <row r="15" spans="1:11">
      <c r="A15" t="s">
        <v>59</v>
      </c>
      <c r="B15" s="10">
        <v>189000</v>
      </c>
      <c r="C15" s="10"/>
      <c r="D15" s="10">
        <f>+'2011 Budget'!Q10</f>
        <v>189000</v>
      </c>
      <c r="E15" s="10">
        <f>+D15</f>
        <v>189000</v>
      </c>
      <c r="F15" s="10">
        <f>+E15</f>
        <v>189000</v>
      </c>
      <c r="G15" s="10">
        <f>+F15/12*11</f>
        <v>173250</v>
      </c>
      <c r="H15" s="10"/>
      <c r="I15" s="10"/>
      <c r="J15" s="10"/>
      <c r="K15" s="10"/>
    </row>
    <row r="16" spans="1:11">
      <c r="A16" t="s">
        <v>54</v>
      </c>
      <c r="B16" s="10"/>
      <c r="C16" s="10"/>
      <c r="D16" s="10">
        <v>0</v>
      </c>
      <c r="E16" s="10">
        <v>0</v>
      </c>
      <c r="F16" s="10">
        <v>0</v>
      </c>
      <c r="G16" s="10">
        <f>+'NMTC Fee Income'!K8</f>
        <v>2100000</v>
      </c>
      <c r="H16" s="10"/>
      <c r="I16" s="10"/>
      <c r="J16" s="10"/>
      <c r="K16" s="10"/>
    </row>
    <row r="17" spans="1:12">
      <c r="A17" t="s">
        <v>60</v>
      </c>
      <c r="B17" s="10">
        <v>180000</v>
      </c>
      <c r="C17" s="10"/>
      <c r="D17" s="10">
        <f>+'2011 Budget'!Q11</f>
        <v>180000</v>
      </c>
      <c r="E17" s="10">
        <f t="shared" ref="E17:G21" si="0">+D17</f>
        <v>180000</v>
      </c>
      <c r="F17" s="10">
        <f t="shared" si="0"/>
        <v>180000</v>
      </c>
      <c r="G17" s="10">
        <f t="shared" si="0"/>
        <v>180000</v>
      </c>
      <c r="H17" s="10">
        <f>180000-148932</f>
        <v>31068</v>
      </c>
      <c r="I17" s="10"/>
      <c r="J17" s="10"/>
      <c r="K17" s="10"/>
    </row>
    <row r="18" spans="1:12">
      <c r="A18" t="s">
        <v>75</v>
      </c>
      <c r="B18" s="10">
        <v>4250000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2">
      <c r="A19" t="s">
        <v>76</v>
      </c>
      <c r="B19" s="10">
        <f>688096</f>
        <v>688096</v>
      </c>
      <c r="C19" s="10"/>
      <c r="D19" s="10">
        <f>+'2011 Budget'!Q12</f>
        <v>971429</v>
      </c>
      <c r="E19" s="10">
        <f t="shared" si="0"/>
        <v>971429</v>
      </c>
      <c r="F19" s="10">
        <f t="shared" si="0"/>
        <v>971429</v>
      </c>
      <c r="G19" s="10">
        <f t="shared" si="0"/>
        <v>971429</v>
      </c>
      <c r="H19" s="10">
        <f>+G19</f>
        <v>971429</v>
      </c>
      <c r="I19" s="10">
        <f>+H19</f>
        <v>971429</v>
      </c>
      <c r="J19" s="10">
        <v>283330</v>
      </c>
      <c r="K19" s="10"/>
    </row>
    <row r="20" spans="1:12">
      <c r="A20" t="s">
        <v>77</v>
      </c>
      <c r="B20" s="10">
        <v>3750000</v>
      </c>
      <c r="C20" s="10"/>
      <c r="D20" s="10"/>
      <c r="E20" s="10"/>
      <c r="F20" s="10"/>
      <c r="G20" s="10"/>
      <c r="H20" s="10"/>
      <c r="I20" s="10"/>
      <c r="J20" s="10"/>
      <c r="K20" s="10"/>
    </row>
    <row r="21" spans="1:12">
      <c r="A21" t="s">
        <v>78</v>
      </c>
      <c r="B21" s="10">
        <v>0</v>
      </c>
      <c r="C21" s="10"/>
      <c r="D21" s="10">
        <f>+'2011 Budget'!Q13</f>
        <v>933609</v>
      </c>
      <c r="E21" s="10">
        <f t="shared" si="0"/>
        <v>933609</v>
      </c>
      <c r="F21" s="10">
        <f t="shared" si="0"/>
        <v>933609</v>
      </c>
      <c r="G21" s="10">
        <f t="shared" si="0"/>
        <v>933609</v>
      </c>
      <c r="H21" s="10">
        <f>+G21</f>
        <v>933609</v>
      </c>
      <c r="I21" s="10">
        <f>+H21</f>
        <v>933609</v>
      </c>
      <c r="J21" s="10">
        <f>+I21</f>
        <v>933609</v>
      </c>
      <c r="K21" s="10"/>
    </row>
    <row r="22" spans="1:12" ht="15.75" thickBot="1">
      <c r="B22" s="10"/>
      <c r="C22" s="10"/>
      <c r="F22" s="10"/>
      <c r="G22" s="10"/>
      <c r="H22" s="10"/>
      <c r="I22" s="10"/>
      <c r="J22" s="10"/>
      <c r="K22" s="10"/>
    </row>
    <row r="23" spans="1:12">
      <c r="A23" t="s">
        <v>62</v>
      </c>
      <c r="B23" s="10">
        <v>0</v>
      </c>
      <c r="C23" s="18">
        <v>250000</v>
      </c>
      <c r="D23" s="19">
        <f>+E23*0.75</f>
        <v>64275</v>
      </c>
      <c r="E23" s="19">
        <v>85700</v>
      </c>
      <c r="F23" s="19">
        <f>+E23</f>
        <v>85700</v>
      </c>
      <c r="G23" s="19">
        <f>+F23</f>
        <v>85700</v>
      </c>
      <c r="H23" s="19">
        <f>+G23</f>
        <v>85700</v>
      </c>
      <c r="I23" s="19">
        <f>+H23</f>
        <v>85700</v>
      </c>
      <c r="J23" s="19">
        <f>+I23</f>
        <v>85700</v>
      </c>
      <c r="K23" s="20">
        <f>+J23-D23</f>
        <v>21425</v>
      </c>
    </row>
    <row r="24" spans="1:12">
      <c r="A24" t="s">
        <v>63</v>
      </c>
      <c r="B24" s="31">
        <v>0</v>
      </c>
      <c r="C24" s="24"/>
      <c r="D24" s="25">
        <v>0</v>
      </c>
      <c r="E24" s="25">
        <f>+E23+250000</f>
        <v>335700</v>
      </c>
      <c r="F24" s="25">
        <v>85700</v>
      </c>
      <c r="G24" s="25">
        <f>+F24</f>
        <v>85700</v>
      </c>
      <c r="H24" s="25">
        <f>+G24</f>
        <v>85700</v>
      </c>
      <c r="I24" s="25">
        <f>+H24</f>
        <v>85700</v>
      </c>
      <c r="J24" s="25">
        <f>+I24</f>
        <v>85700</v>
      </c>
      <c r="K24" s="26">
        <f>+J24</f>
        <v>85700</v>
      </c>
    </row>
    <row r="25" spans="1:12" ht="15.75" thickBot="1">
      <c r="A25" t="s">
        <v>61</v>
      </c>
      <c r="B25" s="31">
        <v>0</v>
      </c>
      <c r="C25" s="21">
        <f>53000000*0.05-50000</f>
        <v>2600000</v>
      </c>
      <c r="D25" s="22">
        <f>+E25/2</f>
        <v>302857</v>
      </c>
      <c r="E25" s="22">
        <v>605714</v>
      </c>
      <c r="F25" s="22">
        <f>+E25</f>
        <v>605714</v>
      </c>
      <c r="G25" s="22">
        <f>+F25</f>
        <v>605714</v>
      </c>
      <c r="H25" s="22">
        <f>+G25</f>
        <v>605714</v>
      </c>
      <c r="I25" s="22">
        <f>+H25</f>
        <v>605714</v>
      </c>
      <c r="J25" s="22">
        <f>+I25</f>
        <v>605714</v>
      </c>
      <c r="K25" s="23">
        <f>+D25</f>
        <v>302857</v>
      </c>
    </row>
    <row r="26" spans="1:12">
      <c r="C26" s="10"/>
    </row>
    <row r="27" spans="1:12" ht="15.75" thickBot="1">
      <c r="B27" s="16">
        <f>SUM(B5:B26)</f>
        <v>9339020</v>
      </c>
      <c r="C27" s="16">
        <f>SUM(C5:C26)</f>
        <v>2850000</v>
      </c>
      <c r="D27" s="16">
        <f t="shared" ref="D27:I27" si="1">SUM(D5:D26)</f>
        <v>2923095</v>
      </c>
      <c r="E27" s="16">
        <f t="shared" si="1"/>
        <v>5973939</v>
      </c>
      <c r="F27" s="16">
        <f t="shared" si="1"/>
        <v>3500012</v>
      </c>
      <c r="G27" s="16">
        <f t="shared" si="1"/>
        <v>5157568</v>
      </c>
      <c r="H27" s="16">
        <f t="shared" si="1"/>
        <v>2963201</v>
      </c>
      <c r="I27" s="16">
        <f t="shared" si="1"/>
        <v>2682152</v>
      </c>
      <c r="J27" s="16">
        <f>SUM(J5:J26)</f>
        <v>1994053</v>
      </c>
      <c r="K27" s="16">
        <f>SUM(K5:K26)</f>
        <v>409982</v>
      </c>
      <c r="L27" s="29">
        <f>SUM(C27:K27)</f>
        <v>28454002</v>
      </c>
    </row>
    <row r="28" spans="1:12" ht="15.75" thickTop="1"/>
    <row r="29" spans="1:12" ht="15.75" thickBot="1">
      <c r="A29" t="s">
        <v>64</v>
      </c>
      <c r="C29" s="16">
        <f>+C27</f>
        <v>2850000</v>
      </c>
      <c r="D29" s="16">
        <f>SUM(D5:D21)</f>
        <v>2555963</v>
      </c>
    </row>
    <row r="30" spans="1:12" ht="15.75" thickTop="1">
      <c r="A30" t="s">
        <v>65</v>
      </c>
      <c r="D30" s="27">
        <f>+D27-D29</f>
        <v>367132</v>
      </c>
      <c r="G30" s="11"/>
    </row>
    <row r="31" spans="1:12">
      <c r="G31" s="11"/>
      <c r="I31" s="11"/>
    </row>
    <row r="33" spans="1:4">
      <c r="A33" s="28" t="s">
        <v>67</v>
      </c>
      <c r="B33" s="28"/>
    </row>
    <row r="34" spans="1:4">
      <c r="A34" t="s">
        <v>68</v>
      </c>
      <c r="D34" s="10">
        <f>+'NMTC Fee Income'!C9+8000000</f>
        <v>21525699</v>
      </c>
    </row>
    <row r="35" spans="1:4">
      <c r="A35" t="s">
        <v>69</v>
      </c>
      <c r="D35" s="10">
        <f>+'NMTC Fee Income'!B9+1339020</f>
        <v>3265237</v>
      </c>
    </row>
    <row r="36" spans="1:4" ht="15.75" thickBot="1">
      <c r="C36" t="s">
        <v>4</v>
      </c>
      <c r="D36" s="29">
        <f>+D35+D34</f>
        <v>24790936</v>
      </c>
    </row>
    <row r="37" spans="1:4" ht="15.75" thickTop="1"/>
    <row r="38" spans="1:4">
      <c r="A38" t="s">
        <v>70</v>
      </c>
      <c r="D38" s="30">
        <f>+L27</f>
        <v>28454002</v>
      </c>
    </row>
    <row r="40" spans="1:4" ht="15.75" thickBot="1">
      <c r="A40" t="s">
        <v>71</v>
      </c>
      <c r="D40" s="29">
        <f>+D36+D38</f>
        <v>53244938</v>
      </c>
    </row>
    <row r="41" spans="1:4" ht="15.75" thickTop="1"/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NMTC Fees Transferred</vt:lpstr>
      <vt:lpstr>NMTC Fee Income</vt:lpstr>
      <vt:lpstr>2011 Budget</vt:lpstr>
      <vt:lpstr>Forecast</vt:lpstr>
    </vt:vector>
  </TitlesOfParts>
  <Company>Boston Community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emgautieri</dc:creator>
  <cp:lastModifiedBy>E. Matthew Gautieri</cp:lastModifiedBy>
  <cp:lastPrinted>2011-03-03T18:23:53Z</cp:lastPrinted>
  <dcterms:created xsi:type="dcterms:W3CDTF">2010-06-15T18:42:17Z</dcterms:created>
  <dcterms:modified xsi:type="dcterms:W3CDTF">2011-08-17T21:18:21Z</dcterms:modified>
</cp:coreProperties>
</file>