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workbookProtection workbookPassword="E207" lockStructure="1"/>
  <bookViews>
    <workbookView xWindow="120" yWindow="390" windowWidth="15600" windowHeight="11325" tabRatio="513"/>
  </bookViews>
  <sheets>
    <sheet name="STATUS_REPORT" sheetId="25" r:id="rId1"/>
    <sheet name="Feriados" sheetId="2" state="hidden" r:id="rId2"/>
    <sheet name="Base dados pizza" sheetId="31" state="hidden" r:id="rId3"/>
    <sheet name="LISTA DE RISCOS" sheetId="33" r:id="rId4"/>
  </sheets>
  <externalReferences>
    <externalReference r:id="rId5"/>
  </externalReferences>
  <definedNames>
    <definedName name="_xlnm._FilterDatabase" localSheetId="3" hidden="1">'LISTA DE RISCOS'!$A$4:$Z$9</definedName>
    <definedName name="_xlnm._FilterDatabase" localSheetId="0" hidden="1">STATUS_REPORT!$C$18:$P$23</definedName>
    <definedName name="_xlnm.Print_Area" localSheetId="3">'LISTA DE RISCOS'!$A$1:$Z$29</definedName>
    <definedName name="_xlnm.Print_Area" localSheetId="0">STATUS_REPORT!$A$1:$Q$133</definedName>
    <definedName name="Risco_categ_1" localSheetId="3">[1]CONFIG!$A$2:$A$19</definedName>
    <definedName name="Risco_categ_1">[1]CONFIG!$A$2:$A$19</definedName>
    <definedName name="Risco_categ_2" localSheetId="3">[1]CONFIG!$B$2:$B$5</definedName>
    <definedName name="Risco_categ_2">[1]CONFIG!$B$2:$B$5</definedName>
  </definedNames>
  <calcPr calcId="145621"/>
</workbook>
</file>

<file path=xl/calcChain.xml><?xml version="1.0" encoding="utf-8"?>
<calcChain xmlns="http://schemas.openxmlformats.org/spreadsheetml/2006/main">
  <c r="L131" i="25" l="1"/>
  <c r="I131" i="25"/>
  <c r="H131" i="25" s="1"/>
  <c r="L130" i="25"/>
  <c r="I130" i="25"/>
  <c r="H130" i="25" s="1"/>
  <c r="L129" i="25"/>
  <c r="I129" i="25"/>
  <c r="H129" i="25" s="1"/>
  <c r="L128" i="25"/>
  <c r="I128" i="25"/>
  <c r="H128" i="25" s="1"/>
  <c r="L125" i="25"/>
  <c r="I125" i="25"/>
  <c r="H125" i="25" s="1"/>
  <c r="L124" i="25"/>
  <c r="I124" i="25"/>
  <c r="H124" i="25" s="1"/>
  <c r="L123" i="25"/>
  <c r="I123" i="25"/>
  <c r="H123" i="25" s="1"/>
  <c r="L122" i="25"/>
  <c r="I122" i="25"/>
  <c r="H122" i="25" s="1"/>
  <c r="L119" i="25"/>
  <c r="I119" i="25"/>
  <c r="H119" i="25" s="1"/>
  <c r="L118" i="25"/>
  <c r="I118" i="25"/>
  <c r="H118" i="25" s="1"/>
  <c r="L117" i="25"/>
  <c r="I117" i="25"/>
  <c r="H117" i="25" s="1"/>
  <c r="L116" i="25"/>
  <c r="I116" i="25"/>
  <c r="H116" i="25" s="1"/>
  <c r="L113" i="25"/>
  <c r="I113" i="25"/>
  <c r="H113" i="25" s="1"/>
  <c r="L112" i="25"/>
  <c r="I112" i="25"/>
  <c r="H112" i="25"/>
  <c r="L111" i="25"/>
  <c r="I111" i="25"/>
  <c r="H111" i="25" s="1"/>
  <c r="L110" i="25"/>
  <c r="I110" i="25"/>
  <c r="H110" i="25" s="1"/>
  <c r="L107" i="25"/>
  <c r="I107" i="25"/>
  <c r="H107" i="25"/>
  <c r="L106" i="25"/>
  <c r="I106" i="25"/>
  <c r="H106" i="25"/>
  <c r="L105" i="25"/>
  <c r="I105" i="25"/>
  <c r="H105" i="25" s="1"/>
  <c r="L104" i="25"/>
  <c r="I104" i="25"/>
  <c r="H104" i="25" s="1"/>
  <c r="L101" i="25"/>
  <c r="I101" i="25"/>
  <c r="H101" i="25"/>
  <c r="L100" i="25"/>
  <c r="I100" i="25"/>
  <c r="H100" i="25" s="1"/>
  <c r="L99" i="25"/>
  <c r="I99" i="25"/>
  <c r="H99" i="25" s="1"/>
  <c r="L98" i="25"/>
  <c r="I98" i="25"/>
  <c r="H98" i="25" s="1"/>
  <c r="L95" i="25"/>
  <c r="I95" i="25"/>
  <c r="H95" i="25" s="1"/>
  <c r="L94" i="25"/>
  <c r="I94" i="25"/>
  <c r="H94" i="25" s="1"/>
  <c r="L93" i="25"/>
  <c r="I93" i="25"/>
  <c r="H93" i="25"/>
  <c r="L92" i="25"/>
  <c r="I92" i="25"/>
  <c r="H92" i="25" s="1"/>
  <c r="L89" i="25"/>
  <c r="I89" i="25"/>
  <c r="H89" i="25" s="1"/>
  <c r="L88" i="25"/>
  <c r="I88" i="25"/>
  <c r="H88" i="25" s="1"/>
  <c r="L87" i="25"/>
  <c r="I87" i="25"/>
  <c r="H87" i="25" s="1"/>
  <c r="L86" i="25"/>
  <c r="I86" i="25"/>
  <c r="H86" i="25" s="1"/>
  <c r="L83" i="25"/>
  <c r="I83" i="25"/>
  <c r="H83" i="25" s="1"/>
  <c r="L82" i="25"/>
  <c r="I82" i="25"/>
  <c r="H82" i="25" s="1"/>
  <c r="L81" i="25"/>
  <c r="I81" i="25"/>
  <c r="H81" i="25" s="1"/>
  <c r="L80" i="25"/>
  <c r="I80" i="25"/>
  <c r="H80" i="25" s="1"/>
  <c r="L77" i="25"/>
  <c r="I77" i="25"/>
  <c r="H77" i="25" s="1"/>
  <c r="L76" i="25"/>
  <c r="I76" i="25"/>
  <c r="H76" i="25" s="1"/>
  <c r="L75" i="25"/>
  <c r="I75" i="25"/>
  <c r="H75" i="25" s="1"/>
  <c r="L74" i="25"/>
  <c r="I74" i="25"/>
  <c r="H74" i="25" s="1"/>
  <c r="L71" i="25"/>
  <c r="I71" i="25"/>
  <c r="H71" i="25" s="1"/>
  <c r="L70" i="25"/>
  <c r="I70" i="25"/>
  <c r="H70" i="25" s="1"/>
  <c r="L69" i="25"/>
  <c r="I69" i="25"/>
  <c r="H69" i="25" s="1"/>
  <c r="L68" i="25"/>
  <c r="I68" i="25"/>
  <c r="H68" i="25" s="1"/>
  <c r="L65" i="25"/>
  <c r="I65" i="25"/>
  <c r="H65" i="25" s="1"/>
  <c r="L64" i="25"/>
  <c r="I64" i="25"/>
  <c r="H64" i="25" s="1"/>
  <c r="L63" i="25"/>
  <c r="I63" i="25"/>
  <c r="H63" i="25" s="1"/>
  <c r="L62" i="25"/>
  <c r="I62" i="25"/>
  <c r="H62" i="25" s="1"/>
  <c r="L59" i="25"/>
  <c r="I59" i="25"/>
  <c r="H59" i="25" s="1"/>
  <c r="L58" i="25"/>
  <c r="I58" i="25"/>
  <c r="H58" i="25"/>
  <c r="L57" i="25"/>
  <c r="I57" i="25"/>
  <c r="H57" i="25" s="1"/>
  <c r="L56" i="25"/>
  <c r="I56" i="25"/>
  <c r="H56" i="25" s="1"/>
  <c r="L53" i="25"/>
  <c r="I53" i="25"/>
  <c r="H53" i="25" s="1"/>
  <c r="L52" i="25"/>
  <c r="I52" i="25"/>
  <c r="H52" i="25" s="1"/>
  <c r="L51" i="25"/>
  <c r="I51" i="25"/>
  <c r="H51" i="25" s="1"/>
  <c r="L50" i="25"/>
  <c r="I50" i="25"/>
  <c r="H50" i="25" s="1"/>
  <c r="L47" i="25"/>
  <c r="I47" i="25"/>
  <c r="H47" i="25" s="1"/>
  <c r="L46" i="25"/>
  <c r="I46" i="25"/>
  <c r="H46" i="25" s="1"/>
  <c r="L45" i="25"/>
  <c r="I45" i="25"/>
  <c r="H45" i="25" s="1"/>
  <c r="L44" i="25"/>
  <c r="I44" i="25"/>
  <c r="H44" i="25" s="1"/>
  <c r="L41" i="25"/>
  <c r="I41" i="25"/>
  <c r="H41" i="25" s="1"/>
  <c r="L40" i="25"/>
  <c r="I40" i="25"/>
  <c r="H40" i="25" s="1"/>
  <c r="L39" i="25"/>
  <c r="I39" i="25"/>
  <c r="H39" i="25"/>
  <c r="L38" i="25"/>
  <c r="I38" i="25"/>
  <c r="H38" i="25" s="1"/>
  <c r="L35" i="25"/>
  <c r="I35" i="25"/>
  <c r="H35" i="25" s="1"/>
  <c r="L34" i="25"/>
  <c r="I34" i="25"/>
  <c r="H34" i="25" s="1"/>
  <c r="L33" i="25"/>
  <c r="I33" i="25"/>
  <c r="H33" i="25" s="1"/>
  <c r="L32" i="25"/>
  <c r="I32" i="25"/>
  <c r="H32" i="25" s="1"/>
  <c r="L29" i="25"/>
  <c r="I29" i="25"/>
  <c r="H29" i="25" s="1"/>
  <c r="L28" i="25"/>
  <c r="I28" i="25"/>
  <c r="H28" i="25" s="1"/>
  <c r="L27" i="25"/>
  <c r="I27" i="25"/>
  <c r="H27" i="25"/>
  <c r="L26" i="25"/>
  <c r="I26" i="25"/>
  <c r="H26" i="25" s="1"/>
  <c r="I20" i="25" l="1"/>
  <c r="H20" i="25" s="1"/>
  <c r="L20" i="25"/>
  <c r="I21" i="25"/>
  <c r="H21" i="25" s="1"/>
  <c r="L21" i="25"/>
  <c r="I22" i="25"/>
  <c r="H22" i="25" s="1"/>
  <c r="L22" i="25"/>
  <c r="I23" i="25"/>
  <c r="H23" i="25" s="1"/>
  <c r="L23" i="25"/>
  <c r="O3" i="25" l="1"/>
  <c r="T29" i="33" l="1"/>
  <c r="R29" i="33"/>
  <c r="P29" i="33"/>
  <c r="N29" i="33"/>
  <c r="U29" i="33" s="1"/>
  <c r="V29" i="33" s="1"/>
  <c r="L29" i="33"/>
  <c r="J29" i="33"/>
  <c r="I29" i="33"/>
  <c r="H29" i="33" s="1"/>
  <c r="G29" i="33" s="1"/>
  <c r="T28" i="33"/>
  <c r="R28" i="33"/>
  <c r="P28" i="33"/>
  <c r="N28" i="33"/>
  <c r="U28" i="33" s="1"/>
  <c r="L28" i="33"/>
  <c r="J28" i="33"/>
  <c r="I28" i="33"/>
  <c r="H28" i="33"/>
  <c r="G28" i="33" s="1"/>
  <c r="T27" i="33"/>
  <c r="R27" i="33"/>
  <c r="P27" i="33"/>
  <c r="N27" i="33"/>
  <c r="U27" i="33" s="1"/>
  <c r="L27" i="33"/>
  <c r="J27" i="33"/>
  <c r="H27" i="33" s="1"/>
  <c r="G27" i="33" s="1"/>
  <c r="I27" i="33"/>
  <c r="T26" i="33"/>
  <c r="R26" i="33"/>
  <c r="P26" i="33"/>
  <c r="N26" i="33"/>
  <c r="U26" i="33" s="1"/>
  <c r="V26" i="33" s="1"/>
  <c r="L26" i="33"/>
  <c r="J26" i="33"/>
  <c r="I26" i="33"/>
  <c r="H26" i="33" s="1"/>
  <c r="G26" i="33" s="1"/>
  <c r="T25" i="33"/>
  <c r="R25" i="33"/>
  <c r="P25" i="33"/>
  <c r="N25" i="33"/>
  <c r="U25" i="33" s="1"/>
  <c r="V25" i="33" s="1"/>
  <c r="L25" i="33"/>
  <c r="J25" i="33"/>
  <c r="I25" i="33"/>
  <c r="H25" i="33" s="1"/>
  <c r="G25" i="33" s="1"/>
  <c r="T24" i="33"/>
  <c r="R24" i="33"/>
  <c r="P24" i="33"/>
  <c r="N24" i="33"/>
  <c r="U24" i="33" s="1"/>
  <c r="L24" i="33"/>
  <c r="V24" i="33" s="1"/>
  <c r="J24" i="33"/>
  <c r="I24" i="33"/>
  <c r="H24" i="33"/>
  <c r="G24" i="33" s="1"/>
  <c r="T23" i="33"/>
  <c r="R23" i="33"/>
  <c r="P23" i="33"/>
  <c r="N23" i="33"/>
  <c r="U23" i="33" s="1"/>
  <c r="L23" i="33"/>
  <c r="V23" i="33" s="1"/>
  <c r="J23" i="33"/>
  <c r="H23" i="33" s="1"/>
  <c r="G23" i="33" s="1"/>
  <c r="I23" i="33"/>
  <c r="T22" i="33"/>
  <c r="R22" i="33"/>
  <c r="P22" i="33"/>
  <c r="N22" i="33"/>
  <c r="U22" i="33" s="1"/>
  <c r="V22" i="33" s="1"/>
  <c r="L22" i="33"/>
  <c r="J22" i="33"/>
  <c r="I22" i="33"/>
  <c r="H22" i="33" s="1"/>
  <c r="G22" i="33" s="1"/>
  <c r="T21" i="33"/>
  <c r="R21" i="33"/>
  <c r="P21" i="33"/>
  <c r="N21" i="33"/>
  <c r="U21" i="33" s="1"/>
  <c r="V21" i="33" s="1"/>
  <c r="L21" i="33"/>
  <c r="J21" i="33"/>
  <c r="I21" i="33"/>
  <c r="H21" i="33" s="1"/>
  <c r="G21" i="33" s="1"/>
  <c r="T20" i="33"/>
  <c r="R20" i="33"/>
  <c r="P20" i="33"/>
  <c r="N20" i="33"/>
  <c r="U20" i="33" s="1"/>
  <c r="L20" i="33"/>
  <c r="V20" i="33" s="1"/>
  <c r="J20" i="33"/>
  <c r="I20" i="33"/>
  <c r="H20" i="33"/>
  <c r="G20" i="33" s="1"/>
  <c r="T19" i="33"/>
  <c r="R19" i="33"/>
  <c r="P19" i="33"/>
  <c r="N19" i="33"/>
  <c r="U19" i="33" s="1"/>
  <c r="L19" i="33"/>
  <c r="V19" i="33" s="1"/>
  <c r="J19" i="33"/>
  <c r="H19" i="33" s="1"/>
  <c r="G19" i="33" s="1"/>
  <c r="I19" i="33"/>
  <c r="T18" i="33"/>
  <c r="R18" i="33"/>
  <c r="P18" i="33"/>
  <c r="N18" i="33"/>
  <c r="U18" i="33" s="1"/>
  <c r="V18" i="33" s="1"/>
  <c r="L18" i="33"/>
  <c r="J18" i="33"/>
  <c r="I18" i="33"/>
  <c r="H18" i="33" s="1"/>
  <c r="G18" i="33" s="1"/>
  <c r="T17" i="33"/>
  <c r="R17" i="33"/>
  <c r="P17" i="33"/>
  <c r="N17" i="33"/>
  <c r="U17" i="33" s="1"/>
  <c r="V17" i="33" s="1"/>
  <c r="L17" i="33"/>
  <c r="J17" i="33"/>
  <c r="I17" i="33"/>
  <c r="H17" i="33" s="1"/>
  <c r="G17" i="33" s="1"/>
  <c r="T16" i="33"/>
  <c r="R16" i="33"/>
  <c r="P16" i="33"/>
  <c r="N16" i="33"/>
  <c r="U16" i="33" s="1"/>
  <c r="L16" i="33"/>
  <c r="V16" i="33" s="1"/>
  <c r="J16" i="33"/>
  <c r="I16" i="33"/>
  <c r="H16" i="33"/>
  <c r="G16" i="33" s="1"/>
  <c r="T15" i="33"/>
  <c r="R15" i="33"/>
  <c r="P15" i="33"/>
  <c r="N15" i="33"/>
  <c r="U15" i="33" s="1"/>
  <c r="L15" i="33"/>
  <c r="V15" i="33" s="1"/>
  <c r="J15" i="33"/>
  <c r="H15" i="33" s="1"/>
  <c r="G15" i="33" s="1"/>
  <c r="I15" i="33"/>
  <c r="T14" i="33"/>
  <c r="R14" i="33"/>
  <c r="P14" i="33"/>
  <c r="N14" i="33"/>
  <c r="U14" i="33" s="1"/>
  <c r="V14" i="33" s="1"/>
  <c r="L14" i="33"/>
  <c r="J14" i="33"/>
  <c r="I14" i="33"/>
  <c r="H14" i="33" s="1"/>
  <c r="G14" i="33" s="1"/>
  <c r="T13" i="33"/>
  <c r="R13" i="33"/>
  <c r="P13" i="33"/>
  <c r="N13" i="33"/>
  <c r="U13" i="33" s="1"/>
  <c r="V13" i="33" s="1"/>
  <c r="L13" i="33"/>
  <c r="J13" i="33"/>
  <c r="I13" i="33"/>
  <c r="H13" i="33" s="1"/>
  <c r="G13" i="33" s="1"/>
  <c r="T12" i="33"/>
  <c r="R12" i="33"/>
  <c r="P12" i="33"/>
  <c r="N12" i="33"/>
  <c r="U12" i="33" s="1"/>
  <c r="L12" i="33"/>
  <c r="J12" i="33"/>
  <c r="I12" i="33"/>
  <c r="H12" i="33"/>
  <c r="G12" i="33" s="1"/>
  <c r="T11" i="33"/>
  <c r="R11" i="33"/>
  <c r="P11" i="33"/>
  <c r="N11" i="33"/>
  <c r="U11" i="33" s="1"/>
  <c r="L11" i="33"/>
  <c r="J11" i="33"/>
  <c r="H11" i="33" s="1"/>
  <c r="G11" i="33" s="1"/>
  <c r="I11" i="33"/>
  <c r="T10" i="33"/>
  <c r="R10" i="33"/>
  <c r="P10" i="33"/>
  <c r="N10" i="33"/>
  <c r="U10" i="33" s="1"/>
  <c r="V10" i="33" s="1"/>
  <c r="L10" i="33"/>
  <c r="J10" i="33"/>
  <c r="I10" i="33"/>
  <c r="H10" i="33" s="1"/>
  <c r="G10" i="33" s="1"/>
  <c r="T9" i="33"/>
  <c r="R9" i="33"/>
  <c r="P9" i="33"/>
  <c r="N9" i="33"/>
  <c r="U9" i="33" s="1"/>
  <c r="V9" i="33" s="1"/>
  <c r="L9" i="33"/>
  <c r="J9" i="33"/>
  <c r="I9" i="33"/>
  <c r="H9" i="33" s="1"/>
  <c r="G9" i="33" s="1"/>
  <c r="U8" i="33"/>
  <c r="T8" i="33"/>
  <c r="R8" i="33"/>
  <c r="P8" i="33"/>
  <c r="N8" i="33"/>
  <c r="L8" i="33"/>
  <c r="V8" i="33" s="1"/>
  <c r="J8" i="33"/>
  <c r="I8" i="33"/>
  <c r="H8" i="33"/>
  <c r="G8" i="33" s="1"/>
  <c r="T7" i="33"/>
  <c r="R7" i="33"/>
  <c r="P7" i="33"/>
  <c r="N7" i="33"/>
  <c r="U7" i="33" s="1"/>
  <c r="L7" i="33"/>
  <c r="V7" i="33" s="1"/>
  <c r="J7" i="33"/>
  <c r="H7" i="33" s="1"/>
  <c r="G7" i="33" s="1"/>
  <c r="I7" i="33"/>
  <c r="T6" i="33"/>
  <c r="R6" i="33"/>
  <c r="P6" i="33"/>
  <c r="N6" i="33"/>
  <c r="U6" i="33" s="1"/>
  <c r="V6" i="33" s="1"/>
  <c r="L6" i="33"/>
  <c r="J6" i="33"/>
  <c r="I6" i="33"/>
  <c r="H6" i="33" s="1"/>
  <c r="G6" i="33" s="1"/>
  <c r="T5" i="33"/>
  <c r="R5" i="33"/>
  <c r="P5" i="33"/>
  <c r="N5" i="33"/>
  <c r="U5" i="33" s="1"/>
  <c r="V5" i="33" s="1"/>
  <c r="L5" i="33"/>
  <c r="J5" i="33"/>
  <c r="I5" i="33"/>
  <c r="H5" i="33" s="1"/>
  <c r="G5" i="33" s="1"/>
  <c r="V11" i="33" l="1"/>
  <c r="V12" i="33"/>
  <c r="V27" i="33"/>
  <c r="V28" i="33"/>
  <c r="N5" i="31" l="1"/>
  <c r="N4" i="31"/>
  <c r="N6" i="31" s="1"/>
  <c r="G4" i="31"/>
  <c r="G3" i="31"/>
  <c r="C3" i="31"/>
  <c r="N7" i="31" l="1"/>
  <c r="N3" i="25" l="1"/>
  <c r="M128" i="25" l="1"/>
  <c r="K128" i="25" s="1"/>
  <c r="J128" i="25" s="1"/>
  <c r="N128" i="25" s="1"/>
  <c r="M129" i="25"/>
  <c r="K129" i="25" s="1"/>
  <c r="J129" i="25" s="1"/>
  <c r="N129" i="25" s="1"/>
  <c r="M130" i="25"/>
  <c r="K130" i="25" s="1"/>
  <c r="J130" i="25" s="1"/>
  <c r="N130" i="25" s="1"/>
  <c r="M131" i="25"/>
  <c r="K131" i="25" s="1"/>
  <c r="J131" i="25" s="1"/>
  <c r="N131" i="25" s="1"/>
  <c r="M122" i="25"/>
  <c r="K122" i="25" s="1"/>
  <c r="J122" i="25" s="1"/>
  <c r="N122" i="25" s="1"/>
  <c r="M123" i="25"/>
  <c r="K123" i="25" s="1"/>
  <c r="J123" i="25" s="1"/>
  <c r="N123" i="25" s="1"/>
  <c r="M124" i="25"/>
  <c r="K124" i="25" s="1"/>
  <c r="J124" i="25" s="1"/>
  <c r="N124" i="25" s="1"/>
  <c r="M125" i="25"/>
  <c r="K125" i="25" s="1"/>
  <c r="J125" i="25" s="1"/>
  <c r="N125" i="25" s="1"/>
  <c r="M118" i="25"/>
  <c r="K118" i="25" s="1"/>
  <c r="J118" i="25" s="1"/>
  <c r="N118" i="25" s="1"/>
  <c r="M116" i="25"/>
  <c r="K116" i="25" s="1"/>
  <c r="J116" i="25" s="1"/>
  <c r="N116" i="25" s="1"/>
  <c r="M119" i="25"/>
  <c r="K119" i="25" s="1"/>
  <c r="J119" i="25" s="1"/>
  <c r="N119" i="25" s="1"/>
  <c r="M117" i="25"/>
  <c r="K117" i="25" s="1"/>
  <c r="J117" i="25" s="1"/>
  <c r="N117" i="25" s="1"/>
  <c r="M110" i="25"/>
  <c r="K110" i="25" s="1"/>
  <c r="J110" i="25" s="1"/>
  <c r="N110" i="25" s="1"/>
  <c r="M111" i="25"/>
  <c r="K111" i="25" s="1"/>
  <c r="J111" i="25" s="1"/>
  <c r="N111" i="25" s="1"/>
  <c r="M112" i="25"/>
  <c r="K112" i="25" s="1"/>
  <c r="J112" i="25" s="1"/>
  <c r="N112" i="25" s="1"/>
  <c r="M113" i="25"/>
  <c r="K113" i="25" s="1"/>
  <c r="J113" i="25" s="1"/>
  <c r="N113" i="25" s="1"/>
  <c r="M106" i="25"/>
  <c r="K106" i="25" s="1"/>
  <c r="J106" i="25" s="1"/>
  <c r="N106" i="25" s="1"/>
  <c r="M107" i="25"/>
  <c r="K107" i="25" s="1"/>
  <c r="J107" i="25" s="1"/>
  <c r="N107" i="25" s="1"/>
  <c r="M105" i="25"/>
  <c r="K105" i="25" s="1"/>
  <c r="J105" i="25" s="1"/>
  <c r="N105" i="25" s="1"/>
  <c r="M104" i="25"/>
  <c r="K104" i="25" s="1"/>
  <c r="J104" i="25" s="1"/>
  <c r="N104" i="25" s="1"/>
  <c r="M100" i="25"/>
  <c r="K100" i="25" s="1"/>
  <c r="J100" i="25" s="1"/>
  <c r="N100" i="25" s="1"/>
  <c r="M101" i="25"/>
  <c r="K101" i="25" s="1"/>
  <c r="J101" i="25" s="1"/>
  <c r="N101" i="25" s="1"/>
  <c r="M99" i="25"/>
  <c r="K99" i="25" s="1"/>
  <c r="J99" i="25" s="1"/>
  <c r="N99" i="25" s="1"/>
  <c r="M98" i="25"/>
  <c r="K98" i="25" s="1"/>
  <c r="J98" i="25" s="1"/>
  <c r="N98" i="25" s="1"/>
  <c r="M94" i="25"/>
  <c r="K94" i="25" s="1"/>
  <c r="J94" i="25" s="1"/>
  <c r="N94" i="25" s="1"/>
  <c r="M95" i="25"/>
  <c r="K95" i="25" s="1"/>
  <c r="J95" i="25" s="1"/>
  <c r="N95" i="25" s="1"/>
  <c r="M92" i="25"/>
  <c r="K92" i="25" s="1"/>
  <c r="J92" i="25" s="1"/>
  <c r="N92" i="25" s="1"/>
  <c r="M93" i="25"/>
  <c r="K93" i="25" s="1"/>
  <c r="J93" i="25" s="1"/>
  <c r="N93" i="25" s="1"/>
  <c r="M88" i="25"/>
  <c r="K88" i="25" s="1"/>
  <c r="J88" i="25" s="1"/>
  <c r="N88" i="25" s="1"/>
  <c r="M89" i="25"/>
  <c r="K89" i="25" s="1"/>
  <c r="J89" i="25" s="1"/>
  <c r="N89" i="25" s="1"/>
  <c r="M87" i="25"/>
  <c r="K87" i="25" s="1"/>
  <c r="J87" i="25" s="1"/>
  <c r="N87" i="25" s="1"/>
  <c r="M86" i="25"/>
  <c r="K86" i="25" s="1"/>
  <c r="J86" i="25" s="1"/>
  <c r="N86" i="25" s="1"/>
  <c r="M82" i="25"/>
  <c r="K82" i="25" s="1"/>
  <c r="J82" i="25" s="1"/>
  <c r="N82" i="25" s="1"/>
  <c r="M83" i="25"/>
  <c r="K83" i="25" s="1"/>
  <c r="J83" i="25" s="1"/>
  <c r="N83" i="25" s="1"/>
  <c r="M80" i="25"/>
  <c r="K80" i="25" s="1"/>
  <c r="J80" i="25" s="1"/>
  <c r="N80" i="25" s="1"/>
  <c r="M81" i="25"/>
  <c r="K81" i="25" s="1"/>
  <c r="J81" i="25" s="1"/>
  <c r="N81" i="25" s="1"/>
  <c r="M74" i="25"/>
  <c r="K74" i="25" s="1"/>
  <c r="J74" i="25" s="1"/>
  <c r="N74" i="25" s="1"/>
  <c r="M76" i="25"/>
  <c r="K76" i="25" s="1"/>
  <c r="J76" i="25" s="1"/>
  <c r="N76" i="25" s="1"/>
  <c r="M77" i="25"/>
  <c r="K77" i="25" s="1"/>
  <c r="J77" i="25" s="1"/>
  <c r="N77" i="25" s="1"/>
  <c r="M75" i="25"/>
  <c r="K75" i="25" s="1"/>
  <c r="J75" i="25" s="1"/>
  <c r="N75" i="25" s="1"/>
  <c r="M70" i="25"/>
  <c r="K70" i="25" s="1"/>
  <c r="J70" i="25" s="1"/>
  <c r="N70" i="25" s="1"/>
  <c r="M69" i="25"/>
  <c r="K69" i="25" s="1"/>
  <c r="J69" i="25" s="1"/>
  <c r="N69" i="25" s="1"/>
  <c r="M71" i="25"/>
  <c r="K71" i="25" s="1"/>
  <c r="J71" i="25" s="1"/>
  <c r="N71" i="25" s="1"/>
  <c r="M68" i="25"/>
  <c r="K68" i="25" s="1"/>
  <c r="J68" i="25" s="1"/>
  <c r="N68" i="25" s="1"/>
  <c r="M64" i="25"/>
  <c r="K64" i="25" s="1"/>
  <c r="J64" i="25" s="1"/>
  <c r="N64" i="25" s="1"/>
  <c r="M62" i="25"/>
  <c r="K62" i="25" s="1"/>
  <c r="J62" i="25" s="1"/>
  <c r="N62" i="25" s="1"/>
  <c r="M65" i="25"/>
  <c r="K65" i="25" s="1"/>
  <c r="J65" i="25" s="1"/>
  <c r="N65" i="25" s="1"/>
  <c r="M63" i="25"/>
  <c r="K63" i="25" s="1"/>
  <c r="J63" i="25" s="1"/>
  <c r="N63" i="25" s="1"/>
  <c r="M58" i="25"/>
  <c r="K58" i="25" s="1"/>
  <c r="J58" i="25" s="1"/>
  <c r="N58" i="25" s="1"/>
  <c r="M57" i="25"/>
  <c r="K57" i="25" s="1"/>
  <c r="J57" i="25" s="1"/>
  <c r="N57" i="25" s="1"/>
  <c r="M59" i="25"/>
  <c r="K59" i="25" s="1"/>
  <c r="J59" i="25" s="1"/>
  <c r="N59" i="25" s="1"/>
  <c r="M56" i="25"/>
  <c r="K56" i="25" s="1"/>
  <c r="J56" i="25" s="1"/>
  <c r="N56" i="25" s="1"/>
  <c r="M51" i="25"/>
  <c r="K51" i="25" s="1"/>
  <c r="J51" i="25" s="1"/>
  <c r="N51" i="25" s="1"/>
  <c r="M52" i="25"/>
  <c r="K52" i="25" s="1"/>
  <c r="J52" i="25" s="1"/>
  <c r="N52" i="25" s="1"/>
  <c r="M53" i="25"/>
  <c r="K53" i="25" s="1"/>
  <c r="J53" i="25" s="1"/>
  <c r="N53" i="25" s="1"/>
  <c r="M50" i="25"/>
  <c r="K50" i="25" s="1"/>
  <c r="J50" i="25" s="1"/>
  <c r="N50" i="25" s="1"/>
  <c r="M46" i="25"/>
  <c r="K46" i="25" s="1"/>
  <c r="J46" i="25" s="1"/>
  <c r="N46" i="25" s="1"/>
  <c r="M47" i="25"/>
  <c r="K47" i="25" s="1"/>
  <c r="J47" i="25" s="1"/>
  <c r="N47" i="25" s="1"/>
  <c r="M45" i="25"/>
  <c r="K45" i="25" s="1"/>
  <c r="J45" i="25" s="1"/>
  <c r="N45" i="25" s="1"/>
  <c r="M44" i="25"/>
  <c r="K44" i="25" s="1"/>
  <c r="J44" i="25" s="1"/>
  <c r="N44" i="25" s="1"/>
  <c r="M40" i="25"/>
  <c r="K40" i="25" s="1"/>
  <c r="J40" i="25" s="1"/>
  <c r="N40" i="25" s="1"/>
  <c r="M39" i="25"/>
  <c r="K39" i="25" s="1"/>
  <c r="J39" i="25" s="1"/>
  <c r="N39" i="25" s="1"/>
  <c r="M41" i="25"/>
  <c r="K41" i="25" s="1"/>
  <c r="J41" i="25" s="1"/>
  <c r="N41" i="25" s="1"/>
  <c r="M38" i="25"/>
  <c r="K38" i="25" s="1"/>
  <c r="J38" i="25" s="1"/>
  <c r="N38" i="25" s="1"/>
  <c r="M34" i="25"/>
  <c r="K34" i="25" s="1"/>
  <c r="J34" i="25" s="1"/>
  <c r="N34" i="25" s="1"/>
  <c r="M33" i="25"/>
  <c r="K33" i="25" s="1"/>
  <c r="J33" i="25" s="1"/>
  <c r="N33" i="25" s="1"/>
  <c r="M35" i="25"/>
  <c r="K35" i="25" s="1"/>
  <c r="J35" i="25" s="1"/>
  <c r="N35" i="25" s="1"/>
  <c r="M32" i="25"/>
  <c r="K32" i="25" s="1"/>
  <c r="J32" i="25" s="1"/>
  <c r="N32" i="25" s="1"/>
  <c r="M28" i="25"/>
  <c r="K28" i="25" s="1"/>
  <c r="J28" i="25" s="1"/>
  <c r="N28" i="25" s="1"/>
  <c r="M27" i="25"/>
  <c r="K27" i="25" s="1"/>
  <c r="J27" i="25" s="1"/>
  <c r="N27" i="25" s="1"/>
  <c r="M29" i="25"/>
  <c r="K29" i="25" s="1"/>
  <c r="J29" i="25" s="1"/>
  <c r="N29" i="25" s="1"/>
  <c r="M26" i="25"/>
  <c r="K26" i="25" s="1"/>
  <c r="J26" i="25" s="1"/>
  <c r="N26" i="25" s="1"/>
  <c r="M23" i="25"/>
  <c r="K23" i="25" s="1"/>
  <c r="M22" i="25"/>
  <c r="K22" i="25" s="1"/>
  <c r="M21" i="25"/>
  <c r="K21" i="25" s="1"/>
  <c r="M20" i="25"/>
  <c r="K20" i="25" s="1"/>
  <c r="J21" i="25" l="1"/>
  <c r="N21" i="25" s="1"/>
  <c r="J20" i="25"/>
  <c r="N20" i="25" s="1"/>
  <c r="J22" i="25"/>
  <c r="N22" i="25" s="1"/>
  <c r="J23" i="25"/>
  <c r="N23" i="25" s="1"/>
  <c r="A3" i="31"/>
  <c r="B3" i="31" l="1"/>
  <c r="G9" i="25"/>
  <c r="N9" i="25"/>
  <c r="K9" i="25"/>
  <c r="P4" i="31" l="1"/>
  <c r="R5" i="31" s="1"/>
  <c r="F9" i="25"/>
  <c r="D3" i="31"/>
  <c r="S5" i="31" l="1"/>
  <c r="J3" i="31"/>
  <c r="K3" i="31" s="1"/>
  <c r="J5" i="31" l="1"/>
</calcChain>
</file>

<file path=xl/comments1.xml><?xml version="1.0" encoding="utf-8"?>
<comments xmlns="http://schemas.openxmlformats.org/spreadsheetml/2006/main">
  <authors>
    <author>root</author>
    <author>-Antonio-</author>
  </authors>
  <commentList>
    <comment ref="D3" authorId="0">
      <text>
        <r>
          <rPr>
            <sz val="9"/>
            <color indexed="81"/>
            <rFont val="Tahoma"/>
            <family val="2"/>
          </rPr>
          <t>Data em que a preocupação com o risco foi formalmente registrada em ata, e-mail, memorando etc.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Muito baixa:</t>
        </r>
        <r>
          <rPr>
            <sz val="9"/>
            <color indexed="81"/>
            <rFont val="Tahoma"/>
            <family val="2"/>
          </rPr>
          <t xml:space="preserve"> Baixíssima possibilidade de o evento ocorrer ou </t>
        </r>
        <r>
          <rPr>
            <b/>
            <sz val="9"/>
            <color indexed="81"/>
            <rFont val="Tahoma"/>
            <family val="2"/>
          </rPr>
          <t>improvável</t>
        </r>
        <r>
          <rPr>
            <sz val="9"/>
            <color indexed="81"/>
            <rFont val="Tahoma"/>
            <family val="2"/>
          </rPr>
          <t xml:space="preserve"> (em situações excepcionais, o evento poderá até ocorrer, mas nada nas circunstâncias indica essa possibilidade)..
</t>
        </r>
        <r>
          <rPr>
            <b/>
            <sz val="9"/>
            <color indexed="81"/>
            <rFont val="Tahoma"/>
            <family val="2"/>
          </rPr>
          <t xml:space="preserve">Baixa: </t>
        </r>
        <r>
          <rPr>
            <sz val="9"/>
            <color indexed="81"/>
            <rFont val="Tahoma"/>
            <family val="2"/>
          </rPr>
          <t xml:space="preserve">O evento ocorre </t>
        </r>
        <r>
          <rPr>
            <b/>
            <sz val="9"/>
            <color indexed="81"/>
            <rFont val="Tahoma"/>
            <family val="2"/>
          </rPr>
          <t>raramente</t>
        </r>
        <r>
          <rPr>
            <sz val="9"/>
            <color indexed="81"/>
            <rFont val="Tahoma"/>
            <family val="2"/>
          </rPr>
          <t xml:space="preserve"> (de forma inesperada ou casual, o evento poderá ocorrer, pois as circunstâncias pouco indicam essa possibilidade).
</t>
        </r>
        <r>
          <rPr>
            <b/>
            <sz val="9"/>
            <color indexed="81"/>
            <rFont val="Tahoma"/>
            <family val="2"/>
          </rPr>
          <t xml:space="preserve">Média: </t>
        </r>
        <r>
          <rPr>
            <sz val="9"/>
            <color indexed="81"/>
            <rFont val="Tahoma"/>
            <family val="2"/>
          </rPr>
          <t xml:space="preserve">O evento já ocorreu algumas vezes e pode voltar a ocorrer ou </t>
        </r>
        <r>
          <rPr>
            <b/>
            <sz val="9"/>
            <color indexed="81"/>
            <rFont val="Tahoma"/>
            <family val="2"/>
          </rPr>
          <t>possível</t>
        </r>
        <r>
          <rPr>
            <sz val="9"/>
            <color indexed="81"/>
            <rFont val="Tahoma"/>
            <family val="2"/>
          </rPr>
          <t xml:space="preserve"> (de alguma forma, o evento poderá ocorrer, pois as circunstâncias indicam moderadamente essa possibilidade).
</t>
        </r>
        <r>
          <rPr>
            <b/>
            <sz val="9"/>
            <color indexed="81"/>
            <rFont val="Tahoma"/>
            <family val="2"/>
          </rPr>
          <t xml:space="preserve">Alta: </t>
        </r>
        <r>
          <rPr>
            <sz val="9"/>
            <color indexed="81"/>
            <rFont val="Tahoma"/>
            <family val="2"/>
          </rPr>
          <t xml:space="preserve">O evento já ocorreu repetidas vezes e provavelmente voltará a ocorrer muitas vezes </t>
        </r>
        <r>
          <rPr>
            <b/>
            <sz val="9"/>
            <color indexed="81"/>
            <rFont val="Tahoma"/>
            <family val="2"/>
          </rPr>
          <t xml:space="preserve">ou provável </t>
        </r>
        <r>
          <rPr>
            <sz val="9"/>
            <color indexed="81"/>
            <rFont val="Tahoma"/>
            <family val="2"/>
          </rPr>
          <t>(de forma até esperada, o evento poderá ocorrer, pois as circunstâncias indicam fortemente essa possibilidade).</t>
        </r>
      </text>
    </comment>
    <comment ref="X3" authorId="0">
      <text>
        <r>
          <rPr>
            <b/>
            <sz val="10"/>
            <color indexed="81"/>
            <rFont val="Tahoma"/>
            <family val="2"/>
          </rPr>
          <t>Tipos de Resposta (conforme Manual de Gestão de Riscos do INPI)</t>
        </r>
        <r>
          <rPr>
            <sz val="10"/>
            <color indexed="81"/>
            <rFont val="Tahoma"/>
            <family val="2"/>
          </rPr>
          <t xml:space="preserve">
- Evitar
- Transferir
- Mitigar
- Aceitar
OBS: Para maiores detalhes sobre cada tipo de resposta, consultar o Manual de Gestão de Riscos do INPI.</t>
        </r>
      </text>
    </comment>
    <comment ref="Y3" authorId="1">
      <text>
        <r>
          <rPr>
            <sz val="10"/>
            <color indexed="81"/>
            <rFont val="Tahoma"/>
            <family val="2"/>
          </rPr>
          <t>Descreva o plano ou ação prévia (contenção) para solucionar ou minimizar a chance/impacto do risco ou a ação remediadora (contingência) para lidar com seus efeitos.</t>
        </r>
      </text>
    </comment>
    <comment ref="Z3" authorId="1">
      <text>
        <r>
          <rPr>
            <sz val="11"/>
            <color indexed="81"/>
            <rFont val="Tahoma"/>
            <family val="2"/>
          </rPr>
          <t>Unidade da Equipe Técnica que definirá ou relatará o status da ação de resposta.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Redução de escopo pouco perceptível.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Áreas secundárias do escopo são afetadas.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 xml:space="preserve">Áreas principais do escopo são afetadas.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Redução de escopo inaceitável para o Dirigente do Projeto ou as principais partes interessadas.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Desvio insignificante no cronograma.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Desvio no cronograma &lt;5%.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 xml:space="preserve">Desvio no cronograma de 5 a 10%.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Desvio no cronograma de 10 a 20%.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Redução de qualidade quase imperceptível.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Aspectos ou componentes da(s) entrega(s) afetada(s) é/são secundários ou impacto é tolerável.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 xml:space="preserve">Redução da qualidade requer autorização formal do Dirigente do Projeto.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Redução da qualidade inaceitável para o Dirigente do Projeto.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Aumento insignificante no custo estimado.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&lt; 5% de aumento no custo estimado.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>Entre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 e 10% de aumento no custo estimado.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Entre 10 e 20% de aumento no custo estimado.</t>
        </r>
      </text>
    </comment>
  </commentList>
</comments>
</file>

<file path=xl/sharedStrings.xml><?xml version="1.0" encoding="utf-8"?>
<sst xmlns="http://schemas.openxmlformats.org/spreadsheetml/2006/main" count="466" uniqueCount="201">
  <si>
    <t>Qtd Total
de Trabalho Previsto
em horas
(Baseline Work)</t>
  </si>
  <si>
    <t>Dias sem trabalho previsto durante o projeto</t>
  </si>
  <si>
    <t>Data</t>
  </si>
  <si>
    <t xml:space="preserve">Feriados </t>
  </si>
  <si>
    <t>Tipo</t>
  </si>
  <si>
    <t>Independência</t>
  </si>
  <si>
    <t>nacional</t>
  </si>
  <si>
    <t>Padroeira</t>
  </si>
  <si>
    <t>Finados</t>
  </si>
  <si>
    <t>República</t>
  </si>
  <si>
    <t>Ano Novo</t>
  </si>
  <si>
    <t>Carnaval</t>
  </si>
  <si>
    <t>Sexta-Feira Santa</t>
  </si>
  <si>
    <t>Trabalhador</t>
  </si>
  <si>
    <t>Corpus Christi</t>
  </si>
  <si>
    <t>Natal</t>
  </si>
  <si>
    <t>ponto facultativo</t>
  </si>
  <si>
    <t>Quarta Cinzas</t>
  </si>
  <si>
    <t>Qtd Trabalho  Previsto até Data Status
(em horas)
COTA</t>
  </si>
  <si>
    <t>Servidor</t>
  </si>
  <si>
    <t>Tiradentes</t>
  </si>
  <si>
    <t>Projeto:</t>
  </si>
  <si>
    <t>RELATÓRIO DE STATUS DE PROJETO</t>
  </si>
  <si>
    <t>Mostrador</t>
  </si>
  <si>
    <t>Muito Abaixo Previsto</t>
  </si>
  <si>
    <t>Abaixo Previsto</t>
  </si>
  <si>
    <t>Dentro Previsto</t>
  </si>
  <si>
    <t>Ponteiro</t>
  </si>
  <si>
    <t>Posição</t>
  </si>
  <si>
    <t>Coord</t>
  </si>
  <si>
    <t>Base</t>
  </si>
  <si>
    <t>X</t>
  </si>
  <si>
    <t>Y</t>
  </si>
  <si>
    <t>Ponta</t>
  </si>
  <si>
    <t>DIVISOR PERFORMANCE</t>
  </si>
  <si>
    <t>Fim</t>
  </si>
  <si>
    <t>PONTEIRO</t>
  </si>
  <si>
    <t>Valor</t>
  </si>
  <si>
    <t>Tamanho</t>
  </si>
  <si>
    <t>Complemento</t>
  </si>
  <si>
    <t>SEÇÃO 1: VISÃO GERAL DO PROJETO</t>
  </si>
  <si>
    <t>Início previsto</t>
  </si>
  <si>
    <t>Gerente:</t>
  </si>
  <si>
    <t>% Previsto</t>
  </si>
  <si>
    <t>% Realizado</t>
  </si>
  <si>
    <t>Status</t>
  </si>
  <si>
    <t>Processo SEI:</t>
  </si>
  <si>
    <t>PREOCUPANTE</t>
  </si>
  <si>
    <t>ATENÇÃO</t>
  </si>
  <si>
    <t>ADEQUADO</t>
  </si>
  <si>
    <t>Farol</t>
  </si>
  <si>
    <t>% Realizado
tabelado</t>
  </si>
  <si>
    <t>% Realizado
% concluída</t>
  </si>
  <si>
    <t>% Previsto
%concluída</t>
  </si>
  <si>
    <t>% REALIZADO
(TABELADO)</t>
  </si>
  <si>
    <t>Farol (fórmula)</t>
  </si>
  <si>
    <t>% PREVISTO
(ATÉ DATA DE STATUS)
%CONCLUÌDO</t>
  </si>
  <si>
    <t>% REALIZADO
(ATÉ DATA DE STATUS)
%CONCLUÌDO</t>
  </si>
  <si>
    <t>% RESTANTE
A REALIZAR
%CONCLUÌDO</t>
  </si>
  <si>
    <t>% Realizado pelo tabelado</t>
  </si>
  <si>
    <t>SEÇÃO 2: STATUS DAS ENTREGAS</t>
  </si>
  <si>
    <t>Data Referência:</t>
  </si>
  <si>
    <t>Nº</t>
  </si>
  <si>
    <t>Status de Execução Física</t>
  </si>
  <si>
    <t>Descrição</t>
  </si>
  <si>
    <t>Resumo da execução</t>
  </si>
  <si>
    <t>LISTA DE CONTROLE DOS RISCOS</t>
  </si>
  <si>
    <t>PASSO 1 - IDENTIFICAÇÃO DO RISCO</t>
  </si>
  <si>
    <t>PASSO 2 - ANÁLISE QUALITATIVA</t>
  </si>
  <si>
    <t>PASSO 3 - STATUS E PLANO DE RESPOSTA AO RISCOS</t>
  </si>
  <si>
    <t>Produto impactado</t>
  </si>
  <si>
    <t>Descrição do risco</t>
  </si>
  <si>
    <t>Data de Identificação ou relato</t>
  </si>
  <si>
    <t>Probabilidade (chance)</t>
  </si>
  <si>
    <t>Impacto
(gravidade)</t>
  </si>
  <si>
    <t>Nível do Risco</t>
  </si>
  <si>
    <t>Resultado Probabilidade</t>
  </si>
  <si>
    <t>Resultado Impacto</t>
  </si>
  <si>
    <t>Impacto (por dimensão principal do projeto)</t>
  </si>
  <si>
    <t>Nível do risco (PxI)</t>
  </si>
  <si>
    <t>Resumo do Status (mensal)</t>
  </si>
  <si>
    <t>Tipo de
resposta definida</t>
  </si>
  <si>
    <t>Descrição da ação de resposta</t>
  </si>
  <si>
    <t>Unidades Responsáveis pela ação de resposta</t>
  </si>
  <si>
    <t>Escala</t>
  </si>
  <si>
    <t>ESCOPO</t>
  </si>
  <si>
    <t>PRAZO</t>
  </si>
  <si>
    <t>QUALIDADE</t>
  </si>
  <si>
    <t>CUSTO</t>
  </si>
  <si>
    <t>Total (I)</t>
  </si>
  <si>
    <t>Fim previsto</t>
  </si>
  <si>
    <t>Plano de Ação para Gestão de Riscos do INPI</t>
  </si>
  <si>
    <t>1.1.1</t>
  </si>
  <si>
    <t>Processos de nível 2 mapeados</t>
  </si>
  <si>
    <t>1.1.2</t>
  </si>
  <si>
    <t>Riscos identificados nos processos de nível 2</t>
  </si>
  <si>
    <t>1.1.3</t>
  </si>
  <si>
    <t>Riscos avaliados e analisados</t>
  </si>
  <si>
    <t>1.1.4</t>
  </si>
  <si>
    <t>Planos de resposta, tratamento e revisão definidos</t>
  </si>
  <si>
    <t>2.1.1</t>
  </si>
  <si>
    <t>2.1.2</t>
  </si>
  <si>
    <t>2.1.3</t>
  </si>
  <si>
    <t>2.1.4</t>
  </si>
  <si>
    <t>3.1.1</t>
  </si>
  <si>
    <t>3.1.2</t>
  </si>
  <si>
    <t>3.1.3</t>
  </si>
  <si>
    <t>3.1.4</t>
  </si>
  <si>
    <t>Plano de Gestão de Riscos do Macroprocesso "Gestão da Logística e Infraestrutura" definido</t>
  </si>
  <si>
    <t>Plano de Gestão de Riscos do Macroprocesso "Gestão Orçamentária, Financeira e Contábil" definido</t>
  </si>
  <si>
    <t>Plano de Gestão de Riscos do Macroprocesso "Concessão de Registro de Marca"definido</t>
  </si>
  <si>
    <t>4.1.1</t>
  </si>
  <si>
    <t>4.1.2</t>
  </si>
  <si>
    <t>4.1.3</t>
  </si>
  <si>
    <t>4.1.4</t>
  </si>
  <si>
    <t>Plano de Gestão de Riscos do Macroprocesso "Concessão de Registro de Desenho Industrial" definido</t>
  </si>
  <si>
    <t>Plano de Gestão de Riscos do Macroprocesso "Concessão de Registro de Indicação Geográfica" definido</t>
  </si>
  <si>
    <t>5.1.1</t>
  </si>
  <si>
    <t>5.1.2</t>
  </si>
  <si>
    <t>5.1.3</t>
  </si>
  <si>
    <t>5.1.4</t>
  </si>
  <si>
    <t>6.1.1</t>
  </si>
  <si>
    <t>6.1.2</t>
  </si>
  <si>
    <t>6.1.3</t>
  </si>
  <si>
    <t>6.1.4</t>
  </si>
  <si>
    <t>7.1.1</t>
  </si>
  <si>
    <t>7.1.2</t>
  </si>
  <si>
    <t>7.1.3</t>
  </si>
  <si>
    <t>7.1.4</t>
  </si>
  <si>
    <t>Plano de Gestão de Riscos do Macroprocesso "Gestão da Estratégia" definido</t>
  </si>
  <si>
    <t>Plano de Gestão de Riscos do Macroprocesso "Gestão da Qualidade" definido</t>
  </si>
  <si>
    <t>8.1.1</t>
  </si>
  <si>
    <t>8.1.2</t>
  </si>
  <si>
    <t>8.1.3</t>
  </si>
  <si>
    <t>8.1.4</t>
  </si>
  <si>
    <t>Plano de Gestão de Riscos do Macroprocesso "Gestão da TIC" definido</t>
  </si>
  <si>
    <t>9.1.1</t>
  </si>
  <si>
    <t>9.1.2</t>
  </si>
  <si>
    <t>9.1.3</t>
  </si>
  <si>
    <t>9.1.4</t>
  </si>
  <si>
    <t>10.1.1</t>
  </si>
  <si>
    <t>10.1.2</t>
  </si>
  <si>
    <t>10.1.3</t>
  </si>
  <si>
    <t>10.1.4</t>
  </si>
  <si>
    <t>Plano de Gestão de Riscos do Macroprocesso "Concessão de Patente" definido</t>
  </si>
  <si>
    <t>Plano de Gestão de Riscos do Macroprocesso "Recepção de pedidos e atuação como autoridade internacional no âmbito do PCT" definido</t>
  </si>
  <si>
    <t>11.1.1</t>
  </si>
  <si>
    <t>11.1.2</t>
  </si>
  <si>
    <t>11.1.3</t>
  </si>
  <si>
    <t>11.1.4</t>
  </si>
  <si>
    <t>Plano de Gestão de Riscos do Macroprocesso "Concessão de Registro de Programa de Computador" definido</t>
  </si>
  <si>
    <t>12.1.1</t>
  </si>
  <si>
    <t>12.1.2</t>
  </si>
  <si>
    <t>12.1.3</t>
  </si>
  <si>
    <t>12.1.4</t>
  </si>
  <si>
    <t>13.1.1</t>
  </si>
  <si>
    <t>13.1.2</t>
  </si>
  <si>
    <t>13.1.3</t>
  </si>
  <si>
    <t>13.1.4</t>
  </si>
  <si>
    <t>Plano de Gestão de Riscos do Macroprocesso "Averbação e Registro de Contratos de Direitos de Propriedade Industrial, Transferência de Tecnologia e Franquia Empresarial" definido</t>
  </si>
  <si>
    <t>Plano de Gestão de Riscos do Macroprocesso "Concessão de Registro de Topografia de Circuito Integrado" definido</t>
  </si>
  <si>
    <t>14.1.1</t>
  </si>
  <si>
    <t>14.1.2</t>
  </si>
  <si>
    <t>14.1.3</t>
  </si>
  <si>
    <t>14.1.4</t>
  </si>
  <si>
    <t>Plano de Gestão de Riscos do Macroprocesso "Disseminação da Propriedade Intelectual" definido</t>
  </si>
  <si>
    <t>15.1.1</t>
  </si>
  <si>
    <t>15.1.2</t>
  </si>
  <si>
    <t>15.1.3</t>
  </si>
  <si>
    <t>15.1.4</t>
  </si>
  <si>
    <t>Plano de Gestão de Riscos do Macroprocesso "Relações Internacionais em Propriedade Intelectual" definido</t>
  </si>
  <si>
    <t>16.1.1</t>
  </si>
  <si>
    <t>16.1.2</t>
  </si>
  <si>
    <t>16.1.3</t>
  </si>
  <si>
    <t>16.1.4</t>
  </si>
  <si>
    <t>Plano de Gestão de Riscos do Macroprocesso "Gestão da Comunicação" definido</t>
  </si>
  <si>
    <t>17.1.1</t>
  </si>
  <si>
    <t>17.1.2</t>
  </si>
  <si>
    <t>17.1.3</t>
  </si>
  <si>
    <t>17.1.4</t>
  </si>
  <si>
    <t>Plano de Gestão de Riscos do Macroprocesso "Apoio à Governança" definido</t>
  </si>
  <si>
    <t>18.1.1</t>
  </si>
  <si>
    <t>18.1.2</t>
  </si>
  <si>
    <t>18.1.3</t>
  </si>
  <si>
    <t>18.1.4</t>
  </si>
  <si>
    <t>Plano de Gestão de Riscos do Macroprocesso "Consultoria e Assessoramento Jurídico" definido</t>
  </si>
  <si>
    <t>19.1.1</t>
  </si>
  <si>
    <t>19.1.2</t>
  </si>
  <si>
    <t>19.1.3</t>
  </si>
  <si>
    <t>19.1.4</t>
  </si>
  <si>
    <t>DIGER - Coordenação-Geral da Qualidade  / Diretoria Executiva</t>
  </si>
  <si>
    <t>52402.006865/2019-79</t>
  </si>
  <si>
    <t>Plano de Gestão de Riscos do Macroprocesso "Gestão de Pessoas" definido</t>
  </si>
  <si>
    <t>CONCLUÍDO</t>
  </si>
  <si>
    <t>Em andamento.</t>
  </si>
  <si>
    <t>Não iniciado.</t>
  </si>
  <si>
    <t>Em andamento (previsão de conclusão em 21/11/2019).</t>
  </si>
  <si>
    <t>Atividade concluída em 07/10/19 (antes do prazo planejado).</t>
  </si>
  <si>
    <t>Em andamento (previsão de conclusão em 08/11/2019).</t>
  </si>
  <si>
    <t>Em andamento (para o processo de Gestão de Riscos).</t>
  </si>
  <si>
    <t>Em andamento, no âmbito do Prosperity Fund Fase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</si>
</sst>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;@"/>
    <numFmt numFmtId="168" formatCode="[$$-409]#,##0.00"/>
    <numFmt numFmtId="169" formatCode="_(&quot;R$ &quot;* #,##0.00_);_(&quot;R$ &quot;* \(#,##0.00\);_(&quot;R$ &quot;* &quot;-&quot;??_);_(@_)"/>
    <numFmt numFmtId="170" formatCode="mmmm\ d\,\ yyyy"/>
    <numFmt numFmtId="171" formatCode="#,##0.00&quot; &quot;;&quot; (&quot;#,##0.00&quot;)&quot;;&quot; -&quot;#&quot; &quot;;@&quot; &quot;"/>
    <numFmt numFmtId="172" formatCode="0.0000000000"/>
    <numFmt numFmtId="173" formatCode="#,##0.00\ ;&quot; (&quot;#,##0.00\);&quot; -&quot;#\ ;@\ "/>
    <numFmt numFmtId="174" formatCode="_(* #,##0.00_);_(* \(#,##0.00\);_(* \-??_);_(@_)"/>
    <numFmt numFmtId="175" formatCode="0.0"/>
    <numFmt numFmtId="176" formatCode="&quot;R$&quot;\ #,##0.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theme="1"/>
      <name val="Arial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Roboto Cn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indexed="81"/>
      <name val="Tahoma"/>
      <family val="2"/>
    </font>
  </fonts>
  <fills count="6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  <bgColor indexed="50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38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50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2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1"/>
        <bgColor indexed="2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4D99"/>
      </left>
      <right style="thin">
        <color rgb="FF004D99"/>
      </right>
      <top style="thin">
        <color rgb="FF004D99"/>
      </top>
      <bottom style="thin">
        <color rgb="FF004D9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35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8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168" fontId="5" fillId="13" borderId="0" applyNumberFormat="0" applyBorder="0" applyAlignment="0" applyProtection="0"/>
    <xf numFmtId="168" fontId="5" fillId="13" borderId="0" applyNumberFormat="0" applyBorder="0" applyAlignment="0" applyProtection="0"/>
    <xf numFmtId="168" fontId="5" fillId="13" borderId="0" applyNumberFormat="0" applyBorder="0" applyAlignment="0" applyProtection="0"/>
    <xf numFmtId="0" fontId="5" fillId="14" borderId="0" applyNumberFormat="0" applyBorder="0" applyAlignment="0" applyProtection="0"/>
    <xf numFmtId="168" fontId="5" fillId="14" borderId="0" applyNumberFormat="0" applyBorder="0" applyAlignment="0" applyProtection="0"/>
    <xf numFmtId="168" fontId="5" fillId="14" borderId="0" applyNumberFormat="0" applyBorder="0" applyAlignment="0" applyProtection="0"/>
    <xf numFmtId="168" fontId="5" fillId="14" borderId="0" applyNumberFormat="0" applyBorder="0" applyAlignment="0" applyProtection="0"/>
    <xf numFmtId="0" fontId="5" fillId="15" borderId="0" applyNumberFormat="0" applyBorder="0" applyAlignment="0" applyProtection="0"/>
    <xf numFmtId="168" fontId="5" fillId="15" borderId="0" applyNumberFormat="0" applyBorder="0" applyAlignment="0" applyProtection="0"/>
    <xf numFmtId="168" fontId="5" fillId="15" borderId="0" applyNumberFormat="0" applyBorder="0" applyAlignment="0" applyProtection="0"/>
    <xf numFmtId="168" fontId="5" fillId="15" borderId="0" applyNumberFormat="0" applyBorder="0" applyAlignment="0" applyProtection="0"/>
    <xf numFmtId="0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0" fontId="5" fillId="17" borderId="0" applyNumberFormat="0" applyBorder="0" applyAlignment="0" applyProtection="0"/>
    <xf numFmtId="168" fontId="5" fillId="17" borderId="0" applyNumberFormat="0" applyBorder="0" applyAlignment="0" applyProtection="0"/>
    <xf numFmtId="168" fontId="5" fillId="17" borderId="0" applyNumberFormat="0" applyBorder="0" applyAlignment="0" applyProtection="0"/>
    <xf numFmtId="168" fontId="5" fillId="17" borderId="0" applyNumberFormat="0" applyBorder="0" applyAlignment="0" applyProtection="0"/>
    <xf numFmtId="0" fontId="5" fillId="18" borderId="0" applyNumberFormat="0" applyBorder="0" applyAlignment="0" applyProtection="0"/>
    <xf numFmtId="168" fontId="5" fillId="18" borderId="0" applyNumberFormat="0" applyBorder="0" applyAlignment="0" applyProtection="0"/>
    <xf numFmtId="168" fontId="5" fillId="18" borderId="0" applyNumberFormat="0" applyBorder="0" applyAlignment="0" applyProtection="0"/>
    <xf numFmtId="168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0" fontId="5" fillId="24" borderId="0" applyNumberFormat="0" applyBorder="0" applyAlignment="0" applyProtection="0"/>
    <xf numFmtId="168" fontId="5" fillId="24" borderId="0" applyNumberFormat="0" applyBorder="0" applyAlignment="0" applyProtection="0"/>
    <xf numFmtId="168" fontId="5" fillId="24" borderId="0" applyNumberFormat="0" applyBorder="0" applyAlignment="0" applyProtection="0"/>
    <xf numFmtId="168" fontId="5" fillId="24" borderId="0" applyNumberFormat="0" applyBorder="0" applyAlignment="0" applyProtection="0"/>
    <xf numFmtId="0" fontId="5" fillId="25" borderId="0" applyNumberFormat="0" applyBorder="0" applyAlignment="0" applyProtection="0"/>
    <xf numFmtId="168" fontId="5" fillId="25" borderId="0" applyNumberFormat="0" applyBorder="0" applyAlignment="0" applyProtection="0"/>
    <xf numFmtId="168" fontId="5" fillId="25" borderId="0" applyNumberFormat="0" applyBorder="0" applyAlignment="0" applyProtection="0"/>
    <xf numFmtId="168" fontId="5" fillId="25" borderId="0" applyNumberFormat="0" applyBorder="0" applyAlignment="0" applyProtection="0"/>
    <xf numFmtId="0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0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0" fontId="5" fillId="26" borderId="0" applyNumberFormat="0" applyBorder="0" applyAlignment="0" applyProtection="0"/>
    <xf numFmtId="168" fontId="5" fillId="26" borderId="0" applyNumberFormat="0" applyBorder="0" applyAlignment="0" applyProtection="0"/>
    <xf numFmtId="168" fontId="5" fillId="26" borderId="0" applyNumberFormat="0" applyBorder="0" applyAlignment="0" applyProtection="0"/>
    <xf numFmtId="168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168" fontId="6" fillId="32" borderId="0" applyNumberFormat="0" applyBorder="0" applyAlignment="0" applyProtection="0"/>
    <xf numFmtId="0" fontId="6" fillId="24" borderId="0" applyNumberFormat="0" applyBorder="0" applyAlignment="0" applyProtection="0"/>
    <xf numFmtId="168" fontId="6" fillId="24" borderId="0" applyNumberFormat="0" applyBorder="0" applyAlignment="0" applyProtection="0"/>
    <xf numFmtId="0" fontId="6" fillId="25" borderId="0" applyNumberFormat="0" applyBorder="0" applyAlignment="0" applyProtection="0"/>
    <xf numFmtId="168" fontId="6" fillId="25" borderId="0" applyNumberFormat="0" applyBorder="0" applyAlignment="0" applyProtection="0"/>
    <xf numFmtId="0" fontId="6" fillId="33" borderId="0" applyNumberFormat="0" applyBorder="0" applyAlignment="0" applyProtection="0"/>
    <xf numFmtId="168" fontId="6" fillId="33" borderId="0" applyNumberFormat="0" applyBorder="0" applyAlignment="0" applyProtection="0"/>
    <xf numFmtId="0" fontId="6" fillId="34" borderId="0" applyNumberFormat="0" applyBorder="0" applyAlignment="0" applyProtection="0"/>
    <xf numFmtId="168" fontId="6" fillId="34" borderId="0" applyNumberFormat="0" applyBorder="0" applyAlignment="0" applyProtection="0"/>
    <xf numFmtId="0" fontId="6" fillId="35" borderId="0" applyNumberFormat="0" applyBorder="0" applyAlignment="0" applyProtection="0"/>
    <xf numFmtId="168" fontId="6" fillId="35" borderId="0" applyNumberFormat="0" applyBorder="0" applyAlignment="0" applyProtection="0"/>
    <xf numFmtId="0" fontId="7" fillId="0" borderId="0" applyNumberFormat="0" applyAlignment="0"/>
    <xf numFmtId="168" fontId="7" fillId="0" borderId="0" applyNumberFormat="0" applyAlignment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168" fontId="8" fillId="15" borderId="0" applyNumberFormat="0" applyBorder="0" applyAlignment="0" applyProtection="0"/>
    <xf numFmtId="168" fontId="9" fillId="36" borderId="5" applyNumberFormat="0" applyAlignment="0" applyProtection="0"/>
    <xf numFmtId="0" fontId="9" fillId="37" borderId="5" applyNumberFormat="0" applyAlignment="0" applyProtection="0"/>
    <xf numFmtId="168" fontId="9" fillId="36" borderId="5" applyNumberFormat="0" applyAlignment="0" applyProtection="0"/>
    <xf numFmtId="0" fontId="9" fillId="38" borderId="5" applyNumberFormat="0" applyAlignment="0" applyProtection="0"/>
    <xf numFmtId="0" fontId="9" fillId="36" borderId="5" applyNumberFormat="0" applyAlignment="0" applyProtection="0"/>
    <xf numFmtId="0" fontId="9" fillId="36" borderId="5" applyNumberFormat="0" applyAlignment="0" applyProtection="0"/>
    <xf numFmtId="0" fontId="9" fillId="36" borderId="5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10" fillId="39" borderId="6" applyNumberFormat="0" applyAlignment="0" applyProtection="0"/>
    <xf numFmtId="168" fontId="10" fillId="39" borderId="6" applyNumberFormat="0" applyAlignment="0" applyProtection="0"/>
    <xf numFmtId="0" fontId="11" fillId="0" borderId="7" applyNumberFormat="0" applyFill="0" applyAlignment="0" applyProtection="0"/>
    <xf numFmtId="168" fontId="11" fillId="0" borderId="7" applyNumberFormat="0" applyFill="0" applyAlignment="0" applyProtection="0"/>
    <xf numFmtId="0" fontId="10" fillId="40" borderId="6" applyNumberFormat="0" applyAlignment="0" applyProtection="0"/>
    <xf numFmtId="0" fontId="11" fillId="0" borderId="7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12" fillId="0" borderId="0">
      <alignment horizontal="left"/>
    </xf>
    <xf numFmtId="0" fontId="13" fillId="0" borderId="0" applyNumberFormat="0" applyFill="0" applyBorder="0" applyAlignment="0" applyProtection="0"/>
    <xf numFmtId="168" fontId="13" fillId="0" borderId="0" applyNumberFormat="0" applyFill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168" fontId="6" fillId="47" borderId="0" applyNumberFormat="0" applyBorder="0" applyAlignment="0" applyProtection="0"/>
    <xf numFmtId="0" fontId="6" fillId="48" borderId="0" applyNumberFormat="0" applyBorder="0" applyAlignment="0" applyProtection="0"/>
    <xf numFmtId="168" fontId="6" fillId="48" borderId="0" applyNumberFormat="0" applyBorder="0" applyAlignment="0" applyProtection="0"/>
    <xf numFmtId="0" fontId="6" fillId="49" borderId="0" applyNumberFormat="0" applyBorder="0" applyAlignment="0" applyProtection="0"/>
    <xf numFmtId="168" fontId="6" fillId="49" borderId="0" applyNumberFormat="0" applyBorder="0" applyAlignment="0" applyProtection="0"/>
    <xf numFmtId="0" fontId="6" fillId="33" borderId="0" applyNumberFormat="0" applyBorder="0" applyAlignment="0" applyProtection="0"/>
    <xf numFmtId="168" fontId="6" fillId="33" borderId="0" applyNumberFormat="0" applyBorder="0" applyAlignment="0" applyProtection="0"/>
    <xf numFmtId="0" fontId="6" fillId="34" borderId="0" applyNumberFormat="0" applyBorder="0" applyAlignment="0" applyProtection="0"/>
    <xf numFmtId="168" fontId="6" fillId="34" borderId="0" applyNumberFormat="0" applyBorder="0" applyAlignment="0" applyProtection="0"/>
    <xf numFmtId="0" fontId="6" fillId="50" borderId="0" applyNumberFormat="0" applyBorder="0" applyAlignment="0" applyProtection="0"/>
    <xf numFmtId="168" fontId="6" fillId="50" borderId="0" applyNumberFormat="0" applyBorder="0" applyAlignment="0" applyProtection="0"/>
    <xf numFmtId="168" fontId="14" fillId="18" borderId="5" applyNumberFormat="0" applyAlignment="0" applyProtection="0"/>
    <xf numFmtId="0" fontId="14" fillId="12" borderId="5" applyNumberFormat="0" applyAlignment="0" applyProtection="0"/>
    <xf numFmtId="168" fontId="14" fillId="18" borderId="5" applyNumberFormat="0" applyAlignment="0" applyProtection="0"/>
    <xf numFmtId="0" fontId="14" fillId="11" borderId="5" applyNumberFormat="0" applyAlignment="0" applyProtection="0"/>
    <xf numFmtId="0" fontId="14" fillId="18" borderId="5" applyNumberFormat="0" applyAlignment="0" applyProtection="0"/>
    <xf numFmtId="0" fontId="14" fillId="18" borderId="5" applyNumberFormat="0" applyAlignment="0" applyProtection="0"/>
    <xf numFmtId="0" fontId="14" fillId="18" borderId="5" applyNumberFormat="0" applyAlignment="0" applyProtection="0"/>
    <xf numFmtId="171" fontId="15" fillId="0" borderId="0"/>
    <xf numFmtId="38" fontId="7" fillId="51" borderId="0" applyNumberFormat="0" applyBorder="0" applyAlignment="0" applyProtection="0"/>
    <xf numFmtId="0" fontId="16" fillId="0" borderId="8" applyNumberFormat="0" applyAlignment="0" applyProtection="0">
      <alignment horizontal="left" vertical="center"/>
    </xf>
    <xf numFmtId="168" fontId="16" fillId="0" borderId="8" applyNumberFormat="0" applyAlignment="0" applyProtection="0">
      <alignment horizontal="left" vertical="center"/>
    </xf>
    <xf numFmtId="0" fontId="16" fillId="0" borderId="9">
      <alignment horizontal="left" vertical="center"/>
    </xf>
    <xf numFmtId="168" fontId="16" fillId="0" borderId="9">
      <alignment horizontal="left" vertical="center"/>
    </xf>
    <xf numFmtId="0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0" fontId="18" fillId="14" borderId="0" applyNumberFormat="0" applyBorder="0" applyAlignment="0" applyProtection="0"/>
    <xf numFmtId="168" fontId="18" fillId="14" borderId="0" applyNumberFormat="0" applyBorder="0" applyAlignment="0" applyProtection="0"/>
    <xf numFmtId="0" fontId="18" fillId="5" borderId="0" applyNumberFormat="0" applyBorder="0" applyAlignment="0" applyProtection="0"/>
    <xf numFmtId="10" fontId="7" fillId="52" borderId="10" applyNumberFormat="0" applyBorder="0" applyAlignment="0" applyProtection="0"/>
    <xf numFmtId="0" fontId="19" fillId="53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5" fillId="0" borderId="0"/>
    <xf numFmtId="168" fontId="5" fillId="0" borderId="0"/>
    <xf numFmtId="168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168" fontId="4" fillId="0" borderId="0"/>
    <xf numFmtId="168" fontId="4" fillId="0" borderId="0"/>
    <xf numFmtId="0" fontId="4" fillId="0" borderId="0"/>
    <xf numFmtId="168" fontId="4" fillId="0" borderId="0"/>
    <xf numFmtId="0" fontId="4" fillId="0" borderId="0"/>
    <xf numFmtId="168" fontId="4" fillId="0" borderId="0"/>
    <xf numFmtId="168" fontId="1" fillId="0" borderId="0"/>
    <xf numFmtId="0" fontId="4" fillId="0" borderId="0"/>
    <xf numFmtId="0" fontId="4" fillId="0" borderId="0"/>
    <xf numFmtId="0" fontId="4" fillId="54" borderId="11" applyNumberFormat="0" applyAlignment="0" applyProtection="0"/>
    <xf numFmtId="0" fontId="4" fillId="55" borderId="11" applyNumberFormat="0" applyFont="0" applyAlignment="0" applyProtection="0"/>
    <xf numFmtId="168" fontId="4" fillId="55" borderId="11" applyNumberFormat="0" applyFont="0" applyAlignment="0" applyProtection="0"/>
    <xf numFmtId="0" fontId="20" fillId="56" borderId="10" applyNumberFormat="0" applyFont="0" applyFill="0" applyAlignment="0" applyProtection="0">
      <alignment horizontal="center" vertical="center" wrapText="1"/>
    </xf>
    <xf numFmtId="168" fontId="20" fillId="56" borderId="10" applyNumberFormat="0" applyFont="0" applyFill="0" applyAlignment="0" applyProtection="0">
      <alignment horizontal="center" vertical="center" wrapText="1"/>
    </xf>
    <xf numFmtId="0" fontId="12" fillId="0" borderId="0">
      <alignment horizont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ill="0" applyBorder="0" applyAlignment="0" applyProtection="0"/>
    <xf numFmtId="9" fontId="5" fillId="0" borderId="0" applyFont="0" applyFill="0" applyBorder="0" applyAlignment="0" applyProtection="0"/>
    <xf numFmtId="9" fontId="4" fillId="0" borderId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68" fontId="21" fillId="0" borderId="0" applyNumberFormat="0" applyFont="0" applyFill="0" applyBorder="0" applyAlignment="0" applyProtection="0">
      <alignment horizontal="left"/>
    </xf>
    <xf numFmtId="0" fontId="22" fillId="0" borderId="0" applyNumberFormat="0" applyFill="0" applyBorder="0" applyAlignment="0" applyProtection="0"/>
    <xf numFmtId="0" fontId="23" fillId="38" borderId="12" applyNumberFormat="0" applyAlignment="0" applyProtection="0"/>
    <xf numFmtId="0" fontId="23" fillId="37" borderId="12" applyNumberFormat="0" applyAlignment="0" applyProtection="0"/>
    <xf numFmtId="0" fontId="23" fillId="36" borderId="12" applyNumberFormat="0" applyAlignment="0" applyProtection="0"/>
    <xf numFmtId="168" fontId="23" fillId="36" borderId="12" applyNumberFormat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168" fontId="26" fillId="0" borderId="13" applyNumberFormat="0" applyFill="0" applyAlignment="0" applyProtection="0"/>
    <xf numFmtId="0" fontId="27" fillId="0" borderId="0" applyNumberFormat="0" applyFill="0" applyBorder="0" applyAlignment="0" applyProtection="0"/>
    <xf numFmtId="168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168" fontId="28" fillId="0" borderId="14" applyNumberFormat="0" applyFill="0" applyAlignment="0" applyProtection="0"/>
    <xf numFmtId="168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168" fontId="13" fillId="0" borderId="15" applyNumberFormat="0" applyFill="0" applyAlignment="0" applyProtection="0"/>
    <xf numFmtId="168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168" fontId="27" fillId="0" borderId="0" applyNumberFormat="0" applyFill="0" applyBorder="0" applyAlignment="0" applyProtection="0"/>
    <xf numFmtId="168" fontId="27" fillId="0" borderId="0" applyNumberFormat="0" applyFill="0" applyBorder="0" applyAlignment="0" applyProtection="0"/>
    <xf numFmtId="168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/>
    </xf>
    <xf numFmtId="0" fontId="29" fillId="0" borderId="16" applyNumberFormat="0" applyFill="0" applyAlignment="0" applyProtection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3" fontId="4" fillId="0" borderId="0" applyFill="0" applyBorder="0" applyAlignment="0" applyProtection="0"/>
    <xf numFmtId="174" fontId="4" fillId="0" borderId="0" applyFill="0" applyBorder="0" applyAlignment="0" applyProtection="0"/>
    <xf numFmtId="168" fontId="9" fillId="36" borderId="42" applyNumberFormat="0" applyAlignment="0" applyProtection="0"/>
    <xf numFmtId="0" fontId="9" fillId="37" borderId="42" applyNumberFormat="0" applyAlignment="0" applyProtection="0"/>
    <xf numFmtId="168" fontId="9" fillId="36" borderId="42" applyNumberFormat="0" applyAlignment="0" applyProtection="0"/>
    <xf numFmtId="0" fontId="9" fillId="38" borderId="42" applyNumberFormat="0" applyAlignment="0" applyProtection="0"/>
    <xf numFmtId="0" fontId="9" fillId="36" borderId="42" applyNumberFormat="0" applyAlignment="0" applyProtection="0"/>
    <xf numFmtId="0" fontId="9" fillId="36" borderId="42" applyNumberFormat="0" applyAlignment="0" applyProtection="0"/>
    <xf numFmtId="0" fontId="9" fillId="36" borderId="42" applyNumberFormat="0" applyAlignment="0" applyProtection="0"/>
    <xf numFmtId="168" fontId="14" fillId="18" borderId="42" applyNumberFormat="0" applyAlignment="0" applyProtection="0"/>
    <xf numFmtId="0" fontId="14" fillId="12" borderId="42" applyNumberFormat="0" applyAlignment="0" applyProtection="0"/>
    <xf numFmtId="168" fontId="14" fillId="18" borderId="42" applyNumberFormat="0" applyAlignment="0" applyProtection="0"/>
    <xf numFmtId="0" fontId="14" fillId="11" borderId="42" applyNumberFormat="0" applyAlignment="0" applyProtection="0"/>
    <xf numFmtId="0" fontId="14" fillId="18" borderId="42" applyNumberFormat="0" applyAlignment="0" applyProtection="0"/>
    <xf numFmtId="0" fontId="14" fillId="18" borderId="42" applyNumberFormat="0" applyAlignment="0" applyProtection="0"/>
    <xf numFmtId="0" fontId="14" fillId="18" borderId="42" applyNumberFormat="0" applyAlignment="0" applyProtection="0"/>
    <xf numFmtId="0" fontId="16" fillId="0" borderId="43">
      <alignment horizontal="left" vertical="center"/>
    </xf>
    <xf numFmtId="168" fontId="16" fillId="0" borderId="43">
      <alignment horizontal="left" vertical="center"/>
    </xf>
    <xf numFmtId="10" fontId="7" fillId="52" borderId="44" applyNumberFormat="0" applyBorder="0" applyAlignment="0" applyProtection="0"/>
    <xf numFmtId="0" fontId="4" fillId="54" borderId="45" applyNumberFormat="0" applyAlignment="0" applyProtection="0"/>
    <xf numFmtId="0" fontId="4" fillId="55" borderId="45" applyNumberFormat="0" applyFont="0" applyAlignment="0" applyProtection="0"/>
    <xf numFmtId="168" fontId="4" fillId="55" borderId="45" applyNumberFormat="0" applyFont="0" applyAlignment="0" applyProtection="0"/>
    <xf numFmtId="0" fontId="20" fillId="56" borderId="44" applyNumberFormat="0" applyFont="0" applyFill="0" applyAlignment="0" applyProtection="0">
      <alignment horizontal="center" vertical="center" wrapText="1"/>
    </xf>
    <xf numFmtId="168" fontId="20" fillId="56" borderId="44" applyNumberFormat="0" applyFont="0" applyFill="0" applyAlignment="0" applyProtection="0">
      <alignment horizontal="center" vertical="center" wrapText="1"/>
    </xf>
    <xf numFmtId="0" fontId="23" fillId="38" borderId="46" applyNumberFormat="0" applyAlignment="0" applyProtection="0"/>
    <xf numFmtId="0" fontId="23" fillId="37" borderId="46" applyNumberFormat="0" applyAlignment="0" applyProtection="0"/>
    <xf numFmtId="0" fontId="23" fillId="36" borderId="46" applyNumberFormat="0" applyAlignment="0" applyProtection="0"/>
    <xf numFmtId="168" fontId="23" fillId="36" borderId="46" applyNumberFormat="0" applyAlignment="0" applyProtection="0"/>
    <xf numFmtId="0" fontId="29" fillId="0" borderId="47" applyNumberFormat="0" applyFill="0" applyAlignment="0" applyProtection="0"/>
    <xf numFmtId="164" fontId="4" fillId="0" borderId="0" applyFont="0" applyFill="0" applyBorder="0" applyAlignment="0" applyProtection="0"/>
    <xf numFmtId="0" fontId="5" fillId="0" borderId="0"/>
    <xf numFmtId="0" fontId="4" fillId="0" borderId="0"/>
  </cellStyleXfs>
  <cellXfs count="188">
    <xf numFmtId="0" fontId="0" fillId="0" borderId="0" xfId="0"/>
    <xf numFmtId="167" fontId="0" fillId="0" borderId="17" xfId="0" applyNumberFormat="1" applyBorder="1" applyAlignment="1">
      <alignment horizontal="center"/>
    </xf>
    <xf numFmtId="167" fontId="0" fillId="0" borderId="17" xfId="0" applyNumberFormat="1" applyBorder="1" applyAlignment="1">
      <alignment horizontal="left"/>
    </xf>
    <xf numFmtId="167" fontId="0" fillId="0" borderId="17" xfId="0" applyNumberFormat="1" applyBorder="1"/>
    <xf numFmtId="0" fontId="0" fillId="0" borderId="17" xfId="0" applyBorder="1"/>
    <xf numFmtId="167" fontId="30" fillId="0" borderId="17" xfId="0" applyNumberFormat="1" applyFont="1" applyBorder="1" applyAlignment="1">
      <alignment horizontal="left"/>
    </xf>
    <xf numFmtId="167" fontId="30" fillId="0" borderId="17" xfId="0" applyNumberFormat="1" applyFont="1" applyBorder="1" applyAlignment="1">
      <alignment horizontal="center"/>
    </xf>
    <xf numFmtId="0" fontId="30" fillId="2" borderId="17" xfId="0" applyFont="1" applyFill="1" applyBorder="1" applyAlignment="1">
      <alignment horizontal="center"/>
    </xf>
    <xf numFmtId="0" fontId="33" fillId="0" borderId="0" xfId="0" applyFont="1" applyProtection="1"/>
    <xf numFmtId="0" fontId="33" fillId="0" borderId="23" xfId="0" applyFont="1" applyBorder="1" applyProtection="1"/>
    <xf numFmtId="0" fontId="33" fillId="0" borderId="24" xfId="0" applyFont="1" applyBorder="1" applyProtection="1"/>
    <xf numFmtId="0" fontId="33" fillId="0" borderId="40" xfId="0" applyFont="1" applyBorder="1" applyProtection="1"/>
    <xf numFmtId="0" fontId="33" fillId="0" borderId="0" xfId="0" applyFont="1"/>
    <xf numFmtId="0" fontId="33" fillId="0" borderId="0" xfId="0" applyFont="1" applyBorder="1" applyProtection="1"/>
    <xf numFmtId="0" fontId="33" fillId="0" borderId="25" xfId="0" applyFont="1" applyBorder="1" applyProtection="1"/>
    <xf numFmtId="0" fontId="33" fillId="0" borderId="26" xfId="0" applyFont="1" applyBorder="1" applyProtection="1"/>
    <xf numFmtId="3" fontId="35" fillId="0" borderId="0" xfId="0" applyNumberFormat="1" applyFont="1" applyBorder="1" applyAlignment="1" applyProtection="1">
      <alignment horizontal="right"/>
    </xf>
    <xf numFmtId="3" fontId="35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 vertical="center"/>
    </xf>
    <xf numFmtId="0" fontId="33" fillId="0" borderId="27" xfId="0" applyFont="1" applyBorder="1" applyProtection="1"/>
    <xf numFmtId="3" fontId="32" fillId="0" borderId="28" xfId="0" applyNumberFormat="1" applyFont="1" applyBorder="1" applyAlignment="1" applyProtection="1">
      <alignment horizontal="right"/>
    </xf>
    <xf numFmtId="3" fontId="31" fillId="0" borderId="28" xfId="0" applyNumberFormat="1" applyFont="1" applyBorder="1" applyProtection="1"/>
    <xf numFmtId="0" fontId="33" fillId="0" borderId="29" xfId="0" applyFont="1" applyBorder="1" applyProtection="1"/>
    <xf numFmtId="0" fontId="33" fillId="0" borderId="33" xfId="0" applyFont="1" applyBorder="1" applyProtection="1"/>
    <xf numFmtId="0" fontId="33" fillId="0" borderId="33" xfId="0" applyFont="1" applyFill="1" applyBorder="1" applyProtection="1"/>
    <xf numFmtId="0" fontId="2" fillId="0" borderId="26" xfId="0" applyFont="1" applyBorder="1" applyAlignment="1" applyProtection="1">
      <alignment vertical="center"/>
    </xf>
    <xf numFmtId="9" fontId="33" fillId="57" borderId="30" xfId="1" applyFont="1" applyFill="1" applyBorder="1" applyAlignment="1" applyProtection="1">
      <alignment horizontal="left" vertical="center" wrapText="1"/>
    </xf>
    <xf numFmtId="9" fontId="33" fillId="57" borderId="30" xfId="1" applyFont="1" applyFill="1" applyBorder="1" applyAlignment="1" applyProtection="1">
      <alignment horizontal="left" vertical="center"/>
    </xf>
    <xf numFmtId="9" fontId="33" fillId="57" borderId="30" xfId="1" applyFont="1" applyFill="1" applyBorder="1" applyAlignment="1" applyProtection="1">
      <alignment horizontal="left" vertical="top"/>
    </xf>
    <xf numFmtId="9" fontId="33" fillId="57" borderId="2" xfId="1" applyFont="1" applyFill="1" applyBorder="1" applyAlignment="1" applyProtection="1">
      <alignment horizontal="left" vertical="center" wrapText="1"/>
    </xf>
    <xf numFmtId="3" fontId="33" fillId="0" borderId="28" xfId="0" applyNumberFormat="1" applyFont="1" applyBorder="1" applyAlignment="1" applyProtection="1">
      <alignment horizontal="left" vertical="center"/>
    </xf>
    <xf numFmtId="0" fontId="33" fillId="0" borderId="41" xfId="0" applyFont="1" applyBorder="1" applyProtection="1"/>
    <xf numFmtId="0" fontId="33" fillId="0" borderId="0" xfId="0" applyFont="1" applyFill="1" applyBorder="1" applyProtection="1"/>
    <xf numFmtId="3" fontId="33" fillId="0" borderId="24" xfId="0" applyNumberFormat="1" applyFont="1" applyBorder="1" applyAlignment="1" applyProtection="1">
      <alignment horizontal="left" vertical="center"/>
    </xf>
    <xf numFmtId="9" fontId="32" fillId="0" borderId="28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Protection="1">
      <protection locked="0"/>
    </xf>
    <xf numFmtId="0" fontId="3" fillId="57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9" fontId="37" fillId="58" borderId="4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0" xfId="0" applyFont="1" applyBorder="1" applyProtection="1">
      <protection locked="0"/>
    </xf>
    <xf numFmtId="9" fontId="33" fillId="0" borderId="10" xfId="1" applyNumberFormat="1" applyFont="1" applyBorder="1" applyAlignment="1" applyProtection="1">
      <alignment horizontal="center" vertical="center"/>
      <protection locked="0"/>
    </xf>
    <xf numFmtId="9" fontId="38" fillId="0" borderId="10" xfId="1" applyNumberFormat="1" applyFont="1" applyBorder="1" applyAlignment="1" applyProtection="1">
      <alignment horizontal="center" vertical="center"/>
      <protection locked="0"/>
    </xf>
    <xf numFmtId="1" fontId="33" fillId="0" borderId="10" xfId="1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Protection="1">
      <protection locked="0"/>
    </xf>
    <xf numFmtId="0" fontId="33" fillId="0" borderId="10" xfId="0" applyFont="1" applyBorder="1" applyAlignment="1" applyProtection="1">
      <alignment horizontal="center"/>
      <protection locked="0"/>
    </xf>
    <xf numFmtId="175" fontId="33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10" xfId="0" applyFont="1" applyBorder="1" applyAlignment="1" applyProtection="1">
      <alignment vertical="center"/>
      <protection locked="0"/>
    </xf>
    <xf numFmtId="2" fontId="33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10" xfId="1" applyNumberFormat="1" applyFont="1" applyBorder="1" applyAlignment="1" applyProtection="1">
      <alignment horizontal="center" vertical="center"/>
      <protection locked="0"/>
    </xf>
    <xf numFmtId="0" fontId="33" fillId="0" borderId="10" xfId="0" applyNumberFormat="1" applyFont="1" applyBorder="1" applyAlignment="1" applyProtection="1">
      <alignment horizontal="center" vertical="center"/>
      <protection locked="0"/>
    </xf>
    <xf numFmtId="9" fontId="33" fillId="0" borderId="37" xfId="0" applyNumberFormat="1" applyFont="1" applyBorder="1" applyAlignment="1" applyProtection="1">
      <alignment horizontal="center" vertical="center"/>
      <protection locked="0"/>
    </xf>
    <xf numFmtId="10" fontId="33" fillId="0" borderId="0" xfId="0" applyNumberFormat="1" applyFont="1" applyBorder="1" applyProtection="1">
      <protection locked="0"/>
    </xf>
    <xf numFmtId="0" fontId="33" fillId="0" borderId="0" xfId="0" applyFont="1" applyAlignment="1" applyProtection="1">
      <alignment vertical="center"/>
      <protection locked="0"/>
    </xf>
    <xf numFmtId="2" fontId="33" fillId="0" borderId="10" xfId="0" applyNumberFormat="1" applyFont="1" applyBorder="1" applyAlignment="1" applyProtection="1">
      <alignment vertical="center"/>
      <protection locked="0"/>
    </xf>
    <xf numFmtId="9" fontId="33" fillId="0" borderId="10" xfId="1" applyFont="1" applyBorder="1" applyAlignment="1" applyProtection="1">
      <alignment horizontal="center" vertical="center"/>
      <protection locked="0"/>
    </xf>
    <xf numFmtId="9" fontId="33" fillId="0" borderId="0" xfId="1" applyFont="1" applyBorder="1" applyProtection="1">
      <protection locked="0"/>
    </xf>
    <xf numFmtId="2" fontId="33" fillId="0" borderId="0" xfId="0" applyNumberFormat="1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</xf>
    <xf numFmtId="9" fontId="31" fillId="0" borderId="34" xfId="1" applyNumberFormat="1" applyFont="1" applyFill="1" applyBorder="1" applyAlignment="1" applyProtection="1">
      <alignment horizontal="center" vertical="center" wrapText="1"/>
    </xf>
    <xf numFmtId="9" fontId="31" fillId="0" borderId="35" xfId="1" applyNumberFormat="1" applyFont="1" applyFill="1" applyBorder="1" applyAlignment="1" applyProtection="1">
      <alignment horizontal="center" vertical="center" wrapText="1"/>
    </xf>
    <xf numFmtId="9" fontId="31" fillId="0" borderId="36" xfId="1" applyNumberFormat="1" applyFont="1" applyFill="1" applyBorder="1" applyAlignment="1" applyProtection="1">
      <alignment horizontal="center" vertical="center" wrapText="1"/>
    </xf>
    <xf numFmtId="3" fontId="33" fillId="57" borderId="3" xfId="0" applyNumberFormat="1" applyFont="1" applyFill="1" applyBorder="1" applyAlignment="1" applyProtection="1">
      <alignment horizontal="left" vertical="top"/>
    </xf>
    <xf numFmtId="3" fontId="33" fillId="57" borderId="0" xfId="0" applyNumberFormat="1" applyFont="1" applyFill="1" applyBorder="1" applyAlignment="1" applyProtection="1">
      <alignment vertical="center"/>
    </xf>
    <xf numFmtId="0" fontId="33" fillId="0" borderId="24" xfId="0" applyFont="1" applyBorder="1" applyProtection="1">
      <protection locked="0"/>
    </xf>
    <xf numFmtId="3" fontId="32" fillId="0" borderId="24" xfId="1" applyNumberFormat="1" applyFont="1" applyFill="1" applyBorder="1" applyAlignment="1" applyProtection="1">
      <alignment horizontal="center" vertical="center" wrapText="1"/>
      <protection locked="0"/>
    </xf>
    <xf numFmtId="3" fontId="33" fillId="57" borderId="0" xfId="0" applyNumberFormat="1" applyFont="1" applyFill="1" applyBorder="1" applyAlignment="1" applyProtection="1">
      <alignment vertical="center"/>
      <protection locked="0"/>
    </xf>
    <xf numFmtId="3" fontId="35" fillId="0" borderId="0" xfId="0" applyNumberFormat="1" applyFont="1" applyBorder="1" applyAlignment="1" applyProtection="1">
      <alignment horizontal="right"/>
      <protection locked="0"/>
    </xf>
    <xf numFmtId="3" fontId="31" fillId="0" borderId="0" xfId="0" applyNumberFormat="1" applyFont="1" applyBorder="1" applyProtection="1">
      <protection locked="0"/>
    </xf>
    <xf numFmtId="3" fontId="35" fillId="0" borderId="28" xfId="0" applyNumberFormat="1" applyFont="1" applyBorder="1" applyAlignment="1" applyProtection="1">
      <alignment horizontal="right"/>
      <protection locked="0"/>
    </xf>
    <xf numFmtId="3" fontId="32" fillId="0" borderId="28" xfId="0" applyNumberFormat="1" applyFont="1" applyBorder="1" applyAlignment="1" applyProtection="1">
      <alignment horizontal="right"/>
      <protection locked="0"/>
    </xf>
    <xf numFmtId="0" fontId="33" fillId="0" borderId="0" xfId="0" applyFont="1" applyBorder="1" applyProtection="1">
      <protection locked="0"/>
    </xf>
    <xf numFmtId="3" fontId="33" fillId="57" borderId="3" xfId="0" applyNumberFormat="1" applyFont="1" applyFill="1" applyBorder="1" applyAlignment="1" applyProtection="1">
      <alignment horizontal="left" vertical="top"/>
      <protection locked="0"/>
    </xf>
    <xf numFmtId="3" fontId="33" fillId="0" borderId="28" xfId="0" applyNumberFormat="1" applyFont="1" applyBorder="1" applyAlignment="1" applyProtection="1">
      <alignment horizontal="left" vertical="center"/>
      <protection locked="0"/>
    </xf>
    <xf numFmtId="3" fontId="33" fillId="0" borderId="24" xfId="0" applyNumberFormat="1" applyFont="1" applyBorder="1" applyAlignment="1" applyProtection="1">
      <alignment horizontal="left" vertical="center"/>
      <protection locked="0"/>
    </xf>
    <xf numFmtId="3" fontId="33" fillId="57" borderId="30" xfId="0" applyNumberFormat="1" applyFont="1" applyFill="1" applyBorder="1" applyAlignment="1" applyProtection="1">
      <alignment horizontal="left" vertical="top"/>
      <protection locked="0"/>
    </xf>
    <xf numFmtId="3" fontId="33" fillId="0" borderId="28" xfId="0" applyNumberFormat="1" applyFont="1" applyBorder="1" applyAlignment="1" applyProtection="1">
      <alignment horizontal="center" vertical="center" wrapText="1"/>
      <protection locked="0"/>
    </xf>
    <xf numFmtId="3" fontId="33" fillId="0" borderId="28" xfId="0" applyNumberFormat="1" applyFont="1" applyBorder="1" applyAlignment="1" applyProtection="1">
      <alignment horizontal="left" vertical="center" wrapText="1"/>
      <protection locked="0"/>
    </xf>
    <xf numFmtId="3" fontId="31" fillId="0" borderId="0" xfId="0" applyNumberFormat="1" applyFont="1" applyBorder="1" applyAlignment="1" applyProtection="1">
      <protection locked="0"/>
    </xf>
    <xf numFmtId="9" fontId="32" fillId="0" borderId="0" xfId="1" applyFont="1" applyFill="1" applyBorder="1" applyAlignment="1" applyProtection="1">
      <alignment horizontal="right" vertical="center" wrapText="1"/>
      <protection locked="0"/>
    </xf>
    <xf numFmtId="2" fontId="32" fillId="0" borderId="0" xfId="1" applyNumberFormat="1" applyFont="1" applyFill="1" applyBorder="1" applyAlignment="1" applyProtection="1">
      <alignment horizontal="right" vertical="center" wrapText="1"/>
      <protection locked="0"/>
    </xf>
    <xf numFmtId="14" fontId="36" fillId="0" borderId="0" xfId="0" applyNumberFormat="1" applyFont="1" applyFill="1" applyBorder="1" applyAlignment="1" applyProtection="1">
      <alignment horizontal="left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9" fontId="31" fillId="0" borderId="34" xfId="1" applyNumberFormat="1" applyFont="1" applyFill="1" applyBorder="1" applyAlignment="1" applyProtection="1">
      <alignment horizontal="center" vertical="center" wrapText="1"/>
    </xf>
    <xf numFmtId="9" fontId="31" fillId="0" borderId="35" xfId="1" applyNumberFormat="1" applyFont="1" applyFill="1" applyBorder="1" applyAlignment="1" applyProtection="1">
      <alignment horizontal="center" vertical="center" wrapText="1"/>
    </xf>
    <xf numFmtId="9" fontId="31" fillId="0" borderId="36" xfId="1" applyNumberFormat="1" applyFont="1" applyFill="1" applyBorder="1" applyAlignment="1" applyProtection="1">
      <alignment horizontal="center" vertical="center" wrapText="1"/>
    </xf>
    <xf numFmtId="3" fontId="32" fillId="0" borderId="28" xfId="0" applyNumberFormat="1" applyFont="1" applyFill="1" applyBorder="1" applyAlignment="1" applyProtection="1">
      <alignment horizontal="left" vertical="center"/>
      <protection locked="0"/>
    </xf>
    <xf numFmtId="3" fontId="32" fillId="0" borderId="28" xfId="0" applyNumberFormat="1" applyFont="1" applyBorder="1" applyProtection="1">
      <protection locked="0"/>
    </xf>
    <xf numFmtId="167" fontId="32" fillId="0" borderId="19" xfId="0" applyNumberFormat="1" applyFont="1" applyFill="1" applyBorder="1" applyAlignment="1" applyProtection="1">
      <alignment horizontal="center" vertical="center"/>
      <protection locked="0"/>
    </xf>
    <xf numFmtId="3" fontId="32" fillId="0" borderId="18" xfId="0" applyNumberFormat="1" applyFont="1" applyBorder="1" applyAlignment="1" applyProtection="1">
      <alignment horizontal="center" vertical="center"/>
      <protection locked="0"/>
    </xf>
    <xf numFmtId="9" fontId="39" fillId="0" borderId="18" xfId="1" applyFont="1" applyFill="1" applyBorder="1" applyAlignment="1" applyProtection="1">
      <alignment horizontal="center" vertical="center"/>
      <protection locked="0"/>
    </xf>
    <xf numFmtId="9" fontId="32" fillId="0" borderId="18" xfId="1" applyNumberFormat="1" applyFont="1" applyFill="1" applyBorder="1" applyAlignment="1" applyProtection="1">
      <alignment horizontal="center" vertical="center"/>
      <protection locked="0"/>
    </xf>
    <xf numFmtId="3" fontId="32" fillId="0" borderId="18" xfId="1" applyNumberFormat="1" applyFont="1" applyFill="1" applyBorder="1" applyAlignment="1" applyProtection="1">
      <alignment horizontal="center" vertical="center"/>
      <protection locked="0"/>
    </xf>
    <xf numFmtId="167" fontId="31" fillId="0" borderId="18" xfId="0" applyNumberFormat="1" applyFont="1" applyFill="1" applyBorder="1" applyAlignment="1" applyProtection="1">
      <alignment horizontal="center" vertical="center"/>
      <protection locked="0"/>
    </xf>
    <xf numFmtId="0" fontId="32" fillId="0" borderId="20" xfId="275" applyNumberFormat="1" applyFont="1" applyFill="1" applyBorder="1" applyAlignment="1" applyProtection="1">
      <alignment vertical="center"/>
      <protection locked="0"/>
    </xf>
    <xf numFmtId="0" fontId="32" fillId="0" borderId="38" xfId="275" applyNumberFormat="1" applyFont="1" applyFill="1" applyBorder="1" applyAlignment="1" applyProtection="1">
      <alignment vertical="center"/>
      <protection locked="0"/>
    </xf>
    <xf numFmtId="0" fontId="32" fillId="0" borderId="21" xfId="275" applyNumberFormat="1" applyFont="1" applyFill="1" applyBorder="1" applyAlignment="1" applyProtection="1">
      <alignment vertical="center"/>
      <protection locked="0"/>
    </xf>
    <xf numFmtId="0" fontId="32" fillId="0" borderId="0" xfId="275" applyNumberFormat="1" applyFont="1" applyFill="1" applyBorder="1" applyAlignment="1" applyProtection="1">
      <alignment vertical="center"/>
      <protection locked="0"/>
    </xf>
    <xf numFmtId="0" fontId="32" fillId="0" borderId="22" xfId="275" applyNumberFormat="1" applyFont="1" applyFill="1" applyBorder="1" applyAlignment="1" applyProtection="1">
      <alignment vertical="center"/>
      <protection locked="0"/>
    </xf>
    <xf numFmtId="0" fontId="32" fillId="0" borderId="39" xfId="275" applyNumberFormat="1" applyFont="1" applyFill="1" applyBorder="1" applyAlignment="1" applyProtection="1">
      <alignment vertical="center"/>
      <protection locked="0"/>
    </xf>
    <xf numFmtId="9" fontId="33" fillId="57" borderId="32" xfId="1" applyFont="1" applyFill="1" applyBorder="1" applyAlignment="1" applyProtection="1">
      <alignment vertical="center" wrapText="1"/>
      <protection locked="0"/>
    </xf>
    <xf numFmtId="3" fontId="32" fillId="0" borderId="19" xfId="0" applyNumberFormat="1" applyFont="1" applyFill="1" applyBorder="1" applyAlignment="1" applyProtection="1">
      <alignment vertical="center"/>
      <protection locked="0"/>
    </xf>
    <xf numFmtId="0" fontId="32" fillId="0" borderId="18" xfId="275" applyNumberFormat="1" applyFont="1" applyFill="1" applyBorder="1" applyAlignment="1" applyProtection="1">
      <alignment horizontal="left" vertical="center" wrapText="1"/>
      <protection locked="0"/>
    </xf>
    <xf numFmtId="0" fontId="0" fillId="0" borderId="18" xfId="0" quotePrefix="1" applyFont="1" applyFill="1" applyBorder="1" applyAlignment="1" applyProtection="1">
      <alignment horizontal="center" vertical="center" wrapText="1"/>
      <protection locked="0"/>
    </xf>
    <xf numFmtId="0" fontId="41" fillId="59" borderId="0" xfId="275" applyFont="1" applyFill="1" applyBorder="1" applyProtection="1">
      <protection locked="0"/>
    </xf>
    <xf numFmtId="0" fontId="41" fillId="59" borderId="0" xfId="275" applyFont="1" applyFill="1" applyProtection="1">
      <protection locked="0"/>
    </xf>
    <xf numFmtId="0" fontId="41" fillId="59" borderId="0" xfId="275" applyFont="1" applyFill="1" applyBorder="1" applyAlignment="1" applyProtection="1">
      <alignment horizontal="center" vertical="center"/>
      <protection locked="0"/>
    </xf>
    <xf numFmtId="0" fontId="41" fillId="62" borderId="0" xfId="275" applyNumberFormat="1" applyFont="1" applyFill="1" applyBorder="1" applyAlignment="1" applyProtection="1">
      <alignment vertical="center"/>
      <protection locked="0"/>
    </xf>
    <xf numFmtId="0" fontId="30" fillId="57" borderId="30" xfId="634" applyFont="1" applyFill="1" applyBorder="1" applyAlignment="1" applyProtection="1">
      <alignment horizontal="left" vertical="top" wrapText="1"/>
      <protection locked="0"/>
    </xf>
    <xf numFmtId="0" fontId="30" fillId="60" borderId="30" xfId="634" applyFont="1" applyFill="1" applyBorder="1" applyAlignment="1" applyProtection="1">
      <alignment horizontal="left" vertical="top" wrapText="1"/>
      <protection locked="0"/>
    </xf>
    <xf numFmtId="0" fontId="30" fillId="61" borderId="30" xfId="634" applyFont="1" applyFill="1" applyBorder="1" applyAlignment="1" applyProtection="1">
      <alignment horizontal="left" vertical="top" wrapText="1"/>
      <protection locked="0"/>
    </xf>
    <xf numFmtId="0" fontId="32" fillId="59" borderId="0" xfId="275" applyFont="1" applyFill="1" applyBorder="1" applyAlignment="1" applyProtection="1">
      <alignment horizontal="center" vertical="center"/>
      <protection locked="0"/>
    </xf>
    <xf numFmtId="0" fontId="32" fillId="59" borderId="0" xfId="275" applyFont="1" applyFill="1" applyProtection="1">
      <protection locked="0"/>
    </xf>
    <xf numFmtId="0" fontId="30" fillId="57" borderId="4" xfId="634" applyFont="1" applyFill="1" applyBorder="1" applyAlignment="1" applyProtection="1">
      <alignment horizontal="left" vertical="top" wrapText="1"/>
      <protection locked="0"/>
    </xf>
    <xf numFmtId="0" fontId="30" fillId="60" borderId="4" xfId="634" applyFont="1" applyFill="1" applyBorder="1" applyAlignment="1" applyProtection="1">
      <alignment horizontal="left" vertical="top" wrapText="1"/>
      <protection locked="0"/>
    </xf>
    <xf numFmtId="0" fontId="30" fillId="60" borderId="4" xfId="634" applyFont="1" applyFill="1" applyBorder="1" applyAlignment="1" applyProtection="1">
      <alignment horizontal="left" vertical="center"/>
      <protection locked="0"/>
    </xf>
    <xf numFmtId="0" fontId="30" fillId="60" borderId="4" xfId="634" applyFont="1" applyFill="1" applyBorder="1" applyAlignment="1" applyProtection="1">
      <alignment horizontal="left" vertical="center" wrapText="1"/>
      <protection locked="0"/>
    </xf>
    <xf numFmtId="0" fontId="30" fillId="61" borderId="4" xfId="634" applyFont="1" applyFill="1" applyBorder="1" applyAlignment="1" applyProtection="1">
      <alignment horizontal="left" vertical="top" wrapText="1"/>
      <protection locked="0"/>
    </xf>
    <xf numFmtId="0" fontId="0" fillId="0" borderId="51" xfId="0" applyBorder="1" applyAlignment="1" applyProtection="1">
      <alignment horizontal="right" vertical="top" wrapText="1"/>
    </xf>
    <xf numFmtId="0" fontId="0" fillId="0" borderId="51" xfId="0" applyFont="1" applyBorder="1" applyAlignment="1" applyProtection="1">
      <alignment horizontal="left" vertical="top" wrapText="1"/>
    </xf>
    <xf numFmtId="167" fontId="0" fillId="0" borderId="51" xfId="0" applyNumberFormat="1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vertical="center" wrapText="1"/>
      <protection locked="0"/>
    </xf>
    <xf numFmtId="0" fontId="0" fillId="0" borderId="52" xfId="0" applyFont="1" applyFill="1" applyBorder="1" applyAlignment="1" applyProtection="1">
      <alignment horizontal="center" vertical="center" wrapText="1"/>
    </xf>
    <xf numFmtId="0" fontId="0" fillId="0" borderId="51" xfId="0" applyNumberFormat="1" applyFont="1" applyBorder="1" applyAlignment="1" applyProtection="1">
      <alignment horizontal="center" vertical="center"/>
    </xf>
    <xf numFmtId="0" fontId="0" fillId="0" borderId="51" xfId="0" applyFont="1" applyBorder="1" applyAlignment="1" applyProtection="1">
      <alignment horizontal="left" vertical="center" wrapText="1"/>
      <protection locked="0"/>
    </xf>
    <xf numFmtId="0" fontId="42" fillId="0" borderId="51" xfId="0" applyFont="1" applyBorder="1" applyAlignment="1" applyProtection="1">
      <alignment horizontal="center" vertical="center" wrapText="1"/>
    </xf>
    <xf numFmtId="0" fontId="0" fillId="0" borderId="51" xfId="0" applyFont="1" applyBorder="1" applyAlignment="1" applyProtection="1">
      <alignment horizontal="center" vertical="center" wrapText="1"/>
    </xf>
    <xf numFmtId="175" fontId="42" fillId="0" borderId="51" xfId="0" applyNumberFormat="1" applyFont="1" applyBorder="1" applyAlignment="1" applyProtection="1">
      <alignment horizontal="center" vertical="center" wrapText="1"/>
    </xf>
    <xf numFmtId="175" fontId="43" fillId="0" borderId="51" xfId="0" applyNumberFormat="1" applyFont="1" applyFill="1" applyBorder="1" applyAlignment="1" applyProtection="1">
      <alignment horizontal="center" vertical="center" wrapText="1"/>
    </xf>
    <xf numFmtId="0" fontId="30" fillId="0" borderId="51" xfId="0" applyFont="1" applyBorder="1" applyAlignment="1" applyProtection="1">
      <alignment horizontal="left" vertical="top" wrapText="1"/>
      <protection locked="0"/>
    </xf>
    <xf numFmtId="176" fontId="30" fillId="0" borderId="51" xfId="275" applyNumberFormat="1" applyFont="1" applyFill="1" applyBorder="1" applyAlignment="1" applyProtection="1">
      <alignment horizontal="left" vertical="center"/>
      <protection locked="0"/>
    </xf>
    <xf numFmtId="0" fontId="30" fillId="0" borderId="51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51" xfId="0" applyBorder="1" applyAlignment="1" applyProtection="1">
      <alignment horizontal="right" vertical="top" wrapText="1"/>
      <protection locked="0"/>
    </xf>
    <xf numFmtId="0" fontId="0" fillId="0" borderId="51" xfId="0" applyFont="1" applyBorder="1" applyAlignment="1" applyProtection="1">
      <alignment horizontal="left" vertical="top" wrapText="1"/>
      <protection locked="0"/>
    </xf>
    <xf numFmtId="0" fontId="0" fillId="0" borderId="53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 applyAlignment="1" applyProtection="1">
      <alignment horizontal="center" vertical="center" wrapText="1"/>
    </xf>
    <xf numFmtId="175" fontId="42" fillId="0" borderId="53" xfId="0" applyNumberFormat="1" applyFont="1" applyBorder="1" applyAlignment="1" applyProtection="1">
      <alignment horizontal="center" vertical="center" wrapText="1"/>
    </xf>
    <xf numFmtId="175" fontId="43" fillId="0" borderId="53" xfId="0" applyNumberFormat="1" applyFont="1" applyFill="1" applyBorder="1" applyAlignment="1" applyProtection="1">
      <alignment horizontal="center" vertical="center" wrapText="1"/>
    </xf>
    <xf numFmtId="0" fontId="0" fillId="0" borderId="53" xfId="0" applyBorder="1" applyAlignment="1" applyProtection="1">
      <alignment horizontal="center" vertical="center" wrapText="1"/>
      <protection locked="0"/>
    </xf>
    <xf numFmtId="0" fontId="0" fillId="0" borderId="51" xfId="0" applyBorder="1" applyAlignment="1" applyProtection="1">
      <alignment horizontal="left" vertical="top" wrapText="1"/>
      <protection locked="0"/>
    </xf>
    <xf numFmtId="167" fontId="0" fillId="0" borderId="53" xfId="0" applyNumberFormat="1" applyBorder="1" applyAlignment="1" applyProtection="1">
      <alignment horizontal="center" vertical="center"/>
      <protection locked="0"/>
    </xf>
    <xf numFmtId="0" fontId="44" fillId="0" borderId="53" xfId="0" applyFont="1" applyFill="1" applyBorder="1" applyAlignment="1" applyProtection="1">
      <alignment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</xf>
    <xf numFmtId="0" fontId="0" fillId="0" borderId="45" xfId="0" applyFill="1" applyBorder="1" applyAlignment="1" applyProtection="1">
      <alignment horizontal="center" vertical="center" wrapText="1"/>
    </xf>
    <xf numFmtId="0" fontId="0" fillId="0" borderId="51" xfId="0" applyNumberFormat="1" applyBorder="1" applyAlignment="1" applyProtection="1">
      <alignment horizontal="center" vertical="center"/>
    </xf>
    <xf numFmtId="0" fontId="0" fillId="0" borderId="51" xfId="0" applyBorder="1" applyAlignment="1" applyProtection="1">
      <alignment horizontal="left" vertical="center" wrapText="1"/>
      <protection locked="0"/>
    </xf>
    <xf numFmtId="0" fontId="0" fillId="0" borderId="51" xfId="0" applyBorder="1" applyAlignment="1" applyProtection="1">
      <alignment horizontal="center" vertical="center" wrapText="1"/>
    </xf>
    <xf numFmtId="0" fontId="0" fillId="0" borderId="51" xfId="0" applyBorder="1" applyAlignment="1" applyProtection="1">
      <alignment horizontal="left" vertical="top" wrapText="1"/>
    </xf>
    <xf numFmtId="0" fontId="30" fillId="0" borderId="53" xfId="0" applyFont="1" applyBorder="1" applyAlignment="1" applyProtection="1">
      <alignment horizontal="right" vertical="top" wrapText="1"/>
      <protection locked="0"/>
    </xf>
    <xf numFmtId="0" fontId="30" fillId="0" borderId="53" xfId="0" applyFont="1" applyBorder="1" applyAlignment="1" applyProtection="1">
      <alignment horizontal="left" vertical="top" wrapText="1"/>
      <protection locked="0"/>
    </xf>
    <xf numFmtId="0" fontId="30" fillId="0" borderId="53" xfId="0" applyFont="1" applyBorder="1" applyAlignment="1" applyProtection="1">
      <alignment horizontal="center" vertical="center" wrapText="1"/>
      <protection locked="0"/>
    </xf>
    <xf numFmtId="3" fontId="33" fillId="57" borderId="31" xfId="0" applyNumberFormat="1" applyFont="1" applyFill="1" applyBorder="1" applyAlignment="1" applyProtection="1">
      <alignment horizontal="left" vertical="top"/>
      <protection locked="0"/>
    </xf>
    <xf numFmtId="9" fontId="33" fillId="57" borderId="30" xfId="1" applyFont="1" applyFill="1" applyBorder="1" applyAlignment="1" applyProtection="1">
      <alignment horizontal="left" vertical="top"/>
      <protection locked="0"/>
    </xf>
    <xf numFmtId="9" fontId="33" fillId="57" borderId="50" xfId="1" applyFont="1" applyFill="1" applyBorder="1" applyAlignment="1" applyProtection="1">
      <alignment horizontal="left" vertical="top"/>
    </xf>
    <xf numFmtId="4" fontId="35" fillId="0" borderId="0" xfId="0" applyNumberFormat="1" applyFont="1" applyBorder="1" applyAlignment="1" applyProtection="1">
      <alignment horizontal="right"/>
    </xf>
    <xf numFmtId="0" fontId="33" fillId="0" borderId="27" xfId="0" applyFont="1" applyBorder="1" applyAlignment="1" applyProtection="1">
      <alignment vertical="center"/>
      <protection locked="0"/>
    </xf>
    <xf numFmtId="0" fontId="33" fillId="0" borderId="29" xfId="0" applyFont="1" applyBorder="1" applyAlignment="1" applyProtection="1">
      <alignment vertical="center"/>
      <protection locked="0"/>
    </xf>
    <xf numFmtId="3" fontId="32" fillId="0" borderId="0" xfId="0" applyNumberFormat="1" applyFont="1" applyFill="1" applyBorder="1" applyAlignment="1" applyProtection="1">
      <alignment vertical="top"/>
      <protection locked="0"/>
    </xf>
    <xf numFmtId="0" fontId="33" fillId="0" borderId="0" xfId="0" applyFont="1" applyBorder="1" applyAlignment="1" applyProtection="1">
      <alignment horizontal="left"/>
      <protection locked="0"/>
    </xf>
    <xf numFmtId="3" fontId="32" fillId="0" borderId="19" xfId="0" applyNumberFormat="1" applyFont="1" applyFill="1" applyBorder="1" applyAlignment="1" applyProtection="1">
      <alignment vertical="center" wrapText="1"/>
      <protection locked="0"/>
    </xf>
    <xf numFmtId="3" fontId="31" fillId="0" borderId="18" xfId="0" applyNumberFormat="1" applyFont="1" applyBorder="1" applyAlignment="1" applyProtection="1">
      <alignment horizontal="center" vertical="center"/>
      <protection locked="0"/>
    </xf>
    <xf numFmtId="3" fontId="31" fillId="0" borderId="19" xfId="0" applyNumberFormat="1" applyFont="1" applyFill="1" applyBorder="1" applyAlignment="1" applyProtection="1">
      <alignment vertical="center" wrapText="1"/>
      <protection locked="0"/>
    </xf>
    <xf numFmtId="167" fontId="31" fillId="0" borderId="19" xfId="0" applyNumberFormat="1" applyFont="1" applyFill="1" applyBorder="1" applyAlignment="1" applyProtection="1">
      <alignment horizontal="center" vertical="center"/>
      <protection locked="0"/>
    </xf>
    <xf numFmtId="2" fontId="33" fillId="0" borderId="10" xfId="1" applyNumberFormat="1" applyFont="1" applyFill="1" applyBorder="1" applyAlignment="1" applyProtection="1">
      <alignment horizontal="center" vertical="center"/>
      <protection locked="0"/>
    </xf>
    <xf numFmtId="0" fontId="32" fillId="0" borderId="34" xfId="275" applyNumberFormat="1" applyFont="1" applyFill="1" applyBorder="1" applyAlignment="1" applyProtection="1">
      <alignment horizontal="left" vertical="top" wrapText="1"/>
      <protection locked="0"/>
    </xf>
    <xf numFmtId="0" fontId="32" fillId="0" borderId="35" xfId="275" applyNumberFormat="1" applyFont="1" applyFill="1" applyBorder="1" applyAlignment="1" applyProtection="1">
      <alignment horizontal="left" vertical="top" wrapText="1"/>
      <protection locked="0"/>
    </xf>
    <xf numFmtId="0" fontId="32" fillId="0" borderId="36" xfId="275" applyNumberFormat="1" applyFont="1" applyFill="1" applyBorder="1" applyAlignment="1" applyProtection="1">
      <alignment horizontal="left" vertical="top" wrapText="1"/>
      <protection locked="0"/>
    </xf>
    <xf numFmtId="9" fontId="31" fillId="0" borderId="18" xfId="1" applyNumberFormat="1" applyFont="1" applyFill="1" applyBorder="1" applyAlignment="1" applyProtection="1">
      <alignment horizontal="center" vertical="center" wrapText="1"/>
    </xf>
    <xf numFmtId="9" fontId="31" fillId="0" borderId="34" xfId="1" applyNumberFormat="1" applyFont="1" applyFill="1" applyBorder="1" applyAlignment="1" applyProtection="1">
      <alignment horizontal="center" vertical="center" wrapText="1"/>
    </xf>
    <xf numFmtId="9" fontId="31" fillId="0" borderId="35" xfId="1" applyNumberFormat="1" applyFont="1" applyFill="1" applyBorder="1" applyAlignment="1" applyProtection="1">
      <alignment horizontal="center" vertical="center" wrapText="1"/>
    </xf>
    <xf numFmtId="9" fontId="31" fillId="0" borderId="36" xfId="1" applyNumberFormat="1" applyFont="1" applyFill="1" applyBorder="1" applyAlignment="1" applyProtection="1">
      <alignment horizontal="center" vertical="center" wrapText="1"/>
    </xf>
    <xf numFmtId="9" fontId="34" fillId="0" borderId="18" xfId="1" applyNumberFormat="1" applyFont="1" applyFill="1" applyBorder="1" applyAlignment="1" applyProtection="1">
      <alignment horizontal="center" vertical="center" wrapText="1"/>
    </xf>
    <xf numFmtId="9" fontId="34" fillId="0" borderId="34" xfId="1" applyNumberFormat="1" applyFont="1" applyFill="1" applyBorder="1" applyAlignment="1" applyProtection="1">
      <alignment horizontal="center" vertical="center" wrapText="1"/>
    </xf>
    <xf numFmtId="9" fontId="34" fillId="0" borderId="35" xfId="1" applyNumberFormat="1" applyFont="1" applyFill="1" applyBorder="1" applyAlignment="1" applyProtection="1">
      <alignment horizontal="center" vertical="center" wrapText="1"/>
    </xf>
    <xf numFmtId="9" fontId="34" fillId="0" borderId="36" xfId="1" applyNumberFormat="1" applyFont="1" applyFill="1" applyBorder="1" applyAlignment="1" applyProtection="1">
      <alignment horizontal="center" vertical="center" wrapText="1"/>
    </xf>
    <xf numFmtId="0" fontId="30" fillId="2" borderId="17" xfId="0" applyFont="1" applyFill="1" applyBorder="1" applyAlignment="1">
      <alignment horizontal="center"/>
    </xf>
    <xf numFmtId="0" fontId="3" fillId="0" borderId="48" xfId="0" applyFont="1" applyBorder="1" applyAlignment="1" applyProtection="1">
      <alignment horizontal="left" vertical="center"/>
      <protection locked="0"/>
    </xf>
    <xf numFmtId="0" fontId="3" fillId="0" borderId="4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40" fillId="58" borderId="0" xfId="275" applyNumberFormat="1" applyFont="1" applyFill="1" applyBorder="1" applyAlignment="1" applyProtection="1">
      <alignment horizontal="left"/>
      <protection locked="0"/>
    </xf>
    <xf numFmtId="0" fontId="31" fillId="57" borderId="1" xfId="634" applyNumberFormat="1" applyFont="1" applyFill="1" applyBorder="1" applyAlignment="1" applyProtection="1">
      <alignment horizontal="left" vertical="top" wrapText="1"/>
      <protection locked="0"/>
    </xf>
    <xf numFmtId="0" fontId="31" fillId="60" borderId="1" xfId="634" applyNumberFormat="1" applyFont="1" applyFill="1" applyBorder="1" applyAlignment="1" applyProtection="1">
      <alignment horizontal="left" vertical="top" wrapText="1"/>
      <protection locked="0"/>
    </xf>
    <xf numFmtId="0" fontId="31" fillId="61" borderId="1" xfId="634" applyNumberFormat="1" applyFont="1" applyFill="1" applyBorder="1" applyAlignment="1" applyProtection="1">
      <alignment horizontal="left" vertical="top" wrapText="1"/>
      <protection locked="0"/>
    </xf>
    <xf numFmtId="0" fontId="30" fillId="60" borderId="30" xfId="634" applyFont="1" applyFill="1" applyBorder="1" applyAlignment="1" applyProtection="1">
      <alignment horizontal="left" vertical="top" wrapText="1"/>
      <protection locked="0"/>
    </xf>
  </cellXfs>
  <cellStyles count="635">
    <cellStyle name="%" xfId="2"/>
    <cellStyle name="% 2" xfId="3"/>
    <cellStyle name="20% - Ênfase1 2" xfId="4"/>
    <cellStyle name="20% - Ênfase1 2 2" xfId="5"/>
    <cellStyle name="20% - Ênfase2 2" xfId="6"/>
    <cellStyle name="20% - Ênfase3 2" xfId="7"/>
    <cellStyle name="20% - Ênfase4 2" xfId="8"/>
    <cellStyle name="20% - Ênfase4 2 2" xfId="9"/>
    <cellStyle name="20% - Ênfase5 2" xfId="10"/>
    <cellStyle name="20% - Ênfase5 2 2" xfId="11"/>
    <cellStyle name="20% - Ênfase6 2" xfId="12"/>
    <cellStyle name="20% - Ênfase6 2 2" xfId="13"/>
    <cellStyle name="20% - Énfasis1" xfId="14"/>
    <cellStyle name="20% - Énfasis1 2" xfId="15"/>
    <cellStyle name="20% - Énfasis1 2 2" xfId="16"/>
    <cellStyle name="20% - Énfasis1 3" xfId="17"/>
    <cellStyle name="20% - Énfasis2" xfId="18"/>
    <cellStyle name="20% - Énfasis2 2" xfId="19"/>
    <cellStyle name="20% - Énfasis2 2 2" xfId="20"/>
    <cellStyle name="20% - Énfasis2 3" xfId="21"/>
    <cellStyle name="20% - Énfasis3" xfId="22"/>
    <cellStyle name="20% - Énfasis3 2" xfId="23"/>
    <cellStyle name="20% - Énfasis3 2 2" xfId="24"/>
    <cellStyle name="20% - Énfasis3 3" xfId="25"/>
    <cellStyle name="20% - Énfasis4" xfId="26"/>
    <cellStyle name="20% - Énfasis4 2" xfId="27"/>
    <cellStyle name="20% - Énfasis4 2 2" xfId="28"/>
    <cellStyle name="20% - Énfasis4 3" xfId="29"/>
    <cellStyle name="20% - Énfasis5" xfId="30"/>
    <cellStyle name="20% - Énfasis5 2" xfId="31"/>
    <cellStyle name="20% - Énfasis5 2 2" xfId="32"/>
    <cellStyle name="20% - Énfasis5 3" xfId="33"/>
    <cellStyle name="20% - Énfasis6" xfId="34"/>
    <cellStyle name="20% - Énfasis6 2" xfId="35"/>
    <cellStyle name="20% - Énfasis6 2 2" xfId="36"/>
    <cellStyle name="20% - Énfasis6 3" xfId="37"/>
    <cellStyle name="40% - Ênfase1 2" xfId="38"/>
    <cellStyle name="40% - Ênfase2 2" xfId="39"/>
    <cellStyle name="40% - Ênfase3 2" xfId="40"/>
    <cellStyle name="40% - Ênfase4 2" xfId="41"/>
    <cellStyle name="40% - Ênfase4 2 2" xfId="42"/>
    <cellStyle name="40% - Ênfase5 2" xfId="43"/>
    <cellStyle name="40% - Ênfase6 2" xfId="44"/>
    <cellStyle name="40% - Énfasis1" xfId="45"/>
    <cellStyle name="40% - Énfasis1 2" xfId="46"/>
    <cellStyle name="40% - Énfasis1 2 2" xfId="47"/>
    <cellStyle name="40% - Énfasis1 3" xfId="48"/>
    <cellStyle name="40% - Énfasis2" xfId="49"/>
    <cellStyle name="40% - Énfasis2 2" xfId="50"/>
    <cellStyle name="40% - Énfasis2 2 2" xfId="51"/>
    <cellStyle name="40% - Énfasis2 3" xfId="52"/>
    <cellStyle name="40% - Énfasis3" xfId="53"/>
    <cellStyle name="40% - Énfasis3 2" xfId="54"/>
    <cellStyle name="40% - Énfasis3 2 2" xfId="55"/>
    <cellStyle name="40% - Énfasis3 3" xfId="56"/>
    <cellStyle name="40% - Énfasis4" xfId="57"/>
    <cellStyle name="40% - Énfasis4 2" xfId="58"/>
    <cellStyle name="40% - Énfasis4 2 2" xfId="59"/>
    <cellStyle name="40% - Énfasis4 3" xfId="60"/>
    <cellStyle name="40% - Énfasis5" xfId="61"/>
    <cellStyle name="40% - Énfasis5 2" xfId="62"/>
    <cellStyle name="40% - Énfasis5 2 2" xfId="63"/>
    <cellStyle name="40% - Énfasis5 3" xfId="64"/>
    <cellStyle name="40% - Énfasis6" xfId="65"/>
    <cellStyle name="40% - Énfasis6 2" xfId="66"/>
    <cellStyle name="40% - Énfasis6 2 2" xfId="67"/>
    <cellStyle name="40% - Énfasis6 3" xfId="68"/>
    <cellStyle name="60% - Ênfase1 2" xfId="69"/>
    <cellStyle name="60% - Ênfase1 2 2" xfId="70"/>
    <cellStyle name="60% - Ênfase2 2" xfId="71"/>
    <cellStyle name="60% - Ênfase3 2" xfId="72"/>
    <cellStyle name="60% - Ênfase4 2" xfId="73"/>
    <cellStyle name="60% - Ênfase5 2" xfId="74"/>
    <cellStyle name="60% - Ênfase6 2" xfId="75"/>
    <cellStyle name="60% - Énfasis1" xfId="76"/>
    <cellStyle name="60% - Énfasis1 2" xfId="77"/>
    <cellStyle name="60% - Énfasis2" xfId="78"/>
    <cellStyle name="60% - Énfasis2 2" xfId="79"/>
    <cellStyle name="60% - Énfasis3" xfId="80"/>
    <cellStyle name="60% - Énfasis3 2" xfId="81"/>
    <cellStyle name="60% - Énfasis4" xfId="82"/>
    <cellStyle name="60% - Énfasis4 2" xfId="83"/>
    <cellStyle name="60% - Énfasis5" xfId="84"/>
    <cellStyle name="60% - Énfasis5 2" xfId="85"/>
    <cellStyle name="60% - Énfasis6" xfId="86"/>
    <cellStyle name="60% - Énfasis6 2" xfId="87"/>
    <cellStyle name="active" xfId="88"/>
    <cellStyle name="active 2" xfId="89"/>
    <cellStyle name="Bom 2" xfId="90"/>
    <cellStyle name="Buena" xfId="91"/>
    <cellStyle name="Buena 2" xfId="92"/>
    <cellStyle name="Cálculo 2" xfId="93"/>
    <cellStyle name="Cálculo 2 2" xfId="94"/>
    <cellStyle name="Cálculo 2 2 2" xfId="606"/>
    <cellStyle name="Cálculo 2 3" xfId="95"/>
    <cellStyle name="Cálculo 2 3 2" xfId="607"/>
    <cellStyle name="Cálculo 2 4" xfId="96"/>
    <cellStyle name="Cálculo 2 4 2" xfId="608"/>
    <cellStyle name="Cálculo 2 5" xfId="605"/>
    <cellStyle name="Cálculo 3" xfId="97"/>
    <cellStyle name="Cálculo 3 2" xfId="609"/>
    <cellStyle name="Cálculo 4" xfId="98"/>
    <cellStyle name="Cálculo 4 2" xfId="610"/>
    <cellStyle name="Cálculo 5" xfId="99"/>
    <cellStyle name="Cálculo 5 2" xfId="611"/>
    <cellStyle name="Campo do Assistente de dados" xfId="100"/>
    <cellStyle name="Canto do Assistente de dados" xfId="101"/>
    <cellStyle name="Categoria do Assistente de dados" xfId="102"/>
    <cellStyle name="Celda de comprobación" xfId="103"/>
    <cellStyle name="Celda de comprobación 2" xfId="104"/>
    <cellStyle name="Celda vinculada" xfId="105"/>
    <cellStyle name="Celda vinculada 2" xfId="106"/>
    <cellStyle name="Célula de Verificação 2" xfId="107"/>
    <cellStyle name="Célula Vinculada 2" xfId="108"/>
    <cellStyle name="Comma 10" xfId="109"/>
    <cellStyle name="Comma 10 2" xfId="110"/>
    <cellStyle name="Comma 11" xfId="111"/>
    <cellStyle name="Comma 11 2" xfId="112"/>
    <cellStyle name="Comma 12" xfId="113"/>
    <cellStyle name="Comma 12 2" xfId="114"/>
    <cellStyle name="Comma 13" xfId="115"/>
    <cellStyle name="Comma 13 2" xfId="116"/>
    <cellStyle name="Comma 14" xfId="117"/>
    <cellStyle name="Comma 14 2" xfId="118"/>
    <cellStyle name="Comma 15" xfId="119"/>
    <cellStyle name="Comma 15 2" xfId="120"/>
    <cellStyle name="Comma 16" xfId="121"/>
    <cellStyle name="Comma 16 2" xfId="122"/>
    <cellStyle name="Comma 17" xfId="123"/>
    <cellStyle name="Comma 17 2" xfId="124"/>
    <cellStyle name="Comma 18" xfId="125"/>
    <cellStyle name="Comma 18 2" xfId="126"/>
    <cellStyle name="Comma 19" xfId="127"/>
    <cellStyle name="Comma 19 2" xfId="128"/>
    <cellStyle name="Comma 2" xfId="129"/>
    <cellStyle name="Comma 2 2" xfId="130"/>
    <cellStyle name="Comma 20" xfId="131"/>
    <cellStyle name="Comma 20 2" xfId="132"/>
    <cellStyle name="Comma 21" xfId="133"/>
    <cellStyle name="Comma 21 2" xfId="134"/>
    <cellStyle name="Comma 22" xfId="135"/>
    <cellStyle name="Comma 3" xfId="136"/>
    <cellStyle name="Comma 3 2" xfId="137"/>
    <cellStyle name="Comma 4" xfId="138"/>
    <cellStyle name="Comma 4 2" xfId="139"/>
    <cellStyle name="Comma 5" xfId="140"/>
    <cellStyle name="Comma 5 2" xfId="141"/>
    <cellStyle name="Comma 6" xfId="142"/>
    <cellStyle name="Comma 6 2" xfId="143"/>
    <cellStyle name="Comma 7" xfId="144"/>
    <cellStyle name="Comma 7 2" xfId="145"/>
    <cellStyle name="Comma 8" xfId="146"/>
    <cellStyle name="Comma 8 2" xfId="147"/>
    <cellStyle name="Comma 9" xfId="148"/>
    <cellStyle name="Comma 9 2" xfId="149"/>
    <cellStyle name="Currency 2" xfId="150"/>
    <cellStyle name="Currency 3" xfId="151"/>
    <cellStyle name="date" xfId="152"/>
    <cellStyle name="Encabezado 4" xfId="153"/>
    <cellStyle name="Encabezado 4 2" xfId="154"/>
    <cellStyle name="Ênfase1 2" xfId="155"/>
    <cellStyle name="Ênfase1 2 2" xfId="156"/>
    <cellStyle name="Ênfase2 2" xfId="157"/>
    <cellStyle name="Ênfase3 2" xfId="158"/>
    <cellStyle name="Ênfase3 2 2" xfId="159"/>
    <cellStyle name="Ênfase4 2" xfId="160"/>
    <cellStyle name="Ênfase5 2" xfId="161"/>
    <cellStyle name="Ênfase6 2" xfId="162"/>
    <cellStyle name="Énfasis1" xfId="163"/>
    <cellStyle name="Énfasis1 2" xfId="164"/>
    <cellStyle name="Énfasis2" xfId="165"/>
    <cellStyle name="Énfasis2 2" xfId="166"/>
    <cellStyle name="Énfasis3" xfId="167"/>
    <cellStyle name="Énfasis3 2" xfId="168"/>
    <cellStyle name="Énfasis4" xfId="169"/>
    <cellStyle name="Énfasis4 2" xfId="170"/>
    <cellStyle name="Énfasis5" xfId="171"/>
    <cellStyle name="Énfasis5 2" xfId="172"/>
    <cellStyle name="Énfasis6" xfId="173"/>
    <cellStyle name="Énfasis6 2" xfId="174"/>
    <cellStyle name="Entrada 2" xfId="175"/>
    <cellStyle name="Entrada 2 2" xfId="176"/>
    <cellStyle name="Entrada 2 2 2" xfId="613"/>
    <cellStyle name="Entrada 2 3" xfId="177"/>
    <cellStyle name="Entrada 2 3 2" xfId="614"/>
    <cellStyle name="Entrada 2 4" xfId="178"/>
    <cellStyle name="Entrada 2 4 2" xfId="615"/>
    <cellStyle name="Entrada 2 5" xfId="612"/>
    <cellStyle name="Entrada 3" xfId="179"/>
    <cellStyle name="Entrada 3 2" xfId="616"/>
    <cellStyle name="Entrada 4" xfId="180"/>
    <cellStyle name="Entrada 4 2" xfId="617"/>
    <cellStyle name="Entrada 5" xfId="181"/>
    <cellStyle name="Entrada 5 2" xfId="618"/>
    <cellStyle name="Excel Built-in Normal" xfId="633"/>
    <cellStyle name="Excel_BuiltIn_Comma" xfId="182"/>
    <cellStyle name="Grey" xfId="183"/>
    <cellStyle name="Header1" xfId="184"/>
    <cellStyle name="Header1 2" xfId="185"/>
    <cellStyle name="Header2" xfId="186"/>
    <cellStyle name="Header2 2" xfId="187"/>
    <cellStyle name="Header2 2 2" xfId="620"/>
    <cellStyle name="Header2 3" xfId="619"/>
    <cellStyle name="Hyperlink 2" xfId="188"/>
    <cellStyle name="Hyperlink 2 2" xfId="189"/>
    <cellStyle name="Incorrecto" xfId="190"/>
    <cellStyle name="Incorrecto 2" xfId="191"/>
    <cellStyle name="Incorreto 2" xfId="192"/>
    <cellStyle name="Input [yellow]" xfId="193"/>
    <cellStyle name="Input [yellow] 2" xfId="621"/>
    <cellStyle name="Moeda 2" xfId="632"/>
    <cellStyle name="Neutra 2" xfId="194"/>
    <cellStyle name="Normal" xfId="0" builtinId="0"/>
    <cellStyle name="Normal - Style1" xfId="195"/>
    <cellStyle name="Normal - Style1 2" xfId="196"/>
    <cellStyle name="Normal - Style1 3" xfId="197"/>
    <cellStyle name="Normal - Style1 4" xfId="198"/>
    <cellStyle name="Normal - Style1 5" xfId="199"/>
    <cellStyle name="Normal - Style1 6" xfId="200"/>
    <cellStyle name="Normal - Style1 7" xfId="201"/>
    <cellStyle name="Normal - Style1 8" xfId="202"/>
    <cellStyle name="Normal - Style1 9" xfId="203"/>
    <cellStyle name="Normal 10" xfId="204"/>
    <cellStyle name="Normal 10 2" xfId="205"/>
    <cellStyle name="Normal 2" xfId="206"/>
    <cellStyle name="Normal 2 2" xfId="207"/>
    <cellStyle name="Normal 2 2 2" xfId="208"/>
    <cellStyle name="Normal 2 2 2 2" xfId="209"/>
    <cellStyle name="Normal 2 2 2 2 2" xfId="210"/>
    <cellStyle name="Normal 2 2 2 3" xfId="211"/>
    <cellStyle name="Normal 2 2 2 4" xfId="212"/>
    <cellStyle name="Normal 2 2 3" xfId="213"/>
    <cellStyle name="Normal 2 2 3 2" xfId="214"/>
    <cellStyle name="Normal 2 2 4" xfId="215"/>
    <cellStyle name="Normal 2 2 5" xfId="216"/>
    <cellStyle name="Normal 2 3" xfId="217"/>
    <cellStyle name="Normal 2 3 2" xfId="218"/>
    <cellStyle name="Normal 2 3 2 2" xfId="219"/>
    <cellStyle name="Normal 2 3 3" xfId="220"/>
    <cellStyle name="Normal 2 3 4" xfId="221"/>
    <cellStyle name="Normal 2 4" xfId="222"/>
    <cellStyle name="Normal 2 4 2" xfId="223"/>
    <cellStyle name="Normal 2 5" xfId="224"/>
    <cellStyle name="Normal 2 6" xfId="225"/>
    <cellStyle name="Normal 2_Tem_ProjectResourceRegister_TechEdited_616" xfId="226"/>
    <cellStyle name="Normal 3" xfId="227"/>
    <cellStyle name="Normal 3 2" xfId="228"/>
    <cellStyle name="Normal 3 2 2" xfId="229"/>
    <cellStyle name="Normal 3 2 2 2" xfId="230"/>
    <cellStyle name="Normal 3 2 2 2 2" xfId="231"/>
    <cellStyle name="Normal 3 2 2 2 2 2" xfId="232"/>
    <cellStyle name="Normal 3 2 2 2 3" xfId="233"/>
    <cellStyle name="Normal 3 2 2 2 4" xfId="234"/>
    <cellStyle name="Normal 3 2 2 3" xfId="235"/>
    <cellStyle name="Normal 3 2 2 3 2" xfId="236"/>
    <cellStyle name="Normal 3 2 2 4" xfId="237"/>
    <cellStyle name="Normal 3 2 2 5" xfId="238"/>
    <cellStyle name="Normal 3 2 3" xfId="239"/>
    <cellStyle name="Normal 3 2 3 2" xfId="240"/>
    <cellStyle name="Normal 3 2 3 2 2" xfId="241"/>
    <cellStyle name="Normal 3 2 3 2 2 2" xfId="242"/>
    <cellStyle name="Normal 3 2 3 2 3" xfId="243"/>
    <cellStyle name="Normal 3 2 3 3" xfId="244"/>
    <cellStyle name="Normal 3 2 3 3 2" xfId="245"/>
    <cellStyle name="Normal 3 2 3 4" xfId="246"/>
    <cellStyle name="Normal 3 2 3 5" xfId="247"/>
    <cellStyle name="Normal 3 2 4" xfId="248"/>
    <cellStyle name="Normal 3 2 4 2" xfId="249"/>
    <cellStyle name="Normal 3 2 4 2 2" xfId="250"/>
    <cellStyle name="Normal 3 2 4 3" xfId="251"/>
    <cellStyle name="Normal 3 2 5" xfId="252"/>
    <cellStyle name="Normal 3 2 5 2" xfId="253"/>
    <cellStyle name="Normal 3 2 6" xfId="254"/>
    <cellStyle name="Normal 3 2 7" xfId="255"/>
    <cellStyle name="Normal 3 3" xfId="256"/>
    <cellStyle name="Normal 3 3 2" xfId="257"/>
    <cellStyle name="Normal 3 3 2 2" xfId="258"/>
    <cellStyle name="Normal 3 3 2 2 2" xfId="259"/>
    <cellStyle name="Normal 3 3 2 3" xfId="260"/>
    <cellStyle name="Normal 3 3 2 4" xfId="261"/>
    <cellStyle name="Normal 3 3 3" xfId="262"/>
    <cellStyle name="Normal 3 3 3 2" xfId="263"/>
    <cellStyle name="Normal 3 3 4" xfId="264"/>
    <cellStyle name="Normal 3 3 5" xfId="265"/>
    <cellStyle name="Normal 3 4" xfId="266"/>
    <cellStyle name="Normal 3 4 2" xfId="267"/>
    <cellStyle name="Normal 3 4 2 2" xfId="268"/>
    <cellStyle name="Normal 3 4 3" xfId="269"/>
    <cellStyle name="Normal 3 4 4" xfId="270"/>
    <cellStyle name="Normal 3 5" xfId="271"/>
    <cellStyle name="Normal 3 5 2" xfId="272"/>
    <cellStyle name="Normal 3 6" xfId="273"/>
    <cellStyle name="Normal 3 7" xfId="274"/>
    <cellStyle name="Normal 4" xfId="275"/>
    <cellStyle name="Normal 4 2" xfId="276"/>
    <cellStyle name="Normal 4 2 2" xfId="277"/>
    <cellStyle name="Normal 4 3" xfId="278"/>
    <cellStyle name="Normal 4 3 2" xfId="279"/>
    <cellStyle name="Normal 4 4" xfId="280"/>
    <cellStyle name="Normal 5" xfId="281"/>
    <cellStyle name="Normal 5 2" xfId="282"/>
    <cellStyle name="Normal 6" xfId="283"/>
    <cellStyle name="Normal 6 2" xfId="284"/>
    <cellStyle name="Normal 7" xfId="285"/>
    <cellStyle name="Normal 8" xfId="286"/>
    <cellStyle name="Normal 9" xfId="287"/>
    <cellStyle name="Normal_SESI_EP_MA_Planejamento_PlanoIntegracao" xfId="634"/>
    <cellStyle name="Nota 2" xfId="288"/>
    <cellStyle name="Nota 2 2" xfId="622"/>
    <cellStyle name="Notas" xfId="289"/>
    <cellStyle name="Notas 2" xfId="290"/>
    <cellStyle name="Notas 2 2" xfId="624"/>
    <cellStyle name="Notas 3" xfId="623"/>
    <cellStyle name="Novo1" xfId="291"/>
    <cellStyle name="Novo1 2" xfId="292"/>
    <cellStyle name="Novo1 2 2" xfId="626"/>
    <cellStyle name="Novo1 3" xfId="625"/>
    <cellStyle name="nr_label" xfId="293"/>
    <cellStyle name="Percent [2]" xfId="294"/>
    <cellStyle name="Percent [2] 2" xfId="295"/>
    <cellStyle name="Percent [2] 3" xfId="296"/>
    <cellStyle name="Percent [2] 4" xfId="297"/>
    <cellStyle name="Percent [2] 5" xfId="298"/>
    <cellStyle name="Percent [2] 6" xfId="299"/>
    <cellStyle name="Percent [2] 7" xfId="300"/>
    <cellStyle name="Percent [2] 8" xfId="301"/>
    <cellStyle name="Percent [2] 9" xfId="302"/>
    <cellStyle name="Percent 10" xfId="303"/>
    <cellStyle name="Percent 100" xfId="304"/>
    <cellStyle name="Percent 101" xfId="305"/>
    <cellStyle name="Percent 102" xfId="306"/>
    <cellStyle name="Percent 103" xfId="307"/>
    <cellStyle name="Percent 104" xfId="308"/>
    <cellStyle name="Percent 105" xfId="309"/>
    <cellStyle name="Percent 106" xfId="310"/>
    <cellStyle name="Percent 107" xfId="311"/>
    <cellStyle name="Percent 108" xfId="312"/>
    <cellStyle name="Percent 109" xfId="313"/>
    <cellStyle name="Percent 11" xfId="314"/>
    <cellStyle name="Percent 110" xfId="315"/>
    <cellStyle name="Percent 111" xfId="316"/>
    <cellStyle name="Percent 112" xfId="317"/>
    <cellStyle name="Percent 113" xfId="318"/>
    <cellStyle name="Percent 114" xfId="319"/>
    <cellStyle name="Percent 115" xfId="320"/>
    <cellStyle name="Percent 116" xfId="321"/>
    <cellStyle name="Percent 117" xfId="322"/>
    <cellStyle name="Percent 118" xfId="323"/>
    <cellStyle name="Percent 119" xfId="324"/>
    <cellStyle name="Percent 12" xfId="325"/>
    <cellStyle name="Percent 120" xfId="326"/>
    <cellStyle name="Percent 121" xfId="327"/>
    <cellStyle name="Percent 122" xfId="328"/>
    <cellStyle name="Percent 123" xfId="329"/>
    <cellStyle name="Percent 124" xfId="330"/>
    <cellStyle name="Percent 125" xfId="331"/>
    <cellStyle name="Percent 126" xfId="332"/>
    <cellStyle name="Percent 127" xfId="333"/>
    <cellStyle name="Percent 128" xfId="334"/>
    <cellStyle name="Percent 129" xfId="335"/>
    <cellStyle name="Percent 13" xfId="336"/>
    <cellStyle name="Percent 130" xfId="337"/>
    <cellStyle name="Percent 131" xfId="338"/>
    <cellStyle name="Percent 132" xfId="339"/>
    <cellStyle name="Percent 133" xfId="340"/>
    <cellStyle name="Percent 134" xfId="341"/>
    <cellStyle name="Percent 135" xfId="342"/>
    <cellStyle name="Percent 136" xfId="343"/>
    <cellStyle name="Percent 137" xfId="344"/>
    <cellStyle name="Percent 138" xfId="345"/>
    <cellStyle name="Percent 139" xfId="346"/>
    <cellStyle name="Percent 14" xfId="347"/>
    <cellStyle name="Percent 140" xfId="348"/>
    <cellStyle name="Percent 141" xfId="349"/>
    <cellStyle name="Percent 142" xfId="350"/>
    <cellStyle name="Percent 143" xfId="351"/>
    <cellStyle name="Percent 144" xfId="352"/>
    <cellStyle name="Percent 145" xfId="353"/>
    <cellStyle name="Percent 146" xfId="354"/>
    <cellStyle name="Percent 147" xfId="355"/>
    <cellStyle name="Percent 148" xfId="356"/>
    <cellStyle name="Percent 149" xfId="357"/>
    <cellStyle name="Percent 15" xfId="358"/>
    <cellStyle name="Percent 150" xfId="359"/>
    <cellStyle name="Percent 151" xfId="360"/>
    <cellStyle name="Percent 152" xfId="361"/>
    <cellStyle name="Percent 153" xfId="362"/>
    <cellStyle name="Percent 154" xfId="363"/>
    <cellStyle name="Percent 155" xfId="364"/>
    <cellStyle name="Percent 156" xfId="365"/>
    <cellStyle name="Percent 157" xfId="366"/>
    <cellStyle name="Percent 158" xfId="367"/>
    <cellStyle name="Percent 159" xfId="368"/>
    <cellStyle name="Percent 16" xfId="369"/>
    <cellStyle name="Percent 160" xfId="370"/>
    <cellStyle name="Percent 161" xfId="371"/>
    <cellStyle name="Percent 162" xfId="372"/>
    <cellStyle name="Percent 163" xfId="373"/>
    <cellStyle name="Percent 164" xfId="374"/>
    <cellStyle name="Percent 165" xfId="375"/>
    <cellStyle name="Percent 166" xfId="376"/>
    <cellStyle name="Percent 167" xfId="377"/>
    <cellStyle name="Percent 168" xfId="378"/>
    <cellStyle name="Percent 169" xfId="379"/>
    <cellStyle name="Percent 17" xfId="380"/>
    <cellStyle name="Percent 170" xfId="381"/>
    <cellStyle name="Percent 171" xfId="382"/>
    <cellStyle name="Percent 172" xfId="383"/>
    <cellStyle name="Percent 173" xfId="384"/>
    <cellStyle name="Percent 174" xfId="385"/>
    <cellStyle name="Percent 175" xfId="386"/>
    <cellStyle name="Percent 176" xfId="387"/>
    <cellStyle name="Percent 177" xfId="388"/>
    <cellStyle name="Percent 178" xfId="389"/>
    <cellStyle name="Percent 179" xfId="390"/>
    <cellStyle name="Percent 18" xfId="391"/>
    <cellStyle name="Percent 180" xfId="392"/>
    <cellStyle name="Percent 181" xfId="393"/>
    <cellStyle name="Percent 182" xfId="394"/>
    <cellStyle name="Percent 183" xfId="395"/>
    <cellStyle name="Percent 184" xfId="396"/>
    <cellStyle name="Percent 185" xfId="397"/>
    <cellStyle name="Percent 186" xfId="398"/>
    <cellStyle name="Percent 187" xfId="399"/>
    <cellStyle name="Percent 188" xfId="400"/>
    <cellStyle name="Percent 189" xfId="401"/>
    <cellStyle name="Percent 19" xfId="402"/>
    <cellStyle name="Percent 190" xfId="403"/>
    <cellStyle name="Percent 191" xfId="404"/>
    <cellStyle name="Percent 192" xfId="405"/>
    <cellStyle name="Percent 193" xfId="406"/>
    <cellStyle name="Percent 194" xfId="407"/>
    <cellStyle name="Percent 195" xfId="408"/>
    <cellStyle name="Percent 196" xfId="409"/>
    <cellStyle name="Percent 197" xfId="410"/>
    <cellStyle name="Percent 198" xfId="411"/>
    <cellStyle name="Percent 199" xfId="412"/>
    <cellStyle name="Percent 2" xfId="413"/>
    <cellStyle name="Percent 20" xfId="414"/>
    <cellStyle name="Percent 200" xfId="415"/>
    <cellStyle name="Percent 201" xfId="416"/>
    <cellStyle name="Percent 202" xfId="417"/>
    <cellStyle name="Percent 203" xfId="418"/>
    <cellStyle name="Percent 204" xfId="419"/>
    <cellStyle name="Percent 205" xfId="420"/>
    <cellStyle name="Percent 206" xfId="421"/>
    <cellStyle name="Percent 207" xfId="422"/>
    <cellStyle name="Percent 208" xfId="423"/>
    <cellStyle name="Percent 209" xfId="424"/>
    <cellStyle name="Percent 21" xfId="425"/>
    <cellStyle name="Percent 210" xfId="426"/>
    <cellStyle name="Percent 211" xfId="427"/>
    <cellStyle name="Percent 212" xfId="428"/>
    <cellStyle name="Percent 213" xfId="429"/>
    <cellStyle name="Percent 214" xfId="430"/>
    <cellStyle name="Percent 215" xfId="431"/>
    <cellStyle name="Percent 216" xfId="432"/>
    <cellStyle name="Percent 217" xfId="433"/>
    <cellStyle name="Percent 218" xfId="434"/>
    <cellStyle name="Percent 219" xfId="435"/>
    <cellStyle name="Percent 22" xfId="436"/>
    <cellStyle name="Percent 220" xfId="437"/>
    <cellStyle name="Percent 221" xfId="438"/>
    <cellStyle name="Percent 222" xfId="439"/>
    <cellStyle name="Percent 223" xfId="440"/>
    <cellStyle name="Percent 224" xfId="441"/>
    <cellStyle name="Percent 225" xfId="442"/>
    <cellStyle name="Percent 226" xfId="443"/>
    <cellStyle name="Percent 227" xfId="444"/>
    <cellStyle name="Percent 228" xfId="445"/>
    <cellStyle name="Percent 229" xfId="446"/>
    <cellStyle name="Percent 23" xfId="447"/>
    <cellStyle name="Percent 230" xfId="448"/>
    <cellStyle name="Percent 231" xfId="449"/>
    <cellStyle name="Percent 232" xfId="450"/>
    <cellStyle name="Percent 233" xfId="451"/>
    <cellStyle name="Percent 234" xfId="452"/>
    <cellStyle name="Percent 235" xfId="453"/>
    <cellStyle name="Percent 236" xfId="454"/>
    <cellStyle name="Percent 237" xfId="455"/>
    <cellStyle name="Percent 238" xfId="456"/>
    <cellStyle name="Percent 239" xfId="457"/>
    <cellStyle name="Percent 24" xfId="458"/>
    <cellStyle name="Percent 240" xfId="459"/>
    <cellStyle name="Percent 241" xfId="460"/>
    <cellStyle name="Percent 25" xfId="461"/>
    <cellStyle name="Percent 26" xfId="462"/>
    <cellStyle name="Percent 27" xfId="463"/>
    <cellStyle name="Percent 28" xfId="464"/>
    <cellStyle name="Percent 29" xfId="465"/>
    <cellStyle name="Percent 3" xfId="466"/>
    <cellStyle name="Percent 30" xfId="467"/>
    <cellStyle name="Percent 31" xfId="468"/>
    <cellStyle name="Percent 32" xfId="469"/>
    <cellStyle name="Percent 33" xfId="470"/>
    <cellStyle name="Percent 34" xfId="471"/>
    <cellStyle name="Percent 35" xfId="472"/>
    <cellStyle name="Percent 36" xfId="473"/>
    <cellStyle name="Percent 37" xfId="474"/>
    <cellStyle name="Percent 38" xfId="475"/>
    <cellStyle name="Percent 39" xfId="476"/>
    <cellStyle name="Percent 4" xfId="477"/>
    <cellStyle name="Percent 40" xfId="478"/>
    <cellStyle name="Percent 41" xfId="479"/>
    <cellStyle name="Percent 42" xfId="480"/>
    <cellStyle name="Percent 43" xfId="481"/>
    <cellStyle name="Percent 44" xfId="482"/>
    <cellStyle name="Percent 45" xfId="483"/>
    <cellStyle name="Percent 46" xfId="484"/>
    <cellStyle name="Percent 47" xfId="485"/>
    <cellStyle name="Percent 48" xfId="486"/>
    <cellStyle name="Percent 49" xfId="487"/>
    <cellStyle name="Percent 5" xfId="488"/>
    <cellStyle name="Percent 50" xfId="489"/>
    <cellStyle name="Percent 51" xfId="490"/>
    <cellStyle name="Percent 52" xfId="491"/>
    <cellStyle name="Percent 53" xfId="492"/>
    <cellStyle name="Percent 54" xfId="493"/>
    <cellStyle name="Percent 55" xfId="494"/>
    <cellStyle name="Percent 56" xfId="495"/>
    <cellStyle name="Percent 57" xfId="496"/>
    <cellStyle name="Percent 58" xfId="497"/>
    <cellStyle name="Percent 59" xfId="498"/>
    <cellStyle name="Percent 6" xfId="499"/>
    <cellStyle name="Percent 60" xfId="500"/>
    <cellStyle name="Percent 61" xfId="501"/>
    <cellStyle name="Percent 62" xfId="502"/>
    <cellStyle name="Percent 63" xfId="503"/>
    <cellStyle name="Percent 64" xfId="504"/>
    <cellStyle name="Percent 65" xfId="505"/>
    <cellStyle name="Percent 66" xfId="506"/>
    <cellStyle name="Percent 67" xfId="507"/>
    <cellStyle name="Percent 68" xfId="508"/>
    <cellStyle name="Percent 69" xfId="509"/>
    <cellStyle name="Percent 7" xfId="510"/>
    <cellStyle name="Percent 70" xfId="511"/>
    <cellStyle name="Percent 71" xfId="512"/>
    <cellStyle name="Percent 72" xfId="513"/>
    <cellStyle name="Percent 73" xfId="514"/>
    <cellStyle name="Percent 74" xfId="515"/>
    <cellStyle name="Percent 75" xfId="516"/>
    <cellStyle name="Percent 76" xfId="517"/>
    <cellStyle name="Percent 77" xfId="518"/>
    <cellStyle name="Percent 78" xfId="519"/>
    <cellStyle name="Percent 79" xfId="520"/>
    <cellStyle name="Percent 8" xfId="521"/>
    <cellStyle name="Percent 80" xfId="522"/>
    <cellStyle name="Percent 81" xfId="523"/>
    <cellStyle name="Percent 82" xfId="524"/>
    <cellStyle name="Percent 83" xfId="525"/>
    <cellStyle name="Percent 84" xfId="526"/>
    <cellStyle name="Percent 85" xfId="527"/>
    <cellStyle name="Percent 86" xfId="528"/>
    <cellStyle name="Percent 87" xfId="529"/>
    <cellStyle name="Percent 88" xfId="530"/>
    <cellStyle name="Percent 89" xfId="531"/>
    <cellStyle name="Percent 9" xfId="532"/>
    <cellStyle name="Percent 90" xfId="533"/>
    <cellStyle name="Percent 91" xfId="534"/>
    <cellStyle name="Percent 92" xfId="535"/>
    <cellStyle name="Percent 93" xfId="536"/>
    <cellStyle name="Percent 94" xfId="537"/>
    <cellStyle name="Percent 95" xfId="538"/>
    <cellStyle name="Percent 96" xfId="539"/>
    <cellStyle name="Percent 97" xfId="540"/>
    <cellStyle name="Percent 98" xfId="541"/>
    <cellStyle name="Percent 99" xfId="542"/>
    <cellStyle name="Porcentagem" xfId="1" builtinId="5"/>
    <cellStyle name="Porcentagem 2" xfId="543"/>
    <cellStyle name="Porcentagem 2 2" xfId="544"/>
    <cellStyle name="Porcentagem 2 3" xfId="545"/>
    <cellStyle name="Porcentagem 2 4" xfId="546"/>
    <cellStyle name="Porcentagem 2 5" xfId="547"/>
    <cellStyle name="Porcentagem 3" xfId="548"/>
    <cellStyle name="Porcentagem 4" xfId="549"/>
    <cellStyle name="Porcentagem 4 2" xfId="550"/>
    <cellStyle name="PSChar" xfId="551"/>
    <cellStyle name="PSChar 2" xfId="552"/>
    <cellStyle name="Resultado do Assistente de dados" xfId="553"/>
    <cellStyle name="Saída 2" xfId="554"/>
    <cellStyle name="Saída 2 2" xfId="555"/>
    <cellStyle name="Saída 2 2 2" xfId="628"/>
    <cellStyle name="Saída 2 3" xfId="627"/>
    <cellStyle name="Salida" xfId="556"/>
    <cellStyle name="Salida 2" xfId="557"/>
    <cellStyle name="Salida 2 2" xfId="630"/>
    <cellStyle name="Salida 3" xfId="629"/>
    <cellStyle name="Texto de advertencia" xfId="558"/>
    <cellStyle name="Texto de advertencia 2" xfId="559"/>
    <cellStyle name="Texto de Aviso 2" xfId="560"/>
    <cellStyle name="Texto explicativo 2" xfId="561"/>
    <cellStyle name="Texto Explicativo 2 10" xfId="562"/>
    <cellStyle name="Texto explicativo 2 2" xfId="563"/>
    <cellStyle name="Texto Explicativo 2 3" xfId="564"/>
    <cellStyle name="Texto Explicativo 2 4" xfId="565"/>
    <cellStyle name="Texto Explicativo 2 5" xfId="566"/>
    <cellStyle name="Texto Explicativo 2 6" xfId="567"/>
    <cellStyle name="Texto Explicativo 2 7" xfId="568"/>
    <cellStyle name="Texto Explicativo 2 8" xfId="569"/>
    <cellStyle name="Texto Explicativo 2 9" xfId="570"/>
    <cellStyle name="Texto explicativo 3" xfId="571"/>
    <cellStyle name="Texto explicativo 4" xfId="572"/>
    <cellStyle name="Texto explicativo 5" xfId="573"/>
    <cellStyle name="Título 1 1" xfId="574"/>
    <cellStyle name="Título 1 2" xfId="575"/>
    <cellStyle name="Título 1 2 2" xfId="576"/>
    <cellStyle name="Título 1 2 3" xfId="577"/>
    <cellStyle name="Título 1 2 4" xfId="578"/>
    <cellStyle name="Título 1 3" xfId="579"/>
    <cellStyle name="Título 1 4" xfId="580"/>
    <cellStyle name="Título 2 2" xfId="581"/>
    <cellStyle name="Título 2 2 2" xfId="582"/>
    <cellStyle name="Título 2 2 3" xfId="583"/>
    <cellStyle name="Título 2 3" xfId="584"/>
    <cellStyle name="Título 2 4" xfId="585"/>
    <cellStyle name="Título 3 2" xfId="586"/>
    <cellStyle name="Título 3 2 2" xfId="587"/>
    <cellStyle name="Título 3 2 3" xfId="588"/>
    <cellStyle name="Título 3 3" xfId="589"/>
    <cellStyle name="Título 3 4" xfId="590"/>
    <cellStyle name="Título 4 2" xfId="591"/>
    <cellStyle name="Título 4 3" xfId="592"/>
    <cellStyle name="Título 4 4" xfId="593"/>
    <cellStyle name="Título 4 5" xfId="594"/>
    <cellStyle name="Título 5" xfId="595"/>
    <cellStyle name="Título 6" xfId="596"/>
    <cellStyle name="Título 7" xfId="597"/>
    <cellStyle name="Título do Assistente de dados" xfId="598"/>
    <cellStyle name="Total 2" xfId="599"/>
    <cellStyle name="Total 2 2" xfId="631"/>
    <cellStyle name="Valor do Assistente de dados" xfId="600"/>
    <cellStyle name="Vírgula 2" xfId="601"/>
    <cellStyle name="Vírgula 2 2" xfId="602"/>
    <cellStyle name="Vírgula 2 3" xfId="603"/>
    <cellStyle name="Vírgula 3" xfId="604"/>
  </cellStyles>
  <dxfs count="158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FFCC19"/>
      <color rgb="FFFFCC5A"/>
      <color rgb="FFFFCC2D"/>
      <color rgb="FFFFCC66"/>
      <color rgb="FFFFCC00"/>
      <color rgb="FFFFFF66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151001499262"/>
          <c:y val="0.17116357556952264"/>
          <c:w val="0.19757621939486303"/>
          <c:h val="0.80274811910392474"/>
        </c:manualLayout>
      </c:layout>
      <c:doughnutChart>
        <c:varyColors val="1"/>
        <c:ser>
          <c:idx val="0"/>
          <c:order val="0"/>
          <c:tx>
            <c:v>Velocimetro</c:v>
          </c:tx>
          <c:spPr>
            <a:ln w="73025">
              <a:noFill/>
            </a:ln>
          </c:spPr>
          <c:dPt>
            <c:idx val="0"/>
            <c:bubble3D val="0"/>
            <c:spPr>
              <a:solidFill>
                <a:srgbClr val="FF0000">
                  <a:alpha val="55000"/>
                </a:srgbClr>
              </a:solidFill>
              <a:ln w="73025">
                <a:noFill/>
              </a:ln>
            </c:spPr>
          </c:dPt>
          <c:dPt>
            <c:idx val="1"/>
            <c:bubble3D val="0"/>
            <c:spPr>
              <a:solidFill>
                <a:srgbClr val="FFCC00">
                  <a:alpha val="55000"/>
                </a:srgbClr>
              </a:solidFill>
              <a:ln w="73025" cap="flat" cmpd="sng">
                <a:noFill/>
              </a:ln>
            </c:spPr>
          </c:dPt>
          <c:dPt>
            <c:idx val="2"/>
            <c:bubble3D val="0"/>
            <c:spPr>
              <a:solidFill>
                <a:srgbClr val="00B050">
                  <a:alpha val="70000"/>
                </a:srgbClr>
              </a:solidFill>
              <a:ln w="73025">
                <a:noFill/>
              </a:ln>
            </c:spPr>
          </c:dPt>
          <c:dPt>
            <c:idx val="3"/>
            <c:bubble3D val="0"/>
            <c:spPr>
              <a:noFill/>
              <a:ln w="73025">
                <a:noFill/>
              </a:ln>
            </c:spPr>
          </c:dPt>
          <c:cat>
            <c:strRef>
              <c:f>'Base dados pizza'!$E$3:$E$6</c:f>
              <c:strCache>
                <c:ptCount val="4"/>
                <c:pt idx="0">
                  <c:v>PREOCUPANTE</c:v>
                </c:pt>
                <c:pt idx="1">
                  <c:v>ATENÇÃO</c:v>
                </c:pt>
                <c:pt idx="2">
                  <c:v>ADEQUADO</c:v>
                </c:pt>
                <c:pt idx="3">
                  <c:v>Fim</c:v>
                </c:pt>
              </c:strCache>
            </c:strRef>
          </c:cat>
          <c:val>
            <c:numRef>
              <c:f>'Base dados pizza'!$F$3:$F$6</c:f>
              <c:numCache>
                <c:formatCode>0%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1"/>
      </c:doughnutChart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5502990132562543"/>
          <c:y val="0.28739458198477175"/>
          <c:w val="0.21091545375009943"/>
          <c:h val="0.31545760288393476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2589981929114"/>
          <c:y val="0.15890715414959097"/>
          <c:w val="0.20902184170210164"/>
          <c:h val="0.83975441666282946"/>
        </c:manualLayout>
      </c:layout>
      <c:doughnutChart>
        <c:varyColors val="1"/>
        <c:ser>
          <c:idx val="0"/>
          <c:order val="0"/>
          <c:tx>
            <c:v>Velocimetro</c:v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FFCC00">
                  <a:alpha val="55000"/>
                </a:srgbClr>
              </a:solidFill>
              <a:ln w="12700" cap="flat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B050">
                  <a:alpha val="70000"/>
                </a:srgbClr>
              </a:solidFill>
              <a:ln w="12700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noFill/>
              <a:ln w="12700">
                <a:noFill/>
              </a:ln>
            </c:spPr>
          </c:dPt>
          <c:cat>
            <c:strRef>
              <c:f>'Base dados pizza'!$E$3:$E$6</c:f>
              <c:strCache>
                <c:ptCount val="4"/>
                <c:pt idx="0">
                  <c:v>PREOCUPANTE</c:v>
                </c:pt>
                <c:pt idx="1">
                  <c:v>ATENÇÃO</c:v>
                </c:pt>
                <c:pt idx="2">
                  <c:v>ADEQUADO</c:v>
                </c:pt>
                <c:pt idx="3">
                  <c:v>Fim</c:v>
                </c:pt>
              </c:strCache>
            </c:strRef>
          </c:cat>
          <c:val>
            <c:numRef>
              <c:f>'Base dados pizza'!$F$3:$F$6</c:f>
              <c:numCache>
                <c:formatCode>0%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6"/>
      </c:doughnutChart>
      <c:pieChart>
        <c:varyColors val="1"/>
        <c:ser>
          <c:idx val="1"/>
          <c:order val="1"/>
          <c:tx>
            <c:v>Ponteiro</c:v>
          </c:tx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noFill/>
              <a:ln>
                <a:noFill/>
              </a:ln>
            </c:spPr>
          </c:dPt>
          <c:dLbls>
            <c:dLbl>
              <c:idx val="1"/>
              <c:layout/>
              <c:tx>
                <c:strRef>
                  <c:f>'Base dados pizza'!$B$3</c:f>
                  <c:strCache>
                    <c:ptCount val="1"/>
                    <c:pt idx="0">
                      <c:v>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800" b="1"/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'Base dados pizza'!$J$3:$J$5</c:f>
              <c:numCache>
                <c:formatCode>0.0</c:formatCode>
                <c:ptCount val="3"/>
                <c:pt idx="0" formatCode="0">
                  <c:v>100</c:v>
                </c:pt>
                <c:pt idx="1">
                  <c:v>2.5</c:v>
                </c:pt>
                <c:pt idx="2">
                  <c:v>97.5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6"/>
      </c:pieChart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1361</xdr:rowOff>
    </xdr:from>
    <xdr:to>
      <xdr:col>7</xdr:col>
      <xdr:colOff>885825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38100</xdr:rowOff>
    </xdr:from>
    <xdr:to>
      <xdr:col>6</xdr:col>
      <xdr:colOff>914400</xdr:colOff>
      <xdr:row>16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eto/AppData/Local/Microsoft/Windows/INetCache/Content.Outlook/TWVUVG6A/2019-04-15%20Planilha%20de%20Riscos%20(projeto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1-PLANO BÁSICO"/>
      <sheetName val="2-ÁRVORE DE ENTREGAS"/>
      <sheetName val="3-EQUIPE TÉCNICA"/>
      <sheetName val="3-MATRIZ ERICA"/>
      <sheetName val="4-ÁRVORE DE ENTREGAS (antigo)"/>
      <sheetName val="5-DICIONÁRIO DAS ENTREGAS"/>
      <sheetName val="MATRIZ DE RISCOS"/>
      <sheetName val="7-COMUNICAÇÕES"/>
      <sheetName val="8-ORÇAMENTO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Gerenciamento do projeto (Estimativas)</v>
          </cell>
          <cell r="B2" t="str">
            <v>Gerenciamento do projeto</v>
          </cell>
        </row>
        <row r="3">
          <cell r="A3" t="str">
            <v>Gerenciamento do projeto (Planejamento)</v>
          </cell>
          <cell r="B3" t="str">
            <v>Organizacional</v>
          </cell>
        </row>
        <row r="4">
          <cell r="A4" t="str">
            <v>Gerenciamento do projeto (Controle)</v>
          </cell>
          <cell r="B4" t="str">
            <v>Técnico</v>
          </cell>
        </row>
        <row r="5">
          <cell r="A5" t="str">
            <v>Gerenciamento do projeto (Comunicação)</v>
          </cell>
          <cell r="B5" t="str">
            <v>Externo</v>
          </cell>
        </row>
        <row r="6">
          <cell r="A6" t="str">
            <v>Organizacional (Dependências do projeto)</v>
          </cell>
        </row>
        <row r="7">
          <cell r="A7" t="str">
            <v>Organizacional (Recursos)</v>
          </cell>
        </row>
        <row r="8">
          <cell r="A8" t="str">
            <v>Organizacional (Financiamento)</v>
          </cell>
        </row>
        <row r="9">
          <cell r="A9" t="str">
            <v>Organizacional (Priorização)</v>
          </cell>
        </row>
        <row r="10">
          <cell r="A10" t="str">
            <v>Técnico (Requisitos)</v>
          </cell>
        </row>
        <row r="11">
          <cell r="A11" t="str">
            <v>Técnico (Tecnologia)</v>
          </cell>
        </row>
        <row r="12">
          <cell r="A12" t="str">
            <v>Técnico (Complexidade e interfaces)</v>
          </cell>
        </row>
        <row r="13">
          <cell r="A13" t="str">
            <v>Técnico (Desempenho e confiabilidade)</v>
          </cell>
        </row>
        <row r="14">
          <cell r="A14" t="str">
            <v>Técnico (Qualidade)</v>
          </cell>
        </row>
        <row r="15">
          <cell r="A15" t="str">
            <v>Externo (Contratos e fornecedores)</v>
          </cell>
        </row>
        <row r="16">
          <cell r="A16" t="str">
            <v>Externo (Legislação / Outras Entidades)</v>
          </cell>
        </row>
        <row r="17">
          <cell r="A17" t="str">
            <v>Externo (Economia)</v>
          </cell>
        </row>
        <row r="18">
          <cell r="A18" t="str">
            <v>Externo (Usuários e sociedade)</v>
          </cell>
        </row>
        <row r="19">
          <cell r="A19" t="str">
            <v>Externo (Político)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XEP145"/>
  <sheetViews>
    <sheetView showGridLines="0" tabSelected="1" zoomScaleNormal="100" zoomScaleSheetLayoutView="100" zoomScalePageLayoutView="40" workbookViewId="0"/>
  </sheetViews>
  <sheetFormatPr defaultColWidth="0" defaultRowHeight="15.75"/>
  <cols>
    <col min="1" max="2" width="0.85546875" style="35" customWidth="1"/>
    <col min="3" max="3" width="7.85546875" style="35" customWidth="1"/>
    <col min="4" max="4" width="44.85546875" style="35" customWidth="1"/>
    <col min="5" max="5" width="15.5703125" style="35" customWidth="1"/>
    <col min="6" max="6" width="14" style="35" customWidth="1"/>
    <col min="7" max="7" width="14.42578125" style="35" customWidth="1"/>
    <col min="8" max="8" width="15" style="35" hidden="1" customWidth="1"/>
    <col min="9" max="10" width="12" style="35" hidden="1" customWidth="1"/>
    <col min="11" max="12" width="15.7109375" style="35" hidden="1" customWidth="1"/>
    <col min="13" max="14" width="17.85546875" style="35" hidden="1" customWidth="1"/>
    <col min="15" max="15" width="87.42578125" style="35" customWidth="1"/>
    <col min="16" max="16" width="0.85546875" style="35" customWidth="1"/>
    <col min="17" max="17" width="0.85546875" style="71" customWidth="1"/>
    <col min="18" max="19" width="9.140625" style="35" hidden="1" customWidth="1"/>
    <col min="20" max="23" width="11.140625" style="35" hidden="1" customWidth="1"/>
    <col min="24" max="42" width="0" style="135" hidden="1"/>
    <col min="43" max="43" width="11.140625" style="35" hidden="1" customWidth="1"/>
    <col min="44" max="16136" width="11.140625" style="35" hidden="1"/>
    <col min="16137" max="16370" width="0" style="35" hidden="1"/>
    <col min="16371" max="16384" width="11.140625" style="35" hidden="1"/>
  </cols>
  <sheetData>
    <row r="1" spans="1:236" s="8" customFormat="1" ht="7.5" customHeight="1">
      <c r="B1" s="9"/>
      <c r="C1" s="64"/>
      <c r="D1" s="65"/>
      <c r="E1" s="64"/>
      <c r="F1" s="64"/>
      <c r="G1" s="10"/>
      <c r="H1" s="10"/>
      <c r="I1" s="10"/>
      <c r="J1" s="10"/>
      <c r="K1" s="10"/>
      <c r="L1" s="10"/>
      <c r="M1" s="10"/>
      <c r="N1" s="10"/>
      <c r="O1" s="10"/>
      <c r="P1" s="11"/>
      <c r="Q1" s="13"/>
      <c r="R1" s="35"/>
      <c r="S1" s="35"/>
      <c r="T1" s="35"/>
      <c r="U1" s="35"/>
      <c r="V1" s="35"/>
      <c r="W1" s="35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 s="35"/>
      <c r="AR1" s="12"/>
      <c r="AS1" s="12"/>
      <c r="AT1" s="12"/>
      <c r="AU1" s="12"/>
      <c r="AV1" s="12"/>
      <c r="AW1" s="12"/>
      <c r="AX1" s="12"/>
      <c r="AY1" s="12"/>
      <c r="AZ1" s="12"/>
      <c r="BA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</row>
    <row r="2" spans="1:236" s="8" customFormat="1" ht="15" customHeight="1">
      <c r="A2" s="13"/>
      <c r="B2" s="14"/>
      <c r="C2" s="66"/>
      <c r="D2" s="66"/>
      <c r="E2" s="66"/>
      <c r="F2" s="66"/>
      <c r="G2" s="63" t="s">
        <v>22</v>
      </c>
      <c r="H2" s="63"/>
      <c r="I2" s="63"/>
      <c r="J2" s="63"/>
      <c r="K2" s="63"/>
      <c r="L2" s="63"/>
      <c r="M2" s="63"/>
      <c r="N2" s="63"/>
      <c r="O2" s="63"/>
      <c r="P2" s="15"/>
      <c r="Q2" s="13"/>
      <c r="R2" s="35"/>
      <c r="S2" s="35"/>
      <c r="T2" s="35"/>
      <c r="U2" s="35"/>
      <c r="V2" s="35"/>
      <c r="W2" s="35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 s="35"/>
      <c r="AR2" s="12"/>
      <c r="AS2" s="12"/>
      <c r="AT2" s="12"/>
      <c r="AU2" s="12"/>
      <c r="AV2" s="12"/>
      <c r="AW2" s="12"/>
      <c r="AX2" s="12"/>
      <c r="AY2" s="12"/>
      <c r="AZ2" s="12"/>
      <c r="BA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</row>
    <row r="3" spans="1:236" s="8" customFormat="1" ht="15" customHeight="1">
      <c r="A3" s="13"/>
      <c r="B3" s="14"/>
      <c r="C3" s="67" t="s">
        <v>21</v>
      </c>
      <c r="D3" s="68" t="s">
        <v>91</v>
      </c>
      <c r="E3" s="68"/>
      <c r="F3" s="68"/>
      <c r="G3" s="17" t="s">
        <v>61</v>
      </c>
      <c r="H3" s="17"/>
      <c r="I3" s="17"/>
      <c r="J3" s="16"/>
      <c r="K3" s="158"/>
      <c r="L3" s="158"/>
      <c r="M3" s="16"/>
      <c r="N3" s="18">
        <f ca="1">O3</f>
        <v>43769</v>
      </c>
      <c r="O3" s="81">
        <f ca="1">TODAY()</f>
        <v>43769</v>
      </c>
      <c r="P3" s="15"/>
      <c r="Q3" s="13"/>
      <c r="R3" s="35"/>
      <c r="S3" s="35"/>
      <c r="T3" s="35"/>
      <c r="U3" s="35"/>
      <c r="V3" s="35"/>
      <c r="W3" s="35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 s="35"/>
      <c r="AR3" s="12"/>
      <c r="AS3" s="12"/>
      <c r="AT3" s="12"/>
      <c r="AU3" s="12"/>
      <c r="AV3" s="12"/>
      <c r="AW3" s="12"/>
      <c r="AX3" s="12"/>
      <c r="AY3" s="12"/>
      <c r="AZ3" s="12"/>
      <c r="BA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</row>
    <row r="4" spans="1:236" s="8" customFormat="1" ht="15" customHeight="1" thickBot="1">
      <c r="A4" s="13"/>
      <c r="B4" s="19"/>
      <c r="C4" s="69" t="s">
        <v>42</v>
      </c>
      <c r="D4" s="89" t="s">
        <v>190</v>
      </c>
      <c r="E4" s="70"/>
      <c r="F4" s="70"/>
      <c r="G4" s="20" t="s">
        <v>46</v>
      </c>
      <c r="H4" s="20"/>
      <c r="I4" s="20"/>
      <c r="J4" s="20"/>
      <c r="K4" s="20"/>
      <c r="L4" s="20"/>
      <c r="M4" s="20"/>
      <c r="N4" s="21"/>
      <c r="O4" s="90" t="s">
        <v>191</v>
      </c>
      <c r="P4" s="22"/>
      <c r="Q4" s="13"/>
      <c r="R4" s="35"/>
      <c r="S4" s="35"/>
      <c r="T4" s="35"/>
      <c r="U4" s="35"/>
      <c r="V4" s="35"/>
      <c r="W4" s="35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 s="35"/>
      <c r="AR4" s="12"/>
      <c r="AS4" s="12"/>
      <c r="AT4" s="12"/>
      <c r="AU4" s="12"/>
      <c r="AV4" s="12"/>
      <c r="AW4" s="12"/>
      <c r="AX4" s="12"/>
      <c r="AY4" s="12"/>
      <c r="AZ4" s="12"/>
      <c r="BA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</row>
    <row r="5" spans="1:236" s="8" customFormat="1" ht="7.5" customHeight="1" thickBot="1">
      <c r="A5" s="13"/>
      <c r="B5" s="13"/>
      <c r="C5" s="71"/>
      <c r="D5" s="71"/>
      <c r="E5" s="71"/>
      <c r="F5" s="71"/>
      <c r="G5" s="13"/>
      <c r="H5" s="13"/>
      <c r="I5" s="13"/>
      <c r="J5" s="13"/>
      <c r="K5" s="13"/>
      <c r="L5" s="13"/>
      <c r="M5" s="13"/>
      <c r="N5" s="23"/>
      <c r="O5" s="24"/>
      <c r="P5" s="13"/>
      <c r="Q5" s="13"/>
      <c r="R5" s="35"/>
      <c r="S5" s="35"/>
      <c r="T5" s="35"/>
      <c r="U5" s="35"/>
      <c r="V5" s="35"/>
      <c r="W5" s="3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 s="35"/>
      <c r="AR5" s="12"/>
      <c r="AS5" s="12"/>
      <c r="AT5" s="12"/>
      <c r="AU5" s="12"/>
      <c r="AV5" s="12"/>
      <c r="AW5" s="12"/>
      <c r="AX5" s="12"/>
      <c r="AY5" s="12"/>
      <c r="AZ5" s="12"/>
      <c r="BA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</row>
    <row r="6" spans="1:236" s="8" customFormat="1" ht="7.5" customHeight="1">
      <c r="A6" s="13"/>
      <c r="B6" s="9"/>
      <c r="C6" s="64"/>
      <c r="D6" s="64"/>
      <c r="E6" s="64"/>
      <c r="F6" s="64"/>
      <c r="G6" s="10"/>
      <c r="H6" s="10"/>
      <c r="I6" s="10"/>
      <c r="J6" s="10"/>
      <c r="K6" s="10"/>
      <c r="L6" s="10"/>
      <c r="M6" s="10"/>
      <c r="N6" s="10"/>
      <c r="O6" s="10"/>
      <c r="P6" s="11"/>
      <c r="Q6" s="13"/>
      <c r="R6" s="35"/>
      <c r="S6" s="35"/>
      <c r="T6" s="35"/>
      <c r="U6" s="35"/>
      <c r="V6" s="35"/>
      <c r="W6" s="35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 s="35"/>
      <c r="AR6" s="12"/>
      <c r="AS6" s="12"/>
      <c r="AT6" s="12"/>
      <c r="AU6" s="12"/>
      <c r="AV6" s="12"/>
      <c r="AW6" s="12"/>
      <c r="AX6" s="12"/>
      <c r="AY6" s="12"/>
      <c r="AZ6" s="12"/>
      <c r="BA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</row>
    <row r="7" spans="1:236" s="8" customFormat="1" ht="15" customHeight="1">
      <c r="A7" s="13"/>
      <c r="B7" s="14"/>
      <c r="C7" s="72" t="s">
        <v>40</v>
      </c>
      <c r="D7" s="72"/>
      <c r="E7" s="72"/>
      <c r="F7" s="72"/>
      <c r="G7" s="62"/>
      <c r="H7" s="62"/>
      <c r="I7" s="62"/>
      <c r="J7" s="62"/>
      <c r="K7" s="62"/>
      <c r="L7" s="62"/>
      <c r="M7" s="62"/>
      <c r="N7" s="62"/>
      <c r="O7" s="62"/>
      <c r="P7" s="25"/>
      <c r="Q7" s="58"/>
      <c r="R7" s="35"/>
      <c r="S7" s="35"/>
      <c r="T7" s="35"/>
      <c r="U7" s="35"/>
      <c r="V7" s="35"/>
      <c r="W7" s="35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 s="35"/>
      <c r="AR7" s="12"/>
      <c r="AS7" s="12"/>
      <c r="AT7" s="12"/>
      <c r="AU7" s="12"/>
      <c r="AV7" s="12"/>
      <c r="AW7" s="12"/>
      <c r="AX7" s="12"/>
      <c r="AY7" s="12"/>
      <c r="AZ7" s="12"/>
      <c r="BA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</row>
    <row r="8" spans="1:236" s="8" customFormat="1" ht="15" customHeight="1">
      <c r="B8" s="14"/>
      <c r="C8" s="103" t="s">
        <v>63</v>
      </c>
      <c r="D8" s="103"/>
      <c r="E8" s="103"/>
      <c r="F8" s="26" t="s">
        <v>44</v>
      </c>
      <c r="G8" s="26" t="s">
        <v>43</v>
      </c>
      <c r="H8" s="26"/>
      <c r="I8" s="26"/>
      <c r="J8" s="26"/>
      <c r="K8" s="27" t="s">
        <v>53</v>
      </c>
      <c r="L8" s="27"/>
      <c r="M8" s="27"/>
      <c r="N8" s="28" t="s">
        <v>52</v>
      </c>
      <c r="O8" s="29" t="s">
        <v>65</v>
      </c>
      <c r="P8" s="25"/>
      <c r="Q8" s="58"/>
      <c r="R8" s="35"/>
      <c r="S8" s="35"/>
      <c r="T8" s="35"/>
      <c r="U8" s="35"/>
      <c r="V8" s="35"/>
      <c r="W8" s="35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 s="35"/>
      <c r="AR8" s="12"/>
      <c r="AS8" s="12"/>
      <c r="AT8" s="12"/>
      <c r="AU8" s="12"/>
      <c r="AV8" s="12"/>
      <c r="AW8" s="12"/>
      <c r="AX8" s="12"/>
      <c r="AY8" s="12"/>
      <c r="AZ8" s="12"/>
      <c r="BA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</row>
    <row r="9" spans="1:236" s="8" customFormat="1" ht="21" customHeight="1">
      <c r="A9" s="13"/>
      <c r="B9" s="14"/>
      <c r="C9" s="97"/>
      <c r="D9" s="98"/>
      <c r="E9" s="98"/>
      <c r="F9" s="175">
        <f ca="1">IF(OR($D$3="",$D$3="não há"),"-",'Base dados pizza'!B3)</f>
        <v>7.8022108641388324E-2</v>
      </c>
      <c r="G9" s="176">
        <f ca="1">IF(OR($D$3="",$D$3="não há"),"-",'Base dados pizza'!A3)</f>
        <v>6.2760014263639599E-2</v>
      </c>
      <c r="H9" s="86"/>
      <c r="I9" s="59"/>
      <c r="J9" s="171"/>
      <c r="K9" s="171" t="e">
        <f>IF(OR(D3="",D3="não há"),"-",#REF!)</f>
        <v>#REF!</v>
      </c>
      <c r="L9" s="59"/>
      <c r="M9" s="59"/>
      <c r="N9" s="172" t="e">
        <f>IF(OR(D3="",D3="não há"),"-",#REF!)</f>
        <v>#REF!</v>
      </c>
      <c r="O9" s="168"/>
      <c r="P9" s="25"/>
      <c r="Q9" s="58"/>
      <c r="R9" s="35"/>
      <c r="S9" s="35"/>
      <c r="T9" s="35"/>
      <c r="U9" s="35"/>
      <c r="V9" s="35"/>
      <c r="W9" s="35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 s="35"/>
      <c r="AR9" s="12"/>
      <c r="AS9" s="12"/>
      <c r="AT9" s="12"/>
      <c r="AU9" s="12"/>
      <c r="AV9" s="12"/>
      <c r="AW9" s="12"/>
      <c r="AX9" s="12"/>
      <c r="AY9" s="12"/>
      <c r="AZ9" s="12"/>
      <c r="BA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</row>
    <row r="10" spans="1:236" s="8" customFormat="1" ht="21" customHeight="1">
      <c r="A10" s="13"/>
      <c r="B10" s="14"/>
      <c r="C10" s="99"/>
      <c r="D10" s="100"/>
      <c r="E10" s="100"/>
      <c r="F10" s="175"/>
      <c r="G10" s="177"/>
      <c r="H10" s="87"/>
      <c r="I10" s="60"/>
      <c r="J10" s="171"/>
      <c r="K10" s="171"/>
      <c r="L10" s="60"/>
      <c r="M10" s="60"/>
      <c r="N10" s="173"/>
      <c r="O10" s="169"/>
      <c r="P10" s="25"/>
      <c r="Q10" s="58"/>
      <c r="R10" s="35"/>
      <c r="S10" s="35"/>
      <c r="T10" s="35"/>
      <c r="U10" s="35"/>
      <c r="V10" s="35"/>
      <c r="W10" s="35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 s="35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</row>
    <row r="11" spans="1:236" s="8" customFormat="1" ht="21" customHeight="1">
      <c r="A11" s="13"/>
      <c r="B11" s="14"/>
      <c r="C11" s="99"/>
      <c r="D11" s="100"/>
      <c r="E11" s="100"/>
      <c r="F11" s="175"/>
      <c r="G11" s="177"/>
      <c r="H11" s="87"/>
      <c r="I11" s="60"/>
      <c r="J11" s="171"/>
      <c r="K11" s="171"/>
      <c r="L11" s="60"/>
      <c r="M11" s="60"/>
      <c r="N11" s="173"/>
      <c r="O11" s="169"/>
      <c r="P11" s="25"/>
      <c r="Q11" s="58"/>
      <c r="R11" s="35"/>
      <c r="S11" s="35"/>
      <c r="T11" s="35"/>
      <c r="U11" s="35"/>
      <c r="V11" s="35"/>
      <c r="W11" s="35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 s="35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</row>
    <row r="12" spans="1:236" s="8" customFormat="1" ht="21" customHeight="1">
      <c r="A12" s="13"/>
      <c r="B12" s="14"/>
      <c r="C12" s="99"/>
      <c r="D12" s="100"/>
      <c r="E12" s="100"/>
      <c r="F12" s="175"/>
      <c r="G12" s="177"/>
      <c r="H12" s="87"/>
      <c r="I12" s="60"/>
      <c r="J12" s="171"/>
      <c r="K12" s="171"/>
      <c r="L12" s="60"/>
      <c r="M12" s="60"/>
      <c r="N12" s="173"/>
      <c r="O12" s="169"/>
      <c r="P12" s="25"/>
      <c r="Q12" s="58"/>
      <c r="R12" s="35"/>
      <c r="S12" s="35"/>
      <c r="T12" s="35"/>
      <c r="U12" s="35"/>
      <c r="V12" s="35"/>
      <c r="W12" s="35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 s="35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</row>
    <row r="13" spans="1:236" s="8" customFormat="1" ht="21" customHeight="1">
      <c r="A13" s="13"/>
      <c r="B13" s="14"/>
      <c r="C13" s="101"/>
      <c r="D13" s="102"/>
      <c r="E13" s="102"/>
      <c r="F13" s="175"/>
      <c r="G13" s="178"/>
      <c r="H13" s="88"/>
      <c r="I13" s="61"/>
      <c r="J13" s="171"/>
      <c r="K13" s="171"/>
      <c r="L13" s="61"/>
      <c r="M13" s="61"/>
      <c r="N13" s="174"/>
      <c r="O13" s="170"/>
      <c r="P13" s="25"/>
      <c r="Q13" s="58"/>
      <c r="R13" s="35"/>
      <c r="S13" s="35"/>
      <c r="T13" s="35"/>
      <c r="U13" s="35"/>
      <c r="V13" s="35"/>
      <c r="W13" s="35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 s="35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</row>
    <row r="14" spans="1:236" s="8" customFormat="1" ht="7.5" customHeight="1" thickBot="1">
      <c r="A14" s="13"/>
      <c r="B14" s="19"/>
      <c r="C14" s="73"/>
      <c r="D14" s="73"/>
      <c r="E14" s="73"/>
      <c r="F14" s="73"/>
      <c r="G14" s="30"/>
      <c r="H14" s="30"/>
      <c r="I14" s="30"/>
      <c r="J14" s="30"/>
      <c r="K14" s="30"/>
      <c r="L14" s="30"/>
      <c r="M14" s="30"/>
      <c r="N14" s="30"/>
      <c r="O14" s="31"/>
      <c r="P14" s="22"/>
      <c r="Q14" s="13"/>
      <c r="R14" s="35"/>
      <c r="S14" s="35"/>
      <c r="T14" s="35"/>
      <c r="U14" s="35"/>
      <c r="V14" s="35"/>
      <c r="W14" s="35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 s="35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</row>
    <row r="15" spans="1:236" s="8" customFormat="1" ht="7.5" customHeight="1" thickBot="1">
      <c r="A15" s="13"/>
      <c r="B15" s="13"/>
      <c r="C15" s="71"/>
      <c r="D15" s="71"/>
      <c r="E15" s="71"/>
      <c r="F15" s="71"/>
      <c r="G15" s="13"/>
      <c r="H15" s="13"/>
      <c r="I15" s="13"/>
      <c r="J15" s="13"/>
      <c r="K15" s="13"/>
      <c r="L15" s="13"/>
      <c r="M15" s="13"/>
      <c r="N15" s="13"/>
      <c r="O15" s="32"/>
      <c r="P15" s="13"/>
      <c r="Q15" s="13"/>
      <c r="R15" s="35"/>
      <c r="S15" s="35"/>
      <c r="T15" s="35"/>
      <c r="U15" s="35"/>
      <c r="V15" s="35"/>
      <c r="W15" s="3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 s="35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</row>
    <row r="16" spans="1:236" s="8" customFormat="1" ht="7.5" customHeight="1">
      <c r="A16" s="13"/>
      <c r="B16" s="9"/>
      <c r="C16" s="74"/>
      <c r="D16" s="74"/>
      <c r="E16" s="74"/>
      <c r="F16" s="74"/>
      <c r="G16" s="33"/>
      <c r="H16" s="33"/>
      <c r="I16" s="33"/>
      <c r="J16" s="33"/>
      <c r="K16" s="33"/>
      <c r="L16" s="33"/>
      <c r="M16" s="33"/>
      <c r="N16" s="33"/>
      <c r="O16" s="10"/>
      <c r="P16" s="11"/>
      <c r="Q16" s="13"/>
      <c r="R16" s="35"/>
      <c r="S16" s="35"/>
      <c r="T16" s="35"/>
      <c r="U16" s="35"/>
      <c r="V16" s="35"/>
      <c r="W16" s="35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 s="35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</row>
    <row r="17" spans="1:236" s="8" customFormat="1" ht="15" customHeight="1">
      <c r="A17" s="13"/>
      <c r="B17" s="14"/>
      <c r="C17" s="72" t="s">
        <v>60</v>
      </c>
      <c r="D17" s="72"/>
      <c r="E17" s="72"/>
      <c r="F17" s="72"/>
      <c r="G17" s="62"/>
      <c r="H17" s="62"/>
      <c r="I17" s="62"/>
      <c r="J17" s="62"/>
      <c r="K17" s="62"/>
      <c r="L17" s="62"/>
      <c r="M17" s="62"/>
      <c r="N17" s="62"/>
      <c r="O17" s="62"/>
      <c r="P17" s="25"/>
      <c r="Q17" s="58"/>
      <c r="R17" s="35"/>
      <c r="S17" s="35"/>
      <c r="T17" s="35"/>
      <c r="U17" s="35"/>
      <c r="V17" s="35"/>
      <c r="W17" s="35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 s="35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</row>
    <row r="18" spans="1:236" s="8" customFormat="1">
      <c r="A18" s="13"/>
      <c r="B18" s="14"/>
      <c r="C18" s="155" t="s">
        <v>62</v>
      </c>
      <c r="D18" s="75" t="s">
        <v>64</v>
      </c>
      <c r="E18" s="156" t="s">
        <v>41</v>
      </c>
      <c r="F18" s="156" t="s">
        <v>90</v>
      </c>
      <c r="G18" s="28" t="s">
        <v>45</v>
      </c>
      <c r="H18" s="28" t="s">
        <v>50</v>
      </c>
      <c r="I18" s="28" t="s">
        <v>55</v>
      </c>
      <c r="J18" s="28" t="s">
        <v>51</v>
      </c>
      <c r="K18" s="28" t="s">
        <v>43</v>
      </c>
      <c r="L18" s="28" t="s">
        <v>0</v>
      </c>
      <c r="M18" s="28" t="s">
        <v>18</v>
      </c>
      <c r="N18" s="28" t="s">
        <v>59</v>
      </c>
      <c r="O18" s="157" t="s">
        <v>65</v>
      </c>
      <c r="P18" s="25"/>
      <c r="Q18" s="58"/>
      <c r="R18" s="35"/>
      <c r="S18" s="35"/>
      <c r="T18" s="35"/>
      <c r="U18" s="35"/>
      <c r="V18" s="35"/>
      <c r="W18" s="35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 s="35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</row>
    <row r="19" spans="1:236" s="52" customFormat="1" ht="47.25">
      <c r="A19" s="82"/>
      <c r="B19" s="83"/>
      <c r="C19" s="164">
        <v>1</v>
      </c>
      <c r="D19" s="165" t="s">
        <v>192</v>
      </c>
      <c r="E19" s="166">
        <v>43619</v>
      </c>
      <c r="F19" s="96">
        <v>44253</v>
      </c>
      <c r="G19" s="106"/>
      <c r="H19" s="93"/>
      <c r="I19" s="93"/>
      <c r="J19" s="94"/>
      <c r="K19" s="94"/>
      <c r="L19" s="95"/>
      <c r="M19" s="95"/>
      <c r="N19" s="95"/>
      <c r="O19" s="105"/>
      <c r="P19" s="84"/>
      <c r="Q19" s="85"/>
    </row>
    <row r="20" spans="1:236" s="52" customFormat="1" ht="23.25">
      <c r="A20" s="82"/>
      <c r="B20" s="83"/>
      <c r="C20" s="92" t="s">
        <v>92</v>
      </c>
      <c r="D20" s="163" t="s">
        <v>93</v>
      </c>
      <c r="E20" s="91">
        <v>43647</v>
      </c>
      <c r="F20" s="96">
        <v>44012</v>
      </c>
      <c r="G20" s="106" t="s">
        <v>49</v>
      </c>
      <c r="H20" s="93">
        <f t="shared" ref="H20" si="0">I20</f>
        <v>3</v>
      </c>
      <c r="I20" s="93">
        <f t="shared" ref="I20:I21" si="1">IF(G20="PREOCUPANTE",1,IF(G20="ATENÇÃO",2,IF(G20="ADEQUADO",3,IF(G20="CONCLUÍDO",4,""))))</f>
        <v>3</v>
      </c>
      <c r="J20" s="94">
        <f t="shared" ref="J20:J21" ca="1" si="2">IF(G20="CONCLUÍDO",1,IF(G20="ADEQUADO",0.91*K20,IF(G20="ATENÇÃO",0.6*K20,IF(G20="PREOCUPANTE",0.5*K20))))</f>
        <v>0.31281249999999999</v>
      </c>
      <c r="K20" s="94">
        <f t="shared" ref="K20:K21" ca="1" si="3">IF(OR(D20="",D20="não há"),"-",IFERROR(M20/L20,IF(F20&lt;=TODAY(),1,0)))</f>
        <v>0.34375</v>
      </c>
      <c r="L20" s="95">
        <f>IF(OR(E20=0,F20=0),0,NETWORKDAYS(E20,F20,Feriados!$A$3:$A$100)*8)</f>
        <v>2048</v>
      </c>
      <c r="M20" s="95">
        <f ca="1">IF($N$3&lt;E20,0,IF($N$3&gt;=F20,L20,NETWORKDAYS(E20,$N$3,Feriados!$A$3:$A$100)*8))</f>
        <v>704</v>
      </c>
      <c r="N20" s="95">
        <f t="shared" ref="N20" ca="1" si="4">J20*L20</f>
        <v>640.64</v>
      </c>
      <c r="O20" s="105" t="s">
        <v>196</v>
      </c>
      <c r="P20" s="84"/>
      <c r="Q20" s="85"/>
    </row>
    <row r="21" spans="1:236" s="52" customFormat="1" ht="23.25">
      <c r="A21" s="82"/>
      <c r="B21" s="83"/>
      <c r="C21" s="92" t="s">
        <v>94</v>
      </c>
      <c r="D21" s="163" t="s">
        <v>95</v>
      </c>
      <c r="E21" s="91">
        <v>44013</v>
      </c>
      <c r="F21" s="96">
        <v>44104</v>
      </c>
      <c r="G21" s="106" t="s">
        <v>49</v>
      </c>
      <c r="H21" s="93">
        <f t="shared" ref="H21" si="5">I21</f>
        <v>3</v>
      </c>
      <c r="I21" s="93">
        <f t="shared" si="1"/>
        <v>3</v>
      </c>
      <c r="J21" s="94">
        <f t="shared" ca="1" si="2"/>
        <v>0</v>
      </c>
      <c r="K21" s="94">
        <f t="shared" ca="1" si="3"/>
        <v>0</v>
      </c>
      <c r="L21" s="95">
        <f>IF(OR(E21=0,F21=0),0,NETWORKDAYS(E21,F21,Feriados!$A$3:$A$100)*8)</f>
        <v>520</v>
      </c>
      <c r="M21" s="95">
        <f ca="1">IF($N$3&lt;E21,0,IF($N$3&gt;=F21,L21,NETWORKDAYS(E21,$N$3,Feriados!$A$3:$A$100)*8))</f>
        <v>0</v>
      </c>
      <c r="N21" s="95">
        <f t="shared" ref="N21" ca="1" si="6">J21*L21</f>
        <v>0</v>
      </c>
      <c r="O21" s="105" t="s">
        <v>195</v>
      </c>
      <c r="P21" s="84"/>
      <c r="Q21" s="85"/>
    </row>
    <row r="22" spans="1:236" s="52" customFormat="1" ht="23.25">
      <c r="A22" s="82"/>
      <c r="B22" s="83"/>
      <c r="C22" s="92" t="s">
        <v>96</v>
      </c>
      <c r="D22" s="163" t="s">
        <v>97</v>
      </c>
      <c r="E22" s="91">
        <v>44075</v>
      </c>
      <c r="F22" s="96">
        <v>44134</v>
      </c>
      <c r="G22" s="106" t="s">
        <v>49</v>
      </c>
      <c r="H22" s="93">
        <f t="shared" ref="H22:H23" si="7">I22</f>
        <v>3</v>
      </c>
      <c r="I22" s="93">
        <f t="shared" ref="I22:I23" si="8">IF(G22="PREOCUPANTE",1,IF(G22="ATENÇÃO",2,IF(G22="ADEQUADO",3,IF(G22="CONCLUÍDO",4,""))))</f>
        <v>3</v>
      </c>
      <c r="J22" s="94">
        <f t="shared" ref="J22:J23" ca="1" si="9">IF(G22="CONCLUÍDO",1,IF(G22="ADEQUADO",0.91*K22,IF(G22="ATENÇÃO",0.6*K22,IF(G22="PREOCUPANTE",0.5*K22))))</f>
        <v>0</v>
      </c>
      <c r="K22" s="94">
        <f t="shared" ref="K22:K23" ca="1" si="10">IF(OR(D22="",D22="não há"),"-",IFERROR(M22/L22,IF(F22&lt;=TODAY(),1,0)))</f>
        <v>0</v>
      </c>
      <c r="L22" s="95">
        <f>IF(OR(E22=0,F22=0),0,NETWORKDAYS(E22,F22,Feriados!$A$3:$A$100)*8)</f>
        <v>328</v>
      </c>
      <c r="M22" s="95">
        <f ca="1">IF($N$3&lt;E22,0,IF($N$3&gt;=F22,L22,NETWORKDAYS(E22,$N$3,Feriados!$A$3:$A$100)*8))</f>
        <v>0</v>
      </c>
      <c r="N22" s="95">
        <f t="shared" ref="N22:N23" ca="1" si="11">J22*L22</f>
        <v>0</v>
      </c>
      <c r="O22" s="105" t="s">
        <v>195</v>
      </c>
      <c r="P22" s="84"/>
      <c r="Q22" s="85"/>
    </row>
    <row r="23" spans="1:236" s="52" customFormat="1" ht="31.5">
      <c r="A23" s="82"/>
      <c r="B23" s="83"/>
      <c r="C23" s="92" t="s">
        <v>98</v>
      </c>
      <c r="D23" s="163" t="s">
        <v>99</v>
      </c>
      <c r="E23" s="91">
        <v>44105</v>
      </c>
      <c r="F23" s="96">
        <v>44253</v>
      </c>
      <c r="G23" s="106" t="s">
        <v>49</v>
      </c>
      <c r="H23" s="93">
        <f t="shared" si="7"/>
        <v>3</v>
      </c>
      <c r="I23" s="93">
        <f t="shared" si="8"/>
        <v>3</v>
      </c>
      <c r="J23" s="94">
        <f t="shared" ca="1" si="9"/>
        <v>0</v>
      </c>
      <c r="K23" s="94">
        <f t="shared" ca="1" si="10"/>
        <v>0</v>
      </c>
      <c r="L23" s="95">
        <f>IF(OR(E23=0,F23=0),0,NETWORKDAYS(E23,F23,Feriados!$A$3:$A$100)*8)</f>
        <v>824</v>
      </c>
      <c r="M23" s="95">
        <f ca="1">IF($N$3&lt;E23,0,IF($N$3&gt;=F23,L23,NETWORKDAYS(E23,$N$3,Feriados!$A$3:$A$100)*8))</f>
        <v>0</v>
      </c>
      <c r="N23" s="95">
        <f t="shared" ca="1" si="11"/>
        <v>0</v>
      </c>
      <c r="O23" s="105" t="s">
        <v>195</v>
      </c>
      <c r="P23" s="84"/>
      <c r="Q23" s="85"/>
    </row>
    <row r="24" spans="1:236" s="52" customFormat="1" ht="23.25">
      <c r="A24" s="82"/>
      <c r="B24" s="83"/>
      <c r="C24" s="92"/>
      <c r="D24" s="163"/>
      <c r="E24" s="91"/>
      <c r="F24" s="96"/>
      <c r="G24" s="106"/>
      <c r="H24" s="93"/>
      <c r="I24" s="93"/>
      <c r="J24" s="94"/>
      <c r="K24" s="94"/>
      <c r="L24" s="95"/>
      <c r="M24" s="95"/>
      <c r="N24" s="95"/>
      <c r="O24" s="105"/>
      <c r="P24" s="84"/>
      <c r="Q24" s="85"/>
    </row>
    <row r="25" spans="1:236" s="52" customFormat="1" ht="47.25">
      <c r="A25" s="82"/>
      <c r="B25" s="83"/>
      <c r="C25" s="164">
        <v>2</v>
      </c>
      <c r="D25" s="165" t="s">
        <v>109</v>
      </c>
      <c r="E25" s="166">
        <v>43619</v>
      </c>
      <c r="F25" s="96">
        <v>44253</v>
      </c>
      <c r="G25" s="106"/>
      <c r="H25" s="93"/>
      <c r="I25" s="93"/>
      <c r="J25" s="94"/>
      <c r="K25" s="94"/>
      <c r="L25" s="95"/>
      <c r="M25" s="95"/>
      <c r="N25" s="95"/>
      <c r="O25" s="105"/>
      <c r="P25" s="84"/>
      <c r="Q25" s="85"/>
    </row>
    <row r="26" spans="1:236" s="52" customFormat="1" ht="23.25">
      <c r="A26" s="82"/>
      <c r="B26" s="83"/>
      <c r="C26" s="92" t="s">
        <v>100</v>
      </c>
      <c r="D26" s="163" t="s">
        <v>93</v>
      </c>
      <c r="E26" s="91">
        <v>43647</v>
      </c>
      <c r="F26" s="96">
        <v>44012</v>
      </c>
      <c r="G26" s="106" t="s">
        <v>193</v>
      </c>
      <c r="H26" s="93">
        <f t="shared" ref="H26:H29" si="12">I26</f>
        <v>4</v>
      </c>
      <c r="I26" s="93">
        <f t="shared" ref="I26:I29" si="13">IF(G26="PREOCUPANTE",1,IF(G26="ATENÇÃO",2,IF(G26="ADEQUADO",3,IF(G26="CONCLUÍDO",4,""))))</f>
        <v>4</v>
      </c>
      <c r="J26" s="94">
        <f t="shared" ref="J26:J29" si="14">IF(G26="CONCLUÍDO",1,IF(G26="ADEQUADO",0.91*K26,IF(G26="ATENÇÃO",0.6*K26,IF(G26="PREOCUPANTE",0.5*K26))))</f>
        <v>1</v>
      </c>
      <c r="K26" s="94">
        <f t="shared" ref="K26:K29" ca="1" si="15">IF(OR(D26="",D26="não há"),"-",IFERROR(M26/L26,IF(F26&lt;=TODAY(),1,0)))</f>
        <v>0.34375</v>
      </c>
      <c r="L26" s="95">
        <f>IF(OR(E26=0,F26=0),0,NETWORKDAYS(E26,F26,Feriados!$A$3:$A$100)*8)</f>
        <v>2048</v>
      </c>
      <c r="M26" s="95">
        <f ca="1">IF($N$3&lt;E26,0,IF($N$3&gt;=F26,L26,NETWORKDAYS(E26,$N$3,Feriados!$A$3:$A$100)*8))</f>
        <v>704</v>
      </c>
      <c r="N26" s="95">
        <f t="shared" ref="N26:N29" si="16">J26*L26</f>
        <v>2048</v>
      </c>
      <c r="O26" s="105" t="s">
        <v>197</v>
      </c>
      <c r="P26" s="84"/>
      <c r="Q26" s="85"/>
    </row>
    <row r="27" spans="1:236" s="52" customFormat="1" ht="23.25">
      <c r="A27" s="82"/>
      <c r="B27" s="83"/>
      <c r="C27" s="92" t="s">
        <v>101</v>
      </c>
      <c r="D27" s="163" t="s">
        <v>95</v>
      </c>
      <c r="E27" s="91">
        <v>44013</v>
      </c>
      <c r="F27" s="96">
        <v>44104</v>
      </c>
      <c r="G27" s="106" t="s">
        <v>49</v>
      </c>
      <c r="H27" s="93">
        <f t="shared" si="12"/>
        <v>3</v>
      </c>
      <c r="I27" s="93">
        <f t="shared" si="13"/>
        <v>3</v>
      </c>
      <c r="J27" s="94">
        <f t="shared" ca="1" si="14"/>
        <v>0</v>
      </c>
      <c r="K27" s="94">
        <f t="shared" ca="1" si="15"/>
        <v>0</v>
      </c>
      <c r="L27" s="95">
        <f>IF(OR(E27=0,F27=0),0,NETWORKDAYS(E27,F27,Feriados!$A$3:$A$100)*8)</f>
        <v>520</v>
      </c>
      <c r="M27" s="95">
        <f ca="1">IF($N$3&lt;E27,0,IF($N$3&gt;=F27,L27,NETWORKDAYS(E27,$N$3,Feriados!$A$3:$A$100)*8))</f>
        <v>0</v>
      </c>
      <c r="N27" s="95">
        <f t="shared" ca="1" si="16"/>
        <v>0</v>
      </c>
      <c r="O27" s="105" t="s">
        <v>194</v>
      </c>
      <c r="P27" s="84"/>
      <c r="Q27" s="85"/>
    </row>
    <row r="28" spans="1:236" s="52" customFormat="1" ht="23.25">
      <c r="A28" s="82"/>
      <c r="B28" s="83"/>
      <c r="C28" s="92" t="s">
        <v>102</v>
      </c>
      <c r="D28" s="163" t="s">
        <v>97</v>
      </c>
      <c r="E28" s="91">
        <v>44075</v>
      </c>
      <c r="F28" s="96">
        <v>44134</v>
      </c>
      <c r="G28" s="106" t="s">
        <v>49</v>
      </c>
      <c r="H28" s="93">
        <f t="shared" si="12"/>
        <v>3</v>
      </c>
      <c r="I28" s="93">
        <f t="shared" si="13"/>
        <v>3</v>
      </c>
      <c r="J28" s="94">
        <f t="shared" ca="1" si="14"/>
        <v>0</v>
      </c>
      <c r="K28" s="94">
        <f t="shared" ca="1" si="15"/>
        <v>0</v>
      </c>
      <c r="L28" s="95">
        <f>IF(OR(E28=0,F28=0),0,NETWORKDAYS(E28,F28,Feriados!$A$3:$A$100)*8)</f>
        <v>328</v>
      </c>
      <c r="M28" s="95">
        <f ca="1">IF($N$3&lt;E28,0,IF($N$3&gt;=F28,L28,NETWORKDAYS(E28,$N$3,Feriados!$A$3:$A$100)*8))</f>
        <v>0</v>
      </c>
      <c r="N28" s="95">
        <f t="shared" ca="1" si="16"/>
        <v>0</v>
      </c>
      <c r="O28" s="105" t="s">
        <v>194</v>
      </c>
      <c r="P28" s="84"/>
      <c r="Q28" s="85"/>
    </row>
    <row r="29" spans="1:236" s="52" customFormat="1" ht="31.5">
      <c r="A29" s="82"/>
      <c r="B29" s="83"/>
      <c r="C29" s="92" t="s">
        <v>103</v>
      </c>
      <c r="D29" s="163" t="s">
        <v>99</v>
      </c>
      <c r="E29" s="91">
        <v>44105</v>
      </c>
      <c r="F29" s="96">
        <v>44253</v>
      </c>
      <c r="G29" s="106" t="s">
        <v>49</v>
      </c>
      <c r="H29" s="93">
        <f t="shared" si="12"/>
        <v>3</v>
      </c>
      <c r="I29" s="93">
        <f t="shared" si="13"/>
        <v>3</v>
      </c>
      <c r="J29" s="94">
        <f t="shared" ca="1" si="14"/>
        <v>0</v>
      </c>
      <c r="K29" s="94">
        <f t="shared" ca="1" si="15"/>
        <v>0</v>
      </c>
      <c r="L29" s="95">
        <f>IF(OR(E29=0,F29=0),0,NETWORKDAYS(E29,F29,Feriados!$A$3:$A$100)*8)</f>
        <v>824</v>
      </c>
      <c r="M29" s="95">
        <f ca="1">IF($N$3&lt;E29,0,IF($N$3&gt;=F29,L29,NETWORKDAYS(E29,$N$3,Feriados!$A$3:$A$100)*8))</f>
        <v>0</v>
      </c>
      <c r="N29" s="95">
        <f t="shared" ca="1" si="16"/>
        <v>0</v>
      </c>
      <c r="O29" s="105" t="s">
        <v>195</v>
      </c>
      <c r="P29" s="84"/>
      <c r="Q29" s="85"/>
    </row>
    <row r="30" spans="1:236" s="52" customFormat="1" ht="23.25">
      <c r="A30" s="82"/>
      <c r="B30" s="83"/>
      <c r="C30" s="92"/>
      <c r="D30" s="163"/>
      <c r="E30" s="91"/>
      <c r="F30" s="96"/>
      <c r="G30" s="106"/>
      <c r="H30" s="93"/>
      <c r="I30" s="93"/>
      <c r="J30" s="94"/>
      <c r="K30" s="94"/>
      <c r="L30" s="95"/>
      <c r="M30" s="95"/>
      <c r="N30" s="95"/>
      <c r="O30" s="105"/>
      <c r="P30" s="84"/>
      <c r="Q30" s="85"/>
    </row>
    <row r="31" spans="1:236" s="52" customFormat="1" ht="47.25">
      <c r="A31" s="82"/>
      <c r="B31" s="83"/>
      <c r="C31" s="164">
        <v>3</v>
      </c>
      <c r="D31" s="165" t="s">
        <v>108</v>
      </c>
      <c r="E31" s="166">
        <v>43619</v>
      </c>
      <c r="F31" s="96">
        <v>44253</v>
      </c>
      <c r="G31" s="106"/>
      <c r="H31" s="93"/>
      <c r="I31" s="93"/>
      <c r="J31" s="94"/>
      <c r="K31" s="94"/>
      <c r="L31" s="95"/>
      <c r="M31" s="95"/>
      <c r="N31" s="95"/>
      <c r="O31" s="105"/>
      <c r="P31" s="84"/>
      <c r="Q31" s="85"/>
    </row>
    <row r="32" spans="1:236" s="52" customFormat="1" ht="23.25">
      <c r="A32" s="82"/>
      <c r="B32" s="83"/>
      <c r="C32" s="92" t="s">
        <v>104</v>
      </c>
      <c r="D32" s="163" t="s">
        <v>93</v>
      </c>
      <c r="E32" s="91">
        <v>43647</v>
      </c>
      <c r="F32" s="96">
        <v>44012</v>
      </c>
      <c r="G32" s="106" t="s">
        <v>49</v>
      </c>
      <c r="H32" s="93">
        <f t="shared" ref="H32:H35" si="17">I32</f>
        <v>3</v>
      </c>
      <c r="I32" s="93">
        <f t="shared" ref="I32:I35" si="18">IF(G32="PREOCUPANTE",1,IF(G32="ATENÇÃO",2,IF(G32="ADEQUADO",3,IF(G32="CONCLUÍDO",4,""))))</f>
        <v>3</v>
      </c>
      <c r="J32" s="94">
        <f t="shared" ref="J32:J35" ca="1" si="19">IF(G32="CONCLUÍDO",1,IF(G32="ADEQUADO",0.91*K32,IF(G32="ATENÇÃO",0.6*K32,IF(G32="PREOCUPANTE",0.5*K32))))</f>
        <v>0.31281249999999999</v>
      </c>
      <c r="K32" s="94">
        <f t="shared" ref="K32:K35" ca="1" si="20">IF(OR(D32="",D32="não há"),"-",IFERROR(M32/L32,IF(F32&lt;=TODAY(),1,0)))</f>
        <v>0.34375</v>
      </c>
      <c r="L32" s="95">
        <f>IF(OR(E32=0,F32=0),0,NETWORKDAYS(E32,F32,Feriados!$A$3:$A$100)*8)</f>
        <v>2048</v>
      </c>
      <c r="M32" s="95">
        <f ca="1">IF($N$3&lt;E32,0,IF($N$3&gt;=F32,L32,NETWORKDAYS(E32,$N$3,Feriados!$A$3:$A$100)*8))</f>
        <v>704</v>
      </c>
      <c r="N32" s="95">
        <f t="shared" ref="N32:N35" ca="1" si="21">J32*L32</f>
        <v>640.64</v>
      </c>
      <c r="O32" s="105" t="s">
        <v>194</v>
      </c>
      <c r="P32" s="84"/>
      <c r="Q32" s="85"/>
    </row>
    <row r="33" spans="1:17" s="52" customFormat="1" ht="23.25">
      <c r="A33" s="82"/>
      <c r="B33" s="83"/>
      <c r="C33" s="92" t="s">
        <v>105</v>
      </c>
      <c r="D33" s="163" t="s">
        <v>95</v>
      </c>
      <c r="E33" s="91">
        <v>44013</v>
      </c>
      <c r="F33" s="96">
        <v>44104</v>
      </c>
      <c r="G33" s="106" t="s">
        <v>49</v>
      </c>
      <c r="H33" s="93">
        <f t="shared" si="17"/>
        <v>3</v>
      </c>
      <c r="I33" s="93">
        <f t="shared" si="18"/>
        <v>3</v>
      </c>
      <c r="J33" s="94">
        <f t="shared" ca="1" si="19"/>
        <v>0</v>
      </c>
      <c r="K33" s="94">
        <f t="shared" ca="1" si="20"/>
        <v>0</v>
      </c>
      <c r="L33" s="95">
        <f>IF(OR(E33=0,F33=0),0,NETWORKDAYS(E33,F33,Feriados!$A$3:$A$100)*8)</f>
        <v>520</v>
      </c>
      <c r="M33" s="95">
        <f ca="1">IF($N$3&lt;E33,0,IF($N$3&gt;=F33,L33,NETWORKDAYS(E33,$N$3,Feriados!$A$3:$A$100)*8))</f>
        <v>0</v>
      </c>
      <c r="N33" s="95">
        <f t="shared" ca="1" si="21"/>
        <v>0</v>
      </c>
      <c r="O33" s="105" t="s">
        <v>195</v>
      </c>
      <c r="P33" s="84"/>
      <c r="Q33" s="85"/>
    </row>
    <row r="34" spans="1:17" s="52" customFormat="1" ht="23.25">
      <c r="A34" s="82"/>
      <c r="B34" s="83"/>
      <c r="C34" s="92" t="s">
        <v>106</v>
      </c>
      <c r="D34" s="163" t="s">
        <v>97</v>
      </c>
      <c r="E34" s="91">
        <v>44075</v>
      </c>
      <c r="F34" s="96">
        <v>44134</v>
      </c>
      <c r="G34" s="106" t="s">
        <v>49</v>
      </c>
      <c r="H34" s="93">
        <f t="shared" si="17"/>
        <v>3</v>
      </c>
      <c r="I34" s="93">
        <f t="shared" si="18"/>
        <v>3</v>
      </c>
      <c r="J34" s="94">
        <f t="shared" ca="1" si="19"/>
        <v>0</v>
      </c>
      <c r="K34" s="94">
        <f t="shared" ca="1" si="20"/>
        <v>0</v>
      </c>
      <c r="L34" s="95">
        <f>IF(OR(E34=0,F34=0),0,NETWORKDAYS(E34,F34,Feriados!$A$3:$A$100)*8)</f>
        <v>328</v>
      </c>
      <c r="M34" s="95">
        <f ca="1">IF($N$3&lt;E34,0,IF($N$3&gt;=F34,L34,NETWORKDAYS(E34,$N$3,Feriados!$A$3:$A$100)*8))</f>
        <v>0</v>
      </c>
      <c r="N34" s="95">
        <f t="shared" ca="1" si="21"/>
        <v>0</v>
      </c>
      <c r="O34" s="105" t="s">
        <v>195</v>
      </c>
      <c r="P34" s="84"/>
      <c r="Q34" s="85"/>
    </row>
    <row r="35" spans="1:17" s="52" customFormat="1" ht="31.5">
      <c r="A35" s="82"/>
      <c r="B35" s="83"/>
      <c r="C35" s="92" t="s">
        <v>107</v>
      </c>
      <c r="D35" s="163" t="s">
        <v>99</v>
      </c>
      <c r="E35" s="91">
        <v>44105</v>
      </c>
      <c r="F35" s="96">
        <v>44253</v>
      </c>
      <c r="G35" s="106" t="s">
        <v>49</v>
      </c>
      <c r="H35" s="93">
        <f t="shared" si="17"/>
        <v>3</v>
      </c>
      <c r="I35" s="93">
        <f t="shared" si="18"/>
        <v>3</v>
      </c>
      <c r="J35" s="94">
        <f t="shared" ca="1" si="19"/>
        <v>0</v>
      </c>
      <c r="K35" s="94">
        <f t="shared" ca="1" si="20"/>
        <v>0</v>
      </c>
      <c r="L35" s="95">
        <f>IF(OR(E35=0,F35=0),0,NETWORKDAYS(E35,F35,Feriados!$A$3:$A$100)*8)</f>
        <v>824</v>
      </c>
      <c r="M35" s="95">
        <f ca="1">IF($N$3&lt;E35,0,IF($N$3&gt;=F35,L35,NETWORKDAYS(E35,$N$3,Feriados!$A$3:$A$100)*8))</f>
        <v>0</v>
      </c>
      <c r="N35" s="95">
        <f t="shared" ca="1" si="21"/>
        <v>0</v>
      </c>
      <c r="O35" s="105" t="s">
        <v>195</v>
      </c>
      <c r="P35" s="84"/>
      <c r="Q35" s="85"/>
    </row>
    <row r="36" spans="1:17" s="52" customFormat="1" ht="23.25">
      <c r="A36" s="82"/>
      <c r="B36" s="83"/>
      <c r="C36" s="92"/>
      <c r="D36" s="163"/>
      <c r="E36" s="91"/>
      <c r="F36" s="96"/>
      <c r="G36" s="106"/>
      <c r="H36" s="93"/>
      <c r="I36" s="93"/>
      <c r="J36" s="94"/>
      <c r="K36" s="94"/>
      <c r="L36" s="95"/>
      <c r="M36" s="95"/>
      <c r="N36" s="95"/>
      <c r="O36" s="105"/>
      <c r="P36" s="84"/>
      <c r="Q36" s="85"/>
    </row>
    <row r="37" spans="1:17" s="52" customFormat="1" ht="47.25">
      <c r="A37" s="82"/>
      <c r="B37" s="83"/>
      <c r="C37" s="164">
        <v>4</v>
      </c>
      <c r="D37" s="165" t="s">
        <v>110</v>
      </c>
      <c r="E37" s="166">
        <v>43619</v>
      </c>
      <c r="F37" s="96">
        <v>44253</v>
      </c>
      <c r="G37" s="106"/>
      <c r="H37" s="93"/>
      <c r="I37" s="93"/>
      <c r="J37" s="94"/>
      <c r="K37" s="94"/>
      <c r="L37" s="95"/>
      <c r="M37" s="95"/>
      <c r="N37" s="95"/>
      <c r="O37" s="105"/>
      <c r="P37" s="84"/>
      <c r="Q37" s="85"/>
    </row>
    <row r="38" spans="1:17" s="52" customFormat="1" ht="23.25">
      <c r="A38" s="82"/>
      <c r="B38" s="83"/>
      <c r="C38" s="92" t="s">
        <v>111</v>
      </c>
      <c r="D38" s="163" t="s">
        <v>93</v>
      </c>
      <c r="E38" s="91">
        <v>43647</v>
      </c>
      <c r="F38" s="96">
        <v>44012</v>
      </c>
      <c r="G38" s="106" t="s">
        <v>49</v>
      </c>
      <c r="H38" s="93">
        <f t="shared" ref="H38:H41" si="22">I38</f>
        <v>3</v>
      </c>
      <c r="I38" s="93">
        <f t="shared" ref="I38:I41" si="23">IF(G38="PREOCUPANTE",1,IF(G38="ATENÇÃO",2,IF(G38="ADEQUADO",3,IF(G38="CONCLUÍDO",4,""))))</f>
        <v>3</v>
      </c>
      <c r="J38" s="94">
        <f t="shared" ref="J38:J41" ca="1" si="24">IF(G38="CONCLUÍDO",1,IF(G38="ADEQUADO",0.91*K38,IF(G38="ATENÇÃO",0.6*K38,IF(G38="PREOCUPANTE",0.5*K38))))</f>
        <v>0.31281249999999999</v>
      </c>
      <c r="K38" s="94">
        <f t="shared" ref="K38:K41" ca="1" si="25">IF(OR(D38="",D38="não há"),"-",IFERROR(M38/L38,IF(F38&lt;=TODAY(),1,0)))</f>
        <v>0.34375</v>
      </c>
      <c r="L38" s="95">
        <f>IF(OR(E38=0,F38=0),0,NETWORKDAYS(E38,F38,Feriados!$A$3:$A$100)*8)</f>
        <v>2048</v>
      </c>
      <c r="M38" s="95">
        <f ca="1">IF($N$3&lt;E38,0,IF($N$3&gt;=F38,L38,NETWORKDAYS(E38,$N$3,Feriados!$A$3:$A$100)*8))</f>
        <v>704</v>
      </c>
      <c r="N38" s="95">
        <f t="shared" ref="N38:N41" ca="1" si="26">J38*L38</f>
        <v>640.64</v>
      </c>
      <c r="O38" s="105" t="s">
        <v>198</v>
      </c>
      <c r="P38" s="84"/>
      <c r="Q38" s="85"/>
    </row>
    <row r="39" spans="1:17" s="52" customFormat="1" ht="23.25">
      <c r="A39" s="82"/>
      <c r="B39" s="83"/>
      <c r="C39" s="92" t="s">
        <v>112</v>
      </c>
      <c r="D39" s="163" t="s">
        <v>95</v>
      </c>
      <c r="E39" s="91">
        <v>44013</v>
      </c>
      <c r="F39" s="96">
        <v>44104</v>
      </c>
      <c r="G39" s="106" t="s">
        <v>49</v>
      </c>
      <c r="H39" s="93">
        <f t="shared" si="22"/>
        <v>3</v>
      </c>
      <c r="I39" s="93">
        <f t="shared" si="23"/>
        <v>3</v>
      </c>
      <c r="J39" s="94">
        <f t="shared" ca="1" si="24"/>
        <v>0</v>
      </c>
      <c r="K39" s="94">
        <f t="shared" ca="1" si="25"/>
        <v>0</v>
      </c>
      <c r="L39" s="95">
        <f>IF(OR(E39=0,F39=0),0,NETWORKDAYS(E39,F39,Feriados!$A$3:$A$100)*8)</f>
        <v>520</v>
      </c>
      <c r="M39" s="95">
        <f ca="1">IF($N$3&lt;E39,0,IF($N$3&gt;=F39,L39,NETWORKDAYS(E39,$N$3,Feriados!$A$3:$A$100)*8))</f>
        <v>0</v>
      </c>
      <c r="N39" s="95">
        <f t="shared" ca="1" si="26"/>
        <v>0</v>
      </c>
      <c r="O39" s="105" t="s">
        <v>195</v>
      </c>
      <c r="P39" s="84"/>
      <c r="Q39" s="85"/>
    </row>
    <row r="40" spans="1:17" s="52" customFormat="1" ht="23.25">
      <c r="A40" s="82"/>
      <c r="B40" s="83"/>
      <c r="C40" s="92" t="s">
        <v>113</v>
      </c>
      <c r="D40" s="163" t="s">
        <v>97</v>
      </c>
      <c r="E40" s="91">
        <v>44075</v>
      </c>
      <c r="F40" s="96">
        <v>44134</v>
      </c>
      <c r="G40" s="106" t="s">
        <v>49</v>
      </c>
      <c r="H40" s="93">
        <f t="shared" si="22"/>
        <v>3</v>
      </c>
      <c r="I40" s="93">
        <f t="shared" si="23"/>
        <v>3</v>
      </c>
      <c r="J40" s="94">
        <f t="shared" ca="1" si="24"/>
        <v>0</v>
      </c>
      <c r="K40" s="94">
        <f t="shared" ca="1" si="25"/>
        <v>0</v>
      </c>
      <c r="L40" s="95">
        <f>IF(OR(E40=0,F40=0),0,NETWORKDAYS(E40,F40,Feriados!$A$3:$A$100)*8)</f>
        <v>328</v>
      </c>
      <c r="M40" s="95">
        <f ca="1">IF($N$3&lt;E40,0,IF($N$3&gt;=F40,L40,NETWORKDAYS(E40,$N$3,Feriados!$A$3:$A$100)*8))</f>
        <v>0</v>
      </c>
      <c r="N40" s="95">
        <f t="shared" ca="1" si="26"/>
        <v>0</v>
      </c>
      <c r="O40" s="105" t="s">
        <v>195</v>
      </c>
      <c r="P40" s="84"/>
      <c r="Q40" s="85"/>
    </row>
    <row r="41" spans="1:17" s="52" customFormat="1" ht="31.5">
      <c r="A41" s="82"/>
      <c r="B41" s="83"/>
      <c r="C41" s="92" t="s">
        <v>114</v>
      </c>
      <c r="D41" s="163" t="s">
        <v>99</v>
      </c>
      <c r="E41" s="91">
        <v>44105</v>
      </c>
      <c r="F41" s="96">
        <v>44253</v>
      </c>
      <c r="G41" s="106" t="s">
        <v>49</v>
      </c>
      <c r="H41" s="93">
        <f t="shared" si="22"/>
        <v>3</v>
      </c>
      <c r="I41" s="93">
        <f t="shared" si="23"/>
        <v>3</v>
      </c>
      <c r="J41" s="94">
        <f t="shared" ca="1" si="24"/>
        <v>0</v>
      </c>
      <c r="K41" s="94">
        <f t="shared" ca="1" si="25"/>
        <v>0</v>
      </c>
      <c r="L41" s="95">
        <f>IF(OR(E41=0,F41=0),0,NETWORKDAYS(E41,F41,Feriados!$A$3:$A$100)*8)</f>
        <v>824</v>
      </c>
      <c r="M41" s="95">
        <f ca="1">IF($N$3&lt;E41,0,IF($N$3&gt;=F41,L41,NETWORKDAYS(E41,$N$3,Feriados!$A$3:$A$100)*8))</f>
        <v>0</v>
      </c>
      <c r="N41" s="95">
        <f t="shared" ca="1" si="26"/>
        <v>0</v>
      </c>
      <c r="O41" s="105" t="s">
        <v>195</v>
      </c>
      <c r="P41" s="84"/>
      <c r="Q41" s="85"/>
    </row>
    <row r="42" spans="1:17" s="52" customFormat="1" ht="23.25">
      <c r="A42" s="82"/>
      <c r="B42" s="83"/>
      <c r="C42" s="92"/>
      <c r="D42" s="163"/>
      <c r="E42" s="91"/>
      <c r="F42" s="96"/>
      <c r="G42" s="106"/>
      <c r="H42" s="93"/>
      <c r="I42" s="93"/>
      <c r="J42" s="94"/>
      <c r="K42" s="94"/>
      <c r="L42" s="95"/>
      <c r="M42" s="95"/>
      <c r="N42" s="95"/>
      <c r="O42" s="105"/>
      <c r="P42" s="84"/>
      <c r="Q42" s="85"/>
    </row>
    <row r="43" spans="1:17" s="52" customFormat="1" ht="47.25">
      <c r="A43" s="82"/>
      <c r="B43" s="83"/>
      <c r="C43" s="164">
        <v>5</v>
      </c>
      <c r="D43" s="165" t="s">
        <v>115</v>
      </c>
      <c r="E43" s="166">
        <v>43619</v>
      </c>
      <c r="F43" s="96">
        <v>44253</v>
      </c>
      <c r="G43" s="106"/>
      <c r="H43" s="93"/>
      <c r="I43" s="93"/>
      <c r="J43" s="94"/>
      <c r="K43" s="94"/>
      <c r="L43" s="95"/>
      <c r="M43" s="95"/>
      <c r="N43" s="95"/>
      <c r="O43" s="105"/>
      <c r="P43" s="84"/>
      <c r="Q43" s="85"/>
    </row>
    <row r="44" spans="1:17" s="52" customFormat="1" ht="23.25">
      <c r="A44" s="82"/>
      <c r="B44" s="83"/>
      <c r="C44" s="92" t="s">
        <v>117</v>
      </c>
      <c r="D44" s="163" t="s">
        <v>93</v>
      </c>
      <c r="E44" s="91">
        <v>43647</v>
      </c>
      <c r="F44" s="96">
        <v>44012</v>
      </c>
      <c r="G44" s="106" t="s">
        <v>49</v>
      </c>
      <c r="H44" s="93">
        <f t="shared" ref="H44:H47" si="27">I44</f>
        <v>3</v>
      </c>
      <c r="I44" s="93">
        <f t="shared" ref="I44:I47" si="28">IF(G44="PREOCUPANTE",1,IF(G44="ATENÇÃO",2,IF(G44="ADEQUADO",3,IF(G44="CONCLUÍDO",4,""))))</f>
        <v>3</v>
      </c>
      <c r="J44" s="94">
        <f t="shared" ref="J44:J47" ca="1" si="29">IF(G44="CONCLUÍDO",1,IF(G44="ADEQUADO",0.91*K44,IF(G44="ATENÇÃO",0.6*K44,IF(G44="PREOCUPANTE",0.5*K44))))</f>
        <v>0.31281249999999999</v>
      </c>
      <c r="K44" s="94">
        <f t="shared" ref="K44:K47" ca="1" si="30">IF(OR(D44="",D44="não há"),"-",IFERROR(M44/L44,IF(F44&lt;=TODAY(),1,0)))</f>
        <v>0.34375</v>
      </c>
      <c r="L44" s="95">
        <f>IF(OR(E44=0,F44=0),0,NETWORKDAYS(E44,F44,Feriados!$A$3:$A$100)*8)</f>
        <v>2048</v>
      </c>
      <c r="M44" s="95">
        <f ca="1">IF($N$3&lt;E44,0,IF($N$3&gt;=F44,L44,NETWORKDAYS(E44,$N$3,Feriados!$A$3:$A$100)*8))</f>
        <v>704</v>
      </c>
      <c r="N44" s="95">
        <f t="shared" ref="N44:N47" ca="1" si="31">J44*L44</f>
        <v>640.64</v>
      </c>
      <c r="O44" s="105" t="s">
        <v>198</v>
      </c>
      <c r="P44" s="84"/>
      <c r="Q44" s="85"/>
    </row>
    <row r="45" spans="1:17" s="52" customFormat="1" ht="23.25">
      <c r="A45" s="82"/>
      <c r="B45" s="83"/>
      <c r="C45" s="92" t="s">
        <v>118</v>
      </c>
      <c r="D45" s="163" t="s">
        <v>95</v>
      </c>
      <c r="E45" s="91">
        <v>44013</v>
      </c>
      <c r="F45" s="96">
        <v>44104</v>
      </c>
      <c r="G45" s="106" t="s">
        <v>49</v>
      </c>
      <c r="H45" s="93">
        <f t="shared" si="27"/>
        <v>3</v>
      </c>
      <c r="I45" s="93">
        <f t="shared" si="28"/>
        <v>3</v>
      </c>
      <c r="J45" s="94">
        <f t="shared" ca="1" si="29"/>
        <v>0</v>
      </c>
      <c r="K45" s="94">
        <f t="shared" ca="1" si="30"/>
        <v>0</v>
      </c>
      <c r="L45" s="95">
        <f>IF(OR(E45=0,F45=0),0,NETWORKDAYS(E45,F45,Feriados!$A$3:$A$100)*8)</f>
        <v>520</v>
      </c>
      <c r="M45" s="95">
        <f ca="1">IF($N$3&lt;E45,0,IF($N$3&gt;=F45,L45,NETWORKDAYS(E45,$N$3,Feriados!$A$3:$A$100)*8))</f>
        <v>0</v>
      </c>
      <c r="N45" s="95">
        <f t="shared" ca="1" si="31"/>
        <v>0</v>
      </c>
      <c r="O45" s="105" t="s">
        <v>195</v>
      </c>
      <c r="P45" s="84"/>
      <c r="Q45" s="85"/>
    </row>
    <row r="46" spans="1:17" s="52" customFormat="1" ht="23.25">
      <c r="A46" s="82"/>
      <c r="B46" s="83"/>
      <c r="C46" s="92" t="s">
        <v>119</v>
      </c>
      <c r="D46" s="163" t="s">
        <v>97</v>
      </c>
      <c r="E46" s="91">
        <v>44075</v>
      </c>
      <c r="F46" s="96">
        <v>44134</v>
      </c>
      <c r="G46" s="106" t="s">
        <v>49</v>
      </c>
      <c r="H46" s="93">
        <f t="shared" si="27"/>
        <v>3</v>
      </c>
      <c r="I46" s="93">
        <f t="shared" si="28"/>
        <v>3</v>
      </c>
      <c r="J46" s="94">
        <f t="shared" ca="1" si="29"/>
        <v>0</v>
      </c>
      <c r="K46" s="94">
        <f t="shared" ca="1" si="30"/>
        <v>0</v>
      </c>
      <c r="L46" s="95">
        <f>IF(OR(E46=0,F46=0),0,NETWORKDAYS(E46,F46,Feriados!$A$3:$A$100)*8)</f>
        <v>328</v>
      </c>
      <c r="M46" s="95">
        <f ca="1">IF($N$3&lt;E46,0,IF($N$3&gt;=F46,L46,NETWORKDAYS(E46,$N$3,Feriados!$A$3:$A$100)*8))</f>
        <v>0</v>
      </c>
      <c r="N46" s="95">
        <f t="shared" ca="1" si="31"/>
        <v>0</v>
      </c>
      <c r="O46" s="105" t="s">
        <v>195</v>
      </c>
      <c r="P46" s="84"/>
      <c r="Q46" s="85"/>
    </row>
    <row r="47" spans="1:17" s="52" customFormat="1" ht="31.5">
      <c r="A47" s="82"/>
      <c r="B47" s="83"/>
      <c r="C47" s="92" t="s">
        <v>120</v>
      </c>
      <c r="D47" s="163" t="s">
        <v>99</v>
      </c>
      <c r="E47" s="91">
        <v>44105</v>
      </c>
      <c r="F47" s="96">
        <v>44253</v>
      </c>
      <c r="G47" s="106" t="s">
        <v>49</v>
      </c>
      <c r="H47" s="93">
        <f t="shared" si="27"/>
        <v>3</v>
      </c>
      <c r="I47" s="93">
        <f t="shared" si="28"/>
        <v>3</v>
      </c>
      <c r="J47" s="94">
        <f t="shared" ca="1" si="29"/>
        <v>0</v>
      </c>
      <c r="K47" s="94">
        <f t="shared" ca="1" si="30"/>
        <v>0</v>
      </c>
      <c r="L47" s="95">
        <f>IF(OR(E47=0,F47=0),0,NETWORKDAYS(E47,F47,Feriados!$A$3:$A$100)*8)</f>
        <v>824</v>
      </c>
      <c r="M47" s="95">
        <f ca="1">IF($N$3&lt;E47,0,IF($N$3&gt;=F47,L47,NETWORKDAYS(E47,$N$3,Feriados!$A$3:$A$100)*8))</f>
        <v>0</v>
      </c>
      <c r="N47" s="95">
        <f t="shared" ca="1" si="31"/>
        <v>0</v>
      </c>
      <c r="O47" s="105" t="s">
        <v>195</v>
      </c>
      <c r="P47" s="84"/>
      <c r="Q47" s="85"/>
    </row>
    <row r="48" spans="1:17" s="52" customFormat="1" ht="23.25">
      <c r="A48" s="82"/>
      <c r="B48" s="83"/>
      <c r="C48" s="92"/>
      <c r="D48" s="163"/>
      <c r="E48" s="91"/>
      <c r="F48" s="96"/>
      <c r="G48" s="106"/>
      <c r="H48" s="93"/>
      <c r="I48" s="93"/>
      <c r="J48" s="94"/>
      <c r="K48" s="94"/>
      <c r="L48" s="95"/>
      <c r="M48" s="95"/>
      <c r="N48" s="95"/>
      <c r="O48" s="105"/>
      <c r="P48" s="84"/>
      <c r="Q48" s="85"/>
    </row>
    <row r="49" spans="1:17" s="52" customFormat="1" ht="47.25">
      <c r="A49" s="82"/>
      <c r="B49" s="83"/>
      <c r="C49" s="164">
        <v>6</v>
      </c>
      <c r="D49" s="165" t="s">
        <v>116</v>
      </c>
      <c r="E49" s="166">
        <v>43619</v>
      </c>
      <c r="F49" s="96">
        <v>44253</v>
      </c>
      <c r="G49" s="106"/>
      <c r="H49" s="93"/>
      <c r="I49" s="93"/>
      <c r="J49" s="94"/>
      <c r="K49" s="94"/>
      <c r="L49" s="95"/>
      <c r="M49" s="95"/>
      <c r="N49" s="95"/>
      <c r="O49" s="105"/>
      <c r="P49" s="84"/>
      <c r="Q49" s="85"/>
    </row>
    <row r="50" spans="1:17" s="52" customFormat="1" ht="23.25">
      <c r="A50" s="82"/>
      <c r="B50" s="83"/>
      <c r="C50" s="92" t="s">
        <v>121</v>
      </c>
      <c r="D50" s="163" t="s">
        <v>93</v>
      </c>
      <c r="E50" s="91">
        <v>43647</v>
      </c>
      <c r="F50" s="96">
        <v>44012</v>
      </c>
      <c r="G50" s="106" t="s">
        <v>49</v>
      </c>
      <c r="H50" s="93">
        <f t="shared" ref="H50:H53" si="32">I50</f>
        <v>3</v>
      </c>
      <c r="I50" s="93">
        <f t="shared" ref="I50:I53" si="33">IF(G50="PREOCUPANTE",1,IF(G50="ATENÇÃO",2,IF(G50="ADEQUADO",3,IF(G50="CONCLUÍDO",4,""))))</f>
        <v>3</v>
      </c>
      <c r="J50" s="94">
        <f t="shared" ref="J50:J53" ca="1" si="34">IF(G50="CONCLUÍDO",1,IF(G50="ADEQUADO",0.91*K50,IF(G50="ATENÇÃO",0.6*K50,IF(G50="PREOCUPANTE",0.5*K50))))</f>
        <v>0.31281249999999999</v>
      </c>
      <c r="K50" s="94">
        <f t="shared" ref="K50:K53" ca="1" si="35">IF(OR(D50="",D50="não há"),"-",IFERROR(M50/L50,IF(F50&lt;=TODAY(),1,0)))</f>
        <v>0.34375</v>
      </c>
      <c r="L50" s="95">
        <f>IF(OR(E50=0,F50=0),0,NETWORKDAYS(E50,F50,Feriados!$A$3:$A$100)*8)</f>
        <v>2048</v>
      </c>
      <c r="M50" s="95">
        <f ca="1">IF($N$3&lt;E50,0,IF($N$3&gt;=F50,L50,NETWORKDAYS(E50,$N$3,Feriados!$A$3:$A$100)*8))</f>
        <v>704</v>
      </c>
      <c r="N50" s="95">
        <f t="shared" ref="N50:N53" ca="1" si="36">J50*L50</f>
        <v>640.64</v>
      </c>
      <c r="O50" s="105" t="s">
        <v>198</v>
      </c>
      <c r="P50" s="84"/>
      <c r="Q50" s="85"/>
    </row>
    <row r="51" spans="1:17" s="52" customFormat="1" ht="23.25">
      <c r="A51" s="82"/>
      <c r="B51" s="83"/>
      <c r="C51" s="92" t="s">
        <v>122</v>
      </c>
      <c r="D51" s="163" t="s">
        <v>95</v>
      </c>
      <c r="E51" s="91">
        <v>44013</v>
      </c>
      <c r="F51" s="96">
        <v>44104</v>
      </c>
      <c r="G51" s="106" t="s">
        <v>49</v>
      </c>
      <c r="H51" s="93">
        <f t="shared" si="32"/>
        <v>3</v>
      </c>
      <c r="I51" s="93">
        <f t="shared" si="33"/>
        <v>3</v>
      </c>
      <c r="J51" s="94">
        <f t="shared" ca="1" si="34"/>
        <v>0</v>
      </c>
      <c r="K51" s="94">
        <f t="shared" ca="1" si="35"/>
        <v>0</v>
      </c>
      <c r="L51" s="95">
        <f>IF(OR(E51=0,F51=0),0,NETWORKDAYS(E51,F51,Feriados!$A$3:$A$100)*8)</f>
        <v>520</v>
      </c>
      <c r="M51" s="95">
        <f ca="1">IF($N$3&lt;E51,0,IF($N$3&gt;=F51,L51,NETWORKDAYS(E51,$N$3,Feriados!$A$3:$A$100)*8))</f>
        <v>0</v>
      </c>
      <c r="N51" s="95">
        <f t="shared" ca="1" si="36"/>
        <v>0</v>
      </c>
      <c r="O51" s="105" t="s">
        <v>195</v>
      </c>
      <c r="P51" s="84"/>
      <c r="Q51" s="85"/>
    </row>
    <row r="52" spans="1:17" s="52" customFormat="1" ht="23.25">
      <c r="A52" s="82"/>
      <c r="B52" s="83"/>
      <c r="C52" s="92" t="s">
        <v>123</v>
      </c>
      <c r="D52" s="163" t="s">
        <v>97</v>
      </c>
      <c r="E52" s="91">
        <v>44075</v>
      </c>
      <c r="F52" s="96">
        <v>44134</v>
      </c>
      <c r="G52" s="106" t="s">
        <v>49</v>
      </c>
      <c r="H52" s="93">
        <f t="shared" si="32"/>
        <v>3</v>
      </c>
      <c r="I52" s="93">
        <f t="shared" si="33"/>
        <v>3</v>
      </c>
      <c r="J52" s="94">
        <f t="shared" ca="1" si="34"/>
        <v>0</v>
      </c>
      <c r="K52" s="94">
        <f t="shared" ca="1" si="35"/>
        <v>0</v>
      </c>
      <c r="L52" s="95">
        <f>IF(OR(E52=0,F52=0),0,NETWORKDAYS(E52,F52,Feriados!$A$3:$A$100)*8)</f>
        <v>328</v>
      </c>
      <c r="M52" s="95">
        <f ca="1">IF($N$3&lt;E52,0,IF($N$3&gt;=F52,L52,NETWORKDAYS(E52,$N$3,Feriados!$A$3:$A$100)*8))</f>
        <v>0</v>
      </c>
      <c r="N52" s="95">
        <f t="shared" ca="1" si="36"/>
        <v>0</v>
      </c>
      <c r="O52" s="105" t="s">
        <v>195</v>
      </c>
      <c r="P52" s="84"/>
      <c r="Q52" s="85"/>
    </row>
    <row r="53" spans="1:17" s="52" customFormat="1" ht="31.5">
      <c r="A53" s="82"/>
      <c r="B53" s="83"/>
      <c r="C53" s="92" t="s">
        <v>124</v>
      </c>
      <c r="D53" s="163" t="s">
        <v>99</v>
      </c>
      <c r="E53" s="91">
        <v>44105</v>
      </c>
      <c r="F53" s="96">
        <v>44253</v>
      </c>
      <c r="G53" s="106" t="s">
        <v>49</v>
      </c>
      <c r="H53" s="93">
        <f t="shared" si="32"/>
        <v>3</v>
      </c>
      <c r="I53" s="93">
        <f t="shared" si="33"/>
        <v>3</v>
      </c>
      <c r="J53" s="94">
        <f t="shared" ca="1" si="34"/>
        <v>0</v>
      </c>
      <c r="K53" s="94">
        <f t="shared" ca="1" si="35"/>
        <v>0</v>
      </c>
      <c r="L53" s="95">
        <f>IF(OR(E53=0,F53=0),0,NETWORKDAYS(E53,F53,Feriados!$A$3:$A$100)*8)</f>
        <v>824</v>
      </c>
      <c r="M53" s="95">
        <f ca="1">IF($N$3&lt;E53,0,IF($N$3&gt;=F53,L53,NETWORKDAYS(E53,$N$3,Feriados!$A$3:$A$100)*8))</f>
        <v>0</v>
      </c>
      <c r="N53" s="95">
        <f t="shared" ca="1" si="36"/>
        <v>0</v>
      </c>
      <c r="O53" s="105" t="s">
        <v>195</v>
      </c>
      <c r="P53" s="84"/>
      <c r="Q53" s="85"/>
    </row>
    <row r="54" spans="1:17" s="52" customFormat="1" ht="23.25">
      <c r="A54" s="82"/>
      <c r="B54" s="83"/>
      <c r="C54" s="92"/>
      <c r="D54" s="163"/>
      <c r="E54" s="91"/>
      <c r="F54" s="96"/>
      <c r="G54" s="106"/>
      <c r="H54" s="93"/>
      <c r="I54" s="93"/>
      <c r="J54" s="94"/>
      <c r="K54" s="94"/>
      <c r="L54" s="95"/>
      <c r="M54" s="95"/>
      <c r="N54" s="95"/>
      <c r="O54" s="105"/>
      <c r="P54" s="84"/>
      <c r="Q54" s="85"/>
    </row>
    <row r="55" spans="1:17" s="52" customFormat="1" ht="47.25">
      <c r="A55" s="82"/>
      <c r="B55" s="83"/>
      <c r="C55" s="164">
        <v>7</v>
      </c>
      <c r="D55" s="165" t="s">
        <v>129</v>
      </c>
      <c r="E55" s="166">
        <v>43864</v>
      </c>
      <c r="F55" s="96">
        <v>44498</v>
      </c>
      <c r="G55" s="106"/>
      <c r="H55" s="93"/>
      <c r="I55" s="93"/>
      <c r="J55" s="94"/>
      <c r="K55" s="94"/>
      <c r="L55" s="95"/>
      <c r="M55" s="95"/>
      <c r="N55" s="95"/>
      <c r="O55" s="105"/>
      <c r="P55" s="84"/>
      <c r="Q55" s="85"/>
    </row>
    <row r="56" spans="1:17" s="52" customFormat="1" ht="23.25">
      <c r="A56" s="82"/>
      <c r="B56" s="83"/>
      <c r="C56" s="92" t="s">
        <v>125</v>
      </c>
      <c r="D56" s="163" t="s">
        <v>93</v>
      </c>
      <c r="E56" s="91">
        <v>43892</v>
      </c>
      <c r="F56" s="96">
        <v>44253</v>
      </c>
      <c r="G56" s="106" t="s">
        <v>49</v>
      </c>
      <c r="H56" s="93">
        <f t="shared" ref="H56:H59" si="37">I56</f>
        <v>3</v>
      </c>
      <c r="I56" s="93">
        <f t="shared" ref="I56:I59" si="38">IF(G56="PREOCUPANTE",1,IF(G56="ATENÇÃO",2,IF(G56="ADEQUADO",3,IF(G56="CONCLUÍDO",4,""))))</f>
        <v>3</v>
      </c>
      <c r="J56" s="94">
        <f t="shared" ref="J56:J59" ca="1" si="39">IF(G56="CONCLUÍDO",1,IF(G56="ADEQUADO",0.91*K56,IF(G56="ATENÇÃO",0.6*K56,IF(G56="PREOCUPANTE",0.5*K56))))</f>
        <v>0</v>
      </c>
      <c r="K56" s="94">
        <f t="shared" ref="K56:K59" ca="1" si="40">IF(OR(D56="",D56="não há"),"-",IFERROR(M56/L56,IF(F56&lt;=TODAY(),1,0)))</f>
        <v>0</v>
      </c>
      <c r="L56" s="95">
        <f>IF(OR(E56=0,F56=0),0,NETWORKDAYS(E56,F56,Feriados!$A$3:$A$100)*8)</f>
        <v>2024</v>
      </c>
      <c r="M56" s="95">
        <f ca="1">IF($N$3&lt;E56,0,IF($N$3&gt;=F56,L56,NETWORKDAYS(E56,$N$3,Feriados!$A$3:$A$100)*8))</f>
        <v>0</v>
      </c>
      <c r="N56" s="95">
        <f t="shared" ref="N56:N59" ca="1" si="41">J56*L56</f>
        <v>0</v>
      </c>
      <c r="O56" s="105" t="s">
        <v>194</v>
      </c>
      <c r="P56" s="84"/>
      <c r="Q56" s="85"/>
    </row>
    <row r="57" spans="1:17" s="52" customFormat="1" ht="23.25">
      <c r="A57" s="82"/>
      <c r="B57" s="83"/>
      <c r="C57" s="92" t="s">
        <v>126</v>
      </c>
      <c r="D57" s="163" t="s">
        <v>95</v>
      </c>
      <c r="E57" s="91">
        <v>44256</v>
      </c>
      <c r="F57" s="96">
        <v>44347</v>
      </c>
      <c r="G57" s="106" t="s">
        <v>49</v>
      </c>
      <c r="H57" s="93">
        <f t="shared" si="37"/>
        <v>3</v>
      </c>
      <c r="I57" s="93">
        <f t="shared" si="38"/>
        <v>3</v>
      </c>
      <c r="J57" s="94">
        <f t="shared" ca="1" si="39"/>
        <v>0</v>
      </c>
      <c r="K57" s="94">
        <f t="shared" ca="1" si="40"/>
        <v>0</v>
      </c>
      <c r="L57" s="95">
        <f>IF(OR(E57=0,F57=0),0,NETWORKDAYS(E57,F57,Feriados!$A$3:$A$100)*8)</f>
        <v>528</v>
      </c>
      <c r="M57" s="95">
        <f ca="1">IF($N$3&lt;E57,0,IF($N$3&gt;=F57,L57,NETWORKDAYS(E57,$N$3,Feriados!$A$3:$A$100)*8))</f>
        <v>0</v>
      </c>
      <c r="N57" s="95">
        <f t="shared" ca="1" si="41"/>
        <v>0</v>
      </c>
      <c r="O57" s="105" t="s">
        <v>195</v>
      </c>
      <c r="P57" s="84"/>
      <c r="Q57" s="85"/>
    </row>
    <row r="58" spans="1:17" s="52" customFormat="1" ht="23.25">
      <c r="A58" s="82"/>
      <c r="B58" s="83"/>
      <c r="C58" s="92" t="s">
        <v>127</v>
      </c>
      <c r="D58" s="163" t="s">
        <v>97</v>
      </c>
      <c r="E58" s="91">
        <v>44319</v>
      </c>
      <c r="F58" s="96">
        <v>44377</v>
      </c>
      <c r="G58" s="106" t="s">
        <v>49</v>
      </c>
      <c r="H58" s="93">
        <f t="shared" si="37"/>
        <v>3</v>
      </c>
      <c r="I58" s="93">
        <f t="shared" si="38"/>
        <v>3</v>
      </c>
      <c r="J58" s="94">
        <f t="shared" ca="1" si="39"/>
        <v>0</v>
      </c>
      <c r="K58" s="94">
        <f t="shared" ca="1" si="40"/>
        <v>0</v>
      </c>
      <c r="L58" s="95">
        <f>IF(OR(E58=0,F58=0),0,NETWORKDAYS(E58,F58,Feriados!$A$3:$A$100)*8)</f>
        <v>344</v>
      </c>
      <c r="M58" s="95">
        <f ca="1">IF($N$3&lt;E58,0,IF($N$3&gt;=F58,L58,NETWORKDAYS(E58,$N$3,Feriados!$A$3:$A$100)*8))</f>
        <v>0</v>
      </c>
      <c r="N58" s="95">
        <f t="shared" ca="1" si="41"/>
        <v>0</v>
      </c>
      <c r="O58" s="105" t="s">
        <v>195</v>
      </c>
      <c r="P58" s="84"/>
      <c r="Q58" s="85"/>
    </row>
    <row r="59" spans="1:17" s="52" customFormat="1" ht="31.5">
      <c r="A59" s="82"/>
      <c r="B59" s="83"/>
      <c r="C59" s="92" t="s">
        <v>128</v>
      </c>
      <c r="D59" s="163" t="s">
        <v>99</v>
      </c>
      <c r="E59" s="91">
        <v>44348</v>
      </c>
      <c r="F59" s="96">
        <v>44498</v>
      </c>
      <c r="G59" s="106" t="s">
        <v>49</v>
      </c>
      <c r="H59" s="93">
        <f t="shared" si="37"/>
        <v>3</v>
      </c>
      <c r="I59" s="93">
        <f t="shared" si="38"/>
        <v>3</v>
      </c>
      <c r="J59" s="94">
        <f t="shared" ca="1" si="39"/>
        <v>0</v>
      </c>
      <c r="K59" s="94">
        <f t="shared" ca="1" si="40"/>
        <v>0</v>
      </c>
      <c r="L59" s="95">
        <f>IF(OR(E59=0,F59=0),0,NETWORKDAYS(E59,F59,Feriados!$A$3:$A$100)*8)</f>
        <v>872</v>
      </c>
      <c r="M59" s="95">
        <f ca="1">IF($N$3&lt;E59,0,IF($N$3&gt;=F59,L59,NETWORKDAYS(E59,$N$3,Feriados!$A$3:$A$100)*8))</f>
        <v>0</v>
      </c>
      <c r="N59" s="95">
        <f t="shared" ca="1" si="41"/>
        <v>0</v>
      </c>
      <c r="O59" s="105" t="s">
        <v>195</v>
      </c>
      <c r="P59" s="84"/>
      <c r="Q59" s="85"/>
    </row>
    <row r="60" spans="1:17" s="52" customFormat="1" ht="23.25">
      <c r="A60" s="82"/>
      <c r="B60" s="83"/>
      <c r="C60" s="92"/>
      <c r="D60" s="163"/>
      <c r="E60" s="91"/>
      <c r="F60" s="96"/>
      <c r="G60" s="106"/>
      <c r="H60" s="93"/>
      <c r="I60" s="93"/>
      <c r="J60" s="94"/>
      <c r="K60" s="94"/>
      <c r="L60" s="95"/>
      <c r="M60" s="95"/>
      <c r="N60" s="95"/>
      <c r="O60" s="105"/>
      <c r="P60" s="84"/>
      <c r="Q60" s="85"/>
    </row>
    <row r="61" spans="1:17" s="52" customFormat="1" ht="47.25">
      <c r="A61" s="82"/>
      <c r="B61" s="83"/>
      <c r="C61" s="164">
        <v>8</v>
      </c>
      <c r="D61" s="165" t="s">
        <v>130</v>
      </c>
      <c r="E61" s="166">
        <v>43864</v>
      </c>
      <c r="F61" s="96">
        <v>44498</v>
      </c>
      <c r="G61" s="106"/>
      <c r="H61" s="93"/>
      <c r="I61" s="93"/>
      <c r="J61" s="94"/>
      <c r="K61" s="94"/>
      <c r="L61" s="95"/>
      <c r="M61" s="95"/>
      <c r="N61" s="95"/>
      <c r="O61" s="105"/>
      <c r="P61" s="84"/>
      <c r="Q61" s="85"/>
    </row>
    <row r="62" spans="1:17" s="52" customFormat="1" ht="23.25">
      <c r="A62" s="82"/>
      <c r="B62" s="83"/>
      <c r="C62" s="92" t="s">
        <v>131</v>
      </c>
      <c r="D62" s="163" t="s">
        <v>93</v>
      </c>
      <c r="E62" s="91">
        <v>43892</v>
      </c>
      <c r="F62" s="96">
        <v>44253</v>
      </c>
      <c r="G62" s="106" t="s">
        <v>49</v>
      </c>
      <c r="H62" s="93">
        <f t="shared" ref="H62:H65" si="42">I62</f>
        <v>3</v>
      </c>
      <c r="I62" s="93">
        <f t="shared" ref="I62:I65" si="43">IF(G62="PREOCUPANTE",1,IF(G62="ATENÇÃO",2,IF(G62="ADEQUADO",3,IF(G62="CONCLUÍDO",4,""))))</f>
        <v>3</v>
      </c>
      <c r="J62" s="94">
        <f t="shared" ref="J62:J65" ca="1" si="44">IF(G62="CONCLUÍDO",1,IF(G62="ADEQUADO",0.91*K62,IF(G62="ATENÇÃO",0.6*K62,IF(G62="PREOCUPANTE",0.5*K62))))</f>
        <v>0</v>
      </c>
      <c r="K62" s="94">
        <f t="shared" ref="K62:K65" ca="1" si="45">IF(OR(D62="",D62="não há"),"-",IFERROR(M62/L62,IF(F62&lt;=TODAY(),1,0)))</f>
        <v>0</v>
      </c>
      <c r="L62" s="95">
        <f>IF(OR(E62=0,F62=0),0,NETWORKDAYS(E62,F62,Feriados!$A$3:$A$100)*8)</f>
        <v>2024</v>
      </c>
      <c r="M62" s="95">
        <f ca="1">IF($N$3&lt;E62,0,IF($N$3&gt;=F62,L62,NETWORKDAYS(E62,$N$3,Feriados!$A$3:$A$100)*8))</f>
        <v>0</v>
      </c>
      <c r="N62" s="95">
        <f t="shared" ref="N62:N65" ca="1" si="46">J62*L62</f>
        <v>0</v>
      </c>
      <c r="O62" s="105" t="s">
        <v>194</v>
      </c>
      <c r="P62" s="84"/>
      <c r="Q62" s="85"/>
    </row>
    <row r="63" spans="1:17" s="52" customFormat="1" ht="23.25">
      <c r="A63" s="82"/>
      <c r="B63" s="83"/>
      <c r="C63" s="92" t="s">
        <v>132</v>
      </c>
      <c r="D63" s="163" t="s">
        <v>95</v>
      </c>
      <c r="E63" s="91">
        <v>44256</v>
      </c>
      <c r="F63" s="96">
        <v>44347</v>
      </c>
      <c r="G63" s="106" t="s">
        <v>49</v>
      </c>
      <c r="H63" s="93">
        <f t="shared" si="42"/>
        <v>3</v>
      </c>
      <c r="I63" s="93">
        <f t="shared" si="43"/>
        <v>3</v>
      </c>
      <c r="J63" s="94">
        <f t="shared" ca="1" si="44"/>
        <v>0</v>
      </c>
      <c r="K63" s="94">
        <f t="shared" ca="1" si="45"/>
        <v>0</v>
      </c>
      <c r="L63" s="95">
        <f>IF(OR(E63=0,F63=0),0,NETWORKDAYS(E63,F63,Feriados!$A$3:$A$100)*8)</f>
        <v>528</v>
      </c>
      <c r="M63" s="95">
        <f ca="1">IF($N$3&lt;E63,0,IF($N$3&gt;=F63,L63,NETWORKDAYS(E63,$N$3,Feriados!$A$3:$A$100)*8))</f>
        <v>0</v>
      </c>
      <c r="N63" s="95">
        <f t="shared" ca="1" si="46"/>
        <v>0</v>
      </c>
      <c r="O63" s="105" t="s">
        <v>199</v>
      </c>
      <c r="P63" s="84"/>
      <c r="Q63" s="85"/>
    </row>
    <row r="64" spans="1:17" s="52" customFormat="1" ht="23.25">
      <c r="A64" s="82"/>
      <c r="B64" s="83"/>
      <c r="C64" s="92" t="s">
        <v>133</v>
      </c>
      <c r="D64" s="163" t="s">
        <v>97</v>
      </c>
      <c r="E64" s="91">
        <v>44319</v>
      </c>
      <c r="F64" s="96">
        <v>44377</v>
      </c>
      <c r="G64" s="106" t="s">
        <v>49</v>
      </c>
      <c r="H64" s="93">
        <f t="shared" si="42"/>
        <v>3</v>
      </c>
      <c r="I64" s="93">
        <f t="shared" si="43"/>
        <v>3</v>
      </c>
      <c r="J64" s="94">
        <f t="shared" ca="1" si="44"/>
        <v>0</v>
      </c>
      <c r="K64" s="94">
        <f t="shared" ca="1" si="45"/>
        <v>0</v>
      </c>
      <c r="L64" s="95">
        <f>IF(OR(E64=0,F64=0),0,NETWORKDAYS(E64,F64,Feriados!$A$3:$A$100)*8)</f>
        <v>344</v>
      </c>
      <c r="M64" s="95">
        <f ca="1">IF($N$3&lt;E64,0,IF($N$3&gt;=F64,L64,NETWORKDAYS(E64,$N$3,Feriados!$A$3:$A$100)*8))</f>
        <v>0</v>
      </c>
      <c r="N64" s="95">
        <f t="shared" ca="1" si="46"/>
        <v>0</v>
      </c>
      <c r="O64" s="105" t="s">
        <v>199</v>
      </c>
      <c r="P64" s="84"/>
      <c r="Q64" s="85"/>
    </row>
    <row r="65" spans="1:17" s="52" customFormat="1" ht="31.5">
      <c r="A65" s="82"/>
      <c r="B65" s="83"/>
      <c r="C65" s="92" t="s">
        <v>134</v>
      </c>
      <c r="D65" s="163" t="s">
        <v>99</v>
      </c>
      <c r="E65" s="91">
        <v>44348</v>
      </c>
      <c r="F65" s="96">
        <v>44498</v>
      </c>
      <c r="G65" s="106" t="s">
        <v>49</v>
      </c>
      <c r="H65" s="93">
        <f t="shared" si="42"/>
        <v>3</v>
      </c>
      <c r="I65" s="93">
        <f t="shared" si="43"/>
        <v>3</v>
      </c>
      <c r="J65" s="94">
        <f t="shared" ca="1" si="44"/>
        <v>0</v>
      </c>
      <c r="K65" s="94">
        <f t="shared" ca="1" si="45"/>
        <v>0</v>
      </c>
      <c r="L65" s="95">
        <f>IF(OR(E65=0,F65=0),0,NETWORKDAYS(E65,F65,Feriados!$A$3:$A$100)*8)</f>
        <v>872</v>
      </c>
      <c r="M65" s="95">
        <f ca="1">IF($N$3&lt;E65,0,IF($N$3&gt;=F65,L65,NETWORKDAYS(E65,$N$3,Feriados!$A$3:$A$100)*8))</f>
        <v>0</v>
      </c>
      <c r="N65" s="95">
        <f t="shared" ca="1" si="46"/>
        <v>0</v>
      </c>
      <c r="O65" s="105" t="s">
        <v>195</v>
      </c>
      <c r="P65" s="84"/>
      <c r="Q65" s="85"/>
    </row>
    <row r="66" spans="1:17" s="52" customFormat="1" ht="23.25">
      <c r="A66" s="82"/>
      <c r="B66" s="83"/>
      <c r="C66" s="92"/>
      <c r="D66" s="163"/>
      <c r="E66" s="91"/>
      <c r="F66" s="96"/>
      <c r="G66" s="106"/>
      <c r="H66" s="93"/>
      <c r="I66" s="93"/>
      <c r="J66" s="94"/>
      <c r="K66" s="94"/>
      <c r="L66" s="95"/>
      <c r="M66" s="95"/>
      <c r="N66" s="95"/>
      <c r="O66" s="105"/>
      <c r="P66" s="84"/>
      <c r="Q66" s="85"/>
    </row>
    <row r="67" spans="1:17" s="52" customFormat="1" ht="31.5">
      <c r="A67" s="82"/>
      <c r="B67" s="83"/>
      <c r="C67" s="164">
        <v>9</v>
      </c>
      <c r="D67" s="165" t="s">
        <v>135</v>
      </c>
      <c r="E67" s="166">
        <v>43864</v>
      </c>
      <c r="F67" s="96">
        <v>44498</v>
      </c>
      <c r="G67" s="106"/>
      <c r="H67" s="93"/>
      <c r="I67" s="93"/>
      <c r="J67" s="94"/>
      <c r="K67" s="94"/>
      <c r="L67" s="95"/>
      <c r="M67" s="95"/>
      <c r="N67" s="95"/>
      <c r="O67" s="105"/>
      <c r="P67" s="84"/>
      <c r="Q67" s="85"/>
    </row>
    <row r="68" spans="1:17" s="52" customFormat="1" ht="23.25">
      <c r="A68" s="82"/>
      <c r="B68" s="83"/>
      <c r="C68" s="92" t="s">
        <v>136</v>
      </c>
      <c r="D68" s="163" t="s">
        <v>93</v>
      </c>
      <c r="E68" s="91">
        <v>43892</v>
      </c>
      <c r="F68" s="96">
        <v>44253</v>
      </c>
      <c r="G68" s="106" t="s">
        <v>49</v>
      </c>
      <c r="H68" s="93">
        <f t="shared" ref="H68:H71" si="47">I68</f>
        <v>3</v>
      </c>
      <c r="I68" s="93">
        <f t="shared" ref="I68:I71" si="48">IF(G68="PREOCUPANTE",1,IF(G68="ATENÇÃO",2,IF(G68="ADEQUADO",3,IF(G68="CONCLUÍDO",4,""))))</f>
        <v>3</v>
      </c>
      <c r="J68" s="94">
        <f t="shared" ref="J68:J71" ca="1" si="49">IF(G68="CONCLUÍDO",1,IF(G68="ADEQUADO",0.91*K68,IF(G68="ATENÇÃO",0.6*K68,IF(G68="PREOCUPANTE",0.5*K68))))</f>
        <v>0</v>
      </c>
      <c r="K68" s="94">
        <f t="shared" ref="K68:K71" ca="1" si="50">IF(OR(D68="",D68="não há"),"-",IFERROR(M68/L68,IF(F68&lt;=TODAY(),1,0)))</f>
        <v>0</v>
      </c>
      <c r="L68" s="95">
        <f>IF(OR(E68=0,F68=0),0,NETWORKDAYS(E68,F68,Feriados!$A$3:$A$100)*8)</f>
        <v>2024</v>
      </c>
      <c r="M68" s="95">
        <f ca="1">IF($N$3&lt;E68,0,IF($N$3&gt;=F68,L68,NETWORKDAYS(E68,$N$3,Feriados!$A$3:$A$100)*8))</f>
        <v>0</v>
      </c>
      <c r="N68" s="95">
        <f t="shared" ref="N68:N71" ca="1" si="51">J68*L68</f>
        <v>0</v>
      </c>
      <c r="O68" s="105" t="s">
        <v>195</v>
      </c>
      <c r="P68" s="84"/>
      <c r="Q68" s="85"/>
    </row>
    <row r="69" spans="1:17" s="52" customFormat="1" ht="23.25">
      <c r="A69" s="82"/>
      <c r="B69" s="83"/>
      <c r="C69" s="92" t="s">
        <v>137</v>
      </c>
      <c r="D69" s="163" t="s">
        <v>95</v>
      </c>
      <c r="E69" s="91">
        <v>44256</v>
      </c>
      <c r="F69" s="96">
        <v>44347</v>
      </c>
      <c r="G69" s="106" t="s">
        <v>49</v>
      </c>
      <c r="H69" s="93">
        <f t="shared" si="47"/>
        <v>3</v>
      </c>
      <c r="I69" s="93">
        <f t="shared" si="48"/>
        <v>3</v>
      </c>
      <c r="J69" s="94">
        <f t="shared" ca="1" si="49"/>
        <v>0</v>
      </c>
      <c r="K69" s="94">
        <f t="shared" ca="1" si="50"/>
        <v>0</v>
      </c>
      <c r="L69" s="95">
        <f>IF(OR(E69=0,F69=0),0,NETWORKDAYS(E69,F69,Feriados!$A$3:$A$100)*8)</f>
        <v>528</v>
      </c>
      <c r="M69" s="95">
        <f ca="1">IF($N$3&lt;E69,0,IF($N$3&gt;=F69,L69,NETWORKDAYS(E69,$N$3,Feriados!$A$3:$A$100)*8))</f>
        <v>0</v>
      </c>
      <c r="N69" s="95">
        <f t="shared" ca="1" si="51"/>
        <v>0</v>
      </c>
      <c r="O69" s="105" t="s">
        <v>195</v>
      </c>
      <c r="P69" s="84"/>
      <c r="Q69" s="85"/>
    </row>
    <row r="70" spans="1:17" s="52" customFormat="1" ht="23.25">
      <c r="A70" s="82"/>
      <c r="B70" s="83"/>
      <c r="C70" s="92" t="s">
        <v>138</v>
      </c>
      <c r="D70" s="163" t="s">
        <v>97</v>
      </c>
      <c r="E70" s="91">
        <v>44319</v>
      </c>
      <c r="F70" s="96">
        <v>44377</v>
      </c>
      <c r="G70" s="106" t="s">
        <v>49</v>
      </c>
      <c r="H70" s="93">
        <f t="shared" si="47"/>
        <v>3</v>
      </c>
      <c r="I70" s="93">
        <f t="shared" si="48"/>
        <v>3</v>
      </c>
      <c r="J70" s="94">
        <f t="shared" ca="1" si="49"/>
        <v>0</v>
      </c>
      <c r="K70" s="94">
        <f t="shared" ca="1" si="50"/>
        <v>0</v>
      </c>
      <c r="L70" s="95">
        <f>IF(OR(E70=0,F70=0),0,NETWORKDAYS(E70,F70,Feriados!$A$3:$A$100)*8)</f>
        <v>344</v>
      </c>
      <c r="M70" s="95">
        <f ca="1">IF($N$3&lt;E70,0,IF($N$3&gt;=F70,L70,NETWORKDAYS(E70,$N$3,Feriados!$A$3:$A$100)*8))</f>
        <v>0</v>
      </c>
      <c r="N70" s="95">
        <f t="shared" ca="1" si="51"/>
        <v>0</v>
      </c>
      <c r="O70" s="105" t="s">
        <v>195</v>
      </c>
      <c r="P70" s="84"/>
      <c r="Q70" s="85"/>
    </row>
    <row r="71" spans="1:17" s="52" customFormat="1" ht="31.5">
      <c r="A71" s="82"/>
      <c r="B71" s="83"/>
      <c r="C71" s="92" t="s">
        <v>139</v>
      </c>
      <c r="D71" s="163" t="s">
        <v>99</v>
      </c>
      <c r="E71" s="91">
        <v>44348</v>
      </c>
      <c r="F71" s="96">
        <v>44498</v>
      </c>
      <c r="G71" s="106" t="s">
        <v>49</v>
      </c>
      <c r="H71" s="93">
        <f t="shared" si="47"/>
        <v>3</v>
      </c>
      <c r="I71" s="93">
        <f t="shared" si="48"/>
        <v>3</v>
      </c>
      <c r="J71" s="94">
        <f t="shared" ca="1" si="49"/>
        <v>0</v>
      </c>
      <c r="K71" s="94">
        <f t="shared" ca="1" si="50"/>
        <v>0</v>
      </c>
      <c r="L71" s="95">
        <f>IF(OR(E71=0,F71=0),0,NETWORKDAYS(E71,F71,Feriados!$A$3:$A$100)*8)</f>
        <v>872</v>
      </c>
      <c r="M71" s="95">
        <f ca="1">IF($N$3&lt;E71,0,IF($N$3&gt;=F71,L71,NETWORKDAYS(E71,$N$3,Feriados!$A$3:$A$100)*8))</f>
        <v>0</v>
      </c>
      <c r="N71" s="95">
        <f t="shared" ca="1" si="51"/>
        <v>0</v>
      </c>
      <c r="O71" s="105" t="s">
        <v>195</v>
      </c>
      <c r="P71" s="84"/>
      <c r="Q71" s="85"/>
    </row>
    <row r="72" spans="1:17" s="52" customFormat="1" ht="23.25">
      <c r="A72" s="82"/>
      <c r="B72" s="83"/>
      <c r="C72" s="92"/>
      <c r="D72" s="163"/>
      <c r="E72" s="91"/>
      <c r="F72" s="96"/>
      <c r="G72" s="106"/>
      <c r="H72" s="93"/>
      <c r="I72" s="93"/>
      <c r="J72" s="94"/>
      <c r="K72" s="94"/>
      <c r="L72" s="95"/>
      <c r="M72" s="95"/>
      <c r="N72" s="95"/>
      <c r="O72" s="105"/>
      <c r="P72" s="84"/>
      <c r="Q72" s="85"/>
    </row>
    <row r="73" spans="1:17" s="52" customFormat="1" ht="47.25">
      <c r="A73" s="82"/>
      <c r="B73" s="83"/>
      <c r="C73" s="164">
        <v>10</v>
      </c>
      <c r="D73" s="165" t="s">
        <v>144</v>
      </c>
      <c r="E73" s="166">
        <v>43864</v>
      </c>
      <c r="F73" s="96">
        <v>44498</v>
      </c>
      <c r="G73" s="106"/>
      <c r="H73" s="93"/>
      <c r="I73" s="93"/>
      <c r="J73" s="94"/>
      <c r="K73" s="94"/>
      <c r="L73" s="95"/>
      <c r="M73" s="95"/>
      <c r="N73" s="95"/>
      <c r="O73" s="105"/>
      <c r="P73" s="84"/>
      <c r="Q73" s="85"/>
    </row>
    <row r="74" spans="1:17" s="52" customFormat="1" ht="23.25">
      <c r="A74" s="82"/>
      <c r="B74" s="83"/>
      <c r="C74" s="92" t="s">
        <v>140</v>
      </c>
      <c r="D74" s="163" t="s">
        <v>93</v>
      </c>
      <c r="E74" s="91">
        <v>43892</v>
      </c>
      <c r="F74" s="96">
        <v>44253</v>
      </c>
      <c r="G74" s="106" t="s">
        <v>49</v>
      </c>
      <c r="H74" s="93">
        <f t="shared" ref="H74:H77" si="52">I74</f>
        <v>3</v>
      </c>
      <c r="I74" s="93">
        <f t="shared" ref="I74:I77" si="53">IF(G74="PREOCUPANTE",1,IF(G74="ATENÇÃO",2,IF(G74="ADEQUADO",3,IF(G74="CONCLUÍDO",4,""))))</f>
        <v>3</v>
      </c>
      <c r="J74" s="94">
        <f t="shared" ref="J74:J77" ca="1" si="54">IF(G74="CONCLUÍDO",1,IF(G74="ADEQUADO",0.91*K74,IF(G74="ATENÇÃO",0.6*K74,IF(G74="PREOCUPANTE",0.5*K74))))</f>
        <v>0</v>
      </c>
      <c r="K74" s="94">
        <f t="shared" ref="K74:K77" ca="1" si="55">IF(OR(D74="",D74="não há"),"-",IFERROR(M74/L74,IF(F74&lt;=TODAY(),1,0)))</f>
        <v>0</v>
      </c>
      <c r="L74" s="95">
        <f>IF(OR(E74=0,F74=0),0,NETWORKDAYS(E74,F74,Feriados!$A$3:$A$100)*8)</f>
        <v>2024</v>
      </c>
      <c r="M74" s="95">
        <f ca="1">IF($N$3&lt;E74,0,IF($N$3&gt;=F74,L74,NETWORKDAYS(E74,$N$3,Feriados!$A$3:$A$100)*8))</f>
        <v>0</v>
      </c>
      <c r="N74" s="95">
        <f t="shared" ref="N74:N77" ca="1" si="56">J74*L74</f>
        <v>0</v>
      </c>
      <c r="O74" s="105" t="s">
        <v>200</v>
      </c>
      <c r="P74" s="84"/>
      <c r="Q74" s="85"/>
    </row>
    <row r="75" spans="1:17" s="52" customFormat="1" ht="23.25">
      <c r="A75" s="82"/>
      <c r="B75" s="83"/>
      <c r="C75" s="92" t="s">
        <v>141</v>
      </c>
      <c r="D75" s="163" t="s">
        <v>95</v>
      </c>
      <c r="E75" s="91">
        <v>44256</v>
      </c>
      <c r="F75" s="96">
        <v>44347</v>
      </c>
      <c r="G75" s="106" t="s">
        <v>49</v>
      </c>
      <c r="H75" s="93">
        <f t="shared" si="52"/>
        <v>3</v>
      </c>
      <c r="I75" s="93">
        <f t="shared" si="53"/>
        <v>3</v>
      </c>
      <c r="J75" s="94">
        <f t="shared" ca="1" si="54"/>
        <v>0</v>
      </c>
      <c r="K75" s="94">
        <f t="shared" ca="1" si="55"/>
        <v>0</v>
      </c>
      <c r="L75" s="95">
        <f>IF(OR(E75=0,F75=0),0,NETWORKDAYS(E75,F75,Feriados!$A$3:$A$100)*8)</f>
        <v>528</v>
      </c>
      <c r="M75" s="95">
        <f ca="1">IF($N$3&lt;E75,0,IF($N$3&gt;=F75,L75,NETWORKDAYS(E75,$N$3,Feriados!$A$3:$A$100)*8))</f>
        <v>0</v>
      </c>
      <c r="N75" s="95">
        <f t="shared" ca="1" si="56"/>
        <v>0</v>
      </c>
      <c r="O75" s="105" t="s">
        <v>195</v>
      </c>
      <c r="P75" s="84"/>
      <c r="Q75" s="85"/>
    </row>
    <row r="76" spans="1:17" s="52" customFormat="1" ht="23.25">
      <c r="A76" s="82"/>
      <c r="B76" s="83"/>
      <c r="C76" s="92" t="s">
        <v>142</v>
      </c>
      <c r="D76" s="163" t="s">
        <v>97</v>
      </c>
      <c r="E76" s="91">
        <v>44319</v>
      </c>
      <c r="F76" s="96">
        <v>44377</v>
      </c>
      <c r="G76" s="106" t="s">
        <v>49</v>
      </c>
      <c r="H76" s="93">
        <f t="shared" si="52"/>
        <v>3</v>
      </c>
      <c r="I76" s="93">
        <f t="shared" si="53"/>
        <v>3</v>
      </c>
      <c r="J76" s="94">
        <f t="shared" ca="1" si="54"/>
        <v>0</v>
      </c>
      <c r="K76" s="94">
        <f t="shared" ca="1" si="55"/>
        <v>0</v>
      </c>
      <c r="L76" s="95">
        <f>IF(OR(E76=0,F76=0),0,NETWORKDAYS(E76,F76,Feriados!$A$3:$A$100)*8)</f>
        <v>344</v>
      </c>
      <c r="M76" s="95">
        <f ca="1">IF($N$3&lt;E76,0,IF($N$3&gt;=F76,L76,NETWORKDAYS(E76,$N$3,Feriados!$A$3:$A$100)*8))</f>
        <v>0</v>
      </c>
      <c r="N76" s="95">
        <f t="shared" ca="1" si="56"/>
        <v>0</v>
      </c>
      <c r="O76" s="105" t="s">
        <v>195</v>
      </c>
      <c r="P76" s="84"/>
      <c r="Q76" s="85"/>
    </row>
    <row r="77" spans="1:17" s="52" customFormat="1" ht="31.5">
      <c r="A77" s="82"/>
      <c r="B77" s="83"/>
      <c r="C77" s="92" t="s">
        <v>143</v>
      </c>
      <c r="D77" s="163" t="s">
        <v>99</v>
      </c>
      <c r="E77" s="91">
        <v>44348</v>
      </c>
      <c r="F77" s="96">
        <v>44498</v>
      </c>
      <c r="G77" s="106" t="s">
        <v>49</v>
      </c>
      <c r="H77" s="93">
        <f t="shared" si="52"/>
        <v>3</v>
      </c>
      <c r="I77" s="93">
        <f t="shared" si="53"/>
        <v>3</v>
      </c>
      <c r="J77" s="94">
        <f t="shared" ca="1" si="54"/>
        <v>0</v>
      </c>
      <c r="K77" s="94">
        <f t="shared" ca="1" si="55"/>
        <v>0</v>
      </c>
      <c r="L77" s="95">
        <f>IF(OR(E77=0,F77=0),0,NETWORKDAYS(E77,F77,Feriados!$A$3:$A$100)*8)</f>
        <v>872</v>
      </c>
      <c r="M77" s="95">
        <f ca="1">IF($N$3&lt;E77,0,IF($N$3&gt;=F77,L77,NETWORKDAYS(E77,$N$3,Feriados!$A$3:$A$100)*8))</f>
        <v>0</v>
      </c>
      <c r="N77" s="95">
        <f t="shared" ca="1" si="56"/>
        <v>0</v>
      </c>
      <c r="O77" s="105" t="s">
        <v>195</v>
      </c>
      <c r="P77" s="84"/>
      <c r="Q77" s="85"/>
    </row>
    <row r="78" spans="1:17" s="52" customFormat="1" ht="23.25">
      <c r="A78" s="82"/>
      <c r="B78" s="83"/>
      <c r="C78" s="92"/>
      <c r="D78" s="163"/>
      <c r="E78" s="91"/>
      <c r="F78" s="96"/>
      <c r="G78" s="106"/>
      <c r="H78" s="93"/>
      <c r="I78" s="93"/>
      <c r="J78" s="94"/>
      <c r="K78" s="94"/>
      <c r="L78" s="95"/>
      <c r="M78" s="95"/>
      <c r="N78" s="95"/>
      <c r="O78" s="105"/>
      <c r="P78" s="84"/>
      <c r="Q78" s="85"/>
    </row>
    <row r="79" spans="1:17" s="52" customFormat="1" ht="63">
      <c r="A79" s="82"/>
      <c r="B79" s="83"/>
      <c r="C79" s="164">
        <v>11</v>
      </c>
      <c r="D79" s="165" t="s">
        <v>145</v>
      </c>
      <c r="E79" s="166">
        <v>43864</v>
      </c>
      <c r="F79" s="96">
        <v>44498</v>
      </c>
      <c r="G79" s="106"/>
      <c r="H79" s="93"/>
      <c r="I79" s="93"/>
      <c r="J79" s="94"/>
      <c r="K79" s="94"/>
      <c r="L79" s="95"/>
      <c r="M79" s="95"/>
      <c r="N79" s="95"/>
      <c r="O79" s="105"/>
      <c r="P79" s="84"/>
      <c r="Q79" s="85"/>
    </row>
    <row r="80" spans="1:17" s="52" customFormat="1" ht="23.25">
      <c r="A80" s="82"/>
      <c r="B80" s="83"/>
      <c r="C80" s="92" t="s">
        <v>146</v>
      </c>
      <c r="D80" s="163" t="s">
        <v>93</v>
      </c>
      <c r="E80" s="91">
        <v>43892</v>
      </c>
      <c r="F80" s="96">
        <v>44253</v>
      </c>
      <c r="G80" s="106" t="s">
        <v>49</v>
      </c>
      <c r="H80" s="93">
        <f t="shared" ref="H80:H83" si="57">I80</f>
        <v>3</v>
      </c>
      <c r="I80" s="93">
        <f t="shared" ref="I80:I83" si="58">IF(G80="PREOCUPANTE",1,IF(G80="ATENÇÃO",2,IF(G80="ADEQUADO",3,IF(G80="CONCLUÍDO",4,""))))</f>
        <v>3</v>
      </c>
      <c r="J80" s="94">
        <f t="shared" ref="J80:J83" ca="1" si="59">IF(G80="CONCLUÍDO",1,IF(G80="ADEQUADO",0.91*K80,IF(G80="ATENÇÃO",0.6*K80,IF(G80="PREOCUPANTE",0.5*K80))))</f>
        <v>0</v>
      </c>
      <c r="K80" s="94">
        <f t="shared" ref="K80:K83" ca="1" si="60">IF(OR(D80="",D80="não há"),"-",IFERROR(M80/L80,IF(F80&lt;=TODAY(),1,0)))</f>
        <v>0</v>
      </c>
      <c r="L80" s="95">
        <f>IF(OR(E80=0,F80=0),0,NETWORKDAYS(E80,F80,Feriados!$A$3:$A$100)*8)</f>
        <v>2024</v>
      </c>
      <c r="M80" s="95">
        <f ca="1">IF($N$3&lt;E80,0,IF($N$3&gt;=F80,L80,NETWORKDAYS(E80,$N$3,Feriados!$A$3:$A$100)*8))</f>
        <v>0</v>
      </c>
      <c r="N80" s="95">
        <f t="shared" ref="N80:N83" ca="1" si="61">J80*L80</f>
        <v>0</v>
      </c>
      <c r="O80" s="105" t="s">
        <v>194</v>
      </c>
      <c r="P80" s="84"/>
      <c r="Q80" s="85"/>
    </row>
    <row r="81" spans="1:17" s="52" customFormat="1" ht="23.25">
      <c r="A81" s="82"/>
      <c r="B81" s="83"/>
      <c r="C81" s="92" t="s">
        <v>147</v>
      </c>
      <c r="D81" s="163" t="s">
        <v>95</v>
      </c>
      <c r="E81" s="91">
        <v>44256</v>
      </c>
      <c r="F81" s="96">
        <v>44347</v>
      </c>
      <c r="G81" s="106" t="s">
        <v>49</v>
      </c>
      <c r="H81" s="93">
        <f t="shared" si="57"/>
        <v>3</v>
      </c>
      <c r="I81" s="93">
        <f t="shared" si="58"/>
        <v>3</v>
      </c>
      <c r="J81" s="94">
        <f t="shared" ca="1" si="59"/>
        <v>0</v>
      </c>
      <c r="K81" s="94">
        <f t="shared" ca="1" si="60"/>
        <v>0</v>
      </c>
      <c r="L81" s="95">
        <f>IF(OR(E81=0,F81=0),0,NETWORKDAYS(E81,F81,Feriados!$A$3:$A$100)*8)</f>
        <v>528</v>
      </c>
      <c r="M81" s="95">
        <f ca="1">IF($N$3&lt;E81,0,IF($N$3&gt;=F81,L81,NETWORKDAYS(E81,$N$3,Feriados!$A$3:$A$100)*8))</f>
        <v>0</v>
      </c>
      <c r="N81" s="95">
        <f t="shared" ca="1" si="61"/>
        <v>0</v>
      </c>
      <c r="O81" s="105" t="s">
        <v>195</v>
      </c>
      <c r="P81" s="84"/>
      <c r="Q81" s="85"/>
    </row>
    <row r="82" spans="1:17" s="52" customFormat="1" ht="23.25">
      <c r="A82" s="82"/>
      <c r="B82" s="83"/>
      <c r="C82" s="92" t="s">
        <v>148</v>
      </c>
      <c r="D82" s="163" t="s">
        <v>97</v>
      </c>
      <c r="E82" s="91">
        <v>44319</v>
      </c>
      <c r="F82" s="96">
        <v>44377</v>
      </c>
      <c r="G82" s="106" t="s">
        <v>49</v>
      </c>
      <c r="H82" s="93">
        <f t="shared" si="57"/>
        <v>3</v>
      </c>
      <c r="I82" s="93">
        <f t="shared" si="58"/>
        <v>3</v>
      </c>
      <c r="J82" s="94">
        <f t="shared" ca="1" si="59"/>
        <v>0</v>
      </c>
      <c r="K82" s="94">
        <f t="shared" ca="1" si="60"/>
        <v>0</v>
      </c>
      <c r="L82" s="95">
        <f>IF(OR(E82=0,F82=0),0,NETWORKDAYS(E82,F82,Feriados!$A$3:$A$100)*8)</f>
        <v>344</v>
      </c>
      <c r="M82" s="95">
        <f ca="1">IF($N$3&lt;E82,0,IF($N$3&gt;=F82,L82,NETWORKDAYS(E82,$N$3,Feriados!$A$3:$A$100)*8))</f>
        <v>0</v>
      </c>
      <c r="N82" s="95">
        <f t="shared" ca="1" si="61"/>
        <v>0</v>
      </c>
      <c r="O82" s="105" t="s">
        <v>195</v>
      </c>
      <c r="P82" s="84"/>
      <c r="Q82" s="85"/>
    </row>
    <row r="83" spans="1:17" s="52" customFormat="1" ht="31.5">
      <c r="A83" s="82"/>
      <c r="B83" s="83"/>
      <c r="C83" s="92" t="s">
        <v>149</v>
      </c>
      <c r="D83" s="163" t="s">
        <v>99</v>
      </c>
      <c r="E83" s="91">
        <v>44348</v>
      </c>
      <c r="F83" s="96">
        <v>44498</v>
      </c>
      <c r="G83" s="106" t="s">
        <v>49</v>
      </c>
      <c r="H83" s="93">
        <f t="shared" si="57"/>
        <v>3</v>
      </c>
      <c r="I83" s="93">
        <f t="shared" si="58"/>
        <v>3</v>
      </c>
      <c r="J83" s="94">
        <f t="shared" ca="1" si="59"/>
        <v>0</v>
      </c>
      <c r="K83" s="94">
        <f t="shared" ca="1" si="60"/>
        <v>0</v>
      </c>
      <c r="L83" s="95">
        <f>IF(OR(E83=0,F83=0),0,NETWORKDAYS(E83,F83,Feriados!$A$3:$A$100)*8)</f>
        <v>872</v>
      </c>
      <c r="M83" s="95">
        <f ca="1">IF($N$3&lt;E83,0,IF($N$3&gt;=F83,L83,NETWORKDAYS(E83,$N$3,Feriados!$A$3:$A$100)*8))</f>
        <v>0</v>
      </c>
      <c r="N83" s="95">
        <f t="shared" ca="1" si="61"/>
        <v>0</v>
      </c>
      <c r="O83" s="105" t="s">
        <v>195</v>
      </c>
      <c r="P83" s="84"/>
      <c r="Q83" s="85"/>
    </row>
    <row r="84" spans="1:17" s="52" customFormat="1" ht="23.25">
      <c r="A84" s="82"/>
      <c r="B84" s="83"/>
      <c r="C84" s="92"/>
      <c r="D84" s="163"/>
      <c r="E84" s="91"/>
      <c r="F84" s="96"/>
      <c r="G84" s="106"/>
      <c r="H84" s="93"/>
      <c r="I84" s="93"/>
      <c r="J84" s="94"/>
      <c r="K84" s="94"/>
      <c r="L84" s="95"/>
      <c r="M84" s="95"/>
      <c r="N84" s="95"/>
      <c r="O84" s="105"/>
      <c r="P84" s="84"/>
      <c r="Q84" s="85"/>
    </row>
    <row r="85" spans="1:17" s="52" customFormat="1" ht="47.25">
      <c r="A85" s="82"/>
      <c r="B85" s="83"/>
      <c r="C85" s="164">
        <v>12</v>
      </c>
      <c r="D85" s="165" t="s">
        <v>150</v>
      </c>
      <c r="E85" s="166">
        <v>43864</v>
      </c>
      <c r="F85" s="96">
        <v>44498</v>
      </c>
      <c r="G85" s="106"/>
      <c r="H85" s="93"/>
      <c r="I85" s="93"/>
      <c r="J85" s="94"/>
      <c r="K85" s="94"/>
      <c r="L85" s="95"/>
      <c r="M85" s="95"/>
      <c r="N85" s="95"/>
      <c r="O85" s="105"/>
      <c r="P85" s="84"/>
      <c r="Q85" s="85"/>
    </row>
    <row r="86" spans="1:17" s="52" customFormat="1" ht="23.25">
      <c r="A86" s="82"/>
      <c r="B86" s="83"/>
      <c r="C86" s="92" t="s">
        <v>151</v>
      </c>
      <c r="D86" s="163" t="s">
        <v>93</v>
      </c>
      <c r="E86" s="91">
        <v>43892</v>
      </c>
      <c r="F86" s="96">
        <v>44253</v>
      </c>
      <c r="G86" s="106" t="s">
        <v>49</v>
      </c>
      <c r="H86" s="93">
        <f t="shared" ref="H86:H89" si="62">I86</f>
        <v>3</v>
      </c>
      <c r="I86" s="93">
        <f t="shared" ref="I86:I89" si="63">IF(G86="PREOCUPANTE",1,IF(G86="ATENÇÃO",2,IF(G86="ADEQUADO",3,IF(G86="CONCLUÍDO",4,""))))</f>
        <v>3</v>
      </c>
      <c r="J86" s="94">
        <f t="shared" ref="J86:J89" ca="1" si="64">IF(G86="CONCLUÍDO",1,IF(G86="ADEQUADO",0.91*K86,IF(G86="ATENÇÃO",0.6*K86,IF(G86="PREOCUPANTE",0.5*K86))))</f>
        <v>0</v>
      </c>
      <c r="K86" s="94">
        <f t="shared" ref="K86:K89" ca="1" si="65">IF(OR(D86="",D86="não há"),"-",IFERROR(M86/L86,IF(F86&lt;=TODAY(),1,0)))</f>
        <v>0</v>
      </c>
      <c r="L86" s="95">
        <f>IF(OR(E86=0,F86=0),0,NETWORKDAYS(E86,F86,Feriados!$A$3:$A$100)*8)</f>
        <v>2024</v>
      </c>
      <c r="M86" s="95">
        <f ca="1">IF($N$3&lt;E86,0,IF($N$3&gt;=F86,L86,NETWORKDAYS(E86,$N$3,Feriados!$A$3:$A$100)*8))</f>
        <v>0</v>
      </c>
      <c r="N86" s="95">
        <f t="shared" ref="N86:N89" ca="1" si="66">J86*L86</f>
        <v>0</v>
      </c>
      <c r="O86" s="105" t="s">
        <v>195</v>
      </c>
      <c r="P86" s="84"/>
      <c r="Q86" s="85"/>
    </row>
    <row r="87" spans="1:17" s="52" customFormat="1" ht="23.25">
      <c r="A87" s="82"/>
      <c r="B87" s="83"/>
      <c r="C87" s="92" t="s">
        <v>152</v>
      </c>
      <c r="D87" s="163" t="s">
        <v>95</v>
      </c>
      <c r="E87" s="91">
        <v>44256</v>
      </c>
      <c r="F87" s="96">
        <v>44347</v>
      </c>
      <c r="G87" s="106" t="s">
        <v>49</v>
      </c>
      <c r="H87" s="93">
        <f t="shared" si="62"/>
        <v>3</v>
      </c>
      <c r="I87" s="93">
        <f t="shared" si="63"/>
        <v>3</v>
      </c>
      <c r="J87" s="94">
        <f t="shared" ca="1" si="64"/>
        <v>0</v>
      </c>
      <c r="K87" s="94">
        <f t="shared" ca="1" si="65"/>
        <v>0</v>
      </c>
      <c r="L87" s="95">
        <f>IF(OR(E87=0,F87=0),0,NETWORKDAYS(E87,F87,Feriados!$A$3:$A$100)*8)</f>
        <v>528</v>
      </c>
      <c r="M87" s="95">
        <f ca="1">IF($N$3&lt;E87,0,IF($N$3&gt;=F87,L87,NETWORKDAYS(E87,$N$3,Feriados!$A$3:$A$100)*8))</f>
        <v>0</v>
      </c>
      <c r="N87" s="95">
        <f t="shared" ca="1" si="66"/>
        <v>0</v>
      </c>
      <c r="O87" s="105" t="s">
        <v>195</v>
      </c>
      <c r="P87" s="84"/>
      <c r="Q87" s="85"/>
    </row>
    <row r="88" spans="1:17" s="52" customFormat="1" ht="23.25">
      <c r="A88" s="82"/>
      <c r="B88" s="83"/>
      <c r="C88" s="92" t="s">
        <v>153</v>
      </c>
      <c r="D88" s="163" t="s">
        <v>97</v>
      </c>
      <c r="E88" s="91">
        <v>44319</v>
      </c>
      <c r="F88" s="96">
        <v>44377</v>
      </c>
      <c r="G88" s="106" t="s">
        <v>49</v>
      </c>
      <c r="H88" s="93">
        <f t="shared" si="62"/>
        <v>3</v>
      </c>
      <c r="I88" s="93">
        <f t="shared" si="63"/>
        <v>3</v>
      </c>
      <c r="J88" s="94">
        <f t="shared" ca="1" si="64"/>
        <v>0</v>
      </c>
      <c r="K88" s="94">
        <f t="shared" ca="1" si="65"/>
        <v>0</v>
      </c>
      <c r="L88" s="95">
        <f>IF(OR(E88=0,F88=0),0,NETWORKDAYS(E88,F88,Feriados!$A$3:$A$100)*8)</f>
        <v>344</v>
      </c>
      <c r="M88" s="95">
        <f ca="1">IF($N$3&lt;E88,0,IF($N$3&gt;=F88,L88,NETWORKDAYS(E88,$N$3,Feriados!$A$3:$A$100)*8))</f>
        <v>0</v>
      </c>
      <c r="N88" s="95">
        <f t="shared" ca="1" si="66"/>
        <v>0</v>
      </c>
      <c r="O88" s="105" t="s">
        <v>195</v>
      </c>
      <c r="P88" s="84"/>
      <c r="Q88" s="85"/>
    </row>
    <row r="89" spans="1:17" s="52" customFormat="1" ht="31.5">
      <c r="A89" s="82"/>
      <c r="B89" s="83"/>
      <c r="C89" s="92" t="s">
        <v>154</v>
      </c>
      <c r="D89" s="163" t="s">
        <v>99</v>
      </c>
      <c r="E89" s="91">
        <v>44348</v>
      </c>
      <c r="F89" s="96">
        <v>44498</v>
      </c>
      <c r="G89" s="106" t="s">
        <v>49</v>
      </c>
      <c r="H89" s="93">
        <f t="shared" si="62"/>
        <v>3</v>
      </c>
      <c r="I89" s="93">
        <f t="shared" si="63"/>
        <v>3</v>
      </c>
      <c r="J89" s="94">
        <f t="shared" ca="1" si="64"/>
        <v>0</v>
      </c>
      <c r="K89" s="94">
        <f t="shared" ca="1" si="65"/>
        <v>0</v>
      </c>
      <c r="L89" s="95">
        <f>IF(OR(E89=0,F89=0),0,NETWORKDAYS(E89,F89,Feriados!$A$3:$A$100)*8)</f>
        <v>872</v>
      </c>
      <c r="M89" s="95">
        <f ca="1">IF($N$3&lt;E89,0,IF($N$3&gt;=F89,L89,NETWORKDAYS(E89,$N$3,Feriados!$A$3:$A$100)*8))</f>
        <v>0</v>
      </c>
      <c r="N89" s="95">
        <f t="shared" ca="1" si="66"/>
        <v>0</v>
      </c>
      <c r="O89" s="105" t="s">
        <v>195</v>
      </c>
      <c r="P89" s="84"/>
      <c r="Q89" s="85"/>
    </row>
    <row r="90" spans="1:17" s="52" customFormat="1" ht="23.25">
      <c r="A90" s="82"/>
      <c r="B90" s="83"/>
      <c r="C90" s="92"/>
      <c r="D90" s="163"/>
      <c r="E90" s="91"/>
      <c r="F90" s="96"/>
      <c r="G90" s="106"/>
      <c r="H90" s="93"/>
      <c r="I90" s="93"/>
      <c r="J90" s="94"/>
      <c r="K90" s="94"/>
      <c r="L90" s="95"/>
      <c r="M90" s="95"/>
      <c r="N90" s="95"/>
      <c r="O90" s="105"/>
      <c r="P90" s="84"/>
      <c r="Q90" s="85"/>
    </row>
    <row r="91" spans="1:17" s="52" customFormat="1" ht="47.25">
      <c r="A91" s="82"/>
      <c r="B91" s="83"/>
      <c r="C91" s="164">
        <v>13</v>
      </c>
      <c r="D91" s="165" t="s">
        <v>160</v>
      </c>
      <c r="E91" s="166">
        <v>43864</v>
      </c>
      <c r="F91" s="96">
        <v>44498</v>
      </c>
      <c r="G91" s="106"/>
      <c r="H91" s="93"/>
      <c r="I91" s="93"/>
      <c r="J91" s="94"/>
      <c r="K91" s="94"/>
      <c r="L91" s="95"/>
      <c r="M91" s="95"/>
      <c r="N91" s="95"/>
      <c r="O91" s="105"/>
      <c r="P91" s="84"/>
      <c r="Q91" s="85"/>
    </row>
    <row r="92" spans="1:17" s="52" customFormat="1" ht="23.25">
      <c r="A92" s="82"/>
      <c r="B92" s="83"/>
      <c r="C92" s="92" t="s">
        <v>155</v>
      </c>
      <c r="D92" s="163" t="s">
        <v>93</v>
      </c>
      <c r="E92" s="91">
        <v>43892</v>
      </c>
      <c r="F92" s="96">
        <v>44253</v>
      </c>
      <c r="G92" s="106" t="s">
        <v>49</v>
      </c>
      <c r="H92" s="93">
        <f t="shared" ref="H92:H95" si="67">I92</f>
        <v>3</v>
      </c>
      <c r="I92" s="93">
        <f t="shared" ref="I92:I95" si="68">IF(G92="PREOCUPANTE",1,IF(G92="ATENÇÃO",2,IF(G92="ADEQUADO",3,IF(G92="CONCLUÍDO",4,""))))</f>
        <v>3</v>
      </c>
      <c r="J92" s="94">
        <f t="shared" ref="J92:J95" ca="1" si="69">IF(G92="CONCLUÍDO",1,IF(G92="ADEQUADO",0.91*K92,IF(G92="ATENÇÃO",0.6*K92,IF(G92="PREOCUPANTE",0.5*K92))))</f>
        <v>0</v>
      </c>
      <c r="K92" s="94">
        <f t="shared" ref="K92:K95" ca="1" si="70">IF(OR(D92="",D92="não há"),"-",IFERROR(M92/L92,IF(F92&lt;=TODAY(),1,0)))</f>
        <v>0</v>
      </c>
      <c r="L92" s="95">
        <f>IF(OR(E92=0,F92=0),0,NETWORKDAYS(E92,F92,Feriados!$A$3:$A$100)*8)</f>
        <v>2024</v>
      </c>
      <c r="M92" s="95">
        <f ca="1">IF($N$3&lt;E92,0,IF($N$3&gt;=F92,L92,NETWORKDAYS(E92,$N$3,Feriados!$A$3:$A$100)*8))</f>
        <v>0</v>
      </c>
      <c r="N92" s="95">
        <f t="shared" ref="N92:N95" ca="1" si="71">J92*L92</f>
        <v>0</v>
      </c>
      <c r="O92" s="105" t="s">
        <v>195</v>
      </c>
      <c r="P92" s="84"/>
      <c r="Q92" s="85"/>
    </row>
    <row r="93" spans="1:17" s="52" customFormat="1" ht="23.25">
      <c r="A93" s="82"/>
      <c r="B93" s="83"/>
      <c r="C93" s="92" t="s">
        <v>156</v>
      </c>
      <c r="D93" s="163" t="s">
        <v>95</v>
      </c>
      <c r="E93" s="91">
        <v>44256</v>
      </c>
      <c r="F93" s="96">
        <v>44347</v>
      </c>
      <c r="G93" s="106" t="s">
        <v>49</v>
      </c>
      <c r="H93" s="93">
        <f t="shared" si="67"/>
        <v>3</v>
      </c>
      <c r="I93" s="93">
        <f t="shared" si="68"/>
        <v>3</v>
      </c>
      <c r="J93" s="94">
        <f t="shared" ca="1" si="69"/>
        <v>0</v>
      </c>
      <c r="K93" s="94">
        <f t="shared" ca="1" si="70"/>
        <v>0</v>
      </c>
      <c r="L93" s="95">
        <f>IF(OR(E93=0,F93=0),0,NETWORKDAYS(E93,F93,Feriados!$A$3:$A$100)*8)</f>
        <v>528</v>
      </c>
      <c r="M93" s="95">
        <f ca="1">IF($N$3&lt;E93,0,IF($N$3&gt;=F93,L93,NETWORKDAYS(E93,$N$3,Feriados!$A$3:$A$100)*8))</f>
        <v>0</v>
      </c>
      <c r="N93" s="95">
        <f t="shared" ca="1" si="71"/>
        <v>0</v>
      </c>
      <c r="O93" s="105" t="s">
        <v>195</v>
      </c>
      <c r="P93" s="84"/>
      <c r="Q93" s="85"/>
    </row>
    <row r="94" spans="1:17" s="52" customFormat="1" ht="23.25">
      <c r="A94" s="82"/>
      <c r="B94" s="83"/>
      <c r="C94" s="92" t="s">
        <v>157</v>
      </c>
      <c r="D94" s="163" t="s">
        <v>97</v>
      </c>
      <c r="E94" s="91">
        <v>44319</v>
      </c>
      <c r="F94" s="96">
        <v>44377</v>
      </c>
      <c r="G94" s="106" t="s">
        <v>49</v>
      </c>
      <c r="H94" s="93">
        <f t="shared" si="67"/>
        <v>3</v>
      </c>
      <c r="I94" s="93">
        <f t="shared" si="68"/>
        <v>3</v>
      </c>
      <c r="J94" s="94">
        <f t="shared" ca="1" si="69"/>
        <v>0</v>
      </c>
      <c r="K94" s="94">
        <f t="shared" ca="1" si="70"/>
        <v>0</v>
      </c>
      <c r="L94" s="95">
        <f>IF(OR(E94=0,F94=0),0,NETWORKDAYS(E94,F94,Feriados!$A$3:$A$100)*8)</f>
        <v>344</v>
      </c>
      <c r="M94" s="95">
        <f ca="1">IF($N$3&lt;E94,0,IF($N$3&gt;=F94,L94,NETWORKDAYS(E94,$N$3,Feriados!$A$3:$A$100)*8))</f>
        <v>0</v>
      </c>
      <c r="N94" s="95">
        <f t="shared" ca="1" si="71"/>
        <v>0</v>
      </c>
      <c r="O94" s="105" t="s">
        <v>195</v>
      </c>
      <c r="P94" s="84"/>
      <c r="Q94" s="85"/>
    </row>
    <row r="95" spans="1:17" s="52" customFormat="1" ht="31.5">
      <c r="A95" s="82"/>
      <c r="B95" s="83"/>
      <c r="C95" s="92" t="s">
        <v>158</v>
      </c>
      <c r="D95" s="163" t="s">
        <v>99</v>
      </c>
      <c r="E95" s="91">
        <v>44348</v>
      </c>
      <c r="F95" s="96">
        <v>44498</v>
      </c>
      <c r="G95" s="106" t="s">
        <v>49</v>
      </c>
      <c r="H95" s="93">
        <f t="shared" si="67"/>
        <v>3</v>
      </c>
      <c r="I95" s="93">
        <f t="shared" si="68"/>
        <v>3</v>
      </c>
      <c r="J95" s="94">
        <f t="shared" ca="1" si="69"/>
        <v>0</v>
      </c>
      <c r="K95" s="94">
        <f t="shared" ca="1" si="70"/>
        <v>0</v>
      </c>
      <c r="L95" s="95">
        <f>IF(OR(E95=0,F95=0),0,NETWORKDAYS(E95,F95,Feriados!$A$3:$A$100)*8)</f>
        <v>872</v>
      </c>
      <c r="M95" s="95">
        <f ca="1">IF($N$3&lt;E95,0,IF($N$3&gt;=F95,L95,NETWORKDAYS(E95,$N$3,Feriados!$A$3:$A$100)*8))</f>
        <v>0</v>
      </c>
      <c r="N95" s="95">
        <f t="shared" ca="1" si="71"/>
        <v>0</v>
      </c>
      <c r="O95" s="105" t="s">
        <v>195</v>
      </c>
      <c r="P95" s="84"/>
      <c r="Q95" s="85"/>
    </row>
    <row r="96" spans="1:17" s="52" customFormat="1" ht="23.25">
      <c r="A96" s="82"/>
      <c r="B96" s="83"/>
      <c r="C96" s="92"/>
      <c r="D96" s="163"/>
      <c r="E96" s="91"/>
      <c r="F96" s="96"/>
      <c r="G96" s="106"/>
      <c r="H96" s="93"/>
      <c r="I96" s="93"/>
      <c r="J96" s="94"/>
      <c r="K96" s="94"/>
      <c r="L96" s="95"/>
      <c r="M96" s="95"/>
      <c r="N96" s="95"/>
      <c r="O96" s="105"/>
      <c r="P96" s="84"/>
      <c r="Q96" s="85"/>
    </row>
    <row r="97" spans="1:17" s="52" customFormat="1" ht="78.75">
      <c r="A97" s="82"/>
      <c r="B97" s="83"/>
      <c r="C97" s="164">
        <v>14</v>
      </c>
      <c r="D97" s="165" t="s">
        <v>159</v>
      </c>
      <c r="E97" s="166">
        <v>43864</v>
      </c>
      <c r="F97" s="96">
        <v>44498</v>
      </c>
      <c r="G97" s="106"/>
      <c r="H97" s="93"/>
      <c r="I97" s="93"/>
      <c r="J97" s="94"/>
      <c r="K97" s="94"/>
      <c r="L97" s="95"/>
      <c r="M97" s="95"/>
      <c r="N97" s="95"/>
      <c r="O97" s="105"/>
      <c r="P97" s="84"/>
      <c r="Q97" s="85"/>
    </row>
    <row r="98" spans="1:17" s="52" customFormat="1" ht="23.25">
      <c r="A98" s="82"/>
      <c r="B98" s="83"/>
      <c r="C98" s="92" t="s">
        <v>161</v>
      </c>
      <c r="D98" s="163" t="s">
        <v>93</v>
      </c>
      <c r="E98" s="91">
        <v>43892</v>
      </c>
      <c r="F98" s="96">
        <v>44253</v>
      </c>
      <c r="G98" s="106" t="s">
        <v>49</v>
      </c>
      <c r="H98" s="93">
        <f t="shared" ref="H98:H101" si="72">I98</f>
        <v>3</v>
      </c>
      <c r="I98" s="93">
        <f t="shared" ref="I98:I101" si="73">IF(G98="PREOCUPANTE",1,IF(G98="ATENÇÃO",2,IF(G98="ADEQUADO",3,IF(G98="CONCLUÍDO",4,""))))</f>
        <v>3</v>
      </c>
      <c r="J98" s="94">
        <f t="shared" ref="J98:J101" ca="1" si="74">IF(G98="CONCLUÍDO",1,IF(G98="ADEQUADO",0.91*K98,IF(G98="ATENÇÃO",0.6*K98,IF(G98="PREOCUPANTE",0.5*K98))))</f>
        <v>0</v>
      </c>
      <c r="K98" s="94">
        <f t="shared" ref="K98:K101" ca="1" si="75">IF(OR(D98="",D98="não há"),"-",IFERROR(M98/L98,IF(F98&lt;=TODAY(),1,0)))</f>
        <v>0</v>
      </c>
      <c r="L98" s="95">
        <f>IF(OR(E98=0,F98=0),0,NETWORKDAYS(E98,F98,Feriados!$A$3:$A$100)*8)</f>
        <v>2024</v>
      </c>
      <c r="M98" s="95">
        <f ca="1">IF($N$3&lt;E98,0,IF($N$3&gt;=F98,L98,NETWORKDAYS(E98,$N$3,Feriados!$A$3:$A$100)*8))</f>
        <v>0</v>
      </c>
      <c r="N98" s="95">
        <f t="shared" ref="N98:N101" ca="1" si="76">J98*L98</f>
        <v>0</v>
      </c>
      <c r="O98" s="105" t="s">
        <v>195</v>
      </c>
      <c r="P98" s="84"/>
      <c r="Q98" s="85"/>
    </row>
    <row r="99" spans="1:17" s="52" customFormat="1" ht="23.25">
      <c r="A99" s="82"/>
      <c r="B99" s="83"/>
      <c r="C99" s="92" t="s">
        <v>162</v>
      </c>
      <c r="D99" s="163" t="s">
        <v>95</v>
      </c>
      <c r="E99" s="91">
        <v>44256</v>
      </c>
      <c r="F99" s="96">
        <v>44347</v>
      </c>
      <c r="G99" s="106" t="s">
        <v>49</v>
      </c>
      <c r="H99" s="93">
        <f t="shared" si="72"/>
        <v>3</v>
      </c>
      <c r="I99" s="93">
        <f t="shared" si="73"/>
        <v>3</v>
      </c>
      <c r="J99" s="94">
        <f t="shared" ca="1" si="74"/>
        <v>0</v>
      </c>
      <c r="K99" s="94">
        <f t="shared" ca="1" si="75"/>
        <v>0</v>
      </c>
      <c r="L99" s="95">
        <f>IF(OR(E99=0,F99=0),0,NETWORKDAYS(E99,F99,Feriados!$A$3:$A$100)*8)</f>
        <v>528</v>
      </c>
      <c r="M99" s="95">
        <f ca="1">IF($N$3&lt;E99,0,IF($N$3&gt;=F99,L99,NETWORKDAYS(E99,$N$3,Feriados!$A$3:$A$100)*8))</f>
        <v>0</v>
      </c>
      <c r="N99" s="95">
        <f t="shared" ca="1" si="76"/>
        <v>0</v>
      </c>
      <c r="O99" s="105" t="s">
        <v>195</v>
      </c>
      <c r="P99" s="84"/>
      <c r="Q99" s="85"/>
    </row>
    <row r="100" spans="1:17" s="52" customFormat="1" ht="23.25">
      <c r="A100" s="82"/>
      <c r="B100" s="83"/>
      <c r="C100" s="92" t="s">
        <v>163</v>
      </c>
      <c r="D100" s="163" t="s">
        <v>97</v>
      </c>
      <c r="E100" s="91">
        <v>44319</v>
      </c>
      <c r="F100" s="96">
        <v>44377</v>
      </c>
      <c r="G100" s="106" t="s">
        <v>49</v>
      </c>
      <c r="H100" s="93">
        <f t="shared" si="72"/>
        <v>3</v>
      </c>
      <c r="I100" s="93">
        <f t="shared" si="73"/>
        <v>3</v>
      </c>
      <c r="J100" s="94">
        <f t="shared" ca="1" si="74"/>
        <v>0</v>
      </c>
      <c r="K100" s="94">
        <f t="shared" ca="1" si="75"/>
        <v>0</v>
      </c>
      <c r="L100" s="95">
        <f>IF(OR(E100=0,F100=0),0,NETWORKDAYS(E100,F100,Feriados!$A$3:$A$100)*8)</f>
        <v>344</v>
      </c>
      <c r="M100" s="95">
        <f ca="1">IF($N$3&lt;E100,0,IF($N$3&gt;=F100,L100,NETWORKDAYS(E100,$N$3,Feriados!$A$3:$A$100)*8))</f>
        <v>0</v>
      </c>
      <c r="N100" s="95">
        <f t="shared" ca="1" si="76"/>
        <v>0</v>
      </c>
      <c r="O100" s="105" t="s">
        <v>195</v>
      </c>
      <c r="P100" s="84"/>
      <c r="Q100" s="85"/>
    </row>
    <row r="101" spans="1:17" s="52" customFormat="1" ht="31.5">
      <c r="A101" s="82"/>
      <c r="B101" s="83"/>
      <c r="C101" s="92" t="s">
        <v>164</v>
      </c>
      <c r="D101" s="163" t="s">
        <v>99</v>
      </c>
      <c r="E101" s="91">
        <v>44348</v>
      </c>
      <c r="F101" s="96">
        <v>44498</v>
      </c>
      <c r="G101" s="106" t="s">
        <v>49</v>
      </c>
      <c r="H101" s="93">
        <f t="shared" si="72"/>
        <v>3</v>
      </c>
      <c r="I101" s="93">
        <f t="shared" si="73"/>
        <v>3</v>
      </c>
      <c r="J101" s="94">
        <f t="shared" ca="1" si="74"/>
        <v>0</v>
      </c>
      <c r="K101" s="94">
        <f t="shared" ca="1" si="75"/>
        <v>0</v>
      </c>
      <c r="L101" s="95">
        <f>IF(OR(E101=0,F101=0),0,NETWORKDAYS(E101,F101,Feriados!$A$3:$A$100)*8)</f>
        <v>872</v>
      </c>
      <c r="M101" s="95">
        <f ca="1">IF($N$3&lt;E101,0,IF($N$3&gt;=F101,L101,NETWORKDAYS(E101,$N$3,Feriados!$A$3:$A$100)*8))</f>
        <v>0</v>
      </c>
      <c r="N101" s="95">
        <f t="shared" ca="1" si="76"/>
        <v>0</v>
      </c>
      <c r="O101" s="105" t="s">
        <v>195</v>
      </c>
      <c r="P101" s="84"/>
      <c r="Q101" s="85"/>
    </row>
    <row r="102" spans="1:17" s="52" customFormat="1" ht="23.25">
      <c r="A102" s="82"/>
      <c r="B102" s="83"/>
      <c r="C102" s="92"/>
      <c r="D102" s="163"/>
      <c r="E102" s="91"/>
      <c r="F102" s="96"/>
      <c r="G102" s="106"/>
      <c r="H102" s="93"/>
      <c r="I102" s="93"/>
      <c r="J102" s="94"/>
      <c r="K102" s="94"/>
      <c r="L102" s="95"/>
      <c r="M102" s="95"/>
      <c r="N102" s="95"/>
      <c r="O102" s="105"/>
      <c r="P102" s="84"/>
      <c r="Q102" s="85"/>
    </row>
    <row r="103" spans="1:17" s="52" customFormat="1" ht="47.25">
      <c r="A103" s="82"/>
      <c r="B103" s="83"/>
      <c r="C103" s="164">
        <v>15</v>
      </c>
      <c r="D103" s="165" t="s">
        <v>165</v>
      </c>
      <c r="E103" s="166">
        <v>43864</v>
      </c>
      <c r="F103" s="96">
        <v>44498</v>
      </c>
      <c r="G103" s="106"/>
      <c r="H103" s="93"/>
      <c r="I103" s="93"/>
      <c r="J103" s="94"/>
      <c r="K103" s="94"/>
      <c r="L103" s="95"/>
      <c r="M103" s="95"/>
      <c r="N103" s="95"/>
      <c r="O103" s="105"/>
      <c r="P103" s="84"/>
      <c r="Q103" s="85"/>
    </row>
    <row r="104" spans="1:17" s="52" customFormat="1" ht="23.25">
      <c r="A104" s="82"/>
      <c r="B104" s="83"/>
      <c r="C104" s="92" t="s">
        <v>166</v>
      </c>
      <c r="D104" s="163" t="s">
        <v>93</v>
      </c>
      <c r="E104" s="91">
        <v>43892</v>
      </c>
      <c r="F104" s="96">
        <v>44253</v>
      </c>
      <c r="G104" s="106" t="s">
        <v>49</v>
      </c>
      <c r="H104" s="93">
        <f t="shared" ref="H104:H107" si="77">I104</f>
        <v>3</v>
      </c>
      <c r="I104" s="93">
        <f t="shared" ref="I104:I107" si="78">IF(G104="PREOCUPANTE",1,IF(G104="ATENÇÃO",2,IF(G104="ADEQUADO",3,IF(G104="CONCLUÍDO",4,""))))</f>
        <v>3</v>
      </c>
      <c r="J104" s="94">
        <f t="shared" ref="J104:J107" ca="1" si="79">IF(G104="CONCLUÍDO",1,IF(G104="ADEQUADO",0.91*K104,IF(G104="ATENÇÃO",0.6*K104,IF(G104="PREOCUPANTE",0.5*K104))))</f>
        <v>0</v>
      </c>
      <c r="K104" s="94">
        <f t="shared" ref="K104:K107" ca="1" si="80">IF(OR(D104="",D104="não há"),"-",IFERROR(M104/L104,IF(F104&lt;=TODAY(),1,0)))</f>
        <v>0</v>
      </c>
      <c r="L104" s="95">
        <f>IF(OR(E104=0,F104=0),0,NETWORKDAYS(E104,F104,Feriados!$A$3:$A$100)*8)</f>
        <v>2024</v>
      </c>
      <c r="M104" s="95">
        <f ca="1">IF($N$3&lt;E104,0,IF($N$3&gt;=F104,L104,NETWORKDAYS(E104,$N$3,Feriados!$A$3:$A$100)*8))</f>
        <v>0</v>
      </c>
      <c r="N104" s="95">
        <f t="shared" ref="N104:N107" ca="1" si="81">J104*L104</f>
        <v>0</v>
      </c>
      <c r="O104" s="105" t="s">
        <v>195</v>
      </c>
      <c r="P104" s="84"/>
      <c r="Q104" s="85"/>
    </row>
    <row r="105" spans="1:17" s="52" customFormat="1" ht="23.25">
      <c r="A105" s="82"/>
      <c r="B105" s="83"/>
      <c r="C105" s="92" t="s">
        <v>167</v>
      </c>
      <c r="D105" s="163" t="s">
        <v>95</v>
      </c>
      <c r="E105" s="91">
        <v>44256</v>
      </c>
      <c r="F105" s="96">
        <v>44347</v>
      </c>
      <c r="G105" s="106" t="s">
        <v>49</v>
      </c>
      <c r="H105" s="93">
        <f t="shared" si="77"/>
        <v>3</v>
      </c>
      <c r="I105" s="93">
        <f t="shared" si="78"/>
        <v>3</v>
      </c>
      <c r="J105" s="94">
        <f t="shared" ca="1" si="79"/>
        <v>0</v>
      </c>
      <c r="K105" s="94">
        <f t="shared" ca="1" si="80"/>
        <v>0</v>
      </c>
      <c r="L105" s="95">
        <f>IF(OR(E105=0,F105=0),0,NETWORKDAYS(E105,F105,Feriados!$A$3:$A$100)*8)</f>
        <v>528</v>
      </c>
      <c r="M105" s="95">
        <f ca="1">IF($N$3&lt;E105,0,IF($N$3&gt;=F105,L105,NETWORKDAYS(E105,$N$3,Feriados!$A$3:$A$100)*8))</f>
        <v>0</v>
      </c>
      <c r="N105" s="95">
        <f t="shared" ca="1" si="81"/>
        <v>0</v>
      </c>
      <c r="O105" s="105" t="s">
        <v>195</v>
      </c>
      <c r="P105" s="84"/>
      <c r="Q105" s="85"/>
    </row>
    <row r="106" spans="1:17" s="52" customFormat="1" ht="23.25">
      <c r="A106" s="82"/>
      <c r="B106" s="83"/>
      <c r="C106" s="92" t="s">
        <v>168</v>
      </c>
      <c r="D106" s="163" t="s">
        <v>97</v>
      </c>
      <c r="E106" s="91">
        <v>44319</v>
      </c>
      <c r="F106" s="96">
        <v>44377</v>
      </c>
      <c r="G106" s="106" t="s">
        <v>49</v>
      </c>
      <c r="H106" s="93">
        <f t="shared" si="77"/>
        <v>3</v>
      </c>
      <c r="I106" s="93">
        <f t="shared" si="78"/>
        <v>3</v>
      </c>
      <c r="J106" s="94">
        <f t="shared" ca="1" si="79"/>
        <v>0</v>
      </c>
      <c r="K106" s="94">
        <f t="shared" ca="1" si="80"/>
        <v>0</v>
      </c>
      <c r="L106" s="95">
        <f>IF(OR(E106=0,F106=0),0,NETWORKDAYS(E106,F106,Feriados!$A$3:$A$100)*8)</f>
        <v>344</v>
      </c>
      <c r="M106" s="95">
        <f ca="1">IF($N$3&lt;E106,0,IF($N$3&gt;=F106,L106,NETWORKDAYS(E106,$N$3,Feriados!$A$3:$A$100)*8))</f>
        <v>0</v>
      </c>
      <c r="N106" s="95">
        <f t="shared" ca="1" si="81"/>
        <v>0</v>
      </c>
      <c r="O106" s="105" t="s">
        <v>195</v>
      </c>
      <c r="P106" s="84"/>
      <c r="Q106" s="85"/>
    </row>
    <row r="107" spans="1:17" s="52" customFormat="1" ht="31.5">
      <c r="A107" s="82"/>
      <c r="B107" s="83"/>
      <c r="C107" s="92" t="s">
        <v>169</v>
      </c>
      <c r="D107" s="163" t="s">
        <v>99</v>
      </c>
      <c r="E107" s="91">
        <v>44348</v>
      </c>
      <c r="F107" s="96">
        <v>44498</v>
      </c>
      <c r="G107" s="106" t="s">
        <v>49</v>
      </c>
      <c r="H107" s="93">
        <f t="shared" si="77"/>
        <v>3</v>
      </c>
      <c r="I107" s="93">
        <f t="shared" si="78"/>
        <v>3</v>
      </c>
      <c r="J107" s="94">
        <f t="shared" ca="1" si="79"/>
        <v>0</v>
      </c>
      <c r="K107" s="94">
        <f t="shared" ca="1" si="80"/>
        <v>0</v>
      </c>
      <c r="L107" s="95">
        <f>IF(OR(E107=0,F107=0),0,NETWORKDAYS(E107,F107,Feriados!$A$3:$A$100)*8)</f>
        <v>872</v>
      </c>
      <c r="M107" s="95">
        <f ca="1">IF($N$3&lt;E107,0,IF($N$3&gt;=F107,L107,NETWORKDAYS(E107,$N$3,Feriados!$A$3:$A$100)*8))</f>
        <v>0</v>
      </c>
      <c r="N107" s="95">
        <f t="shared" ca="1" si="81"/>
        <v>0</v>
      </c>
      <c r="O107" s="105" t="s">
        <v>195</v>
      </c>
      <c r="P107" s="84"/>
      <c r="Q107" s="85"/>
    </row>
    <row r="108" spans="1:17" s="52" customFormat="1" ht="23.25">
      <c r="A108" s="82"/>
      <c r="B108" s="83"/>
      <c r="C108" s="92"/>
      <c r="D108" s="163"/>
      <c r="E108" s="91"/>
      <c r="F108" s="96"/>
      <c r="G108" s="106"/>
      <c r="H108" s="93"/>
      <c r="I108" s="93"/>
      <c r="J108" s="94"/>
      <c r="K108" s="94"/>
      <c r="L108" s="95"/>
      <c r="M108" s="95"/>
      <c r="N108" s="95"/>
      <c r="O108" s="105"/>
      <c r="P108" s="84"/>
      <c r="Q108" s="85"/>
    </row>
    <row r="109" spans="1:17" s="52" customFormat="1" ht="47.25">
      <c r="A109" s="82"/>
      <c r="B109" s="83"/>
      <c r="C109" s="164">
        <v>16</v>
      </c>
      <c r="D109" s="165" t="s">
        <v>170</v>
      </c>
      <c r="E109" s="166">
        <v>44105</v>
      </c>
      <c r="F109" s="96">
        <v>44592</v>
      </c>
      <c r="G109" s="106"/>
      <c r="H109" s="93"/>
      <c r="I109" s="93"/>
      <c r="J109" s="94"/>
      <c r="K109" s="94"/>
      <c r="L109" s="95"/>
      <c r="M109" s="95"/>
      <c r="N109" s="95"/>
      <c r="O109" s="105"/>
      <c r="P109" s="84"/>
      <c r="Q109" s="85"/>
    </row>
    <row r="110" spans="1:17" s="52" customFormat="1" ht="23.25">
      <c r="A110" s="82"/>
      <c r="B110" s="83"/>
      <c r="C110" s="92" t="s">
        <v>171</v>
      </c>
      <c r="D110" s="163" t="s">
        <v>93</v>
      </c>
      <c r="E110" s="91">
        <v>44137</v>
      </c>
      <c r="F110" s="96">
        <v>44407</v>
      </c>
      <c r="G110" s="106" t="s">
        <v>49</v>
      </c>
      <c r="H110" s="93">
        <f t="shared" ref="H110:H113" si="82">I110</f>
        <v>3</v>
      </c>
      <c r="I110" s="93">
        <f t="shared" ref="I110:I113" si="83">IF(G110="PREOCUPANTE",1,IF(G110="ATENÇÃO",2,IF(G110="ADEQUADO",3,IF(G110="CONCLUÍDO",4,""))))</f>
        <v>3</v>
      </c>
      <c r="J110" s="94">
        <f t="shared" ref="J110:J113" ca="1" si="84">IF(G110="CONCLUÍDO",1,IF(G110="ADEQUADO",0.91*K110,IF(G110="ATENÇÃO",0.6*K110,IF(G110="PREOCUPANTE",0.5*K110))))</f>
        <v>0</v>
      </c>
      <c r="K110" s="94">
        <f t="shared" ref="K110:K113" ca="1" si="85">IF(OR(D110="",D110="não há"),"-",IFERROR(M110/L110,IF(F110&lt;=TODAY(),1,0)))</f>
        <v>0</v>
      </c>
      <c r="L110" s="95">
        <f>IF(OR(E110=0,F110=0),0,NETWORKDAYS(E110,F110,Feriados!$A$3:$A$100)*8)</f>
        <v>1544</v>
      </c>
      <c r="M110" s="95">
        <f ca="1">IF($N$3&lt;E110,0,IF($N$3&gt;=F110,L110,NETWORKDAYS(E110,$N$3,Feriados!$A$3:$A$100)*8))</f>
        <v>0</v>
      </c>
      <c r="N110" s="95">
        <f t="shared" ref="N110:N113" ca="1" si="86">J110*L110</f>
        <v>0</v>
      </c>
      <c r="O110" s="105" t="s">
        <v>195</v>
      </c>
      <c r="P110" s="84"/>
      <c r="Q110" s="85"/>
    </row>
    <row r="111" spans="1:17" s="52" customFormat="1" ht="23.25">
      <c r="A111" s="82"/>
      <c r="B111" s="83"/>
      <c r="C111" s="92" t="s">
        <v>172</v>
      </c>
      <c r="D111" s="163" t="s">
        <v>95</v>
      </c>
      <c r="E111" s="91">
        <v>44378</v>
      </c>
      <c r="F111" s="96">
        <v>44439</v>
      </c>
      <c r="G111" s="106" t="s">
        <v>49</v>
      </c>
      <c r="H111" s="93">
        <f t="shared" si="82"/>
        <v>3</v>
      </c>
      <c r="I111" s="93">
        <f t="shared" si="83"/>
        <v>3</v>
      </c>
      <c r="J111" s="94">
        <f t="shared" ca="1" si="84"/>
        <v>0</v>
      </c>
      <c r="K111" s="94">
        <f t="shared" ca="1" si="85"/>
        <v>0</v>
      </c>
      <c r="L111" s="95">
        <f>IF(OR(E111=0,F111=0),0,NETWORKDAYS(E111,F111,Feriados!$A$3:$A$100)*8)</f>
        <v>352</v>
      </c>
      <c r="M111" s="95">
        <f ca="1">IF($N$3&lt;E111,0,IF($N$3&gt;=F111,L111,NETWORKDAYS(E111,$N$3,Feriados!$A$3:$A$100)*8))</f>
        <v>0</v>
      </c>
      <c r="N111" s="95">
        <f t="shared" ca="1" si="86"/>
        <v>0</v>
      </c>
      <c r="O111" s="105" t="s">
        <v>195</v>
      </c>
      <c r="P111" s="84"/>
      <c r="Q111" s="85"/>
    </row>
    <row r="112" spans="1:17" s="52" customFormat="1" ht="23.25">
      <c r="A112" s="82"/>
      <c r="B112" s="83"/>
      <c r="C112" s="92" t="s">
        <v>173</v>
      </c>
      <c r="D112" s="163" t="s">
        <v>97</v>
      </c>
      <c r="E112" s="91">
        <v>44440</v>
      </c>
      <c r="F112" s="96">
        <v>44498</v>
      </c>
      <c r="G112" s="106" t="s">
        <v>49</v>
      </c>
      <c r="H112" s="93">
        <f t="shared" si="82"/>
        <v>3</v>
      </c>
      <c r="I112" s="93">
        <f t="shared" si="83"/>
        <v>3</v>
      </c>
      <c r="J112" s="94">
        <f t="shared" ca="1" si="84"/>
        <v>0</v>
      </c>
      <c r="K112" s="94">
        <f t="shared" ca="1" si="85"/>
        <v>0</v>
      </c>
      <c r="L112" s="95">
        <f>IF(OR(E112=0,F112=0),0,NETWORKDAYS(E112,F112,Feriados!$A$3:$A$100)*8)</f>
        <v>344</v>
      </c>
      <c r="M112" s="95">
        <f ca="1">IF($N$3&lt;E112,0,IF($N$3&gt;=F112,L112,NETWORKDAYS(E112,$N$3,Feriados!$A$3:$A$100)*8))</f>
        <v>0</v>
      </c>
      <c r="N112" s="95">
        <f t="shared" ca="1" si="86"/>
        <v>0</v>
      </c>
      <c r="O112" s="105" t="s">
        <v>195</v>
      </c>
      <c r="P112" s="84"/>
      <c r="Q112" s="85"/>
    </row>
    <row r="113" spans="1:17" s="52" customFormat="1" ht="31.5">
      <c r="A113" s="82"/>
      <c r="B113" s="83"/>
      <c r="C113" s="92" t="s">
        <v>174</v>
      </c>
      <c r="D113" s="163" t="s">
        <v>99</v>
      </c>
      <c r="E113" s="91">
        <v>44501</v>
      </c>
      <c r="F113" s="96">
        <v>44592</v>
      </c>
      <c r="G113" s="106" t="s">
        <v>49</v>
      </c>
      <c r="H113" s="93">
        <f t="shared" si="82"/>
        <v>3</v>
      </c>
      <c r="I113" s="93">
        <f t="shared" si="83"/>
        <v>3</v>
      </c>
      <c r="J113" s="94">
        <f t="shared" ca="1" si="84"/>
        <v>0</v>
      </c>
      <c r="K113" s="94">
        <f t="shared" ca="1" si="85"/>
        <v>0</v>
      </c>
      <c r="L113" s="95">
        <f>IF(OR(E113=0,F113=0),0,NETWORKDAYS(E113,F113,Feriados!$A$3:$A$100)*8)</f>
        <v>528</v>
      </c>
      <c r="M113" s="95">
        <f ca="1">IF($N$3&lt;E113,0,IF($N$3&gt;=F113,L113,NETWORKDAYS(E113,$N$3,Feriados!$A$3:$A$100)*8))</f>
        <v>0</v>
      </c>
      <c r="N113" s="95">
        <f t="shared" ca="1" si="86"/>
        <v>0</v>
      </c>
      <c r="O113" s="105" t="s">
        <v>195</v>
      </c>
      <c r="P113" s="84"/>
      <c r="Q113" s="85"/>
    </row>
    <row r="114" spans="1:17" s="52" customFormat="1" ht="23.25">
      <c r="A114" s="82"/>
      <c r="B114" s="83"/>
      <c r="C114" s="92"/>
      <c r="D114" s="163"/>
      <c r="E114" s="91"/>
      <c r="F114" s="96"/>
      <c r="G114" s="106"/>
      <c r="H114" s="93"/>
      <c r="I114" s="93"/>
      <c r="J114" s="94"/>
      <c r="K114" s="94"/>
      <c r="L114" s="95"/>
      <c r="M114" s="95"/>
      <c r="N114" s="95"/>
      <c r="O114" s="105"/>
      <c r="P114" s="84"/>
      <c r="Q114" s="85"/>
    </row>
    <row r="115" spans="1:17" s="52" customFormat="1" ht="47.25">
      <c r="A115" s="82"/>
      <c r="B115" s="83"/>
      <c r="C115" s="164">
        <v>17</v>
      </c>
      <c r="D115" s="165" t="s">
        <v>175</v>
      </c>
      <c r="E115" s="166">
        <v>44105</v>
      </c>
      <c r="F115" s="96">
        <v>44592</v>
      </c>
      <c r="G115" s="106"/>
      <c r="H115" s="93"/>
      <c r="I115" s="93"/>
      <c r="J115" s="94"/>
      <c r="K115" s="94"/>
      <c r="L115" s="95"/>
      <c r="M115" s="95"/>
      <c r="N115" s="95"/>
      <c r="O115" s="105"/>
      <c r="P115" s="84"/>
      <c r="Q115" s="85"/>
    </row>
    <row r="116" spans="1:17" s="52" customFormat="1" ht="23.25">
      <c r="A116" s="82"/>
      <c r="B116" s="83"/>
      <c r="C116" s="92" t="s">
        <v>176</v>
      </c>
      <c r="D116" s="163" t="s">
        <v>93</v>
      </c>
      <c r="E116" s="91">
        <v>44137</v>
      </c>
      <c r="F116" s="96">
        <v>44407</v>
      </c>
      <c r="G116" s="106" t="s">
        <v>49</v>
      </c>
      <c r="H116" s="93">
        <f t="shared" ref="H116:H119" si="87">I116</f>
        <v>3</v>
      </c>
      <c r="I116" s="93">
        <f t="shared" ref="I116:I119" si="88">IF(G116="PREOCUPANTE",1,IF(G116="ATENÇÃO",2,IF(G116="ADEQUADO",3,IF(G116="CONCLUÍDO",4,""))))</f>
        <v>3</v>
      </c>
      <c r="J116" s="94">
        <f t="shared" ref="J116:J119" ca="1" si="89">IF(G116="CONCLUÍDO",1,IF(G116="ADEQUADO",0.91*K116,IF(G116="ATENÇÃO",0.6*K116,IF(G116="PREOCUPANTE",0.5*K116))))</f>
        <v>0</v>
      </c>
      <c r="K116" s="94">
        <f t="shared" ref="K116:K119" ca="1" si="90">IF(OR(D116="",D116="não há"),"-",IFERROR(M116/L116,IF(F116&lt;=TODAY(),1,0)))</f>
        <v>0</v>
      </c>
      <c r="L116" s="95">
        <f>IF(OR(E116=0,F116=0),0,NETWORKDAYS(E116,F116,Feriados!$A$3:$A$100)*8)</f>
        <v>1544</v>
      </c>
      <c r="M116" s="95">
        <f ca="1">IF($N$3&lt;E116,0,IF($N$3&gt;=F116,L116,NETWORKDAYS(E116,$N$3,Feriados!$A$3:$A$100)*8))</f>
        <v>0</v>
      </c>
      <c r="N116" s="95">
        <f t="shared" ref="N116:N119" ca="1" si="91">J116*L116</f>
        <v>0</v>
      </c>
      <c r="O116" s="105" t="s">
        <v>195</v>
      </c>
      <c r="P116" s="84"/>
      <c r="Q116" s="85"/>
    </row>
    <row r="117" spans="1:17" s="52" customFormat="1" ht="23.25">
      <c r="A117" s="82"/>
      <c r="B117" s="83"/>
      <c r="C117" s="92" t="s">
        <v>177</v>
      </c>
      <c r="D117" s="163" t="s">
        <v>95</v>
      </c>
      <c r="E117" s="91">
        <v>44378</v>
      </c>
      <c r="F117" s="96">
        <v>44439</v>
      </c>
      <c r="G117" s="106" t="s">
        <v>49</v>
      </c>
      <c r="H117" s="93">
        <f t="shared" si="87"/>
        <v>3</v>
      </c>
      <c r="I117" s="93">
        <f t="shared" si="88"/>
        <v>3</v>
      </c>
      <c r="J117" s="94">
        <f t="shared" ca="1" si="89"/>
        <v>0</v>
      </c>
      <c r="K117" s="94">
        <f t="shared" ca="1" si="90"/>
        <v>0</v>
      </c>
      <c r="L117" s="95">
        <f>IF(OR(E117=0,F117=0),0,NETWORKDAYS(E117,F117,Feriados!$A$3:$A$100)*8)</f>
        <v>352</v>
      </c>
      <c r="M117" s="95">
        <f ca="1">IF($N$3&lt;E117,0,IF($N$3&gt;=F117,L117,NETWORKDAYS(E117,$N$3,Feriados!$A$3:$A$100)*8))</f>
        <v>0</v>
      </c>
      <c r="N117" s="95">
        <f t="shared" ca="1" si="91"/>
        <v>0</v>
      </c>
      <c r="O117" s="105" t="s">
        <v>195</v>
      </c>
      <c r="P117" s="84"/>
      <c r="Q117" s="85"/>
    </row>
    <row r="118" spans="1:17" s="52" customFormat="1" ht="23.25">
      <c r="A118" s="82"/>
      <c r="B118" s="83"/>
      <c r="C118" s="92" t="s">
        <v>178</v>
      </c>
      <c r="D118" s="163" t="s">
        <v>97</v>
      </c>
      <c r="E118" s="91">
        <v>44440</v>
      </c>
      <c r="F118" s="96">
        <v>44498</v>
      </c>
      <c r="G118" s="106" t="s">
        <v>49</v>
      </c>
      <c r="H118" s="93">
        <f t="shared" si="87"/>
        <v>3</v>
      </c>
      <c r="I118" s="93">
        <f t="shared" si="88"/>
        <v>3</v>
      </c>
      <c r="J118" s="94">
        <f t="shared" ca="1" si="89"/>
        <v>0</v>
      </c>
      <c r="K118" s="94">
        <f t="shared" ca="1" si="90"/>
        <v>0</v>
      </c>
      <c r="L118" s="95">
        <f>IF(OR(E118=0,F118=0),0,NETWORKDAYS(E118,F118,Feriados!$A$3:$A$100)*8)</f>
        <v>344</v>
      </c>
      <c r="M118" s="95">
        <f ca="1">IF($N$3&lt;E118,0,IF($N$3&gt;=F118,L118,NETWORKDAYS(E118,$N$3,Feriados!$A$3:$A$100)*8))</f>
        <v>0</v>
      </c>
      <c r="N118" s="95">
        <f t="shared" ca="1" si="91"/>
        <v>0</v>
      </c>
      <c r="O118" s="105" t="s">
        <v>195</v>
      </c>
      <c r="P118" s="84"/>
      <c r="Q118" s="85"/>
    </row>
    <row r="119" spans="1:17" s="52" customFormat="1" ht="31.5">
      <c r="A119" s="82"/>
      <c r="B119" s="83"/>
      <c r="C119" s="92" t="s">
        <v>179</v>
      </c>
      <c r="D119" s="163" t="s">
        <v>99</v>
      </c>
      <c r="E119" s="91">
        <v>44501</v>
      </c>
      <c r="F119" s="96">
        <v>44592</v>
      </c>
      <c r="G119" s="106" t="s">
        <v>49</v>
      </c>
      <c r="H119" s="93">
        <f t="shared" si="87"/>
        <v>3</v>
      </c>
      <c r="I119" s="93">
        <f t="shared" si="88"/>
        <v>3</v>
      </c>
      <c r="J119" s="94">
        <f t="shared" ca="1" si="89"/>
        <v>0</v>
      </c>
      <c r="K119" s="94">
        <f t="shared" ca="1" si="90"/>
        <v>0</v>
      </c>
      <c r="L119" s="95">
        <f>IF(OR(E119=0,F119=0),0,NETWORKDAYS(E119,F119,Feriados!$A$3:$A$100)*8)</f>
        <v>528</v>
      </c>
      <c r="M119" s="95">
        <f ca="1">IF($N$3&lt;E119,0,IF($N$3&gt;=F119,L119,NETWORKDAYS(E119,$N$3,Feriados!$A$3:$A$100)*8))</f>
        <v>0</v>
      </c>
      <c r="N119" s="95">
        <f t="shared" ca="1" si="91"/>
        <v>0</v>
      </c>
      <c r="O119" s="105" t="s">
        <v>195</v>
      </c>
      <c r="P119" s="84"/>
      <c r="Q119" s="85"/>
    </row>
    <row r="120" spans="1:17" s="52" customFormat="1" ht="23.25">
      <c r="A120" s="82"/>
      <c r="B120" s="83"/>
      <c r="C120" s="92"/>
      <c r="D120" s="163"/>
      <c r="E120" s="91"/>
      <c r="F120" s="96"/>
      <c r="G120" s="106"/>
      <c r="H120" s="93"/>
      <c r="I120" s="93"/>
      <c r="J120" s="94"/>
      <c r="K120" s="94"/>
      <c r="L120" s="95"/>
      <c r="M120" s="95"/>
      <c r="N120" s="95"/>
      <c r="O120" s="105"/>
      <c r="P120" s="84"/>
      <c r="Q120" s="85"/>
    </row>
    <row r="121" spans="1:17" s="52" customFormat="1" ht="47.25">
      <c r="A121" s="82"/>
      <c r="B121" s="83"/>
      <c r="C121" s="164">
        <v>18</v>
      </c>
      <c r="D121" s="165" t="s">
        <v>180</v>
      </c>
      <c r="E121" s="166">
        <v>44105</v>
      </c>
      <c r="F121" s="96">
        <v>44592</v>
      </c>
      <c r="G121" s="106"/>
      <c r="H121" s="93"/>
      <c r="I121" s="93"/>
      <c r="J121" s="94"/>
      <c r="K121" s="94"/>
      <c r="L121" s="95"/>
      <c r="M121" s="95"/>
      <c r="N121" s="95"/>
      <c r="O121" s="105"/>
      <c r="P121" s="84"/>
      <c r="Q121" s="85"/>
    </row>
    <row r="122" spans="1:17" s="52" customFormat="1" ht="23.25">
      <c r="A122" s="82"/>
      <c r="B122" s="83"/>
      <c r="C122" s="92" t="s">
        <v>181</v>
      </c>
      <c r="D122" s="163" t="s">
        <v>93</v>
      </c>
      <c r="E122" s="91">
        <v>44137</v>
      </c>
      <c r="F122" s="96">
        <v>44407</v>
      </c>
      <c r="G122" s="106" t="s">
        <v>49</v>
      </c>
      <c r="H122" s="93">
        <f t="shared" ref="H122:H125" si="92">I122</f>
        <v>3</v>
      </c>
      <c r="I122" s="93">
        <f t="shared" ref="I122:I125" si="93">IF(G122="PREOCUPANTE",1,IF(G122="ATENÇÃO",2,IF(G122="ADEQUADO",3,IF(G122="CONCLUÍDO",4,""))))</f>
        <v>3</v>
      </c>
      <c r="J122" s="94">
        <f t="shared" ref="J122:J125" ca="1" si="94">IF(G122="CONCLUÍDO",1,IF(G122="ADEQUADO",0.91*K122,IF(G122="ATENÇÃO",0.6*K122,IF(G122="PREOCUPANTE",0.5*K122))))</f>
        <v>0</v>
      </c>
      <c r="K122" s="94">
        <f t="shared" ref="K122:K125" ca="1" si="95">IF(OR(D122="",D122="não há"),"-",IFERROR(M122/L122,IF(F122&lt;=TODAY(),1,0)))</f>
        <v>0</v>
      </c>
      <c r="L122" s="95">
        <f>IF(OR(E122=0,F122=0),0,NETWORKDAYS(E122,F122,Feriados!$A$3:$A$100)*8)</f>
        <v>1544</v>
      </c>
      <c r="M122" s="95">
        <f ca="1">IF($N$3&lt;E122,0,IF($N$3&gt;=F122,L122,NETWORKDAYS(E122,$N$3,Feriados!$A$3:$A$100)*8))</f>
        <v>0</v>
      </c>
      <c r="N122" s="95">
        <f t="shared" ref="N122:N125" ca="1" si="96">J122*L122</f>
        <v>0</v>
      </c>
      <c r="O122" s="105" t="s">
        <v>195</v>
      </c>
      <c r="P122" s="84"/>
      <c r="Q122" s="85"/>
    </row>
    <row r="123" spans="1:17" s="52" customFormat="1" ht="23.25">
      <c r="A123" s="82"/>
      <c r="B123" s="83"/>
      <c r="C123" s="92" t="s">
        <v>182</v>
      </c>
      <c r="D123" s="163" t="s">
        <v>95</v>
      </c>
      <c r="E123" s="91">
        <v>44378</v>
      </c>
      <c r="F123" s="96">
        <v>44439</v>
      </c>
      <c r="G123" s="106" t="s">
        <v>49</v>
      </c>
      <c r="H123" s="93">
        <f t="shared" si="92"/>
        <v>3</v>
      </c>
      <c r="I123" s="93">
        <f t="shared" si="93"/>
        <v>3</v>
      </c>
      <c r="J123" s="94">
        <f t="shared" ca="1" si="94"/>
        <v>0</v>
      </c>
      <c r="K123" s="94">
        <f t="shared" ca="1" si="95"/>
        <v>0</v>
      </c>
      <c r="L123" s="95">
        <f>IF(OR(E123=0,F123=0),0,NETWORKDAYS(E123,F123,Feriados!$A$3:$A$100)*8)</f>
        <v>352</v>
      </c>
      <c r="M123" s="95">
        <f ca="1">IF($N$3&lt;E123,0,IF($N$3&gt;=F123,L123,NETWORKDAYS(E123,$N$3,Feriados!$A$3:$A$100)*8))</f>
        <v>0</v>
      </c>
      <c r="N123" s="95">
        <f t="shared" ca="1" si="96"/>
        <v>0</v>
      </c>
      <c r="O123" s="105" t="s">
        <v>195</v>
      </c>
      <c r="P123" s="84"/>
      <c r="Q123" s="85"/>
    </row>
    <row r="124" spans="1:17" s="52" customFormat="1" ht="23.25">
      <c r="A124" s="82"/>
      <c r="B124" s="83"/>
      <c r="C124" s="92" t="s">
        <v>183</v>
      </c>
      <c r="D124" s="163" t="s">
        <v>97</v>
      </c>
      <c r="E124" s="91">
        <v>44440</v>
      </c>
      <c r="F124" s="96">
        <v>44498</v>
      </c>
      <c r="G124" s="106" t="s">
        <v>49</v>
      </c>
      <c r="H124" s="93">
        <f t="shared" si="92"/>
        <v>3</v>
      </c>
      <c r="I124" s="93">
        <f t="shared" si="93"/>
        <v>3</v>
      </c>
      <c r="J124" s="94">
        <f t="shared" ca="1" si="94"/>
        <v>0</v>
      </c>
      <c r="K124" s="94">
        <f t="shared" ca="1" si="95"/>
        <v>0</v>
      </c>
      <c r="L124" s="95">
        <f>IF(OR(E124=0,F124=0),0,NETWORKDAYS(E124,F124,Feriados!$A$3:$A$100)*8)</f>
        <v>344</v>
      </c>
      <c r="M124" s="95">
        <f ca="1">IF($N$3&lt;E124,0,IF($N$3&gt;=F124,L124,NETWORKDAYS(E124,$N$3,Feriados!$A$3:$A$100)*8))</f>
        <v>0</v>
      </c>
      <c r="N124" s="95">
        <f t="shared" ca="1" si="96"/>
        <v>0</v>
      </c>
      <c r="O124" s="105" t="s">
        <v>195</v>
      </c>
      <c r="P124" s="84"/>
      <c r="Q124" s="85"/>
    </row>
    <row r="125" spans="1:17" s="52" customFormat="1" ht="31.5">
      <c r="A125" s="82"/>
      <c r="B125" s="83"/>
      <c r="C125" s="92" t="s">
        <v>184</v>
      </c>
      <c r="D125" s="163" t="s">
        <v>99</v>
      </c>
      <c r="E125" s="91">
        <v>44501</v>
      </c>
      <c r="F125" s="96">
        <v>44592</v>
      </c>
      <c r="G125" s="106" t="s">
        <v>49</v>
      </c>
      <c r="H125" s="93">
        <f t="shared" si="92"/>
        <v>3</v>
      </c>
      <c r="I125" s="93">
        <f t="shared" si="93"/>
        <v>3</v>
      </c>
      <c r="J125" s="94">
        <f t="shared" ca="1" si="94"/>
        <v>0</v>
      </c>
      <c r="K125" s="94">
        <f t="shared" ca="1" si="95"/>
        <v>0</v>
      </c>
      <c r="L125" s="95">
        <f>IF(OR(E125=0,F125=0),0,NETWORKDAYS(E125,F125,Feriados!$A$3:$A$100)*8)</f>
        <v>528</v>
      </c>
      <c r="M125" s="95">
        <f ca="1">IF($N$3&lt;E125,0,IF($N$3&gt;=F125,L125,NETWORKDAYS(E125,$N$3,Feriados!$A$3:$A$100)*8))</f>
        <v>0</v>
      </c>
      <c r="N125" s="95">
        <f t="shared" ca="1" si="96"/>
        <v>0</v>
      </c>
      <c r="O125" s="105" t="s">
        <v>195</v>
      </c>
      <c r="P125" s="84"/>
      <c r="Q125" s="85"/>
    </row>
    <row r="126" spans="1:17" s="52" customFormat="1" ht="23.25">
      <c r="A126" s="82"/>
      <c r="B126" s="83"/>
      <c r="C126" s="92"/>
      <c r="D126" s="163"/>
      <c r="E126" s="91"/>
      <c r="F126" s="96"/>
      <c r="G126" s="106"/>
      <c r="H126" s="93"/>
      <c r="I126" s="93"/>
      <c r="J126" s="94"/>
      <c r="K126" s="94"/>
      <c r="L126" s="95"/>
      <c r="M126" s="95"/>
      <c r="N126" s="95"/>
      <c r="O126" s="105"/>
      <c r="P126" s="84"/>
      <c r="Q126" s="85"/>
    </row>
    <row r="127" spans="1:17" s="52" customFormat="1" ht="47.25">
      <c r="A127" s="82"/>
      <c r="B127" s="83"/>
      <c r="C127" s="164">
        <v>19</v>
      </c>
      <c r="D127" s="165" t="s">
        <v>185</v>
      </c>
      <c r="E127" s="166">
        <v>44105</v>
      </c>
      <c r="F127" s="96">
        <v>44592</v>
      </c>
      <c r="G127" s="106"/>
      <c r="H127" s="93"/>
      <c r="I127" s="93"/>
      <c r="J127" s="94"/>
      <c r="K127" s="94"/>
      <c r="L127" s="95"/>
      <c r="M127" s="95"/>
      <c r="N127" s="95"/>
      <c r="O127" s="105"/>
      <c r="P127" s="84"/>
      <c r="Q127" s="85"/>
    </row>
    <row r="128" spans="1:17" s="52" customFormat="1" ht="23.25">
      <c r="A128" s="82"/>
      <c r="B128" s="83"/>
      <c r="C128" s="92" t="s">
        <v>186</v>
      </c>
      <c r="D128" s="163" t="s">
        <v>93</v>
      </c>
      <c r="E128" s="91">
        <v>44137</v>
      </c>
      <c r="F128" s="96">
        <v>44407</v>
      </c>
      <c r="G128" s="106" t="s">
        <v>49</v>
      </c>
      <c r="H128" s="93">
        <f t="shared" ref="H128:H131" si="97">I128</f>
        <v>3</v>
      </c>
      <c r="I128" s="93">
        <f t="shared" ref="I128:I131" si="98">IF(G128="PREOCUPANTE",1,IF(G128="ATENÇÃO",2,IF(G128="ADEQUADO",3,IF(G128="CONCLUÍDO",4,""))))</f>
        <v>3</v>
      </c>
      <c r="J128" s="94">
        <f t="shared" ref="J128:J131" ca="1" si="99">IF(G128="CONCLUÍDO",1,IF(G128="ADEQUADO",0.91*K128,IF(G128="ATENÇÃO",0.6*K128,IF(G128="PREOCUPANTE",0.5*K128))))</f>
        <v>0</v>
      </c>
      <c r="K128" s="94">
        <f t="shared" ref="K128:K131" ca="1" si="100">IF(OR(D128="",D128="não há"),"-",IFERROR(M128/L128,IF(F128&lt;=TODAY(),1,0)))</f>
        <v>0</v>
      </c>
      <c r="L128" s="95">
        <f>IF(OR(E128=0,F128=0),0,NETWORKDAYS(E128,F128,Feriados!$A$3:$A$100)*8)</f>
        <v>1544</v>
      </c>
      <c r="M128" s="95">
        <f ca="1">IF($N$3&lt;E128,0,IF($N$3&gt;=F128,L128,NETWORKDAYS(E128,$N$3,Feriados!$A$3:$A$100)*8))</f>
        <v>0</v>
      </c>
      <c r="N128" s="95">
        <f t="shared" ref="N128:N131" ca="1" si="101">J128*L128</f>
        <v>0</v>
      </c>
      <c r="O128" s="105" t="s">
        <v>195</v>
      </c>
      <c r="P128" s="84"/>
      <c r="Q128" s="85"/>
    </row>
    <row r="129" spans="1:17" s="52" customFormat="1" ht="23.25">
      <c r="A129" s="82"/>
      <c r="B129" s="83"/>
      <c r="C129" s="92" t="s">
        <v>187</v>
      </c>
      <c r="D129" s="163" t="s">
        <v>95</v>
      </c>
      <c r="E129" s="91">
        <v>44378</v>
      </c>
      <c r="F129" s="96">
        <v>44439</v>
      </c>
      <c r="G129" s="106" t="s">
        <v>49</v>
      </c>
      <c r="H129" s="93">
        <f t="shared" si="97"/>
        <v>3</v>
      </c>
      <c r="I129" s="93">
        <f t="shared" si="98"/>
        <v>3</v>
      </c>
      <c r="J129" s="94">
        <f t="shared" ca="1" si="99"/>
        <v>0</v>
      </c>
      <c r="K129" s="94">
        <f t="shared" ca="1" si="100"/>
        <v>0</v>
      </c>
      <c r="L129" s="95">
        <f>IF(OR(E129=0,F129=0),0,NETWORKDAYS(E129,F129,Feriados!$A$3:$A$100)*8)</f>
        <v>352</v>
      </c>
      <c r="M129" s="95">
        <f ca="1">IF($N$3&lt;E129,0,IF($N$3&gt;=F129,L129,NETWORKDAYS(E129,$N$3,Feriados!$A$3:$A$100)*8))</f>
        <v>0</v>
      </c>
      <c r="N129" s="95">
        <f t="shared" ca="1" si="101"/>
        <v>0</v>
      </c>
      <c r="O129" s="105" t="s">
        <v>195</v>
      </c>
      <c r="P129" s="84"/>
      <c r="Q129" s="85"/>
    </row>
    <row r="130" spans="1:17" s="52" customFormat="1" ht="23.25">
      <c r="A130" s="82"/>
      <c r="B130" s="83"/>
      <c r="C130" s="92" t="s">
        <v>188</v>
      </c>
      <c r="D130" s="163" t="s">
        <v>97</v>
      </c>
      <c r="E130" s="91">
        <v>44440</v>
      </c>
      <c r="F130" s="96">
        <v>44498</v>
      </c>
      <c r="G130" s="106" t="s">
        <v>49</v>
      </c>
      <c r="H130" s="93">
        <f t="shared" si="97"/>
        <v>3</v>
      </c>
      <c r="I130" s="93">
        <f t="shared" si="98"/>
        <v>3</v>
      </c>
      <c r="J130" s="94">
        <f t="shared" ca="1" si="99"/>
        <v>0</v>
      </c>
      <c r="K130" s="94">
        <f t="shared" ca="1" si="100"/>
        <v>0</v>
      </c>
      <c r="L130" s="95">
        <f>IF(OR(E130=0,F130=0),0,NETWORKDAYS(E130,F130,Feriados!$A$3:$A$100)*8)</f>
        <v>344</v>
      </c>
      <c r="M130" s="95">
        <f ca="1">IF($N$3&lt;E130,0,IF($N$3&gt;=F130,L130,NETWORKDAYS(E130,$N$3,Feriados!$A$3:$A$100)*8))</f>
        <v>0</v>
      </c>
      <c r="N130" s="95">
        <f t="shared" ca="1" si="101"/>
        <v>0</v>
      </c>
      <c r="O130" s="105" t="s">
        <v>195</v>
      </c>
      <c r="P130" s="84"/>
      <c r="Q130" s="85"/>
    </row>
    <row r="131" spans="1:17" s="52" customFormat="1" ht="31.5">
      <c r="A131" s="82"/>
      <c r="B131" s="83"/>
      <c r="C131" s="92" t="s">
        <v>189</v>
      </c>
      <c r="D131" s="163" t="s">
        <v>99</v>
      </c>
      <c r="E131" s="91">
        <v>44501</v>
      </c>
      <c r="F131" s="96">
        <v>44592</v>
      </c>
      <c r="G131" s="106" t="s">
        <v>49</v>
      </c>
      <c r="H131" s="93">
        <f t="shared" si="97"/>
        <v>3</v>
      </c>
      <c r="I131" s="93">
        <f t="shared" si="98"/>
        <v>3</v>
      </c>
      <c r="J131" s="94">
        <f t="shared" ca="1" si="99"/>
        <v>0</v>
      </c>
      <c r="K131" s="94">
        <f t="shared" ca="1" si="100"/>
        <v>0</v>
      </c>
      <c r="L131" s="95">
        <f>IF(OR(E131=0,F131=0),0,NETWORKDAYS(E131,F131,Feriados!$A$3:$A$100)*8)</f>
        <v>528</v>
      </c>
      <c r="M131" s="95">
        <f ca="1">IF($N$3&lt;E131,0,IF($N$3&gt;=F131,L131,NETWORKDAYS(E131,$N$3,Feriados!$A$3:$A$100)*8))</f>
        <v>0</v>
      </c>
      <c r="N131" s="95">
        <f t="shared" ca="1" si="101"/>
        <v>0</v>
      </c>
      <c r="O131" s="105" t="s">
        <v>195</v>
      </c>
      <c r="P131" s="84"/>
      <c r="Q131" s="85"/>
    </row>
    <row r="132" spans="1:17" s="52" customFormat="1" ht="23.25">
      <c r="A132" s="82"/>
      <c r="B132" s="83"/>
      <c r="C132" s="92"/>
      <c r="D132" s="104"/>
      <c r="E132" s="91"/>
      <c r="F132" s="96"/>
      <c r="G132" s="106"/>
      <c r="H132" s="93"/>
      <c r="I132" s="93"/>
      <c r="J132" s="94"/>
      <c r="K132" s="94"/>
      <c r="L132" s="95"/>
      <c r="M132" s="95"/>
      <c r="N132" s="95"/>
      <c r="O132" s="105"/>
      <c r="P132" s="84"/>
      <c r="Q132" s="85"/>
    </row>
    <row r="133" spans="1:17" s="52" customFormat="1" ht="7.5" customHeight="1" thickBot="1">
      <c r="A133" s="82"/>
      <c r="B133" s="159"/>
      <c r="C133" s="76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34"/>
      <c r="P133" s="160"/>
      <c r="Q133" s="82"/>
    </row>
    <row r="134" spans="1:17" ht="1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82"/>
      <c r="Q134" s="82"/>
    </row>
    <row r="135" spans="1:17" ht="15" customHeight="1">
      <c r="A135" s="71"/>
      <c r="B135" s="71"/>
      <c r="C135" s="71"/>
      <c r="D135" s="71"/>
      <c r="E135" s="71"/>
      <c r="F135" s="71"/>
      <c r="G135" s="55"/>
      <c r="H135" s="71"/>
      <c r="I135" s="71"/>
      <c r="J135" s="71"/>
      <c r="K135" s="71"/>
      <c r="L135" s="71"/>
      <c r="M135" s="71"/>
      <c r="N135" s="71"/>
      <c r="O135" s="71"/>
      <c r="P135" s="82"/>
      <c r="Q135" s="82"/>
    </row>
    <row r="136" spans="1:17" ht="15" customHeight="1">
      <c r="A136" s="71"/>
      <c r="B136" s="71"/>
      <c r="C136" s="71"/>
      <c r="D136" s="71"/>
      <c r="E136" s="71"/>
      <c r="F136" s="71"/>
      <c r="G136" s="55"/>
      <c r="H136" s="71"/>
      <c r="I136" s="71"/>
      <c r="J136" s="71"/>
      <c r="K136" s="71"/>
      <c r="L136" s="71"/>
      <c r="M136" s="71"/>
      <c r="N136" s="71"/>
      <c r="O136" s="71"/>
      <c r="P136" s="82"/>
      <c r="Q136" s="82"/>
    </row>
    <row r="137" spans="1:17" ht="15" customHeight="1">
      <c r="A137" s="71"/>
      <c r="B137" s="71"/>
      <c r="C137" s="78"/>
      <c r="D137" s="71"/>
      <c r="E137" s="71"/>
      <c r="F137" s="71"/>
      <c r="G137" s="55"/>
      <c r="H137" s="71"/>
      <c r="I137" s="71"/>
      <c r="J137" s="71"/>
      <c r="K137" s="71"/>
      <c r="L137" s="71"/>
      <c r="M137" s="71"/>
      <c r="N137" s="71"/>
      <c r="O137" s="71"/>
      <c r="P137" s="82"/>
      <c r="Q137" s="82"/>
    </row>
    <row r="138" spans="1:17" ht="15" customHeight="1">
      <c r="C138" s="78"/>
      <c r="D138" s="71"/>
      <c r="E138" s="71"/>
      <c r="F138" s="71"/>
      <c r="N138" s="161"/>
      <c r="P138" s="162"/>
      <c r="Q138" s="162"/>
    </row>
    <row r="139" spans="1:17" ht="15" customHeight="1">
      <c r="C139" s="78"/>
      <c r="J139" s="80"/>
      <c r="P139" s="71"/>
    </row>
    <row r="140" spans="1:17" ht="15" customHeight="1">
      <c r="C140" s="79"/>
      <c r="D140" s="161"/>
      <c r="J140" s="80"/>
      <c r="P140" s="71"/>
    </row>
    <row r="141" spans="1:17" ht="15" customHeight="1">
      <c r="C141" s="80"/>
      <c r="D141" s="161"/>
      <c r="P141" s="71"/>
    </row>
    <row r="142" spans="1:17" ht="15" customHeight="1">
      <c r="C142" s="80"/>
      <c r="D142" s="161"/>
      <c r="N142" s="161"/>
      <c r="P142" s="162"/>
      <c r="Q142" s="162"/>
    </row>
    <row r="143" spans="1:17" ht="15" customHeight="1">
      <c r="C143" s="80"/>
      <c r="D143" s="161"/>
      <c r="J143" s="80"/>
      <c r="P143" s="71"/>
    </row>
    <row r="144" spans="1:17">
      <c r="P144" s="71"/>
    </row>
    <row r="145" spans="16:16">
      <c r="P145" s="71"/>
    </row>
  </sheetData>
  <sheetProtection password="E207" sheet="1" objects="1" scenarios="1" formatCells="0" formatRows="0" insertRows="0" deleteRows="0" sort="0" autoFilter="0"/>
  <autoFilter ref="C18:P23">
    <sortState ref="C19:P26">
      <sortCondition ref="F18:F26"/>
    </sortState>
  </autoFilter>
  <mergeCells count="6">
    <mergeCell ref="O9:O13"/>
    <mergeCell ref="K9:K13"/>
    <mergeCell ref="N9:N13"/>
    <mergeCell ref="J9:J13"/>
    <mergeCell ref="F9:F13"/>
    <mergeCell ref="G9:G13"/>
  </mergeCells>
  <conditionalFormatting sqref="D133:I133 K133:N133 C43 C48 C54 C60 C72 C78 C84 C90 C96 C102 C108 C114 C120 C126">
    <cfRule type="cellIs" dxfId="157" priority="390" operator="notEqual">
      <formula>"A detalhar"</formula>
    </cfRule>
  </conditionalFormatting>
  <conditionalFormatting sqref="C133">
    <cfRule type="cellIs" dxfId="156" priority="376" operator="notEqual">
      <formula>"A detalhar"</formula>
    </cfRule>
  </conditionalFormatting>
  <conditionalFormatting sqref="C19">
    <cfRule type="cellIs" dxfId="155" priority="375" operator="notEqual">
      <formula>"A detalhar"</formula>
    </cfRule>
  </conditionalFormatting>
  <conditionalFormatting sqref="C141">
    <cfRule type="iconSet" priority="347">
      <iconSet showValue="0">
        <cfvo type="percent" val="0"/>
        <cfvo type="num" val="7"/>
        <cfvo type="num" val="9"/>
      </iconSet>
    </cfRule>
  </conditionalFormatting>
  <conditionalFormatting sqref="C142">
    <cfRule type="iconSet" priority="346">
      <iconSet showValue="0">
        <cfvo type="percent" val="0"/>
        <cfvo type="num" val="7"/>
        <cfvo type="num" val="9"/>
      </iconSet>
    </cfRule>
  </conditionalFormatting>
  <conditionalFormatting sqref="C143">
    <cfRule type="iconSet" priority="345">
      <iconSet showValue="0">
        <cfvo type="percent" val="0"/>
        <cfvo type="num" val="7"/>
        <cfvo type="num" val="9"/>
      </iconSet>
    </cfRule>
  </conditionalFormatting>
  <conditionalFormatting sqref="J133">
    <cfRule type="cellIs" dxfId="154" priority="242" operator="notEqual">
      <formula>"A detalhar"</formula>
    </cfRule>
  </conditionalFormatting>
  <conditionalFormatting sqref="J143">
    <cfRule type="iconSet" priority="241">
      <iconSet showValue="0">
        <cfvo type="percent" val="0"/>
        <cfvo type="num" val="7"/>
        <cfvo type="num" val="9"/>
      </iconSet>
    </cfRule>
  </conditionalFormatting>
  <conditionalFormatting sqref="J139">
    <cfRule type="iconSet" priority="234">
      <iconSet showValue="0">
        <cfvo type="percent" val="0"/>
        <cfvo type="num" val="7"/>
        <cfvo type="num" val="9"/>
      </iconSet>
    </cfRule>
  </conditionalFormatting>
  <conditionalFormatting sqref="J140">
    <cfRule type="iconSet" priority="233">
      <iconSet showValue="0">
        <cfvo type="percent" val="0"/>
        <cfvo type="num" val="7"/>
        <cfvo type="num" val="9"/>
      </iconSet>
    </cfRule>
  </conditionalFormatting>
  <conditionalFormatting sqref="C20">
    <cfRule type="cellIs" dxfId="153" priority="213" operator="notEqual">
      <formula>"A detalhar"</formula>
    </cfRule>
  </conditionalFormatting>
  <conditionalFormatting sqref="C21">
    <cfRule type="cellIs" dxfId="152" priority="212" operator="notEqual">
      <formula>"A detalhar"</formula>
    </cfRule>
  </conditionalFormatting>
  <conditionalFormatting sqref="G19:G132">
    <cfRule type="containsText" dxfId="3" priority="196" operator="containsText" text="ATENÇÃO">
      <formula>NOT(ISERROR(SEARCH("ATENÇÃO",G19)))</formula>
    </cfRule>
    <cfRule type="containsText" dxfId="2" priority="197" operator="containsText" text="ADEQUADO">
      <formula>NOT(ISERROR(SEARCH("ADEQUADO",G19)))</formula>
    </cfRule>
    <cfRule type="containsText" dxfId="1" priority="199" operator="containsText" text="PREOCUPANTE">
      <formula>NOT(ISERROR(SEARCH("PREOCUPANTE",G19)))</formula>
    </cfRule>
  </conditionalFormatting>
  <conditionalFormatting sqref="G19:G132">
    <cfRule type="containsText" dxfId="0" priority="195" operator="containsText" text="SUSPENSO">
      <formula>NOT(ISERROR(SEARCH("SUSPENSO",G19)))</formula>
    </cfRule>
  </conditionalFormatting>
  <conditionalFormatting sqref="C22 C132">
    <cfRule type="cellIs" dxfId="151" priority="184" operator="notEqual">
      <formula>"A detalhar"</formula>
    </cfRule>
  </conditionalFormatting>
  <conditionalFormatting sqref="C23:C24 C30 C36 C42">
    <cfRule type="cellIs" dxfId="150" priority="183" operator="notEqual">
      <formula>"A detalhar"</formula>
    </cfRule>
  </conditionalFormatting>
  <conditionalFormatting sqref="C25">
    <cfRule type="cellIs" dxfId="149" priority="174" operator="notEqual">
      <formula>"A detalhar"</formula>
    </cfRule>
  </conditionalFormatting>
  <conditionalFormatting sqref="C26">
    <cfRule type="cellIs" dxfId="148" priority="173" operator="notEqual">
      <formula>"A detalhar"</formula>
    </cfRule>
  </conditionalFormatting>
  <conditionalFormatting sqref="C27">
    <cfRule type="cellIs" dxfId="147" priority="172" operator="notEqual">
      <formula>"A detalhar"</formula>
    </cfRule>
  </conditionalFormatting>
  <conditionalFormatting sqref="C28">
    <cfRule type="cellIs" dxfId="146" priority="171" operator="notEqual">
      <formula>"A detalhar"</formula>
    </cfRule>
  </conditionalFormatting>
  <conditionalFormatting sqref="C29">
    <cfRule type="cellIs" dxfId="145" priority="170" operator="notEqual">
      <formula>"A detalhar"</formula>
    </cfRule>
  </conditionalFormatting>
  <conditionalFormatting sqref="C31">
    <cfRule type="cellIs" dxfId="144" priority="169" operator="notEqual">
      <formula>"A detalhar"</formula>
    </cfRule>
  </conditionalFormatting>
  <conditionalFormatting sqref="C32">
    <cfRule type="cellIs" dxfId="143" priority="168" operator="notEqual">
      <formula>"A detalhar"</formula>
    </cfRule>
  </conditionalFormatting>
  <conditionalFormatting sqref="C33">
    <cfRule type="cellIs" dxfId="142" priority="167" operator="notEqual">
      <formula>"A detalhar"</formula>
    </cfRule>
  </conditionalFormatting>
  <conditionalFormatting sqref="C34">
    <cfRule type="cellIs" dxfId="141" priority="166" operator="notEqual">
      <formula>"A detalhar"</formula>
    </cfRule>
  </conditionalFormatting>
  <conditionalFormatting sqref="C35">
    <cfRule type="cellIs" dxfId="140" priority="165" operator="notEqual">
      <formula>"A detalhar"</formula>
    </cfRule>
  </conditionalFormatting>
  <conditionalFormatting sqref="C37">
    <cfRule type="cellIs" dxfId="139" priority="164" operator="notEqual">
      <formula>"A detalhar"</formula>
    </cfRule>
  </conditionalFormatting>
  <conditionalFormatting sqref="C38">
    <cfRule type="cellIs" dxfId="138" priority="163" operator="notEqual">
      <formula>"A detalhar"</formula>
    </cfRule>
  </conditionalFormatting>
  <conditionalFormatting sqref="C39">
    <cfRule type="cellIs" dxfId="137" priority="162" operator="notEqual">
      <formula>"A detalhar"</formula>
    </cfRule>
  </conditionalFormatting>
  <conditionalFormatting sqref="C40">
    <cfRule type="cellIs" dxfId="136" priority="161" operator="notEqual">
      <formula>"A detalhar"</formula>
    </cfRule>
  </conditionalFormatting>
  <conditionalFormatting sqref="C41">
    <cfRule type="cellIs" dxfId="135" priority="160" operator="notEqual">
      <formula>"A detalhar"</formula>
    </cfRule>
  </conditionalFormatting>
  <conditionalFormatting sqref="C44">
    <cfRule type="cellIs" dxfId="134" priority="159" operator="notEqual">
      <formula>"A detalhar"</formula>
    </cfRule>
  </conditionalFormatting>
  <conditionalFormatting sqref="C45">
    <cfRule type="cellIs" dxfId="133" priority="158" operator="notEqual">
      <formula>"A detalhar"</formula>
    </cfRule>
  </conditionalFormatting>
  <conditionalFormatting sqref="C46">
    <cfRule type="cellIs" dxfId="132" priority="157" operator="notEqual">
      <formula>"A detalhar"</formula>
    </cfRule>
  </conditionalFormatting>
  <conditionalFormatting sqref="C47">
    <cfRule type="cellIs" dxfId="131" priority="156" operator="notEqual">
      <formula>"A detalhar"</formula>
    </cfRule>
  </conditionalFormatting>
  <conditionalFormatting sqref="C49">
    <cfRule type="cellIs" dxfId="130" priority="155" operator="notEqual">
      <formula>"A detalhar"</formula>
    </cfRule>
  </conditionalFormatting>
  <conditionalFormatting sqref="C50">
    <cfRule type="cellIs" dxfId="129" priority="154" operator="notEqual">
      <formula>"A detalhar"</formula>
    </cfRule>
  </conditionalFormatting>
  <conditionalFormatting sqref="C51">
    <cfRule type="cellIs" dxfId="128" priority="153" operator="notEqual">
      <formula>"A detalhar"</formula>
    </cfRule>
  </conditionalFormatting>
  <conditionalFormatting sqref="C52">
    <cfRule type="cellIs" dxfId="127" priority="152" operator="notEqual">
      <formula>"A detalhar"</formula>
    </cfRule>
  </conditionalFormatting>
  <conditionalFormatting sqref="C53">
    <cfRule type="cellIs" dxfId="126" priority="151" operator="notEqual">
      <formula>"A detalhar"</formula>
    </cfRule>
  </conditionalFormatting>
  <conditionalFormatting sqref="C55">
    <cfRule type="cellIs" dxfId="125" priority="150" operator="notEqual">
      <formula>"A detalhar"</formula>
    </cfRule>
  </conditionalFormatting>
  <conditionalFormatting sqref="C56">
    <cfRule type="cellIs" dxfId="124" priority="149" operator="notEqual">
      <formula>"A detalhar"</formula>
    </cfRule>
  </conditionalFormatting>
  <conditionalFormatting sqref="C57">
    <cfRule type="cellIs" dxfId="123" priority="148" operator="notEqual">
      <formula>"A detalhar"</formula>
    </cfRule>
  </conditionalFormatting>
  <conditionalFormatting sqref="C58">
    <cfRule type="cellIs" dxfId="122" priority="147" operator="notEqual">
      <formula>"A detalhar"</formula>
    </cfRule>
  </conditionalFormatting>
  <conditionalFormatting sqref="C59">
    <cfRule type="cellIs" dxfId="121" priority="146" operator="notEqual">
      <formula>"A detalhar"</formula>
    </cfRule>
  </conditionalFormatting>
  <conditionalFormatting sqref="C61">
    <cfRule type="cellIs" dxfId="120" priority="145" operator="notEqual">
      <formula>"A detalhar"</formula>
    </cfRule>
  </conditionalFormatting>
  <conditionalFormatting sqref="C62">
    <cfRule type="cellIs" dxfId="119" priority="144" operator="notEqual">
      <formula>"A detalhar"</formula>
    </cfRule>
  </conditionalFormatting>
  <conditionalFormatting sqref="C63">
    <cfRule type="cellIs" dxfId="118" priority="143" operator="notEqual">
      <formula>"A detalhar"</formula>
    </cfRule>
  </conditionalFormatting>
  <conditionalFormatting sqref="C64">
    <cfRule type="cellIs" dxfId="117" priority="142" operator="notEqual">
      <formula>"A detalhar"</formula>
    </cfRule>
  </conditionalFormatting>
  <conditionalFormatting sqref="C66">
    <cfRule type="cellIs" dxfId="116" priority="141" operator="notEqual">
      <formula>"A detalhar"</formula>
    </cfRule>
  </conditionalFormatting>
  <conditionalFormatting sqref="C67">
    <cfRule type="cellIs" dxfId="115" priority="140" operator="notEqual">
      <formula>"A detalhar"</formula>
    </cfRule>
  </conditionalFormatting>
  <conditionalFormatting sqref="C68">
    <cfRule type="cellIs" dxfId="114" priority="139" operator="notEqual">
      <formula>"A detalhar"</formula>
    </cfRule>
  </conditionalFormatting>
  <conditionalFormatting sqref="C69">
    <cfRule type="cellIs" dxfId="113" priority="138" operator="notEqual">
      <formula>"A detalhar"</formula>
    </cfRule>
  </conditionalFormatting>
  <conditionalFormatting sqref="C70">
    <cfRule type="cellIs" dxfId="112" priority="137" operator="notEqual">
      <formula>"A detalhar"</formula>
    </cfRule>
  </conditionalFormatting>
  <conditionalFormatting sqref="C130">
    <cfRule type="cellIs" dxfId="111" priority="80" operator="notEqual">
      <formula>"A detalhar"</formula>
    </cfRule>
  </conditionalFormatting>
  <conditionalFormatting sqref="C65">
    <cfRule type="cellIs" dxfId="110" priority="135" operator="notEqual">
      <formula>"A detalhar"</formula>
    </cfRule>
  </conditionalFormatting>
  <conditionalFormatting sqref="C71">
    <cfRule type="cellIs" dxfId="109" priority="134" operator="notEqual">
      <formula>"A detalhar"</formula>
    </cfRule>
  </conditionalFormatting>
  <conditionalFormatting sqref="C73">
    <cfRule type="cellIs" dxfId="108" priority="133" operator="notEqual">
      <formula>"A detalhar"</formula>
    </cfRule>
  </conditionalFormatting>
  <conditionalFormatting sqref="C74">
    <cfRule type="cellIs" dxfId="107" priority="132" operator="notEqual">
      <formula>"A detalhar"</formula>
    </cfRule>
  </conditionalFormatting>
  <conditionalFormatting sqref="C75">
    <cfRule type="cellIs" dxfId="106" priority="131" operator="notEqual">
      <formula>"A detalhar"</formula>
    </cfRule>
  </conditionalFormatting>
  <conditionalFormatting sqref="C76">
    <cfRule type="cellIs" dxfId="105" priority="130" operator="notEqual">
      <formula>"A detalhar"</formula>
    </cfRule>
  </conditionalFormatting>
  <conditionalFormatting sqref="C77">
    <cfRule type="cellIs" dxfId="104" priority="129" operator="notEqual">
      <formula>"A detalhar"</formula>
    </cfRule>
  </conditionalFormatting>
  <conditionalFormatting sqref="C79">
    <cfRule type="cellIs" dxfId="103" priority="128" operator="notEqual">
      <formula>"A detalhar"</formula>
    </cfRule>
  </conditionalFormatting>
  <conditionalFormatting sqref="C80">
    <cfRule type="cellIs" dxfId="102" priority="127" operator="notEqual">
      <formula>"A detalhar"</formula>
    </cfRule>
  </conditionalFormatting>
  <conditionalFormatting sqref="C81">
    <cfRule type="cellIs" dxfId="101" priority="126" operator="notEqual">
      <formula>"A detalhar"</formula>
    </cfRule>
  </conditionalFormatting>
  <conditionalFormatting sqref="C82">
    <cfRule type="cellIs" dxfId="100" priority="125" operator="notEqual">
      <formula>"A detalhar"</formula>
    </cfRule>
  </conditionalFormatting>
  <conditionalFormatting sqref="C83">
    <cfRule type="cellIs" dxfId="99" priority="124" operator="notEqual">
      <formula>"A detalhar"</formula>
    </cfRule>
  </conditionalFormatting>
  <conditionalFormatting sqref="C85">
    <cfRule type="cellIs" dxfId="98" priority="123" operator="notEqual">
      <formula>"A detalhar"</formula>
    </cfRule>
  </conditionalFormatting>
  <conditionalFormatting sqref="C86">
    <cfRule type="cellIs" dxfId="97" priority="122" operator="notEqual">
      <formula>"A detalhar"</formula>
    </cfRule>
  </conditionalFormatting>
  <conditionalFormatting sqref="C87">
    <cfRule type="cellIs" dxfId="96" priority="121" operator="notEqual">
      <formula>"A detalhar"</formula>
    </cfRule>
  </conditionalFormatting>
  <conditionalFormatting sqref="C88">
    <cfRule type="cellIs" dxfId="95" priority="120" operator="notEqual">
      <formula>"A detalhar"</formula>
    </cfRule>
  </conditionalFormatting>
  <conditionalFormatting sqref="C89">
    <cfRule type="cellIs" dxfId="94" priority="119" operator="notEqual">
      <formula>"A detalhar"</formula>
    </cfRule>
  </conditionalFormatting>
  <conditionalFormatting sqref="C91">
    <cfRule type="cellIs" dxfId="93" priority="118" operator="notEqual">
      <formula>"A detalhar"</formula>
    </cfRule>
  </conditionalFormatting>
  <conditionalFormatting sqref="C92">
    <cfRule type="cellIs" dxfId="92" priority="117" operator="notEqual">
      <formula>"A detalhar"</formula>
    </cfRule>
  </conditionalFormatting>
  <conditionalFormatting sqref="C93">
    <cfRule type="cellIs" dxfId="91" priority="116" operator="notEqual">
      <formula>"A detalhar"</formula>
    </cfRule>
  </conditionalFormatting>
  <conditionalFormatting sqref="C94">
    <cfRule type="cellIs" dxfId="90" priority="115" operator="notEqual">
      <formula>"A detalhar"</formula>
    </cfRule>
  </conditionalFormatting>
  <conditionalFormatting sqref="C95">
    <cfRule type="cellIs" dxfId="89" priority="114" operator="notEqual">
      <formula>"A detalhar"</formula>
    </cfRule>
  </conditionalFormatting>
  <conditionalFormatting sqref="C98">
    <cfRule type="cellIs" dxfId="88" priority="112" operator="notEqual">
      <formula>"A detalhar"</formula>
    </cfRule>
  </conditionalFormatting>
  <conditionalFormatting sqref="C99">
    <cfRule type="cellIs" dxfId="87" priority="111" operator="notEqual">
      <formula>"A detalhar"</formula>
    </cfRule>
  </conditionalFormatting>
  <conditionalFormatting sqref="C100">
    <cfRule type="cellIs" dxfId="86" priority="110" operator="notEqual">
      <formula>"A detalhar"</formula>
    </cfRule>
  </conditionalFormatting>
  <conditionalFormatting sqref="C101">
    <cfRule type="cellIs" dxfId="85" priority="109" operator="notEqual">
      <formula>"A detalhar"</formula>
    </cfRule>
  </conditionalFormatting>
  <conditionalFormatting sqref="C104">
    <cfRule type="cellIs" dxfId="84" priority="107" operator="notEqual">
      <formula>"A detalhar"</formula>
    </cfRule>
  </conditionalFormatting>
  <conditionalFormatting sqref="C105">
    <cfRule type="cellIs" dxfId="83" priority="106" operator="notEqual">
      <formula>"A detalhar"</formula>
    </cfRule>
  </conditionalFormatting>
  <conditionalFormatting sqref="C106">
    <cfRule type="cellIs" dxfId="82" priority="105" operator="notEqual">
      <formula>"A detalhar"</formula>
    </cfRule>
  </conditionalFormatting>
  <conditionalFormatting sqref="C107">
    <cfRule type="cellIs" dxfId="81" priority="104" operator="notEqual">
      <formula>"A detalhar"</formula>
    </cfRule>
  </conditionalFormatting>
  <conditionalFormatting sqref="C110">
    <cfRule type="cellIs" dxfId="80" priority="102" operator="notEqual">
      <formula>"A detalhar"</formula>
    </cfRule>
  </conditionalFormatting>
  <conditionalFormatting sqref="C111">
    <cfRule type="cellIs" dxfId="79" priority="101" operator="notEqual">
      <formula>"A detalhar"</formula>
    </cfRule>
  </conditionalFormatting>
  <conditionalFormatting sqref="C112">
    <cfRule type="cellIs" dxfId="78" priority="100" operator="notEqual">
      <formula>"A detalhar"</formula>
    </cfRule>
  </conditionalFormatting>
  <conditionalFormatting sqref="C113">
    <cfRule type="cellIs" dxfId="77" priority="99" operator="notEqual">
      <formula>"A detalhar"</formula>
    </cfRule>
  </conditionalFormatting>
  <conditionalFormatting sqref="C116">
    <cfRule type="cellIs" dxfId="76" priority="97" operator="notEqual">
      <formula>"A detalhar"</formula>
    </cfRule>
  </conditionalFormatting>
  <conditionalFormatting sqref="C117">
    <cfRule type="cellIs" dxfId="75" priority="96" operator="notEqual">
      <formula>"A detalhar"</formula>
    </cfRule>
  </conditionalFormatting>
  <conditionalFormatting sqref="C118">
    <cfRule type="cellIs" dxfId="74" priority="95" operator="notEqual">
      <formula>"A detalhar"</formula>
    </cfRule>
  </conditionalFormatting>
  <conditionalFormatting sqref="C119">
    <cfRule type="cellIs" dxfId="73" priority="94" operator="notEqual">
      <formula>"A detalhar"</formula>
    </cfRule>
  </conditionalFormatting>
  <conditionalFormatting sqref="C122">
    <cfRule type="cellIs" dxfId="72" priority="87" operator="notEqual">
      <formula>"A detalhar"</formula>
    </cfRule>
  </conditionalFormatting>
  <conditionalFormatting sqref="C123">
    <cfRule type="cellIs" dxfId="71" priority="86" operator="notEqual">
      <formula>"A detalhar"</formula>
    </cfRule>
  </conditionalFormatting>
  <conditionalFormatting sqref="C124">
    <cfRule type="cellIs" dxfId="70" priority="85" operator="notEqual">
      <formula>"A detalhar"</formula>
    </cfRule>
  </conditionalFormatting>
  <conditionalFormatting sqref="C125">
    <cfRule type="cellIs" dxfId="69" priority="84" operator="notEqual">
      <formula>"A detalhar"</formula>
    </cfRule>
  </conditionalFormatting>
  <conditionalFormatting sqref="C128">
    <cfRule type="cellIs" dxfId="68" priority="82" operator="notEqual">
      <formula>"A detalhar"</formula>
    </cfRule>
  </conditionalFormatting>
  <conditionalFormatting sqref="C129">
    <cfRule type="cellIs" dxfId="67" priority="81" operator="notEqual">
      <formula>"A detalhar"</formula>
    </cfRule>
  </conditionalFormatting>
  <conditionalFormatting sqref="C131">
    <cfRule type="cellIs" dxfId="66" priority="79" operator="notEqual">
      <formula>"A detalhar"</formula>
    </cfRule>
  </conditionalFormatting>
  <conditionalFormatting sqref="C97">
    <cfRule type="cellIs" dxfId="65" priority="6" operator="notEqual">
      <formula>"A detalhar"</formula>
    </cfRule>
  </conditionalFormatting>
  <conditionalFormatting sqref="C103">
    <cfRule type="cellIs" dxfId="64" priority="5" operator="notEqual">
      <formula>"A detalhar"</formula>
    </cfRule>
  </conditionalFormatting>
  <conditionalFormatting sqref="C109">
    <cfRule type="cellIs" dxfId="63" priority="4" operator="notEqual">
      <formula>"A detalhar"</formula>
    </cfRule>
  </conditionalFormatting>
  <conditionalFormatting sqref="C115">
    <cfRule type="cellIs" dxfId="62" priority="3" operator="notEqual">
      <formula>"A detalhar"</formula>
    </cfRule>
  </conditionalFormatting>
  <conditionalFormatting sqref="C121">
    <cfRule type="cellIs" dxfId="61" priority="2" operator="notEqual">
      <formula>"A detalhar"</formula>
    </cfRule>
  </conditionalFormatting>
  <conditionalFormatting sqref="C127">
    <cfRule type="cellIs" dxfId="60" priority="1" operator="notEqual">
      <formula>"A detalhar"</formula>
    </cfRule>
  </conditionalFormatting>
  <dataValidations count="2">
    <dataValidation allowBlank="1" showErrorMessage="1" sqref="C140:C143 J143 J139:J140 H19:I132"/>
    <dataValidation type="list" allowBlank="1" showInputMessage="1" showErrorMessage="1" sqref="G19:G132">
      <formula1>"ADEQUADO,ATENÇÃO,PREOCUPANTE,CONCLUÍDO"</formula1>
    </dataValidation>
  </dataValidations>
  <pageMargins left="0.19685039370078741" right="0.11811023622047245" top="0.19685039370078741" bottom="0.27559055118110237" header="0.11811023622047245" footer="0"/>
  <pageSetup paperSize="9" scale="77" orientation="landscape" r:id="rId1"/>
  <headerFooter scaleWithDoc="0">
    <oddFooter>&amp;R&amp;10Página &amp;P/&amp;N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8" id="{14E92259-DD55-4CE3-A395-131AE97A7EE7}">
            <x14:iconSet iconSet="4TrafficLights" showValue="0" custom="1">
              <x14:cfvo type="percent">
                <xm:f>0</xm:f>
              </x14:cfvo>
              <x14:cfvo type="percent">
                <xm:f>70</xm:f>
              </x14:cfvo>
              <x14:cfvo type="percent">
                <xm:f>90</xm:f>
              </x14:cfvo>
              <x14:cfvo type="percent">
                <xm:f>100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C140</xm:sqref>
        </x14:conditionalFormatting>
        <x14:conditionalFormatting xmlns:xm="http://schemas.microsoft.com/office/excel/2006/main">
          <x14:cfRule type="iconSet" priority="210" id="{05E1F586-1A97-4DC7-872B-0AF296601F9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H21:I21</xm:sqref>
        </x14:conditionalFormatting>
        <x14:conditionalFormatting xmlns:xm="http://schemas.microsoft.com/office/excel/2006/main">
          <x14:cfRule type="iconSet" priority="185" id="{A1424175-DEC5-4859-A2F6-8A3D622458F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H22:I22</xm:sqref>
        </x14:conditionalFormatting>
        <x14:conditionalFormatting xmlns:xm="http://schemas.microsoft.com/office/excel/2006/main">
          <x14:cfRule type="iconSet" priority="179" id="{F6DA2333-711A-44A3-AB35-FCDEBECBE6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H132:I132</xm:sqref>
        </x14:conditionalFormatting>
        <x14:conditionalFormatting xmlns:xm="http://schemas.microsoft.com/office/excel/2006/main">
          <x14:cfRule type="iconSet" priority="16514" id="{26CF5088-C9B9-41B1-BB29-0C8B6DF85C4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H20:I20</xm:sqref>
        </x14:conditionalFormatting>
        <x14:conditionalFormatting xmlns:xm="http://schemas.microsoft.com/office/excel/2006/main">
          <x14:cfRule type="iconSet" priority="16515" id="{15504FF7-B6CE-47AF-8B3D-07EBAFA4E62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H19:I19</xm:sqref>
        </x14:conditionalFormatting>
        <x14:conditionalFormatting xmlns:xm="http://schemas.microsoft.com/office/excel/2006/main">
          <x14:cfRule type="iconSet" priority="16524" id="{F658F376-DB03-4650-BBF6-043404BF1F2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H23:I25 H30:I31 H36:I37 H42:I42</xm:sqref>
        </x14:conditionalFormatting>
        <x14:conditionalFormatting xmlns:xm="http://schemas.microsoft.com/office/excel/2006/main">
          <x14:cfRule type="iconSet" priority="16580" id="{379D8E9A-93EC-4E39-B8C8-F38516B8DB9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H43:I43 H48:I49 H54:I55 H60:I61 H66:I67 H72:I73 H78:I79 H84:I85 H90:I91 H96:I97 H102:I103 H108:I109 H114:I115 H120:I121 H126:I127</xm:sqref>
        </x14:conditionalFormatting>
        <x14:conditionalFormatting xmlns:xm="http://schemas.microsoft.com/office/excel/2006/main">
          <x14:cfRule type="iconSet" priority="76" id="{2EC560B4-8B87-429A-9C58-599C9451283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H27:I27</xm:sqref>
        </x14:conditionalFormatting>
        <x14:conditionalFormatting xmlns:xm="http://schemas.microsoft.com/office/excel/2006/main">
          <x14:cfRule type="iconSet" priority="75" id="{7C0F4A96-2447-4846-936C-AA8842FA916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H28:I28</xm:sqref>
        </x14:conditionalFormatting>
        <x14:conditionalFormatting xmlns:xm="http://schemas.microsoft.com/office/excel/2006/main">
          <x14:cfRule type="iconSet" priority="77" id="{6972D4F0-C81C-4EFD-9758-62A97C8CCF6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H26:I26</xm:sqref>
        </x14:conditionalFormatting>
        <x14:conditionalFormatting xmlns:xm="http://schemas.microsoft.com/office/excel/2006/main">
          <x14:cfRule type="iconSet" priority="78" id="{9A29DEE8-5EB0-4C8F-9252-2CBC19F50FC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H29:I29</xm:sqref>
        </x14:conditionalFormatting>
        <x14:conditionalFormatting xmlns:xm="http://schemas.microsoft.com/office/excel/2006/main">
          <x14:cfRule type="iconSet" priority="72" id="{3CAF4D7A-9429-4383-8527-85F7AD72A7C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H33:I33</xm:sqref>
        </x14:conditionalFormatting>
        <x14:conditionalFormatting xmlns:xm="http://schemas.microsoft.com/office/excel/2006/main">
          <x14:cfRule type="iconSet" priority="71" id="{AE1D1777-346A-4226-9C82-F57A2033926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H34:I34</xm:sqref>
        </x14:conditionalFormatting>
        <x14:conditionalFormatting xmlns:xm="http://schemas.microsoft.com/office/excel/2006/main">
          <x14:cfRule type="iconSet" priority="73" id="{440E8ABE-FEE3-4241-A56D-9C5907265D4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H32:I32</xm:sqref>
        </x14:conditionalFormatting>
        <x14:conditionalFormatting xmlns:xm="http://schemas.microsoft.com/office/excel/2006/main">
          <x14:cfRule type="iconSet" priority="74" id="{A7319CA0-B9DB-4461-B1DA-FE223BF1AEB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H35:I35</xm:sqref>
        </x14:conditionalFormatting>
        <x14:conditionalFormatting xmlns:xm="http://schemas.microsoft.com/office/excel/2006/main">
          <x14:cfRule type="iconSet" priority="68" id="{C64178F9-F4CA-4C0D-9F54-F1AE39C24A1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H39:I39</xm:sqref>
        </x14:conditionalFormatting>
        <x14:conditionalFormatting xmlns:xm="http://schemas.microsoft.com/office/excel/2006/main">
          <x14:cfRule type="iconSet" priority="67" id="{E923A6C5-0E7B-4F4F-92E0-6E43F16083A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H40:I40</xm:sqref>
        </x14:conditionalFormatting>
        <x14:conditionalFormatting xmlns:xm="http://schemas.microsoft.com/office/excel/2006/main">
          <x14:cfRule type="iconSet" priority="69" id="{D048EAF1-2473-4569-BE9B-82E729192D3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H38:I38</xm:sqref>
        </x14:conditionalFormatting>
        <x14:conditionalFormatting xmlns:xm="http://schemas.microsoft.com/office/excel/2006/main">
          <x14:cfRule type="iconSet" priority="70" id="{4A92F20C-F791-4FE6-991A-6A3C2B9F3E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H41:I41</xm:sqref>
        </x14:conditionalFormatting>
        <x14:conditionalFormatting xmlns:xm="http://schemas.microsoft.com/office/excel/2006/main">
          <x14:cfRule type="iconSet" priority="64" id="{9EC3743C-5707-420F-AC66-055FEBC5D17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H45:I45</xm:sqref>
        </x14:conditionalFormatting>
        <x14:conditionalFormatting xmlns:xm="http://schemas.microsoft.com/office/excel/2006/main">
          <x14:cfRule type="iconSet" priority="63" id="{3595A158-9C52-4173-A297-3CE41A474F3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H46:I46</xm:sqref>
        </x14:conditionalFormatting>
        <x14:conditionalFormatting xmlns:xm="http://schemas.microsoft.com/office/excel/2006/main">
          <x14:cfRule type="iconSet" priority="65" id="{6C241612-3AF5-495C-97E3-4B4DD4BF2EB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H44:I44</xm:sqref>
        </x14:conditionalFormatting>
        <x14:conditionalFormatting xmlns:xm="http://schemas.microsoft.com/office/excel/2006/main">
          <x14:cfRule type="iconSet" priority="66" id="{980DC689-446A-452A-913A-1C3AD47A309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H47:I47</xm:sqref>
        </x14:conditionalFormatting>
        <x14:conditionalFormatting xmlns:xm="http://schemas.microsoft.com/office/excel/2006/main">
          <x14:cfRule type="iconSet" priority="60" id="{D10CCE78-B818-4E14-9CAF-5F294C42B68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H51:I51</xm:sqref>
        </x14:conditionalFormatting>
        <x14:conditionalFormatting xmlns:xm="http://schemas.microsoft.com/office/excel/2006/main">
          <x14:cfRule type="iconSet" priority="59" id="{FD7D8890-83BD-49EB-B723-BD478FE58E3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H52:I52</xm:sqref>
        </x14:conditionalFormatting>
        <x14:conditionalFormatting xmlns:xm="http://schemas.microsoft.com/office/excel/2006/main">
          <x14:cfRule type="iconSet" priority="61" id="{A2397335-039C-4D42-B8E9-B847704EBCB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H50:I50</xm:sqref>
        </x14:conditionalFormatting>
        <x14:conditionalFormatting xmlns:xm="http://schemas.microsoft.com/office/excel/2006/main">
          <x14:cfRule type="iconSet" priority="62" id="{CDD04F02-0EB1-41B5-AD91-774A077E4F5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H53:I53</xm:sqref>
        </x14:conditionalFormatting>
        <x14:conditionalFormatting xmlns:xm="http://schemas.microsoft.com/office/excel/2006/main">
          <x14:cfRule type="iconSet" priority="56" id="{A0B0E0BE-C20A-4980-82BB-D465C633835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H57:I57</xm:sqref>
        </x14:conditionalFormatting>
        <x14:conditionalFormatting xmlns:xm="http://schemas.microsoft.com/office/excel/2006/main">
          <x14:cfRule type="iconSet" priority="55" id="{8B392135-8BB8-4CDB-8CA2-CEF10C48CB3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H58:I58</xm:sqref>
        </x14:conditionalFormatting>
        <x14:conditionalFormatting xmlns:xm="http://schemas.microsoft.com/office/excel/2006/main">
          <x14:cfRule type="iconSet" priority="57" id="{246868BF-A445-4BEE-AB58-2EC689FE4F2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H56:I56</xm:sqref>
        </x14:conditionalFormatting>
        <x14:conditionalFormatting xmlns:xm="http://schemas.microsoft.com/office/excel/2006/main">
          <x14:cfRule type="iconSet" priority="58" id="{8B4C0ECD-25EE-40F3-AE72-0F7D7A83998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H59:I59</xm:sqref>
        </x14:conditionalFormatting>
        <x14:conditionalFormatting xmlns:xm="http://schemas.microsoft.com/office/excel/2006/main">
          <x14:cfRule type="iconSet" priority="52" id="{7DBCBD72-536F-44ED-9CA0-2B5F47E9F53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H63:I63</xm:sqref>
        </x14:conditionalFormatting>
        <x14:conditionalFormatting xmlns:xm="http://schemas.microsoft.com/office/excel/2006/main">
          <x14:cfRule type="iconSet" priority="51" id="{146A7E1B-4257-47BF-B122-B01EB706273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H64:I64</xm:sqref>
        </x14:conditionalFormatting>
        <x14:conditionalFormatting xmlns:xm="http://schemas.microsoft.com/office/excel/2006/main">
          <x14:cfRule type="iconSet" priority="53" id="{9ED9634D-7300-4B50-AE30-730F04DF09C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H62:I62</xm:sqref>
        </x14:conditionalFormatting>
        <x14:conditionalFormatting xmlns:xm="http://schemas.microsoft.com/office/excel/2006/main">
          <x14:cfRule type="iconSet" priority="54" id="{28F66593-8295-4073-BBCD-28308478B18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H65:I65</xm:sqref>
        </x14:conditionalFormatting>
        <x14:conditionalFormatting xmlns:xm="http://schemas.microsoft.com/office/excel/2006/main">
          <x14:cfRule type="iconSet" priority="48" id="{6394B9C8-AA05-4323-826E-F51DFFBDC92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H69:I69</xm:sqref>
        </x14:conditionalFormatting>
        <x14:conditionalFormatting xmlns:xm="http://schemas.microsoft.com/office/excel/2006/main">
          <x14:cfRule type="iconSet" priority="47" id="{0901839F-4EC1-42EE-AE3F-EE4672E6BD5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H70:I70</xm:sqref>
        </x14:conditionalFormatting>
        <x14:conditionalFormatting xmlns:xm="http://schemas.microsoft.com/office/excel/2006/main">
          <x14:cfRule type="iconSet" priority="49" id="{B1A8D7A0-E6C1-4AB4-A660-849B0CCC032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H68:I68</xm:sqref>
        </x14:conditionalFormatting>
        <x14:conditionalFormatting xmlns:xm="http://schemas.microsoft.com/office/excel/2006/main">
          <x14:cfRule type="iconSet" priority="50" id="{F2BC7AE3-B365-4019-9D50-F3FA7C73707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H71:I71</xm:sqref>
        </x14:conditionalFormatting>
        <x14:conditionalFormatting xmlns:xm="http://schemas.microsoft.com/office/excel/2006/main">
          <x14:cfRule type="iconSet" priority="44" id="{50121A97-A17F-421B-8452-F09E825299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H75:I75</xm:sqref>
        </x14:conditionalFormatting>
        <x14:conditionalFormatting xmlns:xm="http://schemas.microsoft.com/office/excel/2006/main">
          <x14:cfRule type="iconSet" priority="43" id="{942CC64C-7F71-4E4E-B969-24895E05376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H76:I76</xm:sqref>
        </x14:conditionalFormatting>
        <x14:conditionalFormatting xmlns:xm="http://schemas.microsoft.com/office/excel/2006/main">
          <x14:cfRule type="iconSet" priority="45" id="{C456910A-F988-442B-B326-0432BB72AB5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H74:I74</xm:sqref>
        </x14:conditionalFormatting>
        <x14:conditionalFormatting xmlns:xm="http://schemas.microsoft.com/office/excel/2006/main">
          <x14:cfRule type="iconSet" priority="46" id="{1E145AE2-0B53-40F4-8BF1-21E2E026FCF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H77:I77</xm:sqref>
        </x14:conditionalFormatting>
        <x14:conditionalFormatting xmlns:xm="http://schemas.microsoft.com/office/excel/2006/main">
          <x14:cfRule type="iconSet" priority="40" id="{232E1E8C-2ED7-4A41-81CE-19283716B36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H81:I81</xm:sqref>
        </x14:conditionalFormatting>
        <x14:conditionalFormatting xmlns:xm="http://schemas.microsoft.com/office/excel/2006/main">
          <x14:cfRule type="iconSet" priority="39" id="{4C781F51-8C11-4D4C-8C0F-3538EC57AE6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H82:I82</xm:sqref>
        </x14:conditionalFormatting>
        <x14:conditionalFormatting xmlns:xm="http://schemas.microsoft.com/office/excel/2006/main">
          <x14:cfRule type="iconSet" priority="41" id="{9A47AF94-66EC-4EF6-9DE0-5EC6A5EC4BC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H80:I80</xm:sqref>
        </x14:conditionalFormatting>
        <x14:conditionalFormatting xmlns:xm="http://schemas.microsoft.com/office/excel/2006/main">
          <x14:cfRule type="iconSet" priority="42" id="{783A1904-3E0E-4E23-AE21-FA6A7D9B397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H83:I83</xm:sqref>
        </x14:conditionalFormatting>
        <x14:conditionalFormatting xmlns:xm="http://schemas.microsoft.com/office/excel/2006/main">
          <x14:cfRule type="iconSet" priority="36" id="{3E09BB7F-6014-4883-A099-30BBA9D49B0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H87:I87</xm:sqref>
        </x14:conditionalFormatting>
        <x14:conditionalFormatting xmlns:xm="http://schemas.microsoft.com/office/excel/2006/main">
          <x14:cfRule type="iconSet" priority="35" id="{05CCF89E-8614-475B-A1F8-E3D5776EC74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H88:I88</xm:sqref>
        </x14:conditionalFormatting>
        <x14:conditionalFormatting xmlns:xm="http://schemas.microsoft.com/office/excel/2006/main">
          <x14:cfRule type="iconSet" priority="37" id="{47C88EC7-E0BC-4C0C-8A88-60136CD975A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H86:I86</xm:sqref>
        </x14:conditionalFormatting>
        <x14:conditionalFormatting xmlns:xm="http://schemas.microsoft.com/office/excel/2006/main">
          <x14:cfRule type="iconSet" priority="38" id="{18AC4BCF-D14A-48B3-BA80-3220F62D18E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H89:I89</xm:sqref>
        </x14:conditionalFormatting>
        <x14:conditionalFormatting xmlns:xm="http://schemas.microsoft.com/office/excel/2006/main">
          <x14:cfRule type="iconSet" priority="32" id="{5BABF625-D86D-4DB2-B4BE-D50FBC57E85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H93:I93</xm:sqref>
        </x14:conditionalFormatting>
        <x14:conditionalFormatting xmlns:xm="http://schemas.microsoft.com/office/excel/2006/main">
          <x14:cfRule type="iconSet" priority="31" id="{6F903EA1-6C5E-4258-A4B9-39F6C695821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H94:I94</xm:sqref>
        </x14:conditionalFormatting>
        <x14:conditionalFormatting xmlns:xm="http://schemas.microsoft.com/office/excel/2006/main">
          <x14:cfRule type="iconSet" priority="33" id="{0DA3B0AF-715C-4225-A9B0-DE5EF9844D4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H92:I92</xm:sqref>
        </x14:conditionalFormatting>
        <x14:conditionalFormatting xmlns:xm="http://schemas.microsoft.com/office/excel/2006/main">
          <x14:cfRule type="iconSet" priority="34" id="{810D1FDB-BB5D-413A-9B49-7BC8D1CBF40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H95:I95</xm:sqref>
        </x14:conditionalFormatting>
        <x14:conditionalFormatting xmlns:xm="http://schemas.microsoft.com/office/excel/2006/main">
          <x14:cfRule type="iconSet" priority="28" id="{B370B605-EE2D-4ABB-8B6D-15DD8DBA3AF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H99:I99</xm:sqref>
        </x14:conditionalFormatting>
        <x14:conditionalFormatting xmlns:xm="http://schemas.microsoft.com/office/excel/2006/main">
          <x14:cfRule type="iconSet" priority="27" id="{5ECC121C-0E98-4A85-96B8-5B01CFF0323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H100:I100</xm:sqref>
        </x14:conditionalFormatting>
        <x14:conditionalFormatting xmlns:xm="http://schemas.microsoft.com/office/excel/2006/main">
          <x14:cfRule type="iconSet" priority="29" id="{A89E2812-C462-4F49-94AB-DDAB4CB6F20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H98:I98</xm:sqref>
        </x14:conditionalFormatting>
        <x14:conditionalFormatting xmlns:xm="http://schemas.microsoft.com/office/excel/2006/main">
          <x14:cfRule type="iconSet" priority="30" id="{00377E24-5B61-42AF-ACEC-BFBF7F7151B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H101:I101</xm:sqref>
        </x14:conditionalFormatting>
        <x14:conditionalFormatting xmlns:xm="http://schemas.microsoft.com/office/excel/2006/main">
          <x14:cfRule type="iconSet" priority="24" id="{7E82DC21-05BD-4F41-8AB9-5A2B77441C0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H105:I105</xm:sqref>
        </x14:conditionalFormatting>
        <x14:conditionalFormatting xmlns:xm="http://schemas.microsoft.com/office/excel/2006/main">
          <x14:cfRule type="iconSet" priority="23" id="{15D39268-C299-45B2-B591-6B9ECC8FAFE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H106:I106</xm:sqref>
        </x14:conditionalFormatting>
        <x14:conditionalFormatting xmlns:xm="http://schemas.microsoft.com/office/excel/2006/main">
          <x14:cfRule type="iconSet" priority="25" id="{437C4CBE-6DB6-4CBB-853B-EC6E5964819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H104:I104</xm:sqref>
        </x14:conditionalFormatting>
        <x14:conditionalFormatting xmlns:xm="http://schemas.microsoft.com/office/excel/2006/main">
          <x14:cfRule type="iconSet" priority="26" id="{BA52ACAF-D372-46E5-8E0E-EA2C2009F29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H107:I107</xm:sqref>
        </x14:conditionalFormatting>
        <x14:conditionalFormatting xmlns:xm="http://schemas.microsoft.com/office/excel/2006/main">
          <x14:cfRule type="iconSet" priority="20" id="{7FD0AF23-5B7F-4024-9F75-D6965F0DDB6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H111:I111</xm:sqref>
        </x14:conditionalFormatting>
        <x14:conditionalFormatting xmlns:xm="http://schemas.microsoft.com/office/excel/2006/main">
          <x14:cfRule type="iconSet" priority="19" id="{0D405BA1-84EA-4AFB-B788-B619A3D1F7E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H112:I112</xm:sqref>
        </x14:conditionalFormatting>
        <x14:conditionalFormatting xmlns:xm="http://schemas.microsoft.com/office/excel/2006/main">
          <x14:cfRule type="iconSet" priority="21" id="{FF2B4444-0455-4417-82BD-BF5E5C7CC60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H110:I110</xm:sqref>
        </x14:conditionalFormatting>
        <x14:conditionalFormatting xmlns:xm="http://schemas.microsoft.com/office/excel/2006/main">
          <x14:cfRule type="iconSet" priority="22" id="{57315AC5-6DA5-4081-A5D2-3FAD4C9429B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H113:I113</xm:sqref>
        </x14:conditionalFormatting>
        <x14:conditionalFormatting xmlns:xm="http://schemas.microsoft.com/office/excel/2006/main">
          <x14:cfRule type="iconSet" priority="16" id="{D04A7A44-87E9-4F4A-8F2B-E869A0475E2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H117:I117</xm:sqref>
        </x14:conditionalFormatting>
        <x14:conditionalFormatting xmlns:xm="http://schemas.microsoft.com/office/excel/2006/main">
          <x14:cfRule type="iconSet" priority="15" id="{EFED0352-CD0E-42FF-9AF7-173750938E1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H118:I118</xm:sqref>
        </x14:conditionalFormatting>
        <x14:conditionalFormatting xmlns:xm="http://schemas.microsoft.com/office/excel/2006/main">
          <x14:cfRule type="iconSet" priority="17" id="{E8B5B326-DB2E-4BC9-A3BD-5EDB06C6D11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H116:I116</xm:sqref>
        </x14:conditionalFormatting>
        <x14:conditionalFormatting xmlns:xm="http://schemas.microsoft.com/office/excel/2006/main">
          <x14:cfRule type="iconSet" priority="18" id="{E7D46C94-E4B6-4D91-BA2B-C47D80453EE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H119:I119</xm:sqref>
        </x14:conditionalFormatting>
        <x14:conditionalFormatting xmlns:xm="http://schemas.microsoft.com/office/excel/2006/main">
          <x14:cfRule type="iconSet" priority="12" id="{7457EAB1-F3A4-4FD4-ACA2-09D2233FD80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H123:I123</xm:sqref>
        </x14:conditionalFormatting>
        <x14:conditionalFormatting xmlns:xm="http://schemas.microsoft.com/office/excel/2006/main">
          <x14:cfRule type="iconSet" priority="11" id="{37E494B2-5636-4D2B-B352-B8AC6F47F42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H124:I124</xm:sqref>
        </x14:conditionalFormatting>
        <x14:conditionalFormatting xmlns:xm="http://schemas.microsoft.com/office/excel/2006/main">
          <x14:cfRule type="iconSet" priority="13" id="{EA8BE36F-7B4A-418F-B3FF-281798B9780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H122:I122</xm:sqref>
        </x14:conditionalFormatting>
        <x14:conditionalFormatting xmlns:xm="http://schemas.microsoft.com/office/excel/2006/main">
          <x14:cfRule type="iconSet" priority="14" id="{32EC40D2-1AF6-4DE2-AA88-BB988C1CB30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H125:I125</xm:sqref>
        </x14:conditionalFormatting>
        <x14:conditionalFormatting xmlns:xm="http://schemas.microsoft.com/office/excel/2006/main">
          <x14:cfRule type="iconSet" priority="8" id="{3D1D6811-6D17-49D2-91E5-907BB2A1AEE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H129:I129</xm:sqref>
        </x14:conditionalFormatting>
        <x14:conditionalFormatting xmlns:xm="http://schemas.microsoft.com/office/excel/2006/main">
          <x14:cfRule type="iconSet" priority="7" id="{92F726C1-C4F9-4FFF-AF24-77A5E502C69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H130:I130</xm:sqref>
        </x14:conditionalFormatting>
        <x14:conditionalFormatting xmlns:xm="http://schemas.microsoft.com/office/excel/2006/main">
          <x14:cfRule type="iconSet" priority="9" id="{4986B1DF-040B-4F9C-8B23-F62135A4DE4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H128:I128</xm:sqref>
        </x14:conditionalFormatting>
        <x14:conditionalFormatting xmlns:xm="http://schemas.microsoft.com/office/excel/2006/main">
          <x14:cfRule type="iconSet" priority="10" id="{1900D942-5D18-4B91-AE85-24CAA4295C5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H131:I131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1"/>
  </sheetPr>
  <dimension ref="A1:C38"/>
  <sheetViews>
    <sheetView workbookViewId="0">
      <selection sqref="A1:C1"/>
    </sheetView>
  </sheetViews>
  <sheetFormatPr defaultRowHeight="15"/>
  <cols>
    <col min="1" max="1" width="10.7109375" bestFit="1" customWidth="1"/>
    <col min="2" max="3" width="16.7109375" customWidth="1"/>
  </cols>
  <sheetData>
    <row r="1" spans="1:3">
      <c r="A1" s="179" t="s">
        <v>1</v>
      </c>
      <c r="B1" s="179"/>
      <c r="C1" s="179"/>
    </row>
    <row r="2" spans="1:3">
      <c r="A2" s="7" t="s">
        <v>2</v>
      </c>
      <c r="B2" s="7" t="s">
        <v>3</v>
      </c>
      <c r="C2" s="7" t="s">
        <v>4</v>
      </c>
    </row>
    <row r="3" spans="1:3">
      <c r="A3" s="1">
        <v>43020</v>
      </c>
      <c r="B3" s="2" t="s">
        <v>7</v>
      </c>
      <c r="C3" s="1" t="s">
        <v>6</v>
      </c>
    </row>
    <row r="4" spans="1:3">
      <c r="A4" s="1">
        <v>43041</v>
      </c>
      <c r="B4" s="2" t="s">
        <v>8</v>
      </c>
      <c r="C4" s="1" t="s">
        <v>6</v>
      </c>
    </row>
    <row r="5" spans="1:3">
      <c r="A5" s="1">
        <v>43054</v>
      </c>
      <c r="B5" s="2" t="s">
        <v>9</v>
      </c>
      <c r="C5" s="1" t="s">
        <v>6</v>
      </c>
    </row>
    <row r="6" spans="1:3">
      <c r="A6" s="1">
        <v>43094</v>
      </c>
      <c r="B6" s="2" t="s">
        <v>15</v>
      </c>
      <c r="C6" s="1" t="s">
        <v>6</v>
      </c>
    </row>
    <row r="7" spans="1:3">
      <c r="A7" s="1">
        <v>43101</v>
      </c>
      <c r="B7" s="2" t="s">
        <v>10</v>
      </c>
      <c r="C7" s="1" t="s">
        <v>6</v>
      </c>
    </row>
    <row r="8" spans="1:3">
      <c r="A8" s="1">
        <v>43143</v>
      </c>
      <c r="B8" s="2" t="s">
        <v>11</v>
      </c>
      <c r="C8" s="1" t="s">
        <v>16</v>
      </c>
    </row>
    <row r="9" spans="1:3">
      <c r="A9" s="1">
        <v>43144</v>
      </c>
      <c r="B9" s="2" t="s">
        <v>11</v>
      </c>
      <c r="C9" s="1" t="s">
        <v>16</v>
      </c>
    </row>
    <row r="10" spans="1:3">
      <c r="A10" s="1">
        <v>43145</v>
      </c>
      <c r="B10" s="2" t="s">
        <v>17</v>
      </c>
      <c r="C10" s="1" t="s">
        <v>16</v>
      </c>
    </row>
    <row r="11" spans="1:3">
      <c r="A11" s="1">
        <v>43189</v>
      </c>
      <c r="B11" s="2" t="s">
        <v>12</v>
      </c>
      <c r="C11" s="1" t="s">
        <v>6</v>
      </c>
    </row>
    <row r="12" spans="1:3">
      <c r="A12" s="1">
        <v>43221</v>
      </c>
      <c r="B12" s="2" t="s">
        <v>13</v>
      </c>
      <c r="C12" s="1" t="s">
        <v>6</v>
      </c>
    </row>
    <row r="13" spans="1:3">
      <c r="A13" s="1">
        <v>43251</v>
      </c>
      <c r="B13" s="5" t="s">
        <v>14</v>
      </c>
      <c r="C13" s="6" t="s">
        <v>6</v>
      </c>
    </row>
    <row r="14" spans="1:3">
      <c r="A14" s="1">
        <v>43350</v>
      </c>
      <c r="B14" s="2" t="s">
        <v>5</v>
      </c>
      <c r="C14" s="1" t="s">
        <v>6</v>
      </c>
    </row>
    <row r="15" spans="1:3">
      <c r="A15" s="1">
        <v>43385</v>
      </c>
      <c r="B15" s="2" t="s">
        <v>7</v>
      </c>
      <c r="C15" s="1" t="s">
        <v>6</v>
      </c>
    </row>
    <row r="16" spans="1:3">
      <c r="A16" s="1">
        <v>43406</v>
      </c>
      <c r="B16" s="2" t="s">
        <v>8</v>
      </c>
      <c r="C16" s="1" t="s">
        <v>6</v>
      </c>
    </row>
    <row r="17" spans="1:3">
      <c r="A17" s="1">
        <v>43419</v>
      </c>
      <c r="B17" s="2" t="s">
        <v>9</v>
      </c>
      <c r="C17" s="1" t="s">
        <v>6</v>
      </c>
    </row>
    <row r="18" spans="1:3">
      <c r="A18" s="1">
        <v>43459</v>
      </c>
      <c r="B18" s="2" t="s">
        <v>15</v>
      </c>
      <c r="C18" s="1" t="s">
        <v>6</v>
      </c>
    </row>
    <row r="19" spans="1:3">
      <c r="A19" s="1">
        <v>43466</v>
      </c>
      <c r="B19" s="2" t="s">
        <v>10</v>
      </c>
      <c r="C19" s="1" t="s">
        <v>6</v>
      </c>
    </row>
    <row r="20" spans="1:3">
      <c r="A20" s="1">
        <v>43586</v>
      </c>
      <c r="B20" s="2" t="s">
        <v>13</v>
      </c>
      <c r="C20" s="1" t="s">
        <v>6</v>
      </c>
    </row>
    <row r="21" spans="1:3">
      <c r="A21" s="1">
        <v>43766</v>
      </c>
      <c r="B21" s="3" t="s">
        <v>19</v>
      </c>
      <c r="C21" s="1" t="s">
        <v>6</v>
      </c>
    </row>
    <row r="22" spans="1:3">
      <c r="A22" s="1">
        <v>43784</v>
      </c>
      <c r="B22" s="2" t="s">
        <v>9</v>
      </c>
      <c r="C22" s="1" t="s">
        <v>6</v>
      </c>
    </row>
    <row r="23" spans="1:3">
      <c r="A23" s="1">
        <v>43824</v>
      </c>
      <c r="B23" s="2" t="s">
        <v>15</v>
      </c>
      <c r="C23" s="1" t="s">
        <v>6</v>
      </c>
    </row>
    <row r="24" spans="1:3">
      <c r="A24" s="1">
        <v>43831</v>
      </c>
      <c r="B24" s="3" t="s">
        <v>10</v>
      </c>
      <c r="C24" s="1" t="s">
        <v>6</v>
      </c>
    </row>
    <row r="25" spans="1:3">
      <c r="A25" s="1">
        <v>43942</v>
      </c>
      <c r="B25" s="3" t="s">
        <v>20</v>
      </c>
      <c r="C25" s="1" t="s">
        <v>6</v>
      </c>
    </row>
    <row r="26" spans="1:3">
      <c r="A26" s="1">
        <v>43952</v>
      </c>
      <c r="B26" s="2" t="s">
        <v>13</v>
      </c>
      <c r="C26" s="1" t="s">
        <v>6</v>
      </c>
    </row>
    <row r="27" spans="1:3">
      <c r="A27" s="1">
        <v>44081</v>
      </c>
      <c r="B27" s="2" t="s">
        <v>5</v>
      </c>
      <c r="C27" s="1" t="s">
        <v>6</v>
      </c>
    </row>
    <row r="28" spans="1:3">
      <c r="A28" s="1">
        <v>44116</v>
      </c>
      <c r="B28" s="2" t="s">
        <v>7</v>
      </c>
      <c r="C28" s="1" t="s">
        <v>6</v>
      </c>
    </row>
    <row r="29" spans="1:3">
      <c r="A29" s="1">
        <v>44132</v>
      </c>
      <c r="B29" s="3" t="s">
        <v>19</v>
      </c>
      <c r="C29" s="1" t="s">
        <v>6</v>
      </c>
    </row>
    <row r="30" spans="1:3">
      <c r="A30" s="1">
        <v>44137</v>
      </c>
      <c r="B30" s="2" t="s">
        <v>8</v>
      </c>
      <c r="C30" s="1" t="s">
        <v>6</v>
      </c>
    </row>
    <row r="31" spans="1:3">
      <c r="A31" s="1">
        <v>44190</v>
      </c>
      <c r="B31" s="2" t="s">
        <v>15</v>
      </c>
      <c r="C31" s="1" t="s">
        <v>6</v>
      </c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</sheetData>
  <sheetProtection password="E207" sheet="1" objects="1" scenarios="1"/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workbookViewId="0"/>
  </sheetViews>
  <sheetFormatPr defaultRowHeight="15.75"/>
  <cols>
    <col min="1" max="2" width="23.7109375" style="35" bestFit="1" customWidth="1"/>
    <col min="3" max="3" width="14.42578125" style="35" bestFit="1" customWidth="1"/>
    <col min="4" max="4" width="14.28515625" style="35" bestFit="1" customWidth="1"/>
    <col min="5" max="9" width="11.140625" style="35" customWidth="1"/>
    <col min="10" max="10" width="12" style="35" bestFit="1" customWidth="1"/>
    <col min="11" max="19" width="11.140625" style="35" customWidth="1"/>
  </cols>
  <sheetData>
    <row r="2" spans="1:19" ht="47.25">
      <c r="A2" s="36" t="s">
        <v>56</v>
      </c>
      <c r="B2" s="36" t="s">
        <v>57</v>
      </c>
      <c r="C2" s="36" t="s">
        <v>54</v>
      </c>
      <c r="D2" s="36" t="s">
        <v>58</v>
      </c>
      <c r="E2" s="180" t="s">
        <v>34</v>
      </c>
      <c r="F2" s="181"/>
      <c r="G2" s="37"/>
      <c r="I2" s="182" t="s">
        <v>36</v>
      </c>
      <c r="J2" s="182"/>
      <c r="M2" s="182" t="s">
        <v>34</v>
      </c>
      <c r="N2" s="182"/>
      <c r="O2" s="182"/>
      <c r="P2" s="182"/>
      <c r="Q2" s="182"/>
      <c r="R2" s="182"/>
      <c r="S2" s="182"/>
    </row>
    <row r="3" spans="1:19">
      <c r="A3" s="38">
        <f ca="1">IFERROR(SUM(STATUS_REPORT!M19:M1081)/SUM(STATUS_REPORT!L19:L1081),0)</f>
        <v>6.2760014263639599E-2</v>
      </c>
      <c r="B3" s="38">
        <f ca="1">IFERROR(SUM(STATUS_REPORT!N19:N1081)/SUM(STATUS_REPORT!L19:L1081),0)</f>
        <v>7.8022108641388324E-2</v>
      </c>
      <c r="C3" s="38" t="e">
        <f>((STATUS_REPORT!#REF!*#REF!)+(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)/#REF!</f>
        <v>#REF!</v>
      </c>
      <c r="D3" s="38">
        <f ca="1">1-B3</f>
        <v>0.92197789135861163</v>
      </c>
      <c r="E3" s="39" t="s">
        <v>47</v>
      </c>
      <c r="F3" s="40">
        <v>0.5</v>
      </c>
      <c r="G3" s="41">
        <f>F3-0.99%</f>
        <v>0.49009999999999998</v>
      </c>
      <c r="I3" s="39" t="s">
        <v>37</v>
      </c>
      <c r="J3" s="42">
        <f ca="1">P4*100</f>
        <v>100</v>
      </c>
      <c r="K3" s="40">
        <f ca="1">J3/100</f>
        <v>1</v>
      </c>
      <c r="M3" s="43" t="s">
        <v>23</v>
      </c>
      <c r="N3" s="39"/>
      <c r="O3" s="43" t="s">
        <v>27</v>
      </c>
      <c r="P3" s="39"/>
      <c r="Q3" s="43" t="s">
        <v>29</v>
      </c>
      <c r="R3" s="44" t="s">
        <v>31</v>
      </c>
      <c r="S3" s="44" t="s">
        <v>32</v>
      </c>
    </row>
    <row r="4" spans="1:19">
      <c r="E4" s="39" t="s">
        <v>48</v>
      </c>
      <c r="F4" s="40">
        <v>0.4</v>
      </c>
      <c r="G4" s="40">
        <f>F3+F4</f>
        <v>0.9</v>
      </c>
      <c r="I4" s="39" t="s">
        <v>38</v>
      </c>
      <c r="J4" s="45">
        <v>2.5</v>
      </c>
      <c r="M4" s="46" t="s">
        <v>24</v>
      </c>
      <c r="N4" s="47">
        <f>69.99/100</f>
        <v>0.69989999999999997</v>
      </c>
      <c r="O4" s="46" t="s">
        <v>28</v>
      </c>
      <c r="P4" s="167">
        <f ca="1">IF(IFERROR(B3/A3,0)&gt;1,1,IFERROR(B3/A3,0))</f>
        <v>1</v>
      </c>
      <c r="Q4" s="46" t="s">
        <v>30</v>
      </c>
      <c r="R4" s="48">
        <v>0</v>
      </c>
      <c r="S4" s="49">
        <v>0</v>
      </c>
    </row>
    <row r="5" spans="1:19">
      <c r="E5" s="39" t="s">
        <v>49</v>
      </c>
      <c r="F5" s="50">
        <v>0.1</v>
      </c>
      <c r="G5" s="51"/>
      <c r="I5" s="39" t="s">
        <v>39</v>
      </c>
      <c r="J5" s="45">
        <f ca="1">200-(J3+J4)</f>
        <v>97.5</v>
      </c>
      <c r="M5" s="46" t="s">
        <v>25</v>
      </c>
      <c r="N5" s="47">
        <f>20/100</f>
        <v>0.2</v>
      </c>
      <c r="O5" s="52"/>
      <c r="P5" s="52"/>
      <c r="Q5" s="46" t="s">
        <v>33</v>
      </c>
      <c r="R5" s="53">
        <f ca="1">-COS(PI()*P4/N7)+1+COS(PI()*P4/N7)</f>
        <v>1</v>
      </c>
      <c r="S5" s="53">
        <f ca="1">SIN(PI()*P4/N7)+P4-SIN(PI()*P4/N7)</f>
        <v>1</v>
      </c>
    </row>
    <row r="6" spans="1:19">
      <c r="E6" s="39" t="s">
        <v>35</v>
      </c>
      <c r="F6" s="54">
        <v>1</v>
      </c>
      <c r="G6" s="55"/>
      <c r="M6" s="46" t="s">
        <v>26</v>
      </c>
      <c r="N6" s="47">
        <f>(1-(N4+N5))/1</f>
        <v>0.10010000000000008</v>
      </c>
      <c r="O6" s="52"/>
      <c r="P6" s="52"/>
      <c r="Q6" s="52"/>
      <c r="R6" s="52"/>
      <c r="S6" s="52"/>
    </row>
    <row r="7" spans="1:19">
      <c r="M7" s="52"/>
      <c r="N7" s="47">
        <f>SUM(N4:N6)</f>
        <v>1</v>
      </c>
      <c r="O7" s="52"/>
      <c r="P7" s="52"/>
      <c r="Q7" s="52"/>
      <c r="R7" s="52"/>
      <c r="S7" s="52"/>
    </row>
    <row r="8" spans="1:19">
      <c r="M8" s="52"/>
      <c r="N8" s="56"/>
      <c r="O8" s="52"/>
      <c r="P8" s="52"/>
      <c r="Q8" s="52"/>
      <c r="R8" s="52"/>
      <c r="S8" s="52"/>
    </row>
    <row r="14" spans="1:19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</row>
    <row r="15" spans="1:19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</row>
    <row r="17" spans="1:19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</row>
    <row r="18" spans="1:19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r="19" spans="1: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</row>
    <row r="20" spans="1:19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</row>
    <row r="21" spans="1:19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 spans="1:19">
      <c r="A22" s="52"/>
      <c r="B22" s="52"/>
      <c r="C22" s="52"/>
      <c r="D22" s="52"/>
    </row>
    <row r="25" spans="1:19">
      <c r="A25" s="57"/>
      <c r="B25" s="57"/>
      <c r="C25" s="57"/>
      <c r="D25" s="57"/>
    </row>
  </sheetData>
  <sheetProtection password="E207" sheet="1" objects="1" scenarios="1"/>
  <mergeCells count="3">
    <mergeCell ref="E2:F2"/>
    <mergeCell ref="I2:J2"/>
    <mergeCell ref="M2:S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AA29"/>
  <sheetViews>
    <sheetView showGridLines="0" zoomScaleSheetLayoutView="7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5"/>
  <cols>
    <col min="1" max="1" width="3.28515625" style="135" bestFit="1" customWidth="1"/>
    <col min="2" max="3" width="24.28515625" style="135" customWidth="1"/>
    <col min="4" max="4" width="12.7109375" style="135" customWidth="1"/>
    <col min="5" max="5" width="13.5703125" style="135" bestFit="1" customWidth="1"/>
    <col min="6" max="6" width="11.140625" style="135" bestFit="1" customWidth="1"/>
    <col min="7" max="7" width="10.7109375" style="135" customWidth="1"/>
    <col min="8" max="8" width="10.7109375" style="135" hidden="1" customWidth="1"/>
    <col min="9" max="10" width="14.85546875" style="135" hidden="1" customWidth="1"/>
    <col min="11" max="11" width="11.5703125" style="135" hidden="1" customWidth="1"/>
    <col min="12" max="12" width="3.7109375" style="135" hidden="1" customWidth="1"/>
    <col min="13" max="13" width="11.5703125" style="135" hidden="1" customWidth="1"/>
    <col min="14" max="14" width="3.7109375" style="135" hidden="1" customWidth="1"/>
    <col min="15" max="15" width="11.5703125" style="135" hidden="1" customWidth="1"/>
    <col min="16" max="16" width="3.7109375" style="135" hidden="1" customWidth="1"/>
    <col min="17" max="17" width="11.5703125" style="135" hidden="1" customWidth="1"/>
    <col min="18" max="18" width="3.7109375" style="135" hidden="1" customWidth="1"/>
    <col min="19" max="19" width="12.85546875" style="135" hidden="1" customWidth="1"/>
    <col min="20" max="20" width="3.7109375" style="135" hidden="1" customWidth="1"/>
    <col min="21" max="21" width="9.7109375" style="135" hidden="1" customWidth="1"/>
    <col min="22" max="22" width="8.28515625" style="135" hidden="1" customWidth="1"/>
    <col min="23" max="23" width="42.7109375" style="135" customWidth="1"/>
    <col min="24" max="24" width="10.7109375" style="135" customWidth="1"/>
    <col min="25" max="25" width="36.42578125" style="135" customWidth="1"/>
    <col min="26" max="26" width="13.85546875" style="135" customWidth="1"/>
    <col min="27" max="16384" width="9.140625" style="135"/>
  </cols>
  <sheetData>
    <row r="1" spans="1:27" s="108" customFormat="1" ht="18.75">
      <c r="A1" s="183" t="s">
        <v>66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07"/>
    </row>
    <row r="2" spans="1:27" s="110" customFormat="1" ht="18.75">
      <c r="A2" s="184" t="s">
        <v>67</v>
      </c>
      <c r="B2" s="184"/>
      <c r="C2" s="184"/>
      <c r="D2" s="184"/>
      <c r="E2" s="185" t="s">
        <v>68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6" t="s">
        <v>69</v>
      </c>
      <c r="X2" s="186"/>
      <c r="Y2" s="186"/>
      <c r="Z2" s="186"/>
      <c r="AA2" s="109"/>
    </row>
    <row r="3" spans="1:27" s="115" customFormat="1" ht="60">
      <c r="A3" s="111" t="s">
        <v>62</v>
      </c>
      <c r="B3" s="111" t="s">
        <v>70</v>
      </c>
      <c r="C3" s="111" t="s">
        <v>71</v>
      </c>
      <c r="D3" s="111" t="s">
        <v>72</v>
      </c>
      <c r="E3" s="112" t="s">
        <v>73</v>
      </c>
      <c r="F3" s="112" t="s">
        <v>74</v>
      </c>
      <c r="G3" s="112" t="s">
        <v>75</v>
      </c>
      <c r="H3" s="112" t="s">
        <v>75</v>
      </c>
      <c r="I3" s="112" t="s">
        <v>76</v>
      </c>
      <c r="J3" s="112" t="s">
        <v>77</v>
      </c>
      <c r="K3" s="187" t="s">
        <v>73</v>
      </c>
      <c r="L3" s="187"/>
      <c r="M3" s="187" t="s">
        <v>78</v>
      </c>
      <c r="N3" s="187"/>
      <c r="O3" s="187"/>
      <c r="P3" s="187"/>
      <c r="Q3" s="187"/>
      <c r="R3" s="187"/>
      <c r="S3" s="187"/>
      <c r="T3" s="187"/>
      <c r="U3" s="187"/>
      <c r="V3" s="112" t="s">
        <v>79</v>
      </c>
      <c r="W3" s="113" t="s">
        <v>80</v>
      </c>
      <c r="X3" s="113" t="s">
        <v>81</v>
      </c>
      <c r="Y3" s="113" t="s">
        <v>82</v>
      </c>
      <c r="Z3" s="113" t="s">
        <v>83</v>
      </c>
      <c r="AA3" s="114"/>
    </row>
    <row r="4" spans="1:27" s="115" customFormat="1" ht="15.75">
      <c r="A4" s="116"/>
      <c r="B4" s="116"/>
      <c r="C4" s="116"/>
      <c r="D4" s="116"/>
      <c r="E4" s="117"/>
      <c r="F4" s="117"/>
      <c r="G4" s="117"/>
      <c r="H4" s="117"/>
      <c r="I4" s="117"/>
      <c r="J4" s="117"/>
      <c r="K4" s="117" t="s">
        <v>84</v>
      </c>
      <c r="L4" s="117"/>
      <c r="M4" s="118" t="s">
        <v>85</v>
      </c>
      <c r="N4" s="119"/>
      <c r="O4" s="118" t="s">
        <v>86</v>
      </c>
      <c r="P4" s="117"/>
      <c r="Q4" s="118" t="s">
        <v>87</v>
      </c>
      <c r="R4" s="117"/>
      <c r="S4" s="118" t="s">
        <v>88</v>
      </c>
      <c r="T4" s="117"/>
      <c r="U4" s="117" t="s">
        <v>89</v>
      </c>
      <c r="V4" s="117"/>
      <c r="W4" s="120"/>
      <c r="X4" s="120"/>
      <c r="Y4" s="120"/>
      <c r="Z4" s="120"/>
      <c r="AA4" s="114"/>
    </row>
    <row r="5" spans="1:27" ht="18.75">
      <c r="A5" s="121">
        <v>1</v>
      </c>
      <c r="B5" s="122"/>
      <c r="C5" s="122"/>
      <c r="D5" s="123"/>
      <c r="E5" s="124"/>
      <c r="F5" s="124"/>
      <c r="G5" s="125" t="str">
        <f>H5</f>
        <v/>
      </c>
      <c r="H5" s="125" t="str">
        <f t="shared" ref="H5:H29" si="0">IF(OR(I5="",J5=""),"",IF(OR(CONCATENATE(I5,J5)="34",CONCATENATE(I5,J5)="43",CONCATENATE(I5,J5)="44"),"4-Alto",IF(OR(CONCATENATE(I5,J5)="24",CONCATENATE(I5,J5)="33",CONCATENATE(I5,J5)="42"),"3-Médio",IF(OR(CONCATENATE(I5,J5)="14",CONCATENATE(I5,J5)="23",CONCATENATE(I5,J5)="32",CONCATENATE(I5,J5)="41"),"2-Baixo",IF(OR(CONCATENATE(I5,J5)="11",CONCATENATE(I5,J5)="12",CONCATENATE(I5,J5)="13",CONCATENATE(I5,J5)="21",CONCATENATE(I5,J5)="22",CONCATENATE(I5,J5)="31"),"1-Muito baixo","")))))</f>
        <v/>
      </c>
      <c r="I5" s="126" t="str">
        <f t="shared" ref="I5:I29" si="1">IF(E5="Muito baixa",1,IF(E5="Baixa",2,IF(E5="Média",3,IF(E5="Alta",4,""))))</f>
        <v/>
      </c>
      <c r="J5" s="126" t="str">
        <f t="shared" ref="J5:J29" si="2">IF(F5="Muito baixo",1,IF(F5="Baixo",2,IF(F5="Médio",3,IF(F5="Alto",4,""))))</f>
        <v/>
      </c>
      <c r="K5" s="127"/>
      <c r="L5" s="128" t="str">
        <f t="shared" ref="L5:L29" si="3">IF(K5="","",IF(K5="Muito baixa",1,IF(K5="Baixa",2,IF(K5="Média",3,IF(K5="Alta",4,"")))))</f>
        <v/>
      </c>
      <c r="M5" s="127"/>
      <c r="N5" s="129" t="str">
        <f t="shared" ref="N5:N29" si="4">IF(M5="","",IF(M5="Muito baixo",1,IF(M5="baixo",2,IF(M5="médio",3,IF(M5="alto",4,"")))))</f>
        <v/>
      </c>
      <c r="O5" s="127"/>
      <c r="P5" s="129" t="str">
        <f t="shared" ref="P5:P29" si="5">IF(O5="","",IF(O5="Muito baixo",1,IF(O5="baixo",2,IF(O5="médio",3,IF(O5="alto",4,"")))))</f>
        <v/>
      </c>
      <c r="Q5" s="127"/>
      <c r="R5" s="129" t="str">
        <f t="shared" ref="R5:R29" si="6">IF(Q5="","",IF(Q5="Muito baixo",1,IF(Q5="baixo",2,IF(Q5="médio",3,IF(Q5="alto",4,"")))))</f>
        <v/>
      </c>
      <c r="S5" s="127"/>
      <c r="T5" s="129" t="str">
        <f t="shared" ref="T5:T29" si="7">IF(S5="","",IF(S5="Muito baixo",1,IF(S5="baixo",2,IF(S5="médio",3,IF(S5="alto",4,"")))))</f>
        <v/>
      </c>
      <c r="U5" s="130" t="str">
        <f t="shared" ref="U5:U29" si="8">IFERROR(AVERAGE(N5,P5,R5,T5),"")</f>
        <v/>
      </c>
      <c r="V5" s="131" t="str">
        <f t="shared" ref="V5:V29" si="9">IF(OR(L5="",U5=""),"",L5*U5)</f>
        <v/>
      </c>
      <c r="W5" s="132"/>
      <c r="X5" s="133"/>
      <c r="Y5" s="132"/>
      <c r="Z5" s="134"/>
    </row>
    <row r="6" spans="1:27" ht="18.75">
      <c r="A6" s="136">
        <v>2</v>
      </c>
      <c r="B6" s="137"/>
      <c r="C6" s="137"/>
      <c r="D6" s="123"/>
      <c r="E6" s="138"/>
      <c r="F6" s="138"/>
      <c r="G6" s="125" t="str">
        <f t="shared" ref="G6:G29" si="10">H6</f>
        <v/>
      </c>
      <c r="H6" s="139" t="str">
        <f t="shared" si="0"/>
        <v/>
      </c>
      <c r="I6" s="126" t="str">
        <f t="shared" si="1"/>
        <v/>
      </c>
      <c r="J6" s="126" t="str">
        <f t="shared" si="2"/>
        <v/>
      </c>
      <c r="K6" s="127"/>
      <c r="L6" s="128" t="str">
        <f t="shared" si="3"/>
        <v/>
      </c>
      <c r="M6" s="127"/>
      <c r="N6" s="129" t="str">
        <f t="shared" si="4"/>
        <v/>
      </c>
      <c r="O6" s="127"/>
      <c r="P6" s="129" t="str">
        <f t="shared" si="5"/>
        <v/>
      </c>
      <c r="Q6" s="127"/>
      <c r="R6" s="129" t="str">
        <f t="shared" si="6"/>
        <v/>
      </c>
      <c r="S6" s="127"/>
      <c r="T6" s="129" t="str">
        <f t="shared" si="7"/>
        <v/>
      </c>
      <c r="U6" s="140" t="str">
        <f t="shared" si="8"/>
        <v/>
      </c>
      <c r="V6" s="141" t="str">
        <f t="shared" si="9"/>
        <v/>
      </c>
      <c r="W6" s="132"/>
      <c r="X6" s="133"/>
      <c r="Y6" s="132"/>
      <c r="Z6" s="134"/>
    </row>
    <row r="7" spans="1:27" ht="18.75">
      <c r="A7" s="121">
        <v>3</v>
      </c>
      <c r="B7" s="137"/>
      <c r="C7" s="122"/>
      <c r="D7" s="123"/>
      <c r="E7" s="138"/>
      <c r="F7" s="138"/>
      <c r="G7" s="125" t="str">
        <f t="shared" si="10"/>
        <v/>
      </c>
      <c r="H7" s="139" t="str">
        <f t="shared" si="0"/>
        <v/>
      </c>
      <c r="I7" s="126" t="str">
        <f t="shared" si="1"/>
        <v/>
      </c>
      <c r="J7" s="126" t="str">
        <f t="shared" si="2"/>
        <v/>
      </c>
      <c r="K7" s="127"/>
      <c r="L7" s="128" t="str">
        <f t="shared" si="3"/>
        <v/>
      </c>
      <c r="M7" s="127"/>
      <c r="N7" s="129" t="str">
        <f t="shared" si="4"/>
        <v/>
      </c>
      <c r="O7" s="127"/>
      <c r="P7" s="129" t="str">
        <f t="shared" si="5"/>
        <v/>
      </c>
      <c r="Q7" s="127"/>
      <c r="R7" s="129" t="str">
        <f t="shared" si="6"/>
        <v/>
      </c>
      <c r="S7" s="127"/>
      <c r="T7" s="129" t="str">
        <f t="shared" si="7"/>
        <v/>
      </c>
      <c r="U7" s="140" t="str">
        <f t="shared" si="8"/>
        <v/>
      </c>
      <c r="V7" s="141" t="str">
        <f t="shared" si="9"/>
        <v/>
      </c>
      <c r="W7" s="132"/>
      <c r="X7" s="133"/>
      <c r="Y7" s="132"/>
      <c r="Z7" s="142"/>
    </row>
    <row r="8" spans="1:27" ht="18.75">
      <c r="A8" s="136">
        <v>4</v>
      </c>
      <c r="B8" s="143"/>
      <c r="C8" s="143"/>
      <c r="D8" s="144"/>
      <c r="E8" s="145"/>
      <c r="F8" s="145"/>
      <c r="G8" s="146" t="str">
        <f t="shared" si="10"/>
        <v/>
      </c>
      <c r="H8" s="147" t="str">
        <f t="shared" si="0"/>
        <v/>
      </c>
      <c r="I8" s="148" t="str">
        <f t="shared" si="1"/>
        <v/>
      </c>
      <c r="J8" s="148" t="str">
        <f t="shared" si="2"/>
        <v/>
      </c>
      <c r="K8" s="149"/>
      <c r="L8" s="128" t="str">
        <f t="shared" si="3"/>
        <v/>
      </c>
      <c r="M8" s="149"/>
      <c r="N8" s="150" t="str">
        <f t="shared" si="4"/>
        <v/>
      </c>
      <c r="O8" s="149"/>
      <c r="P8" s="150" t="str">
        <f t="shared" si="5"/>
        <v/>
      </c>
      <c r="Q8" s="149"/>
      <c r="R8" s="150" t="str">
        <f t="shared" si="6"/>
        <v/>
      </c>
      <c r="S8" s="149"/>
      <c r="T8" s="150" t="str">
        <f t="shared" si="7"/>
        <v/>
      </c>
      <c r="U8" s="140" t="str">
        <f t="shared" si="8"/>
        <v/>
      </c>
      <c r="V8" s="141" t="str">
        <f t="shared" si="9"/>
        <v/>
      </c>
      <c r="W8" s="132"/>
      <c r="X8" s="133"/>
      <c r="Y8" s="132"/>
      <c r="Z8" s="142"/>
    </row>
    <row r="9" spans="1:27" ht="18.75">
      <c r="A9" s="121">
        <v>5</v>
      </c>
      <c r="B9" s="151"/>
      <c r="C9" s="151"/>
      <c r="D9" s="144"/>
      <c r="E9" s="145"/>
      <c r="F9" s="145"/>
      <c r="G9" s="146" t="str">
        <f t="shared" si="10"/>
        <v/>
      </c>
      <c r="H9" s="147" t="str">
        <f t="shared" si="0"/>
        <v/>
      </c>
      <c r="I9" s="148" t="str">
        <f t="shared" si="1"/>
        <v/>
      </c>
      <c r="J9" s="148" t="str">
        <f t="shared" si="2"/>
        <v/>
      </c>
      <c r="K9" s="149"/>
      <c r="L9" s="128" t="str">
        <f t="shared" si="3"/>
        <v/>
      </c>
      <c r="M9" s="149"/>
      <c r="N9" s="150" t="str">
        <f t="shared" si="4"/>
        <v/>
      </c>
      <c r="O9" s="149"/>
      <c r="P9" s="150" t="str">
        <f t="shared" si="5"/>
        <v/>
      </c>
      <c r="Q9" s="149"/>
      <c r="R9" s="150" t="str">
        <f t="shared" si="6"/>
        <v/>
      </c>
      <c r="S9" s="149"/>
      <c r="T9" s="150" t="str">
        <f t="shared" si="7"/>
        <v/>
      </c>
      <c r="U9" s="140" t="str">
        <f t="shared" si="8"/>
        <v/>
      </c>
      <c r="V9" s="141" t="str">
        <f t="shared" si="9"/>
        <v/>
      </c>
      <c r="W9" s="132"/>
      <c r="X9" s="133"/>
      <c r="Y9" s="132"/>
      <c r="Z9" s="142"/>
    </row>
    <row r="10" spans="1:27" ht="18.75">
      <c r="A10" s="152">
        <v>6</v>
      </c>
      <c r="B10" s="153"/>
      <c r="C10" s="153"/>
      <c r="D10" s="144"/>
      <c r="E10" s="145"/>
      <c r="F10" s="145"/>
      <c r="G10" s="146" t="str">
        <f t="shared" si="10"/>
        <v/>
      </c>
      <c r="H10" s="147" t="str">
        <f t="shared" si="0"/>
        <v/>
      </c>
      <c r="I10" s="148" t="str">
        <f t="shared" si="1"/>
        <v/>
      </c>
      <c r="J10" s="148" t="str">
        <f t="shared" si="2"/>
        <v/>
      </c>
      <c r="K10" s="149"/>
      <c r="L10" s="128" t="str">
        <f t="shared" si="3"/>
        <v/>
      </c>
      <c r="M10" s="149"/>
      <c r="N10" s="150" t="str">
        <f t="shared" si="4"/>
        <v/>
      </c>
      <c r="O10" s="149"/>
      <c r="P10" s="150" t="str">
        <f t="shared" si="5"/>
        <v/>
      </c>
      <c r="Q10" s="149"/>
      <c r="R10" s="150" t="str">
        <f t="shared" si="6"/>
        <v/>
      </c>
      <c r="S10" s="149"/>
      <c r="T10" s="150" t="str">
        <f t="shared" si="7"/>
        <v/>
      </c>
      <c r="U10" s="130" t="str">
        <f t="shared" si="8"/>
        <v/>
      </c>
      <c r="V10" s="141" t="str">
        <f t="shared" si="9"/>
        <v/>
      </c>
      <c r="W10" s="132"/>
      <c r="X10" s="133"/>
      <c r="Y10" s="132"/>
      <c r="Z10" s="154"/>
    </row>
    <row r="11" spans="1:27" ht="18.75">
      <c r="A11" s="121">
        <v>7</v>
      </c>
      <c r="B11" s="151"/>
      <c r="C11" s="151"/>
      <c r="D11" s="144"/>
      <c r="E11" s="145"/>
      <c r="F11" s="145"/>
      <c r="G11" s="146" t="str">
        <f t="shared" si="10"/>
        <v/>
      </c>
      <c r="H11" s="147" t="str">
        <f t="shared" si="0"/>
        <v/>
      </c>
      <c r="I11" s="148" t="str">
        <f t="shared" si="1"/>
        <v/>
      </c>
      <c r="J11" s="148" t="str">
        <f t="shared" si="2"/>
        <v/>
      </c>
      <c r="K11" s="149"/>
      <c r="L11" s="128" t="str">
        <f t="shared" si="3"/>
        <v/>
      </c>
      <c r="M11" s="149"/>
      <c r="N11" s="150" t="str">
        <f t="shared" si="4"/>
        <v/>
      </c>
      <c r="O11" s="149"/>
      <c r="P11" s="150" t="str">
        <f t="shared" si="5"/>
        <v/>
      </c>
      <c r="Q11" s="149"/>
      <c r="R11" s="150" t="str">
        <f t="shared" si="6"/>
        <v/>
      </c>
      <c r="S11" s="149"/>
      <c r="T11" s="150" t="str">
        <f t="shared" si="7"/>
        <v/>
      </c>
      <c r="U11" s="140" t="str">
        <f t="shared" si="8"/>
        <v/>
      </c>
      <c r="V11" s="141" t="str">
        <f t="shared" si="9"/>
        <v/>
      </c>
      <c r="W11" s="132"/>
      <c r="X11" s="133"/>
      <c r="Y11" s="132"/>
      <c r="Z11" s="142"/>
    </row>
    <row r="12" spans="1:27" ht="18.75">
      <c r="A12" s="136">
        <v>8</v>
      </c>
      <c r="B12" s="143"/>
      <c r="C12" s="143"/>
      <c r="D12" s="144"/>
      <c r="E12" s="145"/>
      <c r="F12" s="145"/>
      <c r="G12" s="146" t="str">
        <f t="shared" si="10"/>
        <v/>
      </c>
      <c r="H12" s="147" t="str">
        <f t="shared" si="0"/>
        <v/>
      </c>
      <c r="I12" s="148" t="str">
        <f t="shared" si="1"/>
        <v/>
      </c>
      <c r="J12" s="148" t="str">
        <f t="shared" si="2"/>
        <v/>
      </c>
      <c r="K12" s="149"/>
      <c r="L12" s="128" t="str">
        <f t="shared" si="3"/>
        <v/>
      </c>
      <c r="M12" s="149"/>
      <c r="N12" s="150" t="str">
        <f t="shared" si="4"/>
        <v/>
      </c>
      <c r="O12" s="149"/>
      <c r="P12" s="150" t="str">
        <f t="shared" si="5"/>
        <v/>
      </c>
      <c r="Q12" s="149"/>
      <c r="R12" s="150" t="str">
        <f t="shared" si="6"/>
        <v/>
      </c>
      <c r="S12" s="149"/>
      <c r="T12" s="150" t="str">
        <f t="shared" si="7"/>
        <v/>
      </c>
      <c r="U12" s="140" t="str">
        <f t="shared" si="8"/>
        <v/>
      </c>
      <c r="V12" s="141" t="str">
        <f t="shared" si="9"/>
        <v/>
      </c>
      <c r="W12" s="153"/>
      <c r="X12" s="133"/>
      <c r="Y12" s="153"/>
      <c r="Z12" s="142"/>
    </row>
    <row r="13" spans="1:27" ht="18.75">
      <c r="A13" s="121">
        <v>9</v>
      </c>
      <c r="B13" s="151"/>
      <c r="C13" s="151"/>
      <c r="D13" s="144"/>
      <c r="E13" s="145"/>
      <c r="F13" s="145"/>
      <c r="G13" s="146" t="str">
        <f t="shared" si="10"/>
        <v/>
      </c>
      <c r="H13" s="147" t="str">
        <f t="shared" si="0"/>
        <v/>
      </c>
      <c r="I13" s="148" t="str">
        <f t="shared" si="1"/>
        <v/>
      </c>
      <c r="J13" s="148" t="str">
        <f t="shared" si="2"/>
        <v/>
      </c>
      <c r="K13" s="149"/>
      <c r="L13" s="128" t="str">
        <f t="shared" si="3"/>
        <v/>
      </c>
      <c r="M13" s="149"/>
      <c r="N13" s="150" t="str">
        <f t="shared" si="4"/>
        <v/>
      </c>
      <c r="O13" s="149"/>
      <c r="P13" s="150" t="str">
        <f t="shared" si="5"/>
        <v/>
      </c>
      <c r="Q13" s="149"/>
      <c r="R13" s="150" t="str">
        <f t="shared" si="6"/>
        <v/>
      </c>
      <c r="S13" s="149"/>
      <c r="T13" s="150" t="str">
        <f t="shared" si="7"/>
        <v/>
      </c>
      <c r="U13" s="140" t="str">
        <f t="shared" si="8"/>
        <v/>
      </c>
      <c r="V13" s="141" t="str">
        <f t="shared" si="9"/>
        <v/>
      </c>
      <c r="W13" s="153"/>
      <c r="X13" s="133"/>
      <c r="Y13" s="153"/>
      <c r="Z13" s="142"/>
    </row>
    <row r="14" spans="1:27" ht="18.75">
      <c r="A14" s="136">
        <v>10</v>
      </c>
      <c r="B14" s="143"/>
      <c r="C14" s="143"/>
      <c r="D14" s="144"/>
      <c r="E14" s="145"/>
      <c r="F14" s="145"/>
      <c r="G14" s="146" t="str">
        <f t="shared" si="10"/>
        <v/>
      </c>
      <c r="H14" s="147" t="str">
        <f t="shared" si="0"/>
        <v/>
      </c>
      <c r="I14" s="148" t="str">
        <f t="shared" si="1"/>
        <v/>
      </c>
      <c r="J14" s="148" t="str">
        <f t="shared" si="2"/>
        <v/>
      </c>
      <c r="K14" s="149"/>
      <c r="L14" s="128" t="str">
        <f t="shared" si="3"/>
        <v/>
      </c>
      <c r="M14" s="149"/>
      <c r="N14" s="150" t="str">
        <f t="shared" si="4"/>
        <v/>
      </c>
      <c r="O14" s="149"/>
      <c r="P14" s="150" t="str">
        <f t="shared" si="5"/>
        <v/>
      </c>
      <c r="Q14" s="149"/>
      <c r="R14" s="150" t="str">
        <f t="shared" si="6"/>
        <v/>
      </c>
      <c r="S14" s="149"/>
      <c r="T14" s="150" t="str">
        <f t="shared" si="7"/>
        <v/>
      </c>
      <c r="U14" s="140" t="str">
        <f t="shared" si="8"/>
        <v/>
      </c>
      <c r="V14" s="141" t="str">
        <f t="shared" si="9"/>
        <v/>
      </c>
      <c r="W14" s="153"/>
      <c r="X14" s="133"/>
      <c r="Y14" s="153"/>
      <c r="Z14" s="142"/>
    </row>
    <row r="15" spans="1:27" ht="18.75">
      <c r="A15" s="121">
        <v>11</v>
      </c>
      <c r="B15" s="151"/>
      <c r="C15" s="151"/>
      <c r="D15" s="144"/>
      <c r="E15" s="145"/>
      <c r="F15" s="145"/>
      <c r="G15" s="146" t="str">
        <f t="shared" si="10"/>
        <v/>
      </c>
      <c r="H15" s="147" t="str">
        <f t="shared" si="0"/>
        <v/>
      </c>
      <c r="I15" s="148" t="str">
        <f t="shared" si="1"/>
        <v/>
      </c>
      <c r="J15" s="148" t="str">
        <f t="shared" si="2"/>
        <v/>
      </c>
      <c r="K15" s="149"/>
      <c r="L15" s="128" t="str">
        <f t="shared" si="3"/>
        <v/>
      </c>
      <c r="M15" s="149"/>
      <c r="N15" s="150" t="str">
        <f t="shared" si="4"/>
        <v/>
      </c>
      <c r="O15" s="149"/>
      <c r="P15" s="150" t="str">
        <f t="shared" si="5"/>
        <v/>
      </c>
      <c r="Q15" s="149"/>
      <c r="R15" s="150" t="str">
        <f t="shared" si="6"/>
        <v/>
      </c>
      <c r="S15" s="149"/>
      <c r="T15" s="150" t="str">
        <f t="shared" si="7"/>
        <v/>
      </c>
      <c r="U15" s="140" t="str">
        <f t="shared" si="8"/>
        <v/>
      </c>
      <c r="V15" s="141" t="str">
        <f t="shared" si="9"/>
        <v/>
      </c>
      <c r="W15" s="132"/>
      <c r="X15" s="133"/>
      <c r="Y15" s="132"/>
      <c r="Z15" s="142"/>
    </row>
    <row r="16" spans="1:27" ht="18.75">
      <c r="A16" s="152">
        <v>12</v>
      </c>
      <c r="B16" s="143"/>
      <c r="C16" s="143"/>
      <c r="D16" s="144"/>
      <c r="E16" s="145"/>
      <c r="F16" s="145"/>
      <c r="G16" s="146" t="str">
        <f t="shared" si="10"/>
        <v/>
      </c>
      <c r="H16" s="147" t="str">
        <f t="shared" si="0"/>
        <v/>
      </c>
      <c r="I16" s="148" t="str">
        <f t="shared" si="1"/>
        <v/>
      </c>
      <c r="J16" s="148" t="str">
        <f t="shared" si="2"/>
        <v/>
      </c>
      <c r="K16" s="149"/>
      <c r="L16" s="128" t="str">
        <f t="shared" si="3"/>
        <v/>
      </c>
      <c r="M16" s="149"/>
      <c r="N16" s="150" t="str">
        <f t="shared" si="4"/>
        <v/>
      </c>
      <c r="O16" s="149"/>
      <c r="P16" s="150" t="str">
        <f t="shared" si="5"/>
        <v/>
      </c>
      <c r="Q16" s="149"/>
      <c r="R16" s="150" t="str">
        <f t="shared" si="6"/>
        <v/>
      </c>
      <c r="S16" s="149"/>
      <c r="T16" s="150" t="str">
        <f t="shared" si="7"/>
        <v/>
      </c>
      <c r="U16" s="140" t="str">
        <f t="shared" si="8"/>
        <v/>
      </c>
      <c r="V16" s="141" t="str">
        <f t="shared" si="9"/>
        <v/>
      </c>
      <c r="W16" s="153"/>
      <c r="X16" s="133"/>
      <c r="Y16" s="153"/>
      <c r="Z16" s="142"/>
    </row>
    <row r="17" spans="1:26" ht="18.75">
      <c r="A17" s="121">
        <v>13</v>
      </c>
      <c r="B17" s="151"/>
      <c r="C17" s="151"/>
      <c r="D17" s="144"/>
      <c r="E17" s="145"/>
      <c r="F17" s="145"/>
      <c r="G17" s="146" t="str">
        <f t="shared" si="10"/>
        <v/>
      </c>
      <c r="H17" s="147" t="str">
        <f t="shared" si="0"/>
        <v/>
      </c>
      <c r="I17" s="148" t="str">
        <f t="shared" si="1"/>
        <v/>
      </c>
      <c r="J17" s="148" t="str">
        <f t="shared" si="2"/>
        <v/>
      </c>
      <c r="K17" s="149"/>
      <c r="L17" s="128" t="str">
        <f t="shared" si="3"/>
        <v/>
      </c>
      <c r="M17" s="149"/>
      <c r="N17" s="150" t="str">
        <f t="shared" si="4"/>
        <v/>
      </c>
      <c r="O17" s="149"/>
      <c r="P17" s="150" t="str">
        <f t="shared" si="5"/>
        <v/>
      </c>
      <c r="Q17" s="149"/>
      <c r="R17" s="150" t="str">
        <f t="shared" si="6"/>
        <v/>
      </c>
      <c r="S17" s="149"/>
      <c r="T17" s="150" t="str">
        <f t="shared" si="7"/>
        <v/>
      </c>
      <c r="U17" s="140" t="str">
        <f t="shared" si="8"/>
        <v/>
      </c>
      <c r="V17" s="141" t="str">
        <f t="shared" si="9"/>
        <v/>
      </c>
      <c r="W17" s="153"/>
      <c r="X17" s="133"/>
      <c r="Y17" s="153"/>
      <c r="Z17" s="142"/>
    </row>
    <row r="18" spans="1:26" ht="18.75">
      <c r="A18" s="136">
        <v>14</v>
      </c>
      <c r="B18" s="143"/>
      <c r="C18" s="143"/>
      <c r="D18" s="144"/>
      <c r="E18" s="145"/>
      <c r="F18" s="145"/>
      <c r="G18" s="146" t="str">
        <f t="shared" si="10"/>
        <v/>
      </c>
      <c r="H18" s="147" t="str">
        <f t="shared" si="0"/>
        <v/>
      </c>
      <c r="I18" s="148" t="str">
        <f t="shared" si="1"/>
        <v/>
      </c>
      <c r="J18" s="148" t="str">
        <f t="shared" si="2"/>
        <v/>
      </c>
      <c r="K18" s="149"/>
      <c r="L18" s="128" t="str">
        <f t="shared" si="3"/>
        <v/>
      </c>
      <c r="M18" s="149"/>
      <c r="N18" s="150" t="str">
        <f t="shared" si="4"/>
        <v/>
      </c>
      <c r="O18" s="149"/>
      <c r="P18" s="150" t="str">
        <f t="shared" si="5"/>
        <v/>
      </c>
      <c r="Q18" s="149"/>
      <c r="R18" s="150" t="str">
        <f t="shared" si="6"/>
        <v/>
      </c>
      <c r="S18" s="149"/>
      <c r="T18" s="150" t="str">
        <f t="shared" si="7"/>
        <v/>
      </c>
      <c r="U18" s="140" t="str">
        <f t="shared" si="8"/>
        <v/>
      </c>
      <c r="V18" s="141" t="str">
        <f t="shared" si="9"/>
        <v/>
      </c>
      <c r="W18" s="153"/>
      <c r="X18" s="133"/>
      <c r="Y18" s="153"/>
      <c r="Z18" s="142"/>
    </row>
    <row r="19" spans="1:26" ht="18.75">
      <c r="A19" s="121">
        <v>15</v>
      </c>
      <c r="B19" s="143"/>
      <c r="C19" s="143"/>
      <c r="D19" s="144"/>
      <c r="E19" s="145"/>
      <c r="F19" s="145"/>
      <c r="G19" s="146" t="str">
        <f t="shared" si="10"/>
        <v/>
      </c>
      <c r="H19" s="147" t="str">
        <f t="shared" si="0"/>
        <v/>
      </c>
      <c r="I19" s="148" t="str">
        <f t="shared" si="1"/>
        <v/>
      </c>
      <c r="J19" s="148" t="str">
        <f t="shared" si="2"/>
        <v/>
      </c>
      <c r="K19" s="149"/>
      <c r="L19" s="128" t="str">
        <f t="shared" si="3"/>
        <v/>
      </c>
      <c r="M19" s="149"/>
      <c r="N19" s="150" t="str">
        <f t="shared" si="4"/>
        <v/>
      </c>
      <c r="O19" s="149"/>
      <c r="P19" s="150" t="str">
        <f t="shared" si="5"/>
        <v/>
      </c>
      <c r="Q19" s="149"/>
      <c r="R19" s="150" t="str">
        <f t="shared" si="6"/>
        <v/>
      </c>
      <c r="S19" s="149"/>
      <c r="T19" s="150" t="str">
        <f t="shared" si="7"/>
        <v/>
      </c>
      <c r="U19" s="140" t="str">
        <f t="shared" si="8"/>
        <v/>
      </c>
      <c r="V19" s="141" t="str">
        <f t="shared" si="9"/>
        <v/>
      </c>
      <c r="W19" s="153"/>
      <c r="X19" s="133"/>
      <c r="Y19" s="153"/>
      <c r="Z19" s="142"/>
    </row>
    <row r="20" spans="1:26" ht="18.75">
      <c r="A20" s="136">
        <v>16</v>
      </c>
      <c r="B20" s="143"/>
      <c r="C20" s="143"/>
      <c r="D20" s="144"/>
      <c r="E20" s="145"/>
      <c r="F20" s="145"/>
      <c r="G20" s="146" t="str">
        <f t="shared" si="10"/>
        <v/>
      </c>
      <c r="H20" s="147" t="str">
        <f t="shared" si="0"/>
        <v/>
      </c>
      <c r="I20" s="148" t="str">
        <f t="shared" si="1"/>
        <v/>
      </c>
      <c r="J20" s="148" t="str">
        <f t="shared" si="2"/>
        <v/>
      </c>
      <c r="K20" s="149"/>
      <c r="L20" s="128" t="str">
        <f t="shared" si="3"/>
        <v/>
      </c>
      <c r="M20" s="149"/>
      <c r="N20" s="150" t="str">
        <f t="shared" si="4"/>
        <v/>
      </c>
      <c r="O20" s="149"/>
      <c r="P20" s="150" t="str">
        <f t="shared" si="5"/>
        <v/>
      </c>
      <c r="Q20" s="149"/>
      <c r="R20" s="150" t="str">
        <f t="shared" si="6"/>
        <v/>
      </c>
      <c r="S20" s="149"/>
      <c r="T20" s="150" t="str">
        <f t="shared" si="7"/>
        <v/>
      </c>
      <c r="U20" s="140" t="str">
        <f t="shared" si="8"/>
        <v/>
      </c>
      <c r="V20" s="141" t="str">
        <f t="shared" si="9"/>
        <v/>
      </c>
      <c r="W20" s="153"/>
      <c r="X20" s="133"/>
      <c r="Y20" s="153"/>
      <c r="Z20" s="142"/>
    </row>
    <row r="21" spans="1:26" ht="18.75">
      <c r="A21" s="121">
        <v>17</v>
      </c>
      <c r="B21" s="143"/>
      <c r="C21" s="143"/>
      <c r="D21" s="144"/>
      <c r="E21" s="145"/>
      <c r="F21" s="145"/>
      <c r="G21" s="146" t="str">
        <f t="shared" si="10"/>
        <v/>
      </c>
      <c r="H21" s="147" t="str">
        <f t="shared" si="0"/>
        <v/>
      </c>
      <c r="I21" s="148" t="str">
        <f t="shared" si="1"/>
        <v/>
      </c>
      <c r="J21" s="148" t="str">
        <f t="shared" si="2"/>
        <v/>
      </c>
      <c r="K21" s="149"/>
      <c r="L21" s="128" t="str">
        <f t="shared" si="3"/>
        <v/>
      </c>
      <c r="M21" s="149"/>
      <c r="N21" s="150" t="str">
        <f t="shared" si="4"/>
        <v/>
      </c>
      <c r="O21" s="149"/>
      <c r="P21" s="150" t="str">
        <f t="shared" si="5"/>
        <v/>
      </c>
      <c r="Q21" s="149"/>
      <c r="R21" s="150" t="str">
        <f t="shared" si="6"/>
        <v/>
      </c>
      <c r="S21" s="149"/>
      <c r="T21" s="150" t="str">
        <f t="shared" si="7"/>
        <v/>
      </c>
      <c r="U21" s="140" t="str">
        <f t="shared" si="8"/>
        <v/>
      </c>
      <c r="V21" s="141" t="str">
        <f t="shared" si="9"/>
        <v/>
      </c>
      <c r="W21" s="153"/>
      <c r="X21" s="133"/>
      <c r="Y21" s="153"/>
      <c r="Z21" s="142"/>
    </row>
    <row r="22" spans="1:26" ht="18.75">
      <c r="A22" s="152">
        <v>18</v>
      </c>
      <c r="B22" s="143"/>
      <c r="C22" s="143"/>
      <c r="D22" s="144"/>
      <c r="E22" s="145"/>
      <c r="F22" s="145"/>
      <c r="G22" s="146" t="str">
        <f t="shared" si="10"/>
        <v/>
      </c>
      <c r="H22" s="147" t="str">
        <f t="shared" si="0"/>
        <v/>
      </c>
      <c r="I22" s="148" t="str">
        <f t="shared" si="1"/>
        <v/>
      </c>
      <c r="J22" s="148" t="str">
        <f t="shared" si="2"/>
        <v/>
      </c>
      <c r="K22" s="149"/>
      <c r="L22" s="128" t="str">
        <f t="shared" si="3"/>
        <v/>
      </c>
      <c r="M22" s="149"/>
      <c r="N22" s="150" t="str">
        <f t="shared" si="4"/>
        <v/>
      </c>
      <c r="O22" s="149"/>
      <c r="P22" s="150" t="str">
        <f t="shared" si="5"/>
        <v/>
      </c>
      <c r="Q22" s="149"/>
      <c r="R22" s="150" t="str">
        <f t="shared" si="6"/>
        <v/>
      </c>
      <c r="S22" s="149"/>
      <c r="T22" s="150" t="str">
        <f t="shared" si="7"/>
        <v/>
      </c>
      <c r="U22" s="140" t="str">
        <f t="shared" si="8"/>
        <v/>
      </c>
      <c r="V22" s="141" t="str">
        <f t="shared" si="9"/>
        <v/>
      </c>
      <c r="W22" s="153"/>
      <c r="X22" s="133"/>
      <c r="Y22" s="153"/>
      <c r="Z22" s="142"/>
    </row>
    <row r="23" spans="1:26" ht="18.75">
      <c r="A23" s="121">
        <v>19</v>
      </c>
      <c r="B23" s="143"/>
      <c r="C23" s="143"/>
      <c r="D23" s="144"/>
      <c r="E23" s="145"/>
      <c r="F23" s="145"/>
      <c r="G23" s="146" t="str">
        <f t="shared" si="10"/>
        <v/>
      </c>
      <c r="H23" s="147" t="str">
        <f t="shared" si="0"/>
        <v/>
      </c>
      <c r="I23" s="148" t="str">
        <f t="shared" si="1"/>
        <v/>
      </c>
      <c r="J23" s="148" t="str">
        <f t="shared" si="2"/>
        <v/>
      </c>
      <c r="K23" s="149"/>
      <c r="L23" s="128" t="str">
        <f t="shared" si="3"/>
        <v/>
      </c>
      <c r="M23" s="149"/>
      <c r="N23" s="150" t="str">
        <f t="shared" si="4"/>
        <v/>
      </c>
      <c r="O23" s="149"/>
      <c r="P23" s="150" t="str">
        <f t="shared" si="5"/>
        <v/>
      </c>
      <c r="Q23" s="149"/>
      <c r="R23" s="150" t="str">
        <f t="shared" si="6"/>
        <v/>
      </c>
      <c r="S23" s="149"/>
      <c r="T23" s="150" t="str">
        <f t="shared" si="7"/>
        <v/>
      </c>
      <c r="U23" s="140" t="str">
        <f t="shared" si="8"/>
        <v/>
      </c>
      <c r="V23" s="141" t="str">
        <f t="shared" si="9"/>
        <v/>
      </c>
      <c r="W23" s="153"/>
      <c r="X23" s="133"/>
      <c r="Y23" s="153"/>
      <c r="Z23" s="142"/>
    </row>
    <row r="24" spans="1:26" ht="18.75">
      <c r="A24" s="136">
        <v>20</v>
      </c>
      <c r="B24" s="143"/>
      <c r="C24" s="143"/>
      <c r="D24" s="144"/>
      <c r="E24" s="145"/>
      <c r="F24" s="145"/>
      <c r="G24" s="146" t="str">
        <f t="shared" si="10"/>
        <v/>
      </c>
      <c r="H24" s="147" t="str">
        <f t="shared" si="0"/>
        <v/>
      </c>
      <c r="I24" s="148" t="str">
        <f t="shared" si="1"/>
        <v/>
      </c>
      <c r="J24" s="148" t="str">
        <f t="shared" si="2"/>
        <v/>
      </c>
      <c r="K24" s="149"/>
      <c r="L24" s="128" t="str">
        <f t="shared" si="3"/>
        <v/>
      </c>
      <c r="M24" s="149"/>
      <c r="N24" s="150" t="str">
        <f t="shared" si="4"/>
        <v/>
      </c>
      <c r="O24" s="149"/>
      <c r="P24" s="150" t="str">
        <f t="shared" si="5"/>
        <v/>
      </c>
      <c r="Q24" s="149"/>
      <c r="R24" s="150" t="str">
        <f t="shared" si="6"/>
        <v/>
      </c>
      <c r="S24" s="149"/>
      <c r="T24" s="150" t="str">
        <f t="shared" si="7"/>
        <v/>
      </c>
      <c r="U24" s="140" t="str">
        <f t="shared" si="8"/>
        <v/>
      </c>
      <c r="V24" s="141" t="str">
        <f t="shared" si="9"/>
        <v/>
      </c>
      <c r="W24" s="153"/>
      <c r="X24" s="133"/>
      <c r="Y24" s="153"/>
      <c r="Z24" s="142"/>
    </row>
    <row r="25" spans="1:26" ht="18.75">
      <c r="A25" s="121">
        <v>21</v>
      </c>
      <c r="B25" s="143"/>
      <c r="C25" s="143"/>
      <c r="D25" s="144"/>
      <c r="E25" s="145"/>
      <c r="F25" s="145"/>
      <c r="G25" s="146" t="str">
        <f t="shared" si="10"/>
        <v/>
      </c>
      <c r="H25" s="147" t="str">
        <f t="shared" si="0"/>
        <v/>
      </c>
      <c r="I25" s="148" t="str">
        <f t="shared" si="1"/>
        <v/>
      </c>
      <c r="J25" s="148" t="str">
        <f t="shared" si="2"/>
        <v/>
      </c>
      <c r="K25" s="149"/>
      <c r="L25" s="128" t="str">
        <f t="shared" si="3"/>
        <v/>
      </c>
      <c r="M25" s="149"/>
      <c r="N25" s="150" t="str">
        <f t="shared" si="4"/>
        <v/>
      </c>
      <c r="O25" s="149"/>
      <c r="P25" s="150" t="str">
        <f t="shared" si="5"/>
        <v/>
      </c>
      <c r="Q25" s="149"/>
      <c r="R25" s="150" t="str">
        <f t="shared" si="6"/>
        <v/>
      </c>
      <c r="S25" s="149"/>
      <c r="T25" s="150" t="str">
        <f t="shared" si="7"/>
        <v/>
      </c>
      <c r="U25" s="140" t="str">
        <f t="shared" si="8"/>
        <v/>
      </c>
      <c r="V25" s="141" t="str">
        <f t="shared" si="9"/>
        <v/>
      </c>
      <c r="W25" s="153"/>
      <c r="X25" s="133"/>
      <c r="Y25" s="153"/>
      <c r="Z25" s="142"/>
    </row>
    <row r="26" spans="1:26" ht="18.75">
      <c r="A26" s="136">
        <v>22</v>
      </c>
      <c r="B26" s="143"/>
      <c r="C26" s="143"/>
      <c r="D26" s="144"/>
      <c r="E26" s="145"/>
      <c r="F26" s="145"/>
      <c r="G26" s="146" t="str">
        <f t="shared" si="10"/>
        <v/>
      </c>
      <c r="H26" s="147" t="str">
        <f t="shared" si="0"/>
        <v/>
      </c>
      <c r="I26" s="148" t="str">
        <f t="shared" si="1"/>
        <v/>
      </c>
      <c r="J26" s="148" t="str">
        <f t="shared" si="2"/>
        <v/>
      </c>
      <c r="K26" s="149"/>
      <c r="L26" s="128" t="str">
        <f t="shared" si="3"/>
        <v/>
      </c>
      <c r="M26" s="149"/>
      <c r="N26" s="150" t="str">
        <f t="shared" si="4"/>
        <v/>
      </c>
      <c r="O26" s="149"/>
      <c r="P26" s="150" t="str">
        <f t="shared" si="5"/>
        <v/>
      </c>
      <c r="Q26" s="149"/>
      <c r="R26" s="150" t="str">
        <f t="shared" si="6"/>
        <v/>
      </c>
      <c r="S26" s="149"/>
      <c r="T26" s="150" t="str">
        <f t="shared" si="7"/>
        <v/>
      </c>
      <c r="U26" s="140" t="str">
        <f t="shared" si="8"/>
        <v/>
      </c>
      <c r="V26" s="141" t="str">
        <f t="shared" si="9"/>
        <v/>
      </c>
      <c r="W26" s="153"/>
      <c r="X26" s="133"/>
      <c r="Y26" s="153"/>
      <c r="Z26" s="142"/>
    </row>
    <row r="27" spans="1:26" ht="18.75">
      <c r="A27" s="121">
        <v>23</v>
      </c>
      <c r="B27" s="143"/>
      <c r="C27" s="143"/>
      <c r="D27" s="144"/>
      <c r="E27" s="145"/>
      <c r="F27" s="145"/>
      <c r="G27" s="146" t="str">
        <f t="shared" si="10"/>
        <v/>
      </c>
      <c r="H27" s="147" t="str">
        <f t="shared" si="0"/>
        <v/>
      </c>
      <c r="I27" s="148" t="str">
        <f t="shared" si="1"/>
        <v/>
      </c>
      <c r="J27" s="148" t="str">
        <f t="shared" si="2"/>
        <v/>
      </c>
      <c r="K27" s="149"/>
      <c r="L27" s="128" t="str">
        <f t="shared" si="3"/>
        <v/>
      </c>
      <c r="M27" s="149"/>
      <c r="N27" s="150" t="str">
        <f t="shared" si="4"/>
        <v/>
      </c>
      <c r="O27" s="149"/>
      <c r="P27" s="150" t="str">
        <f t="shared" si="5"/>
        <v/>
      </c>
      <c r="Q27" s="149"/>
      <c r="R27" s="150" t="str">
        <f t="shared" si="6"/>
        <v/>
      </c>
      <c r="S27" s="149"/>
      <c r="T27" s="150" t="str">
        <f t="shared" si="7"/>
        <v/>
      </c>
      <c r="U27" s="140" t="str">
        <f t="shared" si="8"/>
        <v/>
      </c>
      <c r="V27" s="141" t="str">
        <f t="shared" si="9"/>
        <v/>
      </c>
      <c r="W27" s="153"/>
      <c r="X27" s="133"/>
      <c r="Y27" s="153"/>
      <c r="Z27" s="142"/>
    </row>
    <row r="28" spans="1:26" ht="18.75">
      <c r="A28" s="152">
        <v>24</v>
      </c>
      <c r="B28" s="143"/>
      <c r="C28" s="143"/>
      <c r="D28" s="144"/>
      <c r="E28" s="145"/>
      <c r="F28" s="145"/>
      <c r="G28" s="146" t="str">
        <f t="shared" si="10"/>
        <v/>
      </c>
      <c r="H28" s="147" t="str">
        <f t="shared" si="0"/>
        <v/>
      </c>
      <c r="I28" s="148" t="str">
        <f t="shared" si="1"/>
        <v/>
      </c>
      <c r="J28" s="148" t="str">
        <f t="shared" si="2"/>
        <v/>
      </c>
      <c r="K28" s="149"/>
      <c r="L28" s="128" t="str">
        <f t="shared" si="3"/>
        <v/>
      </c>
      <c r="M28" s="149"/>
      <c r="N28" s="150" t="str">
        <f t="shared" si="4"/>
        <v/>
      </c>
      <c r="O28" s="149"/>
      <c r="P28" s="150" t="str">
        <f t="shared" si="5"/>
        <v/>
      </c>
      <c r="Q28" s="149"/>
      <c r="R28" s="150" t="str">
        <f t="shared" si="6"/>
        <v/>
      </c>
      <c r="S28" s="149"/>
      <c r="T28" s="150" t="str">
        <f t="shared" si="7"/>
        <v/>
      </c>
      <c r="U28" s="140" t="str">
        <f t="shared" si="8"/>
        <v/>
      </c>
      <c r="V28" s="141" t="str">
        <f t="shared" si="9"/>
        <v/>
      </c>
      <c r="W28" s="153"/>
      <c r="X28" s="133"/>
      <c r="Y28" s="153"/>
      <c r="Z28" s="142"/>
    </row>
    <row r="29" spans="1:26" ht="18.75">
      <c r="A29" s="121">
        <v>25</v>
      </c>
      <c r="B29" s="143"/>
      <c r="C29" s="143"/>
      <c r="D29" s="144"/>
      <c r="E29" s="145"/>
      <c r="F29" s="145"/>
      <c r="G29" s="146" t="str">
        <f t="shared" si="10"/>
        <v/>
      </c>
      <c r="H29" s="147" t="str">
        <f t="shared" si="0"/>
        <v/>
      </c>
      <c r="I29" s="148" t="str">
        <f t="shared" si="1"/>
        <v/>
      </c>
      <c r="J29" s="148" t="str">
        <f t="shared" si="2"/>
        <v/>
      </c>
      <c r="K29" s="149"/>
      <c r="L29" s="128" t="str">
        <f t="shared" si="3"/>
        <v/>
      </c>
      <c r="M29" s="149"/>
      <c r="N29" s="150" t="str">
        <f t="shared" si="4"/>
        <v/>
      </c>
      <c r="O29" s="149"/>
      <c r="P29" s="150" t="str">
        <f t="shared" si="5"/>
        <v/>
      </c>
      <c r="Q29" s="149"/>
      <c r="R29" s="150" t="str">
        <f t="shared" si="6"/>
        <v/>
      </c>
      <c r="S29" s="149"/>
      <c r="T29" s="150" t="str">
        <f t="shared" si="7"/>
        <v/>
      </c>
      <c r="U29" s="140" t="str">
        <f t="shared" si="8"/>
        <v/>
      </c>
      <c r="V29" s="141" t="str">
        <f t="shared" si="9"/>
        <v/>
      </c>
      <c r="W29" s="153"/>
      <c r="X29" s="133"/>
      <c r="Y29" s="153"/>
      <c r="Z29" s="142"/>
    </row>
  </sheetData>
  <sheetProtection formatRows="0" insertRows="0" deleteRows="0" sort="0" autoFilter="0"/>
  <autoFilter ref="A4:Z9">
    <filterColumn colId="12" showButton="0"/>
    <filterColumn colId="14" showButton="0"/>
    <filterColumn colId="16" showButton="0"/>
    <filterColumn colId="18" showButton="0"/>
    <sortState ref="A5:Y45">
      <sortCondition ref="A4:A9"/>
    </sortState>
  </autoFilter>
  <mergeCells count="6">
    <mergeCell ref="A1:Z1"/>
    <mergeCell ref="A2:D2"/>
    <mergeCell ref="E2:V2"/>
    <mergeCell ref="W2:Z2"/>
    <mergeCell ref="K3:L3"/>
    <mergeCell ref="M3:U3"/>
  </mergeCells>
  <conditionalFormatting sqref="V5 V10">
    <cfRule type="cellIs" dxfId="59" priority="53" operator="between">
      <formula>12</formula>
      <formula>16</formula>
    </cfRule>
    <cfRule type="cellIs" dxfId="58" priority="54" operator="between">
      <formula>8</formula>
      <formula>11.99</formula>
    </cfRule>
    <cfRule type="cellIs" dxfId="57" priority="55" operator="between">
      <formula>4</formula>
      <formula>7.99</formula>
    </cfRule>
    <cfRule type="cellIs" dxfId="56" priority="56" operator="between">
      <formula>0</formula>
      <formula>3.99</formula>
    </cfRule>
  </conditionalFormatting>
  <conditionalFormatting sqref="V6 V11">
    <cfRule type="cellIs" dxfId="55" priority="49" operator="between">
      <formula>12</formula>
      <formula>16</formula>
    </cfRule>
    <cfRule type="cellIs" dxfId="54" priority="50" operator="between">
      <formula>8</formula>
      <formula>11.99</formula>
    </cfRule>
    <cfRule type="cellIs" dxfId="53" priority="51" operator="between">
      <formula>4</formula>
      <formula>7.99</formula>
    </cfRule>
    <cfRule type="cellIs" dxfId="52" priority="52" operator="between">
      <formula>0</formula>
      <formula>3.99</formula>
    </cfRule>
  </conditionalFormatting>
  <conditionalFormatting sqref="V12">
    <cfRule type="cellIs" dxfId="51" priority="45" operator="between">
      <formula>12</formula>
      <formula>16</formula>
    </cfRule>
    <cfRule type="cellIs" dxfId="50" priority="46" operator="between">
      <formula>8</formula>
      <formula>11.99</formula>
    </cfRule>
    <cfRule type="cellIs" dxfId="49" priority="47" operator="between">
      <formula>4</formula>
      <formula>7.99</formula>
    </cfRule>
    <cfRule type="cellIs" dxfId="48" priority="48" operator="between">
      <formula>0</formula>
      <formula>3.99</formula>
    </cfRule>
  </conditionalFormatting>
  <conditionalFormatting sqref="V8 V13">
    <cfRule type="cellIs" dxfId="47" priority="41" operator="between">
      <formula>12</formula>
      <formula>16</formula>
    </cfRule>
    <cfRule type="cellIs" dxfId="46" priority="42" operator="between">
      <formula>8</formula>
      <formula>11.99</formula>
    </cfRule>
    <cfRule type="cellIs" dxfId="45" priority="43" operator="between">
      <formula>4</formula>
      <formula>7.99</formula>
    </cfRule>
    <cfRule type="cellIs" dxfId="44" priority="44" operator="between">
      <formula>0</formula>
      <formula>3.99</formula>
    </cfRule>
  </conditionalFormatting>
  <conditionalFormatting sqref="V9 V14">
    <cfRule type="cellIs" dxfId="43" priority="37" operator="between">
      <formula>12</formula>
      <formula>16</formula>
    </cfRule>
    <cfRule type="cellIs" dxfId="42" priority="38" operator="between">
      <formula>8</formula>
      <formula>11.99</formula>
    </cfRule>
    <cfRule type="cellIs" dxfId="41" priority="39" operator="between">
      <formula>4</formula>
      <formula>7.99</formula>
    </cfRule>
    <cfRule type="cellIs" dxfId="40" priority="40" operator="between">
      <formula>0</formula>
      <formula>3.99</formula>
    </cfRule>
  </conditionalFormatting>
  <conditionalFormatting sqref="V7">
    <cfRule type="cellIs" dxfId="39" priority="33" operator="between">
      <formula>12</formula>
      <formula>16</formula>
    </cfRule>
    <cfRule type="cellIs" dxfId="38" priority="34" operator="between">
      <formula>8</formula>
      <formula>11.99</formula>
    </cfRule>
    <cfRule type="cellIs" dxfId="37" priority="35" operator="between">
      <formula>4</formula>
      <formula>7.99</formula>
    </cfRule>
    <cfRule type="cellIs" dxfId="36" priority="36" operator="between">
      <formula>0</formula>
      <formula>3.99</formula>
    </cfRule>
  </conditionalFormatting>
  <conditionalFormatting sqref="V15">
    <cfRule type="cellIs" dxfId="35" priority="29" operator="between">
      <formula>12</formula>
      <formula>16</formula>
    </cfRule>
    <cfRule type="cellIs" dxfId="34" priority="30" operator="between">
      <formula>8</formula>
      <formula>11.99</formula>
    </cfRule>
    <cfRule type="cellIs" dxfId="33" priority="31" operator="between">
      <formula>4</formula>
      <formula>7.99</formula>
    </cfRule>
    <cfRule type="cellIs" dxfId="32" priority="32" operator="between">
      <formula>0</formula>
      <formula>3.99</formula>
    </cfRule>
  </conditionalFormatting>
  <conditionalFormatting sqref="V16 V19 V22 V25 V28">
    <cfRule type="cellIs" dxfId="31" priority="25" operator="between">
      <formula>12</formula>
      <formula>16</formula>
    </cfRule>
    <cfRule type="cellIs" dxfId="30" priority="26" operator="between">
      <formula>8</formula>
      <formula>11.99</formula>
    </cfRule>
    <cfRule type="cellIs" dxfId="29" priority="27" operator="between">
      <formula>4</formula>
      <formula>7.99</formula>
    </cfRule>
    <cfRule type="cellIs" dxfId="28" priority="28" operator="between">
      <formula>0</formula>
      <formula>3.99</formula>
    </cfRule>
  </conditionalFormatting>
  <conditionalFormatting sqref="V17 V20 V23 V26 V29">
    <cfRule type="cellIs" dxfId="27" priority="21" operator="between">
      <formula>12</formula>
      <formula>16</formula>
    </cfRule>
    <cfRule type="cellIs" dxfId="26" priority="22" operator="between">
      <formula>8</formula>
      <formula>11.99</formula>
    </cfRule>
    <cfRule type="cellIs" dxfId="25" priority="23" operator="between">
      <formula>4</formula>
      <formula>7.99</formula>
    </cfRule>
    <cfRule type="cellIs" dxfId="24" priority="24" operator="between">
      <formula>0</formula>
      <formula>3.99</formula>
    </cfRule>
  </conditionalFormatting>
  <conditionalFormatting sqref="V18 V21 V24 V27">
    <cfRule type="cellIs" dxfId="23" priority="17" operator="between">
      <formula>12</formula>
      <formula>16</formula>
    </cfRule>
    <cfRule type="cellIs" dxfId="22" priority="18" operator="between">
      <formula>8</formula>
      <formula>11.99</formula>
    </cfRule>
    <cfRule type="cellIs" dxfId="21" priority="19" operator="between">
      <formula>4</formula>
      <formula>7.99</formula>
    </cfRule>
    <cfRule type="cellIs" dxfId="20" priority="20" operator="between">
      <formula>0</formula>
      <formula>3.99</formula>
    </cfRule>
  </conditionalFormatting>
  <conditionalFormatting sqref="H5">
    <cfRule type="expression" dxfId="19" priority="13">
      <formula>OR(H5="4-Alto",H5="4-Alto")</formula>
    </cfRule>
    <cfRule type="expression" dxfId="18" priority="14">
      <formula>OR(H5="3-Médio",H5="3-Médio")</formula>
    </cfRule>
    <cfRule type="expression" dxfId="17" priority="15">
      <formula>OR(H5="2-Baixo",H5="2-Baixo")</formula>
    </cfRule>
    <cfRule type="expression" dxfId="16" priority="16">
      <formula>OR(H5="1-Muito baixo",H5="1-Muito baixo")</formula>
    </cfRule>
  </conditionalFormatting>
  <conditionalFormatting sqref="H6">
    <cfRule type="expression" dxfId="15" priority="9">
      <formula>OR(H6="4-Alto",H6="4-Alto")</formula>
    </cfRule>
    <cfRule type="expression" dxfId="14" priority="10">
      <formula>OR(H6="3-Médio",H6="3-Médio")</formula>
    </cfRule>
    <cfRule type="expression" dxfId="13" priority="11">
      <formula>OR(H6="2-Baixo",H6="2-Baixo")</formula>
    </cfRule>
    <cfRule type="expression" dxfId="12" priority="12">
      <formula>OR(H6="1-Muito baixo",H6="1-Muito baixo")</formula>
    </cfRule>
  </conditionalFormatting>
  <conditionalFormatting sqref="H7:H29">
    <cfRule type="expression" dxfId="11" priority="5">
      <formula>OR(H7="4-Alto",H7="4-Alto")</formula>
    </cfRule>
    <cfRule type="expression" dxfId="10" priority="6">
      <formula>OR(H7="3-Médio",H7="3-Médio")</formula>
    </cfRule>
    <cfRule type="expression" dxfId="9" priority="7">
      <formula>OR(H7="2-Baixo",H7="2-Baixo")</formula>
    </cfRule>
    <cfRule type="expression" dxfId="8" priority="8">
      <formula>OR(H7="1-Muito baixo",H7="1-Muito baixo")</formula>
    </cfRule>
  </conditionalFormatting>
  <conditionalFormatting sqref="G5:G29">
    <cfRule type="expression" dxfId="7" priority="1">
      <formula>OR(G5="4-Alto",G5="4-Alto")</formula>
    </cfRule>
    <cfRule type="expression" dxfId="6" priority="2">
      <formula>OR(G5="3-Médio",G5="3-Médio")</formula>
    </cfRule>
    <cfRule type="expression" dxfId="5" priority="3">
      <formula>OR(G5="2-Baixo",G5="2-Baixo")</formula>
    </cfRule>
    <cfRule type="expression" dxfId="4" priority="4">
      <formula>OR(G5="1-Muito baixo",G5="1-Muito baixo")</formula>
    </cfRule>
  </conditionalFormatting>
  <dataValidations count="4">
    <dataValidation type="list" allowBlank="1" showInputMessage="1" showErrorMessage="1" sqref="K5:K18 E5:E29">
      <formula1>"Muito baixa,Baixa,Média,Alta"</formula1>
    </dataValidation>
    <dataValidation type="list" allowBlank="1" showInputMessage="1" showErrorMessage="1" sqref="M5:M18 O5:O29 Q5:Q29 F5:F29">
      <formula1>"Muito baixo,Baixo,Médio,Alto"</formula1>
    </dataValidation>
    <dataValidation type="list" allowBlank="1" showInputMessage="1" showErrorMessage="1" sqref="X5:X18">
      <formula1>"Evitar,Transferir,Mitigar,Aceitar"</formula1>
    </dataValidation>
    <dataValidation type="list" allowBlank="1" showInputMessage="1" showErrorMessage="1" sqref="S5:S29">
      <formula1>"Muito baixo,Baixo,Médio,Alto,Não aplicável"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STATUS_REPORT</vt:lpstr>
      <vt:lpstr>Feriados</vt:lpstr>
      <vt:lpstr>Base dados pizza</vt:lpstr>
      <vt:lpstr>LISTA DE RISCOS</vt:lpstr>
      <vt:lpstr>'LISTA DE RISCOS'!Area_de_impressao</vt:lpstr>
      <vt:lpstr>STATUS_REPORT!Area_de_impressao</vt:lpstr>
    </vt:vector>
  </TitlesOfParts>
  <Company>INPI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Antonio Correa dos Santos Neto</cp:lastModifiedBy>
  <cp:lastPrinted>2019-09-17T16:29:30Z</cp:lastPrinted>
  <dcterms:created xsi:type="dcterms:W3CDTF">2017-11-30T17:18:01Z</dcterms:created>
  <dcterms:modified xsi:type="dcterms:W3CDTF">2019-10-31T15:52:21Z</dcterms:modified>
</cp:coreProperties>
</file>