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workbookProtection workbookPassword="E207" lockStructure="1"/>
  <bookViews>
    <workbookView xWindow="120" yWindow="390" windowWidth="15600" windowHeight="11325" tabRatio="513"/>
  </bookViews>
  <sheets>
    <sheet name="STATUS_REPORT" sheetId="25" r:id="rId1"/>
    <sheet name="Feriados" sheetId="2" state="hidden" r:id="rId2"/>
    <sheet name="Base dados pizza" sheetId="31" state="hidden" r:id="rId3"/>
    <sheet name="LISTA DE RISCOS" sheetId="33" r:id="rId4"/>
  </sheets>
  <externalReferences>
    <externalReference r:id="rId5"/>
  </externalReferences>
  <definedNames>
    <definedName name="_xlnm._FilterDatabase" localSheetId="3" hidden="1">'LISTA DE RISCOS'!$A$4:$Z$9</definedName>
    <definedName name="_xlnm._FilterDatabase" localSheetId="0" hidden="1">STATUS_REPORT!$C$18:$P$23</definedName>
    <definedName name="_xlnm.Print_Area" localSheetId="3">'LISTA DE RISCOS'!$A$1:$Z$29</definedName>
    <definedName name="_xlnm.Print_Area" localSheetId="0">STATUS_REPORT!$A$1:$Q$133</definedName>
    <definedName name="Risco_categ_1" localSheetId="3">[1]CONFIG!$A$2:$A$19</definedName>
    <definedName name="Risco_categ_1">[1]CONFIG!$A$2:$A$19</definedName>
    <definedName name="Risco_categ_2" localSheetId="3">[1]CONFIG!$B$2:$B$5</definedName>
    <definedName name="Risco_categ_2">[1]CONFIG!$B$2:$B$5</definedName>
  </definedNames>
  <calcPr calcId="145621"/>
</workbook>
</file>

<file path=xl/calcChain.xml><?xml version="1.0" encoding="utf-8"?>
<calcChain xmlns="http://schemas.openxmlformats.org/spreadsheetml/2006/main">
  <c r="L65" i="25" l="1"/>
  <c r="I65" i="25"/>
  <c r="H65" i="25" s="1"/>
  <c r="L64" i="25"/>
  <c r="I64" i="25"/>
  <c r="H64" i="25" s="1"/>
  <c r="L63" i="25"/>
  <c r="I63" i="25"/>
  <c r="H63" i="25" s="1"/>
  <c r="L62" i="25"/>
  <c r="I62" i="25"/>
  <c r="H62" i="25" s="1"/>
  <c r="L59" i="25"/>
  <c r="I59" i="25"/>
  <c r="H59" i="25" s="1"/>
  <c r="L58" i="25"/>
  <c r="I58" i="25"/>
  <c r="H58" i="25" s="1"/>
  <c r="L57" i="25"/>
  <c r="I57" i="25"/>
  <c r="H57" i="25" s="1"/>
  <c r="L56" i="25"/>
  <c r="I56" i="25"/>
  <c r="H56" i="25" s="1"/>
  <c r="L131" i="25" l="1"/>
  <c r="I131" i="25"/>
  <c r="H131" i="25" s="1"/>
  <c r="L130" i="25"/>
  <c r="I130" i="25"/>
  <c r="H130" i="25" s="1"/>
  <c r="L129" i="25"/>
  <c r="I129" i="25"/>
  <c r="H129" i="25" s="1"/>
  <c r="L128" i="25"/>
  <c r="I128" i="25"/>
  <c r="H128" i="25" s="1"/>
  <c r="L125" i="25"/>
  <c r="I125" i="25"/>
  <c r="H125" i="25" s="1"/>
  <c r="L124" i="25"/>
  <c r="I124" i="25"/>
  <c r="H124" i="25" s="1"/>
  <c r="L123" i="25"/>
  <c r="I123" i="25"/>
  <c r="H123" i="25" s="1"/>
  <c r="L122" i="25"/>
  <c r="I122" i="25"/>
  <c r="H122" i="25" s="1"/>
  <c r="L119" i="25"/>
  <c r="I119" i="25"/>
  <c r="H119" i="25" s="1"/>
  <c r="L118" i="25"/>
  <c r="I118" i="25"/>
  <c r="H118" i="25" s="1"/>
  <c r="L117" i="25"/>
  <c r="I117" i="25"/>
  <c r="H117" i="25" s="1"/>
  <c r="L116" i="25"/>
  <c r="I116" i="25"/>
  <c r="H116" i="25" s="1"/>
  <c r="L113" i="25"/>
  <c r="I113" i="25"/>
  <c r="H113" i="25" s="1"/>
  <c r="L112" i="25"/>
  <c r="I112" i="25"/>
  <c r="H112" i="25" s="1"/>
  <c r="L111" i="25"/>
  <c r="I111" i="25"/>
  <c r="H111" i="25" s="1"/>
  <c r="L110" i="25"/>
  <c r="I110" i="25"/>
  <c r="H110" i="25" s="1"/>
  <c r="L107" i="25"/>
  <c r="I107" i="25"/>
  <c r="H107" i="25" s="1"/>
  <c r="L106" i="25"/>
  <c r="I106" i="25"/>
  <c r="H106" i="25" s="1"/>
  <c r="L105" i="25"/>
  <c r="I105" i="25"/>
  <c r="H105" i="25" s="1"/>
  <c r="L104" i="25"/>
  <c r="I104" i="25"/>
  <c r="H104" i="25" s="1"/>
  <c r="L101" i="25"/>
  <c r="I101" i="25"/>
  <c r="H101" i="25" s="1"/>
  <c r="L100" i="25"/>
  <c r="I100" i="25"/>
  <c r="H100" i="25" s="1"/>
  <c r="L99" i="25"/>
  <c r="I99" i="25"/>
  <c r="H99" i="25" s="1"/>
  <c r="L98" i="25"/>
  <c r="I98" i="25"/>
  <c r="H98" i="25" s="1"/>
  <c r="L95" i="25"/>
  <c r="I95" i="25"/>
  <c r="H95" i="25" s="1"/>
  <c r="L94" i="25"/>
  <c r="I94" i="25"/>
  <c r="H94" i="25" s="1"/>
  <c r="L93" i="25"/>
  <c r="I93" i="25"/>
  <c r="H93" i="25" s="1"/>
  <c r="L92" i="25"/>
  <c r="I92" i="25"/>
  <c r="H92" i="25" s="1"/>
  <c r="L89" i="25"/>
  <c r="I89" i="25"/>
  <c r="H89" i="25" s="1"/>
  <c r="L88" i="25"/>
  <c r="I88" i="25"/>
  <c r="H88" i="25" s="1"/>
  <c r="L87" i="25"/>
  <c r="I87" i="25"/>
  <c r="H87" i="25" s="1"/>
  <c r="L86" i="25"/>
  <c r="I86" i="25"/>
  <c r="H86" i="25" s="1"/>
  <c r="L83" i="25"/>
  <c r="I83" i="25"/>
  <c r="H83" i="25" s="1"/>
  <c r="L82" i="25"/>
  <c r="I82" i="25"/>
  <c r="H82" i="25" s="1"/>
  <c r="L81" i="25"/>
  <c r="I81" i="25"/>
  <c r="H81" i="25" s="1"/>
  <c r="L80" i="25"/>
  <c r="I80" i="25"/>
  <c r="H80" i="25" s="1"/>
  <c r="L77" i="25"/>
  <c r="I77" i="25"/>
  <c r="H77" i="25" s="1"/>
  <c r="L76" i="25"/>
  <c r="I76" i="25"/>
  <c r="H76" i="25" s="1"/>
  <c r="L75" i="25"/>
  <c r="I75" i="25"/>
  <c r="H75" i="25" s="1"/>
  <c r="L74" i="25"/>
  <c r="I74" i="25"/>
  <c r="H74" i="25" s="1"/>
  <c r="L71" i="25"/>
  <c r="I71" i="25"/>
  <c r="H71" i="25" s="1"/>
  <c r="L70" i="25"/>
  <c r="I70" i="25"/>
  <c r="H70" i="25" s="1"/>
  <c r="L69" i="25"/>
  <c r="I69" i="25"/>
  <c r="H69" i="25" s="1"/>
  <c r="L68" i="25"/>
  <c r="I68" i="25"/>
  <c r="H68" i="25" s="1"/>
  <c r="L53" i="25"/>
  <c r="I53" i="25"/>
  <c r="H53" i="25" s="1"/>
  <c r="L52" i="25"/>
  <c r="I52" i="25"/>
  <c r="H52" i="25" s="1"/>
  <c r="L51" i="25"/>
  <c r="I51" i="25"/>
  <c r="H51" i="25" s="1"/>
  <c r="L50" i="25"/>
  <c r="I50" i="25"/>
  <c r="H50" i="25" s="1"/>
  <c r="L47" i="25"/>
  <c r="I47" i="25"/>
  <c r="H47" i="25" s="1"/>
  <c r="L46" i="25"/>
  <c r="I46" i="25"/>
  <c r="H46" i="25" s="1"/>
  <c r="L45" i="25"/>
  <c r="I45" i="25"/>
  <c r="H45" i="25" s="1"/>
  <c r="L44" i="25"/>
  <c r="I44" i="25"/>
  <c r="H44" i="25" s="1"/>
  <c r="L41" i="25"/>
  <c r="I41" i="25"/>
  <c r="H41" i="25" s="1"/>
  <c r="L40" i="25"/>
  <c r="I40" i="25"/>
  <c r="H40" i="25" s="1"/>
  <c r="L39" i="25"/>
  <c r="I39" i="25"/>
  <c r="H39" i="25" s="1"/>
  <c r="L38" i="25"/>
  <c r="I38" i="25"/>
  <c r="H38" i="25" s="1"/>
  <c r="L35" i="25"/>
  <c r="I35" i="25"/>
  <c r="H35" i="25" s="1"/>
  <c r="L34" i="25"/>
  <c r="I34" i="25"/>
  <c r="H34" i="25" s="1"/>
  <c r="L33" i="25"/>
  <c r="I33" i="25"/>
  <c r="H33" i="25" s="1"/>
  <c r="L32" i="25"/>
  <c r="I32" i="25"/>
  <c r="H32" i="25" s="1"/>
  <c r="L29" i="25"/>
  <c r="I29" i="25"/>
  <c r="H29" i="25" s="1"/>
  <c r="L28" i="25"/>
  <c r="I28" i="25"/>
  <c r="H28" i="25" s="1"/>
  <c r="L27" i="25"/>
  <c r="I27" i="25"/>
  <c r="H27" i="25" s="1"/>
  <c r="L26" i="25"/>
  <c r="I26" i="25"/>
  <c r="H26" i="25" s="1"/>
  <c r="I20" i="25" l="1"/>
  <c r="H20" i="25" s="1"/>
  <c r="L20" i="25"/>
  <c r="I21" i="25"/>
  <c r="H21" i="25" s="1"/>
  <c r="L21" i="25"/>
  <c r="I22" i="25"/>
  <c r="H22" i="25" s="1"/>
  <c r="L22" i="25"/>
  <c r="I23" i="25"/>
  <c r="H23" i="25" s="1"/>
  <c r="L23" i="25"/>
  <c r="O3" i="25" l="1"/>
  <c r="T29" i="33" l="1"/>
  <c r="R29" i="33"/>
  <c r="P29" i="33"/>
  <c r="N29" i="33"/>
  <c r="U29" i="33" s="1"/>
  <c r="V29" i="33" s="1"/>
  <c r="L29" i="33"/>
  <c r="J29" i="33"/>
  <c r="I29" i="33"/>
  <c r="H29" i="33" s="1"/>
  <c r="G29" i="33" s="1"/>
  <c r="T28" i="33"/>
  <c r="R28" i="33"/>
  <c r="P28" i="33"/>
  <c r="N28" i="33"/>
  <c r="U28" i="33" s="1"/>
  <c r="L28" i="33"/>
  <c r="J28" i="33"/>
  <c r="I28" i="33"/>
  <c r="H28" i="33"/>
  <c r="G28" i="33" s="1"/>
  <c r="T27" i="33"/>
  <c r="R27" i="33"/>
  <c r="P27" i="33"/>
  <c r="N27" i="33"/>
  <c r="U27" i="33" s="1"/>
  <c r="L27" i="33"/>
  <c r="J27" i="33"/>
  <c r="H27" i="33" s="1"/>
  <c r="G27" i="33" s="1"/>
  <c r="I27" i="33"/>
  <c r="T26" i="33"/>
  <c r="R26" i="33"/>
  <c r="P26" i="33"/>
  <c r="N26" i="33"/>
  <c r="U26" i="33" s="1"/>
  <c r="V26" i="33" s="1"/>
  <c r="L26" i="33"/>
  <c r="J26" i="33"/>
  <c r="I26" i="33"/>
  <c r="H26" i="33" s="1"/>
  <c r="G26" i="33" s="1"/>
  <c r="T25" i="33"/>
  <c r="R25" i="33"/>
  <c r="P25" i="33"/>
  <c r="N25" i="33"/>
  <c r="U25" i="33" s="1"/>
  <c r="V25" i="33" s="1"/>
  <c r="L25" i="33"/>
  <c r="J25" i="33"/>
  <c r="I25" i="33"/>
  <c r="H25" i="33" s="1"/>
  <c r="G25" i="33" s="1"/>
  <c r="T24" i="33"/>
  <c r="R24" i="33"/>
  <c r="P24" i="33"/>
  <c r="N24" i="33"/>
  <c r="U24" i="33" s="1"/>
  <c r="L24" i="33"/>
  <c r="V24" i="33" s="1"/>
  <c r="J24" i="33"/>
  <c r="I24" i="33"/>
  <c r="H24" i="33"/>
  <c r="G24" i="33" s="1"/>
  <c r="T23" i="33"/>
  <c r="R23" i="33"/>
  <c r="P23" i="33"/>
  <c r="N23" i="33"/>
  <c r="U23" i="33" s="1"/>
  <c r="L23" i="33"/>
  <c r="V23" i="33" s="1"/>
  <c r="J23" i="33"/>
  <c r="H23" i="33" s="1"/>
  <c r="G23" i="33" s="1"/>
  <c r="I23" i="33"/>
  <c r="T22" i="33"/>
  <c r="R22" i="33"/>
  <c r="P22" i="33"/>
  <c r="N22" i="33"/>
  <c r="U22" i="33" s="1"/>
  <c r="V22" i="33" s="1"/>
  <c r="L22" i="33"/>
  <c r="J22" i="33"/>
  <c r="I22" i="33"/>
  <c r="H22" i="33" s="1"/>
  <c r="G22" i="33" s="1"/>
  <c r="T21" i="33"/>
  <c r="R21" i="33"/>
  <c r="P21" i="33"/>
  <c r="N21" i="33"/>
  <c r="U21" i="33" s="1"/>
  <c r="V21" i="33" s="1"/>
  <c r="L21" i="33"/>
  <c r="J21" i="33"/>
  <c r="I21" i="33"/>
  <c r="H21" i="33" s="1"/>
  <c r="G21" i="33" s="1"/>
  <c r="T20" i="33"/>
  <c r="R20" i="33"/>
  <c r="P20" i="33"/>
  <c r="N20" i="33"/>
  <c r="U20" i="33" s="1"/>
  <c r="L20" i="33"/>
  <c r="V20" i="33" s="1"/>
  <c r="J20" i="33"/>
  <c r="I20" i="33"/>
  <c r="H20" i="33"/>
  <c r="G20" i="33" s="1"/>
  <c r="T19" i="33"/>
  <c r="R19" i="33"/>
  <c r="P19" i="33"/>
  <c r="N19" i="33"/>
  <c r="U19" i="33" s="1"/>
  <c r="L19" i="33"/>
  <c r="V19" i="33" s="1"/>
  <c r="J19" i="33"/>
  <c r="H19" i="33" s="1"/>
  <c r="G19" i="33" s="1"/>
  <c r="I19" i="33"/>
  <c r="T18" i="33"/>
  <c r="R18" i="33"/>
  <c r="P18" i="33"/>
  <c r="N18" i="33"/>
  <c r="U18" i="33" s="1"/>
  <c r="V18" i="33" s="1"/>
  <c r="L18" i="33"/>
  <c r="J18" i="33"/>
  <c r="I18" i="33"/>
  <c r="H18" i="33" s="1"/>
  <c r="G18" i="33" s="1"/>
  <c r="T17" i="33"/>
  <c r="R17" i="33"/>
  <c r="P17" i="33"/>
  <c r="N17" i="33"/>
  <c r="U17" i="33" s="1"/>
  <c r="V17" i="33" s="1"/>
  <c r="L17" i="33"/>
  <c r="J17" i="33"/>
  <c r="I17" i="33"/>
  <c r="H17" i="33" s="1"/>
  <c r="G17" i="33" s="1"/>
  <c r="T16" i="33"/>
  <c r="R16" i="33"/>
  <c r="P16" i="33"/>
  <c r="N16" i="33"/>
  <c r="U16" i="33" s="1"/>
  <c r="L16" i="33"/>
  <c r="V16" i="33" s="1"/>
  <c r="J16" i="33"/>
  <c r="I16" i="33"/>
  <c r="H16" i="33"/>
  <c r="G16" i="33" s="1"/>
  <c r="T15" i="33"/>
  <c r="R15" i="33"/>
  <c r="P15" i="33"/>
  <c r="N15" i="33"/>
  <c r="U15" i="33" s="1"/>
  <c r="L15" i="33"/>
  <c r="V15" i="33" s="1"/>
  <c r="J15" i="33"/>
  <c r="H15" i="33" s="1"/>
  <c r="G15" i="33" s="1"/>
  <c r="I15" i="33"/>
  <c r="T14" i="33"/>
  <c r="R14" i="33"/>
  <c r="P14" i="33"/>
  <c r="N14" i="33"/>
  <c r="U14" i="33" s="1"/>
  <c r="V14" i="33" s="1"/>
  <c r="L14" i="33"/>
  <c r="J14" i="33"/>
  <c r="I14" i="33"/>
  <c r="H14" i="33" s="1"/>
  <c r="G14" i="33" s="1"/>
  <c r="T13" i="33"/>
  <c r="R13" i="33"/>
  <c r="P13" i="33"/>
  <c r="N13" i="33"/>
  <c r="U13" i="33" s="1"/>
  <c r="V13" i="33" s="1"/>
  <c r="L13" i="33"/>
  <c r="J13" i="33"/>
  <c r="I13" i="33"/>
  <c r="H13" i="33" s="1"/>
  <c r="G13" i="33" s="1"/>
  <c r="T12" i="33"/>
  <c r="R12" i="33"/>
  <c r="P12" i="33"/>
  <c r="N12" i="33"/>
  <c r="U12" i="33" s="1"/>
  <c r="L12" i="33"/>
  <c r="J12" i="33"/>
  <c r="I12" i="33"/>
  <c r="H12" i="33"/>
  <c r="G12" i="33" s="1"/>
  <c r="T11" i="33"/>
  <c r="R11" i="33"/>
  <c r="P11" i="33"/>
  <c r="N11" i="33"/>
  <c r="U11" i="33" s="1"/>
  <c r="L11" i="33"/>
  <c r="J11" i="33"/>
  <c r="H11" i="33" s="1"/>
  <c r="G11" i="33" s="1"/>
  <c r="I11" i="33"/>
  <c r="T10" i="33"/>
  <c r="R10" i="33"/>
  <c r="P10" i="33"/>
  <c r="N10" i="33"/>
  <c r="U10" i="33" s="1"/>
  <c r="V10" i="33" s="1"/>
  <c r="L10" i="33"/>
  <c r="J10" i="33"/>
  <c r="I10" i="33"/>
  <c r="H10" i="33" s="1"/>
  <c r="G10" i="33" s="1"/>
  <c r="T9" i="33"/>
  <c r="R9" i="33"/>
  <c r="P9" i="33"/>
  <c r="N9" i="33"/>
  <c r="U9" i="33" s="1"/>
  <c r="V9" i="33" s="1"/>
  <c r="L9" i="33"/>
  <c r="J9" i="33"/>
  <c r="I9" i="33"/>
  <c r="H9" i="33" s="1"/>
  <c r="G9" i="33" s="1"/>
  <c r="U8" i="33"/>
  <c r="T8" i="33"/>
  <c r="R8" i="33"/>
  <c r="P8" i="33"/>
  <c r="N8" i="33"/>
  <c r="L8" i="33"/>
  <c r="V8" i="33" s="1"/>
  <c r="J8" i="33"/>
  <c r="I8" i="33"/>
  <c r="H8" i="33"/>
  <c r="G8" i="33" s="1"/>
  <c r="T7" i="33"/>
  <c r="R7" i="33"/>
  <c r="P7" i="33"/>
  <c r="N7" i="33"/>
  <c r="U7" i="33" s="1"/>
  <c r="L7" i="33"/>
  <c r="V7" i="33" s="1"/>
  <c r="J7" i="33"/>
  <c r="H7" i="33" s="1"/>
  <c r="G7" i="33" s="1"/>
  <c r="I7" i="33"/>
  <c r="T6" i="33"/>
  <c r="R6" i="33"/>
  <c r="P6" i="33"/>
  <c r="N6" i="33"/>
  <c r="U6" i="33" s="1"/>
  <c r="V6" i="33" s="1"/>
  <c r="L6" i="33"/>
  <c r="J6" i="33"/>
  <c r="I6" i="33"/>
  <c r="H6" i="33" s="1"/>
  <c r="G6" i="33" s="1"/>
  <c r="T5" i="33"/>
  <c r="R5" i="33"/>
  <c r="P5" i="33"/>
  <c r="N5" i="33"/>
  <c r="U5" i="33" s="1"/>
  <c r="V5" i="33" s="1"/>
  <c r="L5" i="33"/>
  <c r="J5" i="33"/>
  <c r="I5" i="33"/>
  <c r="H5" i="33" s="1"/>
  <c r="G5" i="33" s="1"/>
  <c r="V11" i="33" l="1"/>
  <c r="V12" i="33"/>
  <c r="V27" i="33"/>
  <c r="V28" i="33"/>
  <c r="N5" i="31" l="1"/>
  <c r="N4" i="31"/>
  <c r="N6" i="31" s="1"/>
  <c r="G4" i="31"/>
  <c r="G3" i="31"/>
  <c r="C3" i="31"/>
  <c r="N7" i="31" l="1"/>
  <c r="N3" i="25" l="1"/>
  <c r="M64" i="25" l="1"/>
  <c r="K64" i="25" s="1"/>
  <c r="J64" i="25" s="1"/>
  <c r="N64" i="25" s="1"/>
  <c r="M62" i="25"/>
  <c r="K62" i="25" s="1"/>
  <c r="J62" i="25" s="1"/>
  <c r="N62" i="25" s="1"/>
  <c r="M63" i="25"/>
  <c r="K63" i="25" s="1"/>
  <c r="J63" i="25" s="1"/>
  <c r="N63" i="25" s="1"/>
  <c r="M65" i="25"/>
  <c r="K65" i="25" s="1"/>
  <c r="J65" i="25" s="1"/>
  <c r="N65" i="25" s="1"/>
  <c r="M59" i="25"/>
  <c r="K59" i="25" s="1"/>
  <c r="J59" i="25" s="1"/>
  <c r="N59" i="25" s="1"/>
  <c r="M56" i="25"/>
  <c r="K56" i="25" s="1"/>
  <c r="J56" i="25" s="1"/>
  <c r="N56" i="25" s="1"/>
  <c r="M58" i="25"/>
  <c r="K58" i="25" s="1"/>
  <c r="J58" i="25" s="1"/>
  <c r="N58" i="25" s="1"/>
  <c r="M57" i="25"/>
  <c r="K57" i="25" s="1"/>
  <c r="J57" i="25" s="1"/>
  <c r="N57" i="25" s="1"/>
  <c r="M128" i="25"/>
  <c r="K128" i="25" s="1"/>
  <c r="J128" i="25" s="1"/>
  <c r="N128" i="25" s="1"/>
  <c r="M129" i="25"/>
  <c r="K129" i="25" s="1"/>
  <c r="J129" i="25" s="1"/>
  <c r="N129" i="25" s="1"/>
  <c r="M130" i="25"/>
  <c r="K130" i="25" s="1"/>
  <c r="J130" i="25" s="1"/>
  <c r="N130" i="25" s="1"/>
  <c r="M131" i="25"/>
  <c r="K131" i="25" s="1"/>
  <c r="J131" i="25" s="1"/>
  <c r="N131" i="25" s="1"/>
  <c r="M122" i="25"/>
  <c r="K122" i="25" s="1"/>
  <c r="J122" i="25" s="1"/>
  <c r="N122" i="25" s="1"/>
  <c r="M123" i="25"/>
  <c r="K123" i="25" s="1"/>
  <c r="J123" i="25" s="1"/>
  <c r="N123" i="25" s="1"/>
  <c r="M124" i="25"/>
  <c r="K124" i="25" s="1"/>
  <c r="J124" i="25" s="1"/>
  <c r="N124" i="25" s="1"/>
  <c r="M125" i="25"/>
  <c r="K125" i="25" s="1"/>
  <c r="J125" i="25" s="1"/>
  <c r="N125" i="25" s="1"/>
  <c r="M118" i="25"/>
  <c r="K118" i="25" s="1"/>
  <c r="J118" i="25" s="1"/>
  <c r="N118" i="25" s="1"/>
  <c r="M116" i="25"/>
  <c r="K116" i="25" s="1"/>
  <c r="J116" i="25" s="1"/>
  <c r="N116" i="25" s="1"/>
  <c r="M119" i="25"/>
  <c r="K119" i="25" s="1"/>
  <c r="J119" i="25" s="1"/>
  <c r="N119" i="25" s="1"/>
  <c r="M117" i="25"/>
  <c r="K117" i="25" s="1"/>
  <c r="J117" i="25" s="1"/>
  <c r="N117" i="25" s="1"/>
  <c r="M110" i="25"/>
  <c r="K110" i="25" s="1"/>
  <c r="J110" i="25" s="1"/>
  <c r="N110" i="25" s="1"/>
  <c r="M111" i="25"/>
  <c r="K111" i="25" s="1"/>
  <c r="J111" i="25" s="1"/>
  <c r="N111" i="25" s="1"/>
  <c r="M112" i="25"/>
  <c r="K112" i="25" s="1"/>
  <c r="J112" i="25" s="1"/>
  <c r="N112" i="25" s="1"/>
  <c r="M113" i="25"/>
  <c r="K113" i="25" s="1"/>
  <c r="J113" i="25" s="1"/>
  <c r="N113" i="25" s="1"/>
  <c r="M106" i="25"/>
  <c r="K106" i="25" s="1"/>
  <c r="J106" i="25" s="1"/>
  <c r="N106" i="25" s="1"/>
  <c r="M107" i="25"/>
  <c r="K107" i="25" s="1"/>
  <c r="J107" i="25" s="1"/>
  <c r="N107" i="25" s="1"/>
  <c r="M105" i="25"/>
  <c r="K105" i="25" s="1"/>
  <c r="J105" i="25" s="1"/>
  <c r="N105" i="25" s="1"/>
  <c r="M104" i="25"/>
  <c r="K104" i="25" s="1"/>
  <c r="J104" i="25" s="1"/>
  <c r="N104" i="25" s="1"/>
  <c r="M100" i="25"/>
  <c r="K100" i="25" s="1"/>
  <c r="J100" i="25" s="1"/>
  <c r="N100" i="25" s="1"/>
  <c r="M101" i="25"/>
  <c r="K101" i="25" s="1"/>
  <c r="J101" i="25" s="1"/>
  <c r="N101" i="25" s="1"/>
  <c r="M99" i="25"/>
  <c r="K99" i="25" s="1"/>
  <c r="J99" i="25" s="1"/>
  <c r="N99" i="25" s="1"/>
  <c r="M98" i="25"/>
  <c r="K98" i="25" s="1"/>
  <c r="J98" i="25" s="1"/>
  <c r="N98" i="25" s="1"/>
  <c r="M94" i="25"/>
  <c r="K94" i="25" s="1"/>
  <c r="J94" i="25" s="1"/>
  <c r="N94" i="25" s="1"/>
  <c r="M95" i="25"/>
  <c r="K95" i="25" s="1"/>
  <c r="J95" i="25" s="1"/>
  <c r="N95" i="25" s="1"/>
  <c r="M92" i="25"/>
  <c r="K92" i="25" s="1"/>
  <c r="J92" i="25" s="1"/>
  <c r="N92" i="25" s="1"/>
  <c r="M93" i="25"/>
  <c r="K93" i="25" s="1"/>
  <c r="J93" i="25" s="1"/>
  <c r="N93" i="25" s="1"/>
  <c r="M88" i="25"/>
  <c r="K88" i="25" s="1"/>
  <c r="J88" i="25" s="1"/>
  <c r="N88" i="25" s="1"/>
  <c r="M89" i="25"/>
  <c r="K89" i="25" s="1"/>
  <c r="J89" i="25" s="1"/>
  <c r="N89" i="25" s="1"/>
  <c r="M87" i="25"/>
  <c r="K87" i="25" s="1"/>
  <c r="J87" i="25" s="1"/>
  <c r="N87" i="25" s="1"/>
  <c r="M86" i="25"/>
  <c r="K86" i="25" s="1"/>
  <c r="J86" i="25" s="1"/>
  <c r="N86" i="25" s="1"/>
  <c r="M80" i="25"/>
  <c r="K80" i="25" s="1"/>
  <c r="J80" i="25" s="1"/>
  <c r="N80" i="25" s="1"/>
  <c r="M82" i="25"/>
  <c r="K82" i="25" s="1"/>
  <c r="J82" i="25" s="1"/>
  <c r="N82" i="25" s="1"/>
  <c r="M83" i="25"/>
  <c r="K83" i="25" s="1"/>
  <c r="J83" i="25" s="1"/>
  <c r="N83" i="25" s="1"/>
  <c r="M81" i="25"/>
  <c r="K81" i="25" s="1"/>
  <c r="J81" i="25" s="1"/>
  <c r="N81" i="25" s="1"/>
  <c r="M76" i="25"/>
  <c r="K76" i="25" s="1"/>
  <c r="J76" i="25" s="1"/>
  <c r="N76" i="25" s="1"/>
  <c r="M74" i="25"/>
  <c r="K74" i="25" s="1"/>
  <c r="J74" i="25" s="1"/>
  <c r="N74" i="25" s="1"/>
  <c r="M77" i="25"/>
  <c r="K77" i="25" s="1"/>
  <c r="J77" i="25" s="1"/>
  <c r="N77" i="25" s="1"/>
  <c r="M75" i="25"/>
  <c r="K75" i="25" s="1"/>
  <c r="J75" i="25" s="1"/>
  <c r="N75" i="25" s="1"/>
  <c r="M70" i="25"/>
  <c r="K70" i="25" s="1"/>
  <c r="J70" i="25" s="1"/>
  <c r="N70" i="25" s="1"/>
  <c r="M69" i="25"/>
  <c r="K69" i="25" s="1"/>
  <c r="J69" i="25" s="1"/>
  <c r="N69" i="25" s="1"/>
  <c r="M71" i="25"/>
  <c r="K71" i="25" s="1"/>
  <c r="J71" i="25" s="1"/>
  <c r="N71" i="25" s="1"/>
  <c r="M68" i="25"/>
  <c r="K68" i="25" s="1"/>
  <c r="J68" i="25" s="1"/>
  <c r="N68" i="25" s="1"/>
  <c r="M51" i="25"/>
  <c r="K51" i="25" s="1"/>
  <c r="J51" i="25" s="1"/>
  <c r="N51" i="25" s="1"/>
  <c r="M52" i="25"/>
  <c r="K52" i="25" s="1"/>
  <c r="J52" i="25" s="1"/>
  <c r="N52" i="25" s="1"/>
  <c r="M53" i="25"/>
  <c r="K53" i="25" s="1"/>
  <c r="J53" i="25" s="1"/>
  <c r="N53" i="25" s="1"/>
  <c r="M50" i="25"/>
  <c r="K50" i="25" s="1"/>
  <c r="J50" i="25" s="1"/>
  <c r="N50" i="25" s="1"/>
  <c r="M46" i="25"/>
  <c r="K46" i="25" s="1"/>
  <c r="J46" i="25" s="1"/>
  <c r="N46" i="25" s="1"/>
  <c r="M47" i="25"/>
  <c r="K47" i="25" s="1"/>
  <c r="J47" i="25" s="1"/>
  <c r="N47" i="25" s="1"/>
  <c r="M45" i="25"/>
  <c r="K45" i="25" s="1"/>
  <c r="J45" i="25" s="1"/>
  <c r="N45" i="25" s="1"/>
  <c r="M44" i="25"/>
  <c r="K44" i="25" s="1"/>
  <c r="J44" i="25" s="1"/>
  <c r="N44" i="25" s="1"/>
  <c r="M40" i="25"/>
  <c r="K40" i="25" s="1"/>
  <c r="J40" i="25" s="1"/>
  <c r="N40" i="25" s="1"/>
  <c r="M39" i="25"/>
  <c r="K39" i="25" s="1"/>
  <c r="J39" i="25" s="1"/>
  <c r="N39" i="25" s="1"/>
  <c r="M41" i="25"/>
  <c r="K41" i="25" s="1"/>
  <c r="J41" i="25" s="1"/>
  <c r="N41" i="25" s="1"/>
  <c r="M38" i="25"/>
  <c r="K38" i="25" s="1"/>
  <c r="J38" i="25" s="1"/>
  <c r="N38" i="25" s="1"/>
  <c r="M34" i="25"/>
  <c r="K34" i="25" s="1"/>
  <c r="J34" i="25" s="1"/>
  <c r="N34" i="25" s="1"/>
  <c r="M33" i="25"/>
  <c r="K33" i="25" s="1"/>
  <c r="J33" i="25" s="1"/>
  <c r="N33" i="25" s="1"/>
  <c r="M35" i="25"/>
  <c r="K35" i="25" s="1"/>
  <c r="J35" i="25" s="1"/>
  <c r="N35" i="25" s="1"/>
  <c r="M32" i="25"/>
  <c r="K32" i="25" s="1"/>
  <c r="J32" i="25" s="1"/>
  <c r="N32" i="25" s="1"/>
  <c r="M28" i="25"/>
  <c r="K28" i="25" s="1"/>
  <c r="J28" i="25" s="1"/>
  <c r="N28" i="25" s="1"/>
  <c r="M27" i="25"/>
  <c r="K27" i="25" s="1"/>
  <c r="J27" i="25" s="1"/>
  <c r="N27" i="25" s="1"/>
  <c r="M29" i="25"/>
  <c r="K29" i="25" s="1"/>
  <c r="J29" i="25" s="1"/>
  <c r="N29" i="25" s="1"/>
  <c r="M26" i="25"/>
  <c r="K26" i="25" s="1"/>
  <c r="J26" i="25" s="1"/>
  <c r="N26" i="25" s="1"/>
  <c r="M23" i="25"/>
  <c r="K23" i="25" s="1"/>
  <c r="M22" i="25"/>
  <c r="K22" i="25" s="1"/>
  <c r="M21" i="25"/>
  <c r="K21" i="25" s="1"/>
  <c r="M20" i="25"/>
  <c r="K20" i="25" s="1"/>
  <c r="J21" i="25" l="1"/>
  <c r="N21" i="25" s="1"/>
  <c r="J20" i="25"/>
  <c r="N20" i="25" s="1"/>
  <c r="J22" i="25"/>
  <c r="N22" i="25" s="1"/>
  <c r="J23" i="25"/>
  <c r="N23" i="25" s="1"/>
  <c r="A3" i="31"/>
  <c r="B3" i="31" l="1"/>
  <c r="G9" i="25"/>
  <c r="N9" i="25"/>
  <c r="K9" i="25"/>
  <c r="P4" i="31" l="1"/>
  <c r="R5" i="31" s="1"/>
  <c r="F9" i="25"/>
  <c r="D3" i="3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<sst xmlns="http://schemas.openxmlformats.org/spreadsheetml/2006/main" count="467" uniqueCount="220">
  <si>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</si>
  <si>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</si>
  <si>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</si>
  <si>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</si>
  <si>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</si>
  <si>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</si>
  <si>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</si>
  <si>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</si>
  <si>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</si>
  <si>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</si>
  <si>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</si>
  <si>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</si>
  <si>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</si>
  <si>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</si>
  <si>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</si>
  <si>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</si>
  <si>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</si>
  <si>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</si>
  <si>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</si>
  <si>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</si>
  <si>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</si>
  <si>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</si>
  <si>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</si>
  <si>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</si>
  <si>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</si>
  <si>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</si>
  <si>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</si>
  <si>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</si>
  <si>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</si>
  <si>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</si>
  <si>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</si>
  <si>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</si>
  <si>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</si>
  <si>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</si>
  <si>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</si>
  <si>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</si>
  <si>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</si>
  <si>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</si>
  <si>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</si>
  <si>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</si>
  <si>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</si>
  <si>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</si>
  <si>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</si>
  <si>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</si>
  <si>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</si>
  <si>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</si>
  <si>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</si>
  <si>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</si>
  <si>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</si>
  <si>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</si>
  <si>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</si>
  <si>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</si>
  <si>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</si>
  <si>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</si>
  <si>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</si>
  <si>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</si>
  <si>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</si>
  <si>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</si>
  <si>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</si>
  <si>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</si>
  <si>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</si>
  <si>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</si>
  <si>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</si>
  <si>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</si>
  <si>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</si>
  <si>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</si>
  <si>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</si>
  <si>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</si>
  <si>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</si>
  <si>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</si>
  <si>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Produto impactado</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</si>
  <si>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</si>
  <si>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</si>
  <si>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</si>
  <si>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</si>
  <si>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</si>
  <si>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</si>
  <si>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</si>
  <si>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</si>
  <si>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</si>
  <si>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</si>
  <si>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</si>
  <si>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</si>
  <si>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</si>
  <si>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</si>
  <si>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</si>
  <si>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</si>
  <si>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</si>
  <si>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</si>
  <si>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</si>
  <si>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Fim previsto</t>
  </si>
  <si>
    <t>Plano de Ação para Gestão de Riscos do INPI</t>
  </si>
  <si>
    <t>1.1.1</t>
  </si>
  <si>
    <t>Processos de nível 2 mapeados</t>
  </si>
  <si>
    <t>1.1.2</t>
  </si>
  <si>
    <t>Riscos identificados nos processos de nível 2</t>
  </si>
  <si>
    <t>1.1.3</t>
  </si>
  <si>
    <t>Riscos avaliados e analisados</t>
  </si>
  <si>
    <t>1.1.4</t>
  </si>
  <si>
    <t>Planos de resposta, tratamento e revisão definidos</t>
  </si>
  <si>
    <t>2.1.1</t>
  </si>
  <si>
    <t>2.1.2</t>
  </si>
  <si>
    <t>2.1.3</t>
  </si>
  <si>
    <t>2.1.4</t>
  </si>
  <si>
    <t>3.1.1</t>
  </si>
  <si>
    <t>3.1.2</t>
  </si>
  <si>
    <t>3.1.3</t>
  </si>
  <si>
    <t>3.1.4</t>
  </si>
  <si>
    <t>Plano de Gestão de Riscos do Macroprocesso "Gestão da Logística e Infraestrutura" definido</t>
  </si>
  <si>
    <t>Plano de Gestão de Riscos do Macroprocesso "Gestão Orçamentária, Financeira e Contábil" definido</t>
  </si>
  <si>
    <t>Plano de Gestão de Riscos do Macroprocesso "Concessão de Registro de Marca"definido</t>
  </si>
  <si>
    <t>4.1.1</t>
  </si>
  <si>
    <t>4.1.2</t>
  </si>
  <si>
    <t>4.1.3</t>
  </si>
  <si>
    <t>4.1.4</t>
  </si>
  <si>
    <t>Plano de Gestão de Riscos do Macroprocesso "Concessão de Registro de Desenho Industrial" definido</t>
  </si>
  <si>
    <t>Plano de Gestão de Riscos do Macroprocesso "Concessão de Registro de Indicação Geográfica" definido</t>
  </si>
  <si>
    <t>5.1.1</t>
  </si>
  <si>
    <t>5.1.2</t>
  </si>
  <si>
    <t>5.1.3</t>
  </si>
  <si>
    <t>5.1.4</t>
  </si>
  <si>
    <t>6.1.1</t>
  </si>
  <si>
    <t>6.1.2</t>
  </si>
  <si>
    <t>6.1.3</t>
  </si>
  <si>
    <t>6.1.4</t>
  </si>
  <si>
    <t>7.1.1</t>
  </si>
  <si>
    <t>7.1.2</t>
  </si>
  <si>
    <t>7.1.3</t>
  </si>
  <si>
    <t>7.1.4</t>
  </si>
  <si>
    <t>Plano de Gestão de Riscos do Macroprocesso "Gestão da Estratégia" definido</t>
  </si>
  <si>
    <t>Plano de Gestão de Riscos do Macroprocesso "Gestão da Qualidade" definido</t>
  </si>
  <si>
    <t>8.1.1</t>
  </si>
  <si>
    <t>8.1.2</t>
  </si>
  <si>
    <t>8.1.3</t>
  </si>
  <si>
    <t>8.1.4</t>
  </si>
  <si>
    <t>Plano de Gestão de Riscos do Macroprocesso "Gestão da TIC" definido</t>
  </si>
  <si>
    <t>9.1.1</t>
  </si>
  <si>
    <t>9.1.2</t>
  </si>
  <si>
    <t>9.1.3</t>
  </si>
  <si>
    <t>9.1.4</t>
  </si>
  <si>
    <t>10.1.1</t>
  </si>
  <si>
    <t>10.1.2</t>
  </si>
  <si>
    <t>10.1.3</t>
  </si>
  <si>
    <t>10.1.4</t>
  </si>
  <si>
    <t>Plano de Gestão de Riscos do Macroprocesso "Concessão de Patente" definido</t>
  </si>
  <si>
    <t>Plano de Gestão de Riscos do Macroprocesso "Recepção de pedidos e atuação como autoridade internacional no âmbito do PCT" definido</t>
  </si>
  <si>
    <t>11.1.1</t>
  </si>
  <si>
    <t>11.1.2</t>
  </si>
  <si>
    <t>11.1.3</t>
  </si>
  <si>
    <t>11.1.4</t>
  </si>
  <si>
    <t>Plano de Gestão de Riscos do Macroprocesso "Concessão de Registro de Programa de Computador" definido</t>
  </si>
  <si>
    <t>12.1.1</t>
  </si>
  <si>
    <t>12.1.2</t>
  </si>
  <si>
    <t>12.1.3</t>
  </si>
  <si>
    <t>12.1.4</t>
  </si>
  <si>
    <t>13.1.1</t>
  </si>
  <si>
    <t>13.1.2</t>
  </si>
  <si>
    <t>13.1.3</t>
  </si>
  <si>
    <t>13.1.4</t>
  </si>
  <si>
    <t>Plano de Gestão de Riscos do Macroprocesso "Averbação e Registro de Contratos de Direitos de Propriedade Industrial, Transferência de Tecnologia e Franquia Empresarial" definido</t>
  </si>
  <si>
    <t>Plano de Gestão de Riscos do Macroprocesso "Concessão de Registro de Topografia de Circuito Integrado" definido</t>
  </si>
  <si>
    <t>14.1.1</t>
  </si>
  <si>
    <t>14.1.2</t>
  </si>
  <si>
    <t>14.1.3</t>
  </si>
  <si>
    <t>14.1.4</t>
  </si>
  <si>
    <t>Plano de Gestão de Riscos do Macroprocesso "Disseminação da Propriedade Intelectual" definido</t>
  </si>
  <si>
    <t>15.1.1</t>
  </si>
  <si>
    <t>15.1.2</t>
  </si>
  <si>
    <t>15.1.3</t>
  </si>
  <si>
    <t>15.1.4</t>
  </si>
  <si>
    <t>Plano de Gestão de Riscos do Macroprocesso "Relações Internacionais em Propriedade Intelectual" definido</t>
  </si>
  <si>
    <t>16.1.1</t>
  </si>
  <si>
    <t>16.1.2</t>
  </si>
  <si>
    <t>16.1.3</t>
  </si>
  <si>
    <t>16.1.4</t>
  </si>
  <si>
    <t>Plano de Gestão de Riscos do Macroprocesso "Gestão da Comunicação" definido</t>
  </si>
  <si>
    <t>17.1.1</t>
  </si>
  <si>
    <t>17.1.2</t>
  </si>
  <si>
    <t>17.1.3</t>
  </si>
  <si>
    <t>17.1.4</t>
  </si>
  <si>
    <t>Plano de Gestão de Riscos do Macroprocesso "Apoio à Governança" definido</t>
  </si>
  <si>
    <t>18.1.1</t>
  </si>
  <si>
    <t>18.1.2</t>
  </si>
  <si>
    <t>18.1.3</t>
  </si>
  <si>
    <t>18.1.4</t>
  </si>
  <si>
    <t>Plano de Gestão de Riscos do Macroprocesso "Consultoria e Assessoramento Jurídico" definido</t>
  </si>
  <si>
    <t>19.1.1</t>
  </si>
  <si>
    <t>19.1.2</t>
  </si>
  <si>
    <t>19.1.3</t>
  </si>
  <si>
    <t>19.1.4</t>
  </si>
  <si>
    <t>DIGER - Coordenação-Geral da Qualidade  / Diretoria Executiva</t>
  </si>
  <si>
    <t>52402.006865/2019-79</t>
  </si>
  <si>
    <t>Plano de Gestão de Riscos do Macroprocesso "Gestão de Pessoas" definido</t>
  </si>
  <si>
    <t>CONCLUÍDO</t>
  </si>
  <si>
    <t>Em andamento.</t>
  </si>
  <si>
    <t>Não iniciado.</t>
  </si>
  <si>
    <t>Em andamento (para o processo de Gestão de Riscos).</t>
  </si>
  <si>
    <t>Em andamento, no âmbito do Prosperity Fund Fase 2.</t>
  </si>
  <si>
    <t>Atividade concluída em 27/12/19 (antes do prazo planejado).</t>
  </si>
  <si>
    <t>Aprovado via SEI nº 52402.000453/2020-69 , em 23/01/2020.</t>
  </si>
  <si>
    <r>
      <t xml:space="preserve"> Novo prazo acordado: </t>
    </r>
    <r>
      <rPr>
        <b/>
        <sz val="12"/>
        <rFont val="Calibri"/>
        <family val="2"/>
        <scheme val="minor"/>
      </rPr>
      <t>29/05/2020</t>
    </r>
    <r>
      <rPr>
        <sz val="12"/>
        <rFont val="Calibri"/>
        <family val="2"/>
        <scheme val="minor"/>
      </rPr>
      <t xml:space="preserve">. Concluído para o primeiro processo em </t>
    </r>
    <r>
      <rPr>
        <b/>
        <sz val="12"/>
        <rFont val="Calibri"/>
        <family val="2"/>
        <scheme val="minor"/>
      </rPr>
      <t>26/06/2020</t>
    </r>
    <r>
      <rPr>
        <sz val="12"/>
        <rFont val="Calibri"/>
        <family val="2"/>
        <scheme val="minor"/>
      </rPr>
      <t>.</t>
    </r>
  </si>
  <si>
    <t>Atividade concluída em 07/10/19 (antes do prazo planejado). Foram identificados 8 processos.</t>
  </si>
  <si>
    <t>Atividade concluída em 13/02/20 (antes do prazo planejado). Foram identificados 6 processos.</t>
  </si>
  <si>
    <t>Atividade concluída.</t>
  </si>
  <si>
    <t>Atividade concluída em 28/02/20 (antes do prazo planejado).</t>
  </si>
  <si>
    <t>Em andamento. Concluído para RO e Exame ISA.</t>
  </si>
  <si>
    <t>Atividade concluída em 29/11/19 (antes do prazo planejado). Foram identificados 3 processos. No prosperity foram identificados mais processos.</t>
  </si>
  <si>
    <r>
      <t xml:space="preserve">1ª reunião com pontos focais em 09/01/2020. Novo prazo acordado: </t>
    </r>
    <r>
      <rPr>
        <b/>
        <sz val="12"/>
        <rFont val="Calibri"/>
        <family val="2"/>
        <scheme val="minor"/>
      </rPr>
      <t>30/03/2020</t>
    </r>
    <r>
      <rPr>
        <sz val="12"/>
        <rFont val="Calibri"/>
        <family val="2"/>
        <scheme val="minor"/>
      </rPr>
      <t>. Concluído para o primeiro processo em</t>
    </r>
    <r>
      <rPr>
        <b/>
        <sz val="12"/>
        <rFont val="Calibri"/>
        <family val="2"/>
        <scheme val="minor"/>
      </rPr>
      <t xml:space="preserve"> 11/05/2020</t>
    </r>
    <r>
      <rPr>
        <sz val="12"/>
        <rFont val="Calibri"/>
        <family val="2"/>
        <scheme val="minor"/>
      </rPr>
      <t xml:space="preserve">. Iniciado para o segundo processo. Prazo acordado: </t>
    </r>
    <r>
      <rPr>
        <b/>
        <sz val="12"/>
        <rFont val="Calibri"/>
        <family val="2"/>
        <scheme val="minor"/>
      </rPr>
      <t>31/07/2020</t>
    </r>
    <r>
      <rPr>
        <sz val="12"/>
        <rFont val="Calibri"/>
        <family val="2"/>
        <scheme val="minor"/>
      </rPr>
      <t>. Foram entregues todos os processos juntos dessa etapa, mas ainda não teve retorno quanto aos nossos comentários dos dois últimos processos.</t>
    </r>
  </si>
  <si>
    <r>
      <t xml:space="preserve">Novo prazo acordado: </t>
    </r>
    <r>
      <rPr>
        <b/>
        <sz val="12"/>
        <rFont val="Calibri"/>
        <family val="2"/>
        <scheme val="minor"/>
      </rPr>
      <t>15/05/2020</t>
    </r>
    <r>
      <rPr>
        <sz val="12"/>
        <rFont val="Calibri"/>
        <family val="2"/>
        <scheme val="minor"/>
      </rPr>
      <t xml:space="preserve">. Concluído para o primeiro processo em </t>
    </r>
    <r>
      <rPr>
        <b/>
        <sz val="12"/>
        <rFont val="Calibri"/>
        <family val="2"/>
        <scheme val="minor"/>
      </rPr>
      <t>09/06/2020</t>
    </r>
    <r>
      <rPr>
        <sz val="12"/>
        <rFont val="Calibri"/>
        <family val="2"/>
        <scheme val="minor"/>
      </rPr>
      <t>. Segundo processo em atraso (porém atividade 1 foi adiantada para todos os processos.) Retorno da Ísis (PF), solicitando aguardar término dos trabalhos do Prosperity Fund.</t>
    </r>
  </si>
  <si>
    <t>Enviamos comentários em 05 de outubro.</t>
  </si>
  <si>
    <t>Em andamento. Enviamos comentários em 04 de novembro, mas falta o feedback quanto alguns pontos importantes.</t>
  </si>
  <si>
    <t xml:space="preserve">Concluído. </t>
  </si>
  <si>
    <t>Concluído.</t>
  </si>
  <si>
    <t>Em andamento. Iniciado no âmbito dos processos da Ouvidoria, em 15 de julho. Fim previsto Nov 20.</t>
  </si>
  <si>
    <r>
      <t>Em andamento. Faltam processos 7 e 8. Fernando (PF) solicitou aguardar o término dos trabalhos do Prosperity Fund, o que só ocorrerá em 2021. (</t>
    </r>
    <r>
      <rPr>
        <sz val="12"/>
        <color theme="7"/>
        <rFont val="Calibri"/>
        <family val="2"/>
        <scheme val="minor"/>
      </rPr>
      <t>Etapa originalmente prevista para entrega em 30/10/20 foi transferida para 30 de junho de 2021</t>
    </r>
    <r>
      <rPr>
        <sz val="12"/>
        <rFont val="Calibri"/>
        <family val="2"/>
        <scheme val="minor"/>
      </rPr>
      <t>).</t>
    </r>
  </si>
  <si>
    <r>
      <t>Em andamento. Faltam processos 7 e 8.  Fernando (PF) solicitou aguardar o término dos trabalhos do Prosperity Fund, o que só ocorrerá em 2021. (</t>
    </r>
    <r>
      <rPr>
        <sz val="12"/>
        <color theme="7"/>
        <rFont val="Calibri"/>
        <family val="2"/>
        <scheme val="minor"/>
      </rPr>
      <t>Etapa originalmente prevista para entrega em 30/02/21 foi transferida para 30 de junho de 2021</t>
    </r>
    <r>
      <rPr>
        <sz val="12"/>
        <rFont val="Calibri"/>
        <family val="2"/>
        <scheme val="minor"/>
      </rPr>
      <t>).</t>
    </r>
  </si>
  <si>
    <t>Em andamento. A CGPE ainda está em fase de finalização da matriz SIPOC, atividade que concorre com aquelas relacionadas ao PA2021 do INPI.</t>
  </si>
  <si>
    <t>Não iniciado. Primeira reunião de riscos para esclarecimentos e proposição de cronograma ocorrida em 24/11/2020, entre DIGER e Ana Paula.</t>
  </si>
  <si>
    <t>Em andamento, com atrasos em todos os processos. Processos da DIGED estão andando um pouco melhor. Os demais não foram iniciados. Contato com Ponto Focal com retorno de que tentariam concluir as entregas intermediárias até Novembro 20. Estamos sem retorno do Ponto Focal e do restante da equipe.</t>
  </si>
  <si>
    <r>
      <rPr>
        <sz val="12"/>
        <color theme="7"/>
        <rFont val="Calibri"/>
        <family val="2"/>
        <scheme val="minor"/>
      </rPr>
      <t>Conclusão originalmente prevista para entrega em 26/02/21 foi transferida para 30/06/21</t>
    </r>
    <r>
      <rPr>
        <sz val="12"/>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</si>
</sst>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s>
  <fonts count="52">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2"/>
      <color theme="7"/>
      <name val="Calibri"/>
      <family val="2"/>
      <scheme val="minor"/>
    </font>
    <font>
      <sz val="12"/>
      <color theme="7"/>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189">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2" fillId="0" borderId="28" xfId="1" applyNumberFormat="1" applyFont="1" applyFill="1" applyBorder="1" applyAlignment="1" applyProtection="1">
      <alignment horizontal="center" vertical="center" wrapText="1"/>
      <protection locked="0"/>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0"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3" fontId="32" fillId="0" borderId="19" xfId="0" applyNumberFormat="1" applyFont="1" applyFill="1" applyBorder="1" applyAlignment="1" applyProtection="1">
      <alignment vertical="center"/>
      <protection locked="0"/>
    </xf>
    <xf numFmtId="0" fontId="32" fillId="0" borderId="18" xfId="275" applyNumberFormat="1" applyFont="1" applyFill="1" applyBorder="1" applyAlignment="1" applyProtection="1">
      <alignment horizontal="lef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1" xfId="0" applyFont="1" applyBorder="1" applyAlignment="1" applyProtection="1">
      <alignment horizontal="left" vertical="top" wrapText="1"/>
    </xf>
    <xf numFmtId="167" fontId="0" fillId="0" borderId="51" xfId="0" applyNumberFormat="1" applyFont="1" applyBorder="1" applyAlignment="1" applyProtection="1">
      <alignment horizontal="center" vertical="center"/>
      <protection locked="0"/>
    </xf>
    <xf numFmtId="0" fontId="0" fillId="0" borderId="51" xfId="0" applyFont="1" applyFill="1" applyBorder="1" applyAlignment="1" applyProtection="1">
      <alignment vertical="center" wrapText="1"/>
      <protection locked="0"/>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51" xfId="0" applyFont="1" applyBorder="1" applyAlignment="1" applyProtection="1">
      <alignment horizontal="left" vertical="top" wrapText="1"/>
      <protection locked="0"/>
    </xf>
    <xf numFmtId="0" fontId="0" fillId="0" borderId="53" xfId="0" applyFont="1" applyFill="1" applyBorder="1" applyAlignment="1" applyProtection="1">
      <alignment vertical="center"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right" vertical="top" wrapText="1"/>
      <protection locked="0"/>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3" fillId="57" borderId="31"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protection locked="0"/>
    </xf>
    <xf numFmtId="9" fontId="33" fillId="57" borderId="50" xfId="1" applyFont="1" applyFill="1" applyBorder="1" applyAlignment="1" applyProtection="1">
      <alignment horizontal="left" vertical="top"/>
    </xf>
    <xf numFmtId="4" fontId="35" fillId="0" borderId="0" xfId="0" applyNumberFormat="1" applyFont="1" applyBorder="1" applyAlignment="1" applyProtection="1">
      <alignment horizontal="right"/>
    </xf>
    <xf numFmtId="0" fontId="33" fillId="0" borderId="27" xfId="0" applyFont="1" applyBorder="1" applyAlignment="1" applyProtection="1">
      <alignment vertical="center"/>
      <protection locked="0"/>
    </xf>
    <xf numFmtId="0" fontId="33" fillId="0" borderId="29" xfId="0" applyFont="1" applyBorder="1" applyAlignment="1" applyProtection="1">
      <alignment vertical="center"/>
      <protection locked="0"/>
    </xf>
    <xf numFmtId="3" fontId="32" fillId="0" borderId="0" xfId="0" applyNumberFormat="1" applyFont="1" applyFill="1" applyBorder="1" applyAlignment="1" applyProtection="1">
      <alignment vertical="top"/>
      <protection locked="0"/>
    </xf>
    <xf numFmtId="0" fontId="33" fillId="0" borderId="0" xfId="0" applyFont="1" applyBorder="1" applyAlignment="1" applyProtection="1">
      <alignment horizontal="left"/>
      <protection locked="0"/>
    </xf>
    <xf numFmtId="3" fontId="32" fillId="0" borderId="19" xfId="0" applyNumberFormat="1" applyFont="1" applyFill="1" applyBorder="1" applyAlignment="1" applyProtection="1">
      <alignment vertical="center" wrapText="1"/>
      <protection locked="0"/>
    </xf>
    <xf numFmtId="3" fontId="31" fillId="0" borderId="18" xfId="0" applyNumberFormat="1" applyFont="1" applyBorder="1" applyAlignment="1" applyProtection="1">
      <alignment horizontal="center" vertical="center"/>
      <protection locked="0"/>
    </xf>
    <xf numFmtId="3" fontId="31" fillId="0" borderId="19" xfId="0" applyNumberFormat="1" applyFont="1" applyFill="1" applyBorder="1" applyAlignment="1" applyProtection="1">
      <alignment vertical="center" wrapText="1"/>
      <protection locked="0"/>
    </xf>
    <xf numFmtId="167" fontId="31" fillId="0" borderId="19" xfId="0" applyNumberFormat="1" applyFont="1" applyFill="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167" fontId="50" fillId="0" borderId="18" xfId="0" applyNumberFormat="1" applyFont="1" applyFill="1" applyBorder="1" applyAlignment="1" applyProtection="1">
      <alignment horizontal="center" vertical="center"/>
      <protection locked="0"/>
    </xf>
    <xf numFmtId="0" fontId="32" fillId="0" borderId="34" xfId="275" applyNumberFormat="1" applyFont="1" applyFill="1" applyBorder="1" applyAlignment="1" applyProtection="1">
      <alignment horizontal="left" vertical="top" wrapText="1"/>
      <protection locked="0"/>
    </xf>
    <xf numFmtId="0" fontId="32" fillId="0" borderId="35" xfId="275" applyNumberFormat="1" applyFont="1" applyFill="1" applyBorder="1" applyAlignment="1" applyProtection="1">
      <alignment horizontal="left" vertical="top" wrapText="1"/>
      <protection locked="0"/>
    </xf>
    <xf numFmtId="0" fontId="32"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75">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FFCC19"/>
      <color rgb="FFFFCC5A"/>
      <color rgb="FFFFCC2D"/>
      <color rgb="FFFFCC66"/>
      <color rgb="FFFFCC00"/>
      <color rgb="FFFFFF66"/>
      <color rgb="FFFFFF00"/>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dPt>
          <c:dPt>
            <c:idx val="1"/>
            <c:bubble3D val="0"/>
            <c:spPr>
              <a:solidFill>
                <a:srgbClr val="FFCC00">
                  <a:alpha val="55000"/>
                </a:srgbClr>
              </a:solidFill>
              <a:ln w="73025" cap="flat" cmpd="sng">
                <a:noFill/>
              </a:ln>
            </c:spPr>
          </c:dPt>
          <c:dPt>
            <c:idx val="2"/>
            <c:bubble3D val="0"/>
            <c:spPr>
              <a:solidFill>
                <a:srgbClr val="00B050">
                  <a:alpha val="70000"/>
                </a:srgbClr>
              </a:solidFill>
              <a:ln w="73025">
                <a:noFill/>
              </a:ln>
            </c:spPr>
          </c:dPt>
          <c:dPt>
            <c:idx val="3"/>
            <c:bubble3D val="0"/>
            <c:spPr>
              <a:noFill/>
              <a:ln w="73025">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dPt>
          <c:dPt>
            <c:idx val="1"/>
            <c:bubble3D val="0"/>
            <c:spPr>
              <a:solidFill>
                <a:srgbClr val="FFCC00">
                  <a:alpha val="55000"/>
                </a:srgbClr>
              </a:solidFill>
              <a:ln w="12700" cap="flat" cmpd="sng">
                <a:solidFill>
                  <a:schemeClr val="bg1"/>
                </a:solidFill>
              </a:ln>
            </c:spPr>
          </c:dPt>
          <c:dPt>
            <c:idx val="2"/>
            <c:bubble3D val="0"/>
            <c:spPr>
              <a:solidFill>
                <a:srgbClr val="00B050">
                  <a:alpha val="70000"/>
                </a:srgbClr>
              </a:solidFill>
              <a:ln w="12700">
                <a:solidFill>
                  <a:schemeClr val="bg1"/>
                </a:solidFill>
              </a:ln>
            </c:spPr>
          </c:dPt>
          <c:dPt>
            <c:idx val="3"/>
            <c:bubble3D val="0"/>
            <c:spPr>
              <a:noFill/>
              <a:ln w="12700">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dPt>
          <c:dPt>
            <c:idx val="1"/>
            <c:bubble3D val="0"/>
            <c:spPr>
              <a:solidFill>
                <a:schemeClr val="tx1"/>
              </a:solidFill>
              <a:ln>
                <a:solidFill>
                  <a:schemeClr val="tx1"/>
                </a:solidFill>
              </a:ln>
            </c:spPr>
          </c:dPt>
          <c:dPt>
            <c:idx val="2"/>
            <c:bubble3D val="0"/>
            <c:spPr>
              <a:noFill/>
              <a:ln>
                <a:noFill/>
              </a:ln>
            </c:spPr>
          </c:dPt>
          <c:dLbls>
            <c:dLbl>
              <c:idx val="1"/>
              <c:layout/>
              <c:tx>
                <c:strRef>
                  <c:f>'Base dados pizza'!$B$3</c:f>
                  <c:strCache>
                    <c:ptCount val="1"/>
                    <c:pt idx="0">
                      <c:v>54%</c:v>
                    </c:pt>
                  </c:strCache>
                </c:strRef>
              </c:tx>
              <c:spPr/>
              <c:txPr>
                <a:bodyPr/>
                <a:lstStyle/>
                <a:p>
                  <a:pPr>
                    <a:defRPr sz="1800" b="1"/>
                  </a:pPr>
                  <a:endParaRPr lang="pt-BR"/>
                </a:p>
              </c:txPr>
              <c:dLblPos val="bestFit"/>
              <c:showLegendKey val="0"/>
              <c:showVal val="1"/>
              <c:showCatName val="0"/>
              <c:showSerName val="0"/>
              <c:showPercent val="0"/>
              <c:showBubbleSize val="0"/>
            </c:dLbl>
            <c:txPr>
              <a:bodyPr/>
              <a:lstStyle/>
              <a:p>
                <a:pPr>
                  <a:defRPr sz="1800"/>
                </a:pPr>
                <a:endParaRPr lang="pt-BR"/>
              </a:p>
            </c:txPr>
            <c:showLegendKey val="0"/>
            <c:showVal val="0"/>
            <c:showCatName val="0"/>
            <c:showSerName val="0"/>
            <c:showPercent val="0"/>
            <c:showBubbleSize val="0"/>
          </c:dLbls>
          <c:val>
            <c:numRef>
              <c:f>'Base dados pizza'!$J$3:$J$5</c:f>
              <c:numCache>
                <c:formatCode>0.0</c:formatCode>
                <c:ptCount val="3"/>
                <c:pt idx="0" formatCode="0">
                  <c:v>100</c:v>
                </c:pt>
                <c:pt idx="1">
                  <c:v>2.5</c:v>
                </c:pt>
                <c:pt idx="2">
                  <c:v>97.5</c:v>
                </c:pt>
              </c:numCache>
            </c:numRef>
          </c:val>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45"/>
  <sheetViews>
    <sheetView showGridLines="0" tabSelected="1" topLeftCell="A19" zoomScale="80" zoomScaleNormal="80" zoomScaleSheetLayoutView="100" zoomScalePageLayoutView="40" workbookViewId="0">
      <selection activeCell="G21" sqref="G21"/>
    </sheetView>
  </sheetViews>
  <sheetFormatPr defaultColWidth="0" defaultRowHeight="15.75"/>
  <cols>
    <col min="1" max="2" width="0.85546875" style="35" customWidth="1"/>
    <col min="3" max="3" width="7.85546875" style="35" customWidth="1"/>
    <col min="4" max="4" width="44.85546875" style="35" customWidth="1"/>
    <col min="5" max="5" width="15.5703125" style="35" customWidth="1"/>
    <col min="6" max="6" width="14" style="35" customWidth="1"/>
    <col min="7" max="7" width="14.42578125" style="35" customWidth="1"/>
    <col min="8" max="8" width="15" style="35" hidden="1" customWidth="1"/>
    <col min="9" max="10" width="12" style="35" hidden="1" customWidth="1"/>
    <col min="11" max="12" width="15.7109375" style="35" hidden="1" customWidth="1"/>
    <col min="13" max="14" width="17.85546875" style="35" hidden="1" customWidth="1"/>
    <col min="15" max="15" width="87.42578125" style="35" customWidth="1"/>
    <col min="16" max="16" width="0.85546875" style="35" customWidth="1"/>
    <col min="17" max="17" width="0.85546875" style="71" customWidth="1"/>
    <col min="18" max="19" width="9.140625" style="35" hidden="1" customWidth="1"/>
    <col min="20" max="23" width="11.140625" style="35" hidden="1" customWidth="1"/>
    <col min="24" max="42" width="0" style="135" hidden="1"/>
    <col min="43" max="43" width="11.140625" style="35" hidden="1" customWidth="1"/>
    <col min="44" max="16136" width="11.140625" style="35" hidden="1"/>
    <col min="16137" max="16370" width="0" style="35" hidden="1"/>
    <col min="16371" max="16384" width="11.140625" style="35" hidden="1"/>
  </cols>
  <sheetData>
    <row r="1" spans="1:236" s="8" customFormat="1" ht="7.5" customHeight="1">
      <c r="B1" s="9"/>
      <c r="C1" s="64"/>
      <c r="D1" s="65"/>
      <c r="E1" s="64"/>
      <c r="F1" s="64"/>
      <c r="G1" s="10"/>
      <c r="H1" s="10"/>
      <c r="I1" s="10"/>
      <c r="J1" s="10"/>
      <c r="K1" s="10"/>
      <c r="L1" s="10"/>
      <c r="M1" s="10"/>
      <c r="N1" s="10"/>
      <c r="O1" s="10"/>
      <c r="P1" s="11"/>
      <c r="Q1" s="13"/>
      <c r="R1" s="35"/>
      <c r="S1" s="35"/>
      <c r="T1" s="35"/>
      <c r="U1" s="35"/>
      <c r="V1" s="35"/>
      <c r="W1" s="35"/>
      <c r="X1"/>
      <c r="Y1"/>
      <c r="Z1"/>
      <c r="AA1"/>
      <c r="AB1"/>
      <c r="AC1"/>
      <c r="AD1"/>
      <c r="AE1"/>
      <c r="AF1"/>
      <c r="AG1"/>
      <c r="AH1"/>
      <c r="AI1"/>
      <c r="AJ1"/>
      <c r="AK1"/>
      <c r="AL1"/>
      <c r="AM1"/>
      <c r="AN1"/>
      <c r="AO1"/>
      <c r="AP1"/>
      <c r="AQ1" s="35"/>
      <c r="AR1" s="12"/>
      <c r="AS1" s="12"/>
      <c r="AT1" s="12"/>
      <c r="AU1" s="12"/>
      <c r="AV1" s="12"/>
      <c r="AW1" s="12"/>
      <c r="AX1" s="12"/>
      <c r="AY1" s="12"/>
      <c r="AZ1" s="12"/>
      <c r="BA1" s="12"/>
      <c r="BL1" s="12"/>
      <c r="BM1" s="12"/>
      <c r="BN1" s="12"/>
      <c r="BO1" s="12"/>
      <c r="BP1" s="12"/>
      <c r="BQ1" s="12"/>
      <c r="BR1" s="12"/>
      <c r="BS1" s="12"/>
      <c r="BT1" s="12"/>
      <c r="BU1" s="12"/>
      <c r="BV1" s="12"/>
      <c r="BW1" s="12"/>
      <c r="BX1" s="12"/>
      <c r="BY1" s="12"/>
      <c r="BZ1" s="12"/>
      <c r="HQ1" s="12"/>
      <c r="HR1" s="12"/>
      <c r="HS1" s="12"/>
      <c r="HT1" s="12"/>
      <c r="HU1" s="12"/>
      <c r="HV1" s="12"/>
      <c r="HW1" s="12"/>
      <c r="HX1" s="12"/>
      <c r="HY1" s="12"/>
      <c r="HZ1" s="12"/>
      <c r="IA1" s="12"/>
      <c r="IB1" s="12"/>
    </row>
    <row r="2" spans="1:236" s="8" customFormat="1" ht="15" customHeight="1">
      <c r="A2" s="13"/>
      <c r="B2" s="14"/>
      <c r="C2" s="66"/>
      <c r="D2" s="66"/>
      <c r="E2" s="66"/>
      <c r="F2" s="66"/>
      <c r="G2" s="63" t="s">
        <v>22</v>
      </c>
      <c r="H2" s="63"/>
      <c r="I2" s="63"/>
      <c r="J2" s="63"/>
      <c r="K2" s="63"/>
      <c r="L2" s="63"/>
      <c r="M2" s="63"/>
      <c r="N2" s="63"/>
      <c r="O2" s="63"/>
      <c r="P2" s="15"/>
      <c r="Q2" s="13"/>
      <c r="R2" s="35"/>
      <c r="S2" s="35"/>
      <c r="T2" s="35"/>
      <c r="U2" s="35"/>
      <c r="V2" s="35"/>
      <c r="W2" s="35"/>
      <c r="X2"/>
      <c r="Y2"/>
      <c r="Z2"/>
      <c r="AA2"/>
      <c r="AB2"/>
      <c r="AC2"/>
      <c r="AD2"/>
      <c r="AE2"/>
      <c r="AF2"/>
      <c r="AG2"/>
      <c r="AH2"/>
      <c r="AI2"/>
      <c r="AJ2"/>
      <c r="AK2"/>
      <c r="AL2"/>
      <c r="AM2"/>
      <c r="AN2"/>
      <c r="AO2"/>
      <c r="AP2"/>
      <c r="AQ2" s="35"/>
      <c r="AR2" s="12"/>
      <c r="AS2" s="12"/>
      <c r="AT2" s="12"/>
      <c r="AU2" s="12"/>
      <c r="AV2" s="12"/>
      <c r="AW2" s="12"/>
      <c r="AX2" s="12"/>
      <c r="AY2" s="12"/>
      <c r="AZ2" s="12"/>
      <c r="BA2" s="12"/>
      <c r="BL2" s="12"/>
      <c r="BM2" s="12"/>
      <c r="BN2" s="12"/>
      <c r="BO2" s="12"/>
      <c r="BP2" s="12"/>
      <c r="BQ2" s="12"/>
      <c r="BR2" s="12"/>
      <c r="BS2" s="12"/>
      <c r="BT2" s="12"/>
      <c r="BU2" s="12"/>
      <c r="BV2" s="12"/>
      <c r="BW2" s="12"/>
      <c r="BX2" s="12"/>
      <c r="BY2" s="12"/>
      <c r="BZ2" s="12"/>
      <c r="HQ2" s="12"/>
      <c r="HR2" s="12"/>
      <c r="HS2" s="12"/>
      <c r="HT2" s="12"/>
      <c r="HU2" s="12"/>
      <c r="HV2" s="12"/>
      <c r="HW2" s="12"/>
      <c r="HX2" s="12"/>
      <c r="HY2" s="12"/>
      <c r="HZ2" s="12"/>
      <c r="IA2" s="12"/>
      <c r="IB2" s="12"/>
    </row>
    <row r="3" spans="1:236" s="8" customFormat="1" ht="15" customHeight="1">
      <c r="A3" s="13"/>
      <c r="B3" s="14"/>
      <c r="C3" s="67" t="s">
        <v>21</v>
      </c>
      <c r="D3" s="68" t="s">
        <v>91</v>
      </c>
      <c r="E3" s="68"/>
      <c r="F3" s="68"/>
      <c r="G3" s="17" t="s">
        <v>61</v>
      </c>
      <c r="H3" s="17"/>
      <c r="I3" s="17"/>
      <c r="J3" s="16"/>
      <c r="K3" s="158"/>
      <c r="L3" s="158"/>
      <c r="M3" s="16"/>
      <c r="N3" s="18">
        <f ca="1">O3</f>
        <v>44161</v>
      </c>
      <c r="O3" s="81">
        <f ca="1">TODAY()</f>
        <v>44161</v>
      </c>
      <c r="P3" s="15"/>
      <c r="Q3" s="13"/>
      <c r="R3" s="35"/>
      <c r="S3" s="35"/>
      <c r="T3" s="35"/>
      <c r="U3" s="35"/>
      <c r="V3" s="35"/>
      <c r="W3" s="35"/>
      <c r="X3"/>
      <c r="Y3"/>
      <c r="Z3"/>
      <c r="AA3"/>
      <c r="AB3"/>
      <c r="AC3"/>
      <c r="AD3"/>
      <c r="AE3"/>
      <c r="AF3"/>
      <c r="AG3"/>
      <c r="AH3"/>
      <c r="AI3"/>
      <c r="AJ3"/>
      <c r="AK3"/>
      <c r="AL3"/>
      <c r="AM3"/>
      <c r="AN3"/>
      <c r="AO3"/>
      <c r="AP3"/>
      <c r="AQ3" s="35"/>
      <c r="AR3" s="12"/>
      <c r="AS3" s="12"/>
      <c r="AT3" s="12"/>
      <c r="AU3" s="12"/>
      <c r="AV3" s="12"/>
      <c r="AW3" s="12"/>
      <c r="AX3" s="12"/>
      <c r="AY3" s="12"/>
      <c r="AZ3" s="12"/>
      <c r="BA3" s="12"/>
      <c r="BL3" s="12"/>
      <c r="BM3" s="12"/>
      <c r="BN3" s="12"/>
      <c r="BO3" s="12"/>
      <c r="BP3" s="12"/>
      <c r="BQ3" s="12"/>
      <c r="BR3" s="12"/>
      <c r="BS3" s="12"/>
      <c r="BT3" s="12"/>
      <c r="BU3" s="12"/>
      <c r="BV3" s="12"/>
      <c r="BW3" s="12"/>
      <c r="BX3" s="12"/>
      <c r="BY3" s="12"/>
      <c r="BZ3" s="12"/>
      <c r="HQ3" s="12"/>
      <c r="HR3" s="12"/>
      <c r="HS3" s="12"/>
      <c r="HT3" s="12"/>
      <c r="HU3" s="12"/>
      <c r="HV3" s="12"/>
      <c r="HW3" s="12"/>
      <c r="HX3" s="12"/>
      <c r="HY3" s="12"/>
      <c r="HZ3" s="12"/>
      <c r="IA3" s="12"/>
      <c r="IB3" s="12"/>
    </row>
    <row r="4" spans="1:236" s="8" customFormat="1" ht="15" customHeight="1" thickBot="1">
      <c r="A4" s="13"/>
      <c r="B4" s="19"/>
      <c r="C4" s="69" t="s">
        <v>42</v>
      </c>
      <c r="D4" s="89" t="s">
        <v>190</v>
      </c>
      <c r="E4" s="70"/>
      <c r="F4" s="70"/>
      <c r="G4" s="20" t="s">
        <v>46</v>
      </c>
      <c r="H4" s="20"/>
      <c r="I4" s="20"/>
      <c r="J4" s="20"/>
      <c r="K4" s="20"/>
      <c r="L4" s="20"/>
      <c r="M4" s="20"/>
      <c r="N4" s="21"/>
      <c r="O4" s="90" t="s">
        <v>191</v>
      </c>
      <c r="P4" s="22"/>
      <c r="Q4" s="13"/>
      <c r="R4" s="35"/>
      <c r="S4" s="35"/>
      <c r="T4" s="35"/>
      <c r="U4" s="35"/>
      <c r="V4" s="35"/>
      <c r="W4" s="35"/>
      <c r="X4"/>
      <c r="Y4"/>
      <c r="Z4"/>
      <c r="AA4"/>
      <c r="AB4"/>
      <c r="AC4"/>
      <c r="AD4"/>
      <c r="AE4"/>
      <c r="AF4"/>
      <c r="AG4"/>
      <c r="AH4"/>
      <c r="AI4"/>
      <c r="AJ4"/>
      <c r="AK4"/>
      <c r="AL4"/>
      <c r="AM4"/>
      <c r="AN4"/>
      <c r="AO4"/>
      <c r="AP4"/>
      <c r="AQ4" s="35"/>
      <c r="AR4" s="12"/>
      <c r="AS4" s="12"/>
      <c r="AT4" s="12"/>
      <c r="AU4" s="12"/>
      <c r="AV4" s="12"/>
      <c r="AW4" s="12"/>
      <c r="AX4" s="12"/>
      <c r="AY4" s="12"/>
      <c r="AZ4" s="12"/>
      <c r="BA4" s="12"/>
      <c r="BL4" s="12"/>
      <c r="BM4" s="12"/>
      <c r="BN4" s="12"/>
      <c r="BO4" s="12"/>
      <c r="BP4" s="12"/>
      <c r="BQ4" s="12"/>
      <c r="BR4" s="12"/>
      <c r="BS4" s="12"/>
      <c r="BT4" s="12"/>
      <c r="BU4" s="12"/>
      <c r="BV4" s="12"/>
      <c r="BW4" s="12"/>
      <c r="BX4" s="12"/>
      <c r="BY4" s="12"/>
      <c r="BZ4" s="12"/>
      <c r="HQ4" s="12"/>
      <c r="HR4" s="12"/>
      <c r="HS4" s="12"/>
      <c r="HT4" s="12"/>
      <c r="HU4" s="12"/>
      <c r="HV4" s="12"/>
      <c r="HW4" s="12"/>
      <c r="HX4" s="12"/>
      <c r="HY4" s="12"/>
      <c r="HZ4" s="12"/>
      <c r="IA4" s="12"/>
      <c r="IB4" s="12"/>
    </row>
    <row r="5" spans="1:236" s="8" customFormat="1" ht="7.5" customHeight="1" thickBot="1">
      <c r="A5" s="13"/>
      <c r="B5" s="13"/>
      <c r="C5" s="71"/>
      <c r="D5" s="71"/>
      <c r="E5" s="71"/>
      <c r="F5" s="71"/>
      <c r="G5" s="13"/>
      <c r="H5" s="13"/>
      <c r="I5" s="13"/>
      <c r="J5" s="13"/>
      <c r="K5" s="13"/>
      <c r="L5" s="13"/>
      <c r="M5" s="13"/>
      <c r="N5" s="23"/>
      <c r="O5" s="24"/>
      <c r="P5" s="13"/>
      <c r="Q5" s="13"/>
      <c r="R5" s="35"/>
      <c r="S5" s="35"/>
      <c r="T5" s="35"/>
      <c r="U5" s="35"/>
      <c r="V5" s="35"/>
      <c r="W5" s="35"/>
      <c r="X5"/>
      <c r="Y5"/>
      <c r="Z5"/>
      <c r="AA5"/>
      <c r="AB5"/>
      <c r="AC5"/>
      <c r="AD5"/>
      <c r="AE5"/>
      <c r="AF5"/>
      <c r="AG5"/>
      <c r="AH5"/>
      <c r="AI5"/>
      <c r="AJ5"/>
      <c r="AK5"/>
      <c r="AL5"/>
      <c r="AM5"/>
      <c r="AN5"/>
      <c r="AO5"/>
      <c r="AP5"/>
      <c r="AQ5" s="35"/>
      <c r="AR5" s="12"/>
      <c r="AS5" s="12"/>
      <c r="AT5" s="12"/>
      <c r="AU5" s="12"/>
      <c r="AV5" s="12"/>
      <c r="AW5" s="12"/>
      <c r="AX5" s="12"/>
      <c r="AY5" s="12"/>
      <c r="AZ5" s="12"/>
      <c r="BA5" s="12"/>
      <c r="BL5" s="12"/>
      <c r="BM5" s="12"/>
      <c r="BN5" s="12"/>
      <c r="BO5" s="12"/>
      <c r="BP5" s="12"/>
      <c r="BQ5" s="12"/>
      <c r="BR5" s="12"/>
      <c r="BS5" s="12"/>
      <c r="BT5" s="12"/>
      <c r="BU5" s="12"/>
      <c r="BV5" s="12"/>
      <c r="BW5" s="12"/>
      <c r="BX5" s="12"/>
      <c r="BY5" s="12"/>
      <c r="BZ5" s="12"/>
      <c r="HQ5" s="12"/>
      <c r="HR5" s="12"/>
      <c r="HS5" s="12"/>
      <c r="HT5" s="12"/>
      <c r="HU5" s="12"/>
      <c r="HV5" s="12"/>
      <c r="HW5" s="12"/>
      <c r="HX5" s="12"/>
      <c r="HY5" s="12"/>
      <c r="HZ5" s="12"/>
      <c r="IA5" s="12"/>
      <c r="IB5" s="12"/>
    </row>
    <row r="6" spans="1:236" s="8" customFormat="1" ht="7.5" customHeight="1">
      <c r="A6" s="13"/>
      <c r="B6" s="9"/>
      <c r="C6" s="64"/>
      <c r="D6" s="64"/>
      <c r="E6" s="64"/>
      <c r="F6" s="64"/>
      <c r="G6" s="10"/>
      <c r="H6" s="10"/>
      <c r="I6" s="10"/>
      <c r="J6" s="10"/>
      <c r="K6" s="10"/>
      <c r="L6" s="10"/>
      <c r="M6" s="10"/>
      <c r="N6" s="10"/>
      <c r="O6" s="10"/>
      <c r="P6" s="11"/>
      <c r="Q6" s="13"/>
      <c r="R6" s="35"/>
      <c r="S6" s="35"/>
      <c r="T6" s="35"/>
      <c r="U6" s="35"/>
      <c r="V6" s="35"/>
      <c r="W6" s="35"/>
      <c r="X6"/>
      <c r="Y6"/>
      <c r="Z6"/>
      <c r="AA6"/>
      <c r="AB6"/>
      <c r="AC6"/>
      <c r="AD6"/>
      <c r="AE6"/>
      <c r="AF6"/>
      <c r="AG6"/>
      <c r="AH6"/>
      <c r="AI6"/>
      <c r="AJ6"/>
      <c r="AK6"/>
      <c r="AL6"/>
      <c r="AM6"/>
      <c r="AN6"/>
      <c r="AO6"/>
      <c r="AP6"/>
      <c r="AQ6" s="35"/>
      <c r="AR6" s="12"/>
      <c r="AS6" s="12"/>
      <c r="AT6" s="12"/>
      <c r="AU6" s="12"/>
      <c r="AV6" s="12"/>
      <c r="AW6" s="12"/>
      <c r="AX6" s="12"/>
      <c r="AY6" s="12"/>
      <c r="AZ6" s="12"/>
      <c r="BA6" s="12"/>
      <c r="BL6" s="12"/>
      <c r="BM6" s="12"/>
      <c r="BN6" s="12"/>
      <c r="BO6" s="12"/>
      <c r="BP6" s="12"/>
      <c r="BQ6" s="12"/>
      <c r="BR6" s="12"/>
      <c r="BS6" s="12"/>
      <c r="BT6" s="12"/>
      <c r="BU6" s="12"/>
      <c r="BV6" s="12"/>
      <c r="BW6" s="12"/>
      <c r="BX6" s="12"/>
      <c r="BY6" s="12"/>
      <c r="BZ6" s="12"/>
      <c r="HQ6" s="12"/>
      <c r="HR6" s="12"/>
      <c r="HS6" s="12"/>
      <c r="HT6" s="12"/>
      <c r="HU6" s="12"/>
      <c r="HV6" s="12"/>
      <c r="HW6" s="12"/>
      <c r="HX6" s="12"/>
      <c r="HY6" s="12"/>
      <c r="HZ6" s="12"/>
      <c r="IA6" s="12"/>
      <c r="IB6" s="12"/>
    </row>
    <row r="7" spans="1:236" s="8" customFormat="1" ht="15" customHeight="1">
      <c r="A7" s="13"/>
      <c r="B7" s="14"/>
      <c r="C7" s="72" t="s">
        <v>40</v>
      </c>
      <c r="D7" s="72"/>
      <c r="E7" s="72"/>
      <c r="F7" s="72"/>
      <c r="G7" s="62"/>
      <c r="H7" s="62"/>
      <c r="I7" s="62"/>
      <c r="J7" s="62"/>
      <c r="K7" s="62"/>
      <c r="L7" s="62"/>
      <c r="M7" s="62"/>
      <c r="N7" s="62"/>
      <c r="O7" s="62"/>
      <c r="P7" s="25"/>
      <c r="Q7" s="58"/>
      <c r="R7" s="35"/>
      <c r="S7" s="35"/>
      <c r="T7" s="35"/>
      <c r="U7" s="35"/>
      <c r="V7" s="35"/>
      <c r="W7" s="35"/>
      <c r="X7"/>
      <c r="Y7"/>
      <c r="Z7"/>
      <c r="AA7"/>
      <c r="AB7"/>
      <c r="AC7"/>
      <c r="AD7"/>
      <c r="AE7"/>
      <c r="AF7"/>
      <c r="AG7"/>
      <c r="AH7"/>
      <c r="AI7"/>
      <c r="AJ7"/>
      <c r="AK7"/>
      <c r="AL7"/>
      <c r="AM7"/>
      <c r="AN7"/>
      <c r="AO7"/>
      <c r="AP7"/>
      <c r="AQ7" s="35"/>
      <c r="AR7" s="12"/>
      <c r="AS7" s="12"/>
      <c r="AT7" s="12"/>
      <c r="AU7" s="12"/>
      <c r="AV7" s="12"/>
      <c r="AW7" s="12"/>
      <c r="AX7" s="12"/>
      <c r="AY7" s="12"/>
      <c r="AZ7" s="12"/>
      <c r="BA7" s="12"/>
      <c r="BL7" s="12"/>
      <c r="BM7" s="12"/>
      <c r="BN7" s="12"/>
      <c r="BO7" s="12"/>
      <c r="BP7" s="12"/>
      <c r="BQ7" s="12"/>
      <c r="BR7" s="12"/>
      <c r="BS7" s="12"/>
      <c r="BT7" s="12"/>
      <c r="BU7" s="12"/>
      <c r="BV7" s="12"/>
      <c r="BW7" s="12"/>
      <c r="BX7" s="12"/>
      <c r="BY7" s="12"/>
      <c r="BZ7" s="12"/>
      <c r="HQ7" s="12"/>
      <c r="HR7" s="12"/>
      <c r="HS7" s="12"/>
      <c r="HT7" s="12"/>
      <c r="HU7" s="12"/>
      <c r="HV7" s="12"/>
      <c r="HW7" s="12"/>
      <c r="HX7" s="12"/>
      <c r="HY7" s="12"/>
      <c r="HZ7" s="12"/>
      <c r="IA7" s="12"/>
      <c r="IB7" s="12"/>
    </row>
    <row r="8" spans="1:236" s="8" customFormat="1" ht="15" customHeight="1">
      <c r="B8" s="14"/>
      <c r="C8" s="103" t="s">
        <v>63</v>
      </c>
      <c r="D8" s="103"/>
      <c r="E8" s="103"/>
      <c r="F8" s="26" t="s">
        <v>44</v>
      </c>
      <c r="G8" s="26" t="s">
        <v>43</v>
      </c>
      <c r="H8" s="26"/>
      <c r="I8" s="26"/>
      <c r="J8" s="26"/>
      <c r="K8" s="27" t="s">
        <v>53</v>
      </c>
      <c r="L8" s="27"/>
      <c r="M8" s="27"/>
      <c r="N8" s="28" t="s">
        <v>52</v>
      </c>
      <c r="O8" s="29" t="s">
        <v>65</v>
      </c>
      <c r="P8" s="25"/>
      <c r="Q8" s="58"/>
      <c r="R8" s="35"/>
      <c r="S8" s="35"/>
      <c r="T8" s="35"/>
      <c r="U8" s="35"/>
      <c r="V8" s="35"/>
      <c r="W8" s="35"/>
      <c r="X8"/>
      <c r="Y8"/>
      <c r="Z8"/>
      <c r="AA8"/>
      <c r="AB8"/>
      <c r="AC8"/>
      <c r="AD8"/>
      <c r="AE8"/>
      <c r="AF8"/>
      <c r="AG8"/>
      <c r="AH8"/>
      <c r="AI8"/>
      <c r="AJ8"/>
      <c r="AK8"/>
      <c r="AL8"/>
      <c r="AM8"/>
      <c r="AN8"/>
      <c r="AO8"/>
      <c r="AP8"/>
      <c r="AQ8" s="35"/>
      <c r="AR8" s="12"/>
      <c r="AS8" s="12"/>
      <c r="AT8" s="12"/>
      <c r="AU8" s="12"/>
      <c r="AV8" s="12"/>
      <c r="AW8" s="12"/>
      <c r="AX8" s="12"/>
      <c r="AY8" s="12"/>
      <c r="AZ8" s="12"/>
      <c r="BA8" s="12"/>
      <c r="BL8" s="12"/>
      <c r="BM8" s="12"/>
      <c r="BN8" s="12"/>
      <c r="BO8" s="12"/>
      <c r="BP8" s="12"/>
      <c r="BQ8" s="12"/>
      <c r="BR8" s="12"/>
      <c r="BS8" s="12"/>
      <c r="BT8" s="12"/>
      <c r="BU8" s="12"/>
      <c r="BV8" s="12"/>
      <c r="BW8" s="12"/>
      <c r="BX8" s="12"/>
      <c r="BY8" s="12"/>
      <c r="BZ8" s="12"/>
      <c r="HQ8" s="12"/>
      <c r="HR8" s="12"/>
      <c r="HS8" s="12"/>
      <c r="HT8" s="12"/>
      <c r="HU8" s="12"/>
      <c r="HV8" s="12"/>
      <c r="HW8" s="12"/>
      <c r="HX8" s="12"/>
      <c r="HY8" s="12"/>
      <c r="HZ8" s="12"/>
      <c r="IA8" s="12"/>
      <c r="IB8" s="12"/>
    </row>
    <row r="9" spans="1:236" s="8" customFormat="1" ht="21" customHeight="1">
      <c r="A9" s="13"/>
      <c r="B9" s="14"/>
      <c r="C9" s="97"/>
      <c r="D9" s="98"/>
      <c r="E9" s="98"/>
      <c r="F9" s="176">
        <f ca="1">IF(OR($D$3="",$D$3="não há"),"-",'Base dados pizza'!B3)</f>
        <v>0.54316166281755196</v>
      </c>
      <c r="G9" s="177">
        <f ca="1">IF(OR($D$3="",$D$3="não há"),"-",'Base dados pizza'!A3)</f>
        <v>0.53187066974595842</v>
      </c>
      <c r="H9" s="86"/>
      <c r="I9" s="59"/>
      <c r="J9" s="172"/>
      <c r="K9" s="172" t="e">
        <f>IF(OR(D3="",D3="não há"),"-",#REF!)</f>
        <v>#REF!</v>
      </c>
      <c r="L9" s="59"/>
      <c r="M9" s="59"/>
      <c r="N9" s="173" t="e">
        <f>IF(OR(D3="",D3="não há"),"-",#REF!)</f>
        <v>#REF!</v>
      </c>
      <c r="O9" s="169"/>
      <c r="P9" s="25"/>
      <c r="Q9" s="58"/>
      <c r="R9" s="35"/>
      <c r="S9" s="35"/>
      <c r="T9" s="35"/>
      <c r="U9" s="35"/>
      <c r="V9" s="35"/>
      <c r="W9" s="35"/>
      <c r="X9"/>
      <c r="Y9"/>
      <c r="Z9"/>
      <c r="AA9"/>
      <c r="AB9"/>
      <c r="AC9"/>
      <c r="AD9"/>
      <c r="AE9"/>
      <c r="AF9"/>
      <c r="AG9"/>
      <c r="AH9"/>
      <c r="AI9"/>
      <c r="AJ9"/>
      <c r="AK9"/>
      <c r="AL9"/>
      <c r="AM9"/>
      <c r="AN9"/>
      <c r="AO9"/>
      <c r="AP9"/>
      <c r="AQ9" s="35"/>
      <c r="AR9" s="12"/>
      <c r="AS9" s="12"/>
      <c r="AT9" s="12"/>
      <c r="AU9" s="12"/>
      <c r="AV9" s="12"/>
      <c r="AW9" s="12"/>
      <c r="AX9" s="12"/>
      <c r="AY9" s="12"/>
      <c r="AZ9" s="12"/>
      <c r="BA9" s="12"/>
      <c r="BL9" s="12"/>
      <c r="BM9" s="12"/>
      <c r="BN9" s="12"/>
      <c r="BO9" s="12"/>
      <c r="BP9" s="12"/>
      <c r="BQ9" s="12"/>
      <c r="BR9" s="12"/>
      <c r="BS9" s="12"/>
      <c r="BT9" s="12"/>
      <c r="BU9" s="12"/>
      <c r="BV9" s="12"/>
      <c r="BW9" s="12"/>
      <c r="BX9" s="12"/>
      <c r="BY9" s="12"/>
      <c r="BZ9" s="12"/>
      <c r="HQ9" s="12"/>
      <c r="HR9" s="12"/>
      <c r="HS9" s="12"/>
      <c r="HT9" s="12"/>
      <c r="HU9" s="12"/>
      <c r="HV9" s="12"/>
      <c r="HW9" s="12"/>
      <c r="HX9" s="12"/>
      <c r="HY9" s="12"/>
      <c r="HZ9" s="12"/>
      <c r="IA9" s="12"/>
      <c r="IB9" s="12"/>
    </row>
    <row r="10" spans="1:236" s="8" customFormat="1" ht="21" customHeight="1">
      <c r="A10" s="13"/>
      <c r="B10" s="14"/>
      <c r="C10" s="99"/>
      <c r="D10" s="100"/>
      <c r="E10" s="100"/>
      <c r="F10" s="176"/>
      <c r="G10" s="178"/>
      <c r="H10" s="87"/>
      <c r="I10" s="60"/>
      <c r="J10" s="172"/>
      <c r="K10" s="172"/>
      <c r="L10" s="60"/>
      <c r="M10" s="60"/>
      <c r="N10" s="174"/>
      <c r="O10" s="170"/>
      <c r="P10" s="25"/>
      <c r="Q10" s="58"/>
      <c r="R10" s="35"/>
      <c r="S10" s="35"/>
      <c r="T10" s="35"/>
      <c r="U10" s="35"/>
      <c r="V10" s="35"/>
      <c r="W10" s="35"/>
      <c r="X10"/>
      <c r="Y10"/>
      <c r="Z10"/>
      <c r="AA10"/>
      <c r="AB10"/>
      <c r="AC10"/>
      <c r="AD10"/>
      <c r="AE10"/>
      <c r="AF10"/>
      <c r="AG10"/>
      <c r="AH10"/>
      <c r="AI10"/>
      <c r="AJ10"/>
      <c r="AK10"/>
      <c r="AL10"/>
      <c r="AM10"/>
      <c r="AN10"/>
      <c r="AO10"/>
      <c r="AP10"/>
      <c r="AQ10" s="35"/>
      <c r="AR10" s="12"/>
      <c r="AS10" s="12"/>
      <c r="AT10" s="12"/>
      <c r="AU10" s="12"/>
      <c r="AV10" s="12"/>
      <c r="AW10" s="12"/>
      <c r="AX10" s="12"/>
      <c r="AY10" s="12"/>
      <c r="AZ10" s="12"/>
      <c r="BA10" s="12"/>
      <c r="BL10" s="12"/>
      <c r="BM10" s="12"/>
      <c r="BN10" s="12"/>
      <c r="BO10" s="12"/>
      <c r="BP10" s="12"/>
      <c r="BQ10" s="12"/>
      <c r="BR10" s="12"/>
      <c r="BS10" s="12"/>
      <c r="BT10" s="12"/>
      <c r="BU10" s="12"/>
      <c r="BV10" s="12"/>
      <c r="BW10" s="12"/>
      <c r="BX10" s="12"/>
      <c r="BY10" s="12"/>
      <c r="BZ10" s="12"/>
      <c r="HQ10" s="12"/>
      <c r="HR10" s="12"/>
      <c r="HS10" s="12"/>
      <c r="HT10" s="12"/>
      <c r="HU10" s="12"/>
      <c r="HV10" s="12"/>
      <c r="HW10" s="12"/>
      <c r="HX10" s="12"/>
      <c r="HY10" s="12"/>
      <c r="HZ10" s="12"/>
      <c r="IA10" s="12"/>
      <c r="IB10" s="12"/>
    </row>
    <row r="11" spans="1:236" s="8" customFormat="1" ht="21" customHeight="1">
      <c r="A11" s="13"/>
      <c r="B11" s="14"/>
      <c r="C11" s="99"/>
      <c r="D11" s="100"/>
      <c r="E11" s="100"/>
      <c r="F11" s="176"/>
      <c r="G11" s="178"/>
      <c r="H11" s="87"/>
      <c r="I11" s="60"/>
      <c r="J11" s="172"/>
      <c r="K11" s="172"/>
      <c r="L11" s="60"/>
      <c r="M11" s="60"/>
      <c r="N11" s="174"/>
      <c r="O11" s="170"/>
      <c r="P11" s="25"/>
      <c r="Q11" s="58"/>
      <c r="R11" s="35"/>
      <c r="S11" s="35"/>
      <c r="T11" s="35"/>
      <c r="U11" s="35"/>
      <c r="V11" s="35"/>
      <c r="W11" s="35"/>
      <c r="X11"/>
      <c r="Y11"/>
      <c r="Z11"/>
      <c r="AA11"/>
      <c r="AB11"/>
      <c r="AC11"/>
      <c r="AD11"/>
      <c r="AE11"/>
      <c r="AF11"/>
      <c r="AG11"/>
      <c r="AH11"/>
      <c r="AI11"/>
      <c r="AJ11"/>
      <c r="AK11"/>
      <c r="AL11"/>
      <c r="AM11"/>
      <c r="AN11"/>
      <c r="AO11"/>
      <c r="AP11"/>
      <c r="AQ11" s="35"/>
      <c r="AR11" s="12"/>
      <c r="AS11" s="12"/>
      <c r="AT11" s="12"/>
      <c r="AU11" s="12"/>
      <c r="AV11" s="12"/>
      <c r="AW11" s="12"/>
      <c r="AX11" s="12"/>
      <c r="AY11" s="12"/>
      <c r="AZ11" s="12"/>
      <c r="BA11" s="12"/>
      <c r="BL11" s="12"/>
      <c r="BM11" s="12"/>
      <c r="BN11" s="12"/>
      <c r="BO11" s="12"/>
      <c r="BP11" s="12"/>
      <c r="BQ11" s="12"/>
      <c r="BR11" s="12"/>
      <c r="BS11" s="12"/>
      <c r="BT11" s="12"/>
      <c r="BU11" s="12"/>
      <c r="BV11" s="12"/>
      <c r="BW11" s="12"/>
      <c r="BX11" s="12"/>
      <c r="BY11" s="12"/>
      <c r="BZ11" s="12"/>
      <c r="HQ11" s="12"/>
      <c r="HR11" s="12"/>
      <c r="HS11" s="12"/>
      <c r="HT11" s="12"/>
      <c r="HU11" s="12"/>
      <c r="HV11" s="12"/>
      <c r="HW11" s="12"/>
      <c r="HX11" s="12"/>
      <c r="HY11" s="12"/>
      <c r="HZ11" s="12"/>
      <c r="IA11" s="12"/>
      <c r="IB11" s="12"/>
    </row>
    <row r="12" spans="1:236" s="8" customFormat="1" ht="21" customHeight="1">
      <c r="A12" s="13"/>
      <c r="B12" s="14"/>
      <c r="C12" s="99"/>
      <c r="D12" s="100"/>
      <c r="E12" s="100"/>
      <c r="F12" s="176"/>
      <c r="G12" s="178"/>
      <c r="H12" s="87"/>
      <c r="I12" s="60"/>
      <c r="J12" s="172"/>
      <c r="K12" s="172"/>
      <c r="L12" s="60"/>
      <c r="M12" s="60"/>
      <c r="N12" s="174"/>
      <c r="O12" s="170"/>
      <c r="P12" s="25"/>
      <c r="Q12" s="58"/>
      <c r="R12" s="35"/>
      <c r="S12" s="35"/>
      <c r="T12" s="35"/>
      <c r="U12" s="35"/>
      <c r="V12" s="35"/>
      <c r="W12" s="35"/>
      <c r="X12"/>
      <c r="Y12"/>
      <c r="Z12"/>
      <c r="AA12"/>
      <c r="AB12"/>
      <c r="AC12"/>
      <c r="AD12"/>
      <c r="AE12"/>
      <c r="AF12"/>
      <c r="AG12"/>
      <c r="AH12"/>
      <c r="AI12"/>
      <c r="AJ12"/>
      <c r="AK12"/>
      <c r="AL12"/>
      <c r="AM12"/>
      <c r="AN12"/>
      <c r="AO12"/>
      <c r="AP12"/>
      <c r="AQ12" s="35"/>
      <c r="AR12" s="12"/>
      <c r="AS12" s="12"/>
      <c r="AT12" s="12"/>
      <c r="AU12" s="12"/>
      <c r="AV12" s="12"/>
      <c r="AW12" s="12"/>
      <c r="AX12" s="12"/>
      <c r="AY12" s="12"/>
      <c r="AZ12" s="12"/>
      <c r="BA12" s="12"/>
      <c r="BL12" s="12"/>
      <c r="BM12" s="12"/>
      <c r="BN12" s="12"/>
      <c r="BO12" s="12"/>
      <c r="BP12" s="12"/>
      <c r="BQ12" s="12"/>
      <c r="BR12" s="12"/>
      <c r="BS12" s="12"/>
      <c r="BT12" s="12"/>
      <c r="BU12" s="12"/>
      <c r="BV12" s="12"/>
      <c r="BW12" s="12"/>
      <c r="BX12" s="12"/>
      <c r="BY12" s="12"/>
      <c r="BZ12" s="12"/>
      <c r="HQ12" s="12"/>
      <c r="HR12" s="12"/>
      <c r="HS12" s="12"/>
      <c r="HT12" s="12"/>
      <c r="HU12" s="12"/>
      <c r="HV12" s="12"/>
      <c r="HW12" s="12"/>
      <c r="HX12" s="12"/>
      <c r="HY12" s="12"/>
      <c r="HZ12" s="12"/>
      <c r="IA12" s="12"/>
      <c r="IB12" s="12"/>
    </row>
    <row r="13" spans="1:236" s="8" customFormat="1" ht="21" customHeight="1">
      <c r="A13" s="13"/>
      <c r="B13" s="14"/>
      <c r="C13" s="101"/>
      <c r="D13" s="102"/>
      <c r="E13" s="102"/>
      <c r="F13" s="176"/>
      <c r="G13" s="179"/>
      <c r="H13" s="88"/>
      <c r="I13" s="61"/>
      <c r="J13" s="172"/>
      <c r="K13" s="172"/>
      <c r="L13" s="61"/>
      <c r="M13" s="61"/>
      <c r="N13" s="175"/>
      <c r="O13" s="171"/>
      <c r="P13" s="25"/>
      <c r="Q13" s="58"/>
      <c r="R13" s="35"/>
      <c r="S13" s="35"/>
      <c r="T13" s="35"/>
      <c r="U13" s="35"/>
      <c r="V13" s="35"/>
      <c r="W13" s="35"/>
      <c r="X13"/>
      <c r="Y13"/>
      <c r="Z13"/>
      <c r="AA13"/>
      <c r="AB13"/>
      <c r="AC13"/>
      <c r="AD13"/>
      <c r="AE13"/>
      <c r="AF13"/>
      <c r="AG13"/>
      <c r="AH13"/>
      <c r="AI13"/>
      <c r="AJ13"/>
      <c r="AK13"/>
      <c r="AL13"/>
      <c r="AM13"/>
      <c r="AN13"/>
      <c r="AO13"/>
      <c r="AP13"/>
      <c r="AQ13" s="35"/>
      <c r="AR13" s="12"/>
      <c r="AS13" s="12"/>
      <c r="AT13" s="12"/>
      <c r="AU13" s="12"/>
      <c r="AV13" s="12"/>
      <c r="AW13" s="12"/>
      <c r="AX13" s="12"/>
      <c r="AY13" s="12"/>
      <c r="AZ13" s="12"/>
      <c r="BA13" s="12"/>
      <c r="BL13" s="12"/>
      <c r="BM13" s="12"/>
      <c r="BN13" s="12"/>
      <c r="BO13" s="12"/>
      <c r="BP13" s="12"/>
      <c r="BQ13" s="12"/>
      <c r="BR13" s="12"/>
      <c r="BS13" s="12"/>
      <c r="BT13" s="12"/>
      <c r="BU13" s="12"/>
      <c r="BV13" s="12"/>
      <c r="BW13" s="12"/>
      <c r="BX13" s="12"/>
      <c r="BY13" s="12"/>
      <c r="BZ13" s="12"/>
      <c r="HQ13" s="12"/>
      <c r="HR13" s="12"/>
      <c r="HS13" s="12"/>
      <c r="HT13" s="12"/>
      <c r="HU13" s="12"/>
      <c r="HV13" s="12"/>
      <c r="HW13" s="12"/>
      <c r="HX13" s="12"/>
      <c r="HY13" s="12"/>
      <c r="HZ13" s="12"/>
      <c r="IA13" s="12"/>
      <c r="IB13" s="12"/>
    </row>
    <row r="14" spans="1:236" s="8" customFormat="1" ht="7.5" customHeight="1" thickBot="1">
      <c r="A14" s="13"/>
      <c r="B14" s="19"/>
      <c r="C14" s="73"/>
      <c r="D14" s="73"/>
      <c r="E14" s="73"/>
      <c r="F14" s="73"/>
      <c r="G14" s="30"/>
      <c r="H14" s="30"/>
      <c r="I14" s="30"/>
      <c r="J14" s="30"/>
      <c r="K14" s="30"/>
      <c r="L14" s="30"/>
      <c r="M14" s="30"/>
      <c r="N14" s="30"/>
      <c r="O14" s="31"/>
      <c r="P14" s="22"/>
      <c r="Q14" s="13"/>
      <c r="R14" s="35"/>
      <c r="S14" s="35"/>
      <c r="T14" s="35"/>
      <c r="U14" s="35"/>
      <c r="V14" s="35"/>
      <c r="W14" s="35"/>
      <c r="X14"/>
      <c r="Y14"/>
      <c r="Z14"/>
      <c r="AA14"/>
      <c r="AB14"/>
      <c r="AC14"/>
      <c r="AD14"/>
      <c r="AE14"/>
      <c r="AF14"/>
      <c r="AG14"/>
      <c r="AH14"/>
      <c r="AI14"/>
      <c r="AJ14"/>
      <c r="AK14"/>
      <c r="AL14"/>
      <c r="AM14"/>
      <c r="AN14"/>
      <c r="AO14"/>
      <c r="AP14"/>
      <c r="AQ14" s="35"/>
      <c r="AR14" s="12"/>
      <c r="AS14" s="12"/>
      <c r="AT14" s="12"/>
      <c r="AU14" s="12"/>
      <c r="AV14" s="12"/>
      <c r="AW14" s="12"/>
      <c r="AX14" s="12"/>
      <c r="AY14" s="12"/>
      <c r="AZ14" s="12"/>
      <c r="BA14" s="12"/>
      <c r="BL14" s="12"/>
      <c r="BM14" s="12"/>
      <c r="BN14" s="12"/>
      <c r="BO14" s="12"/>
      <c r="BP14" s="12"/>
      <c r="BQ14" s="12"/>
      <c r="BR14" s="12"/>
      <c r="BS14" s="12"/>
      <c r="BT14" s="12"/>
      <c r="BU14" s="12"/>
      <c r="BV14" s="12"/>
      <c r="BW14" s="12"/>
      <c r="BX14" s="12"/>
      <c r="BY14" s="12"/>
      <c r="BZ14" s="12"/>
      <c r="HQ14" s="12"/>
      <c r="HR14" s="12"/>
      <c r="HS14" s="12"/>
      <c r="HT14" s="12"/>
      <c r="HU14" s="12"/>
      <c r="HV14" s="12"/>
      <c r="HW14" s="12"/>
      <c r="HX14" s="12"/>
      <c r="HY14" s="12"/>
      <c r="HZ14" s="12"/>
      <c r="IA14" s="12"/>
      <c r="IB14" s="12"/>
    </row>
    <row r="15" spans="1:236" s="8" customFormat="1" ht="7.5" customHeight="1" thickBot="1">
      <c r="A15" s="13"/>
      <c r="B15" s="13"/>
      <c r="C15" s="71"/>
      <c r="D15" s="71"/>
      <c r="E15" s="71"/>
      <c r="F15" s="71"/>
      <c r="G15" s="13"/>
      <c r="H15" s="13"/>
      <c r="I15" s="13"/>
      <c r="J15" s="13"/>
      <c r="K15" s="13"/>
      <c r="L15" s="13"/>
      <c r="M15" s="13"/>
      <c r="N15" s="13"/>
      <c r="O15" s="32"/>
      <c r="P15" s="13"/>
      <c r="Q15" s="13"/>
      <c r="R15" s="35"/>
      <c r="S15" s="35"/>
      <c r="T15" s="35"/>
      <c r="U15" s="35"/>
      <c r="V15" s="35"/>
      <c r="W15" s="35"/>
      <c r="X15"/>
      <c r="Y15"/>
      <c r="Z15"/>
      <c r="AA15"/>
      <c r="AB15"/>
      <c r="AC15"/>
      <c r="AD15"/>
      <c r="AE15"/>
      <c r="AF15"/>
      <c r="AG15"/>
      <c r="AH15"/>
      <c r="AI15"/>
      <c r="AJ15"/>
      <c r="AK15"/>
      <c r="AL15"/>
      <c r="AM15"/>
      <c r="AN15"/>
      <c r="AO15"/>
      <c r="AP15"/>
      <c r="AQ15" s="35"/>
      <c r="AR15" s="12"/>
      <c r="AS15" s="12"/>
      <c r="AT15" s="12"/>
      <c r="AU15" s="12"/>
      <c r="AV15" s="12"/>
      <c r="AW15" s="12"/>
      <c r="AX15" s="12"/>
      <c r="AY15" s="12"/>
      <c r="AZ15" s="12"/>
      <c r="BA15" s="12"/>
      <c r="BL15" s="12"/>
      <c r="BM15" s="12"/>
      <c r="BN15" s="12"/>
      <c r="BO15" s="12"/>
      <c r="BP15" s="12"/>
      <c r="BQ15" s="12"/>
      <c r="BR15" s="12"/>
      <c r="BS15" s="12"/>
      <c r="BT15" s="12"/>
      <c r="BU15" s="12"/>
      <c r="BV15" s="12"/>
      <c r="BW15" s="12"/>
      <c r="BX15" s="12"/>
      <c r="BY15" s="12"/>
      <c r="BZ15" s="12"/>
      <c r="HQ15" s="12"/>
      <c r="HR15" s="12"/>
      <c r="HS15" s="12"/>
      <c r="HT15" s="12"/>
      <c r="HU15" s="12"/>
      <c r="HV15" s="12"/>
      <c r="HW15" s="12"/>
      <c r="HX15" s="12"/>
      <c r="HY15" s="12"/>
      <c r="HZ15" s="12"/>
      <c r="IA15" s="12"/>
      <c r="IB15" s="12"/>
    </row>
    <row r="16" spans="1:236" s="8" customFormat="1" ht="7.5" customHeight="1">
      <c r="A16" s="13"/>
      <c r="B16" s="9"/>
      <c r="C16" s="74"/>
      <c r="D16" s="74"/>
      <c r="E16" s="74"/>
      <c r="F16" s="74"/>
      <c r="G16" s="33"/>
      <c r="H16" s="33"/>
      <c r="I16" s="33"/>
      <c r="J16" s="33"/>
      <c r="K16" s="33"/>
      <c r="L16" s="33"/>
      <c r="M16" s="33"/>
      <c r="N16" s="33"/>
      <c r="O16" s="10"/>
      <c r="P16" s="11"/>
      <c r="Q16" s="13"/>
      <c r="R16" s="35"/>
      <c r="S16" s="35"/>
      <c r="T16" s="35"/>
      <c r="U16" s="35"/>
      <c r="V16" s="35"/>
      <c r="W16" s="35"/>
      <c r="X16"/>
      <c r="Y16"/>
      <c r="Z16"/>
      <c r="AA16"/>
      <c r="AB16"/>
      <c r="AC16"/>
      <c r="AD16"/>
      <c r="AE16"/>
      <c r="AF16"/>
      <c r="AG16"/>
      <c r="AH16"/>
      <c r="AI16"/>
      <c r="AJ16"/>
      <c r="AK16"/>
      <c r="AL16"/>
      <c r="AM16"/>
      <c r="AN16"/>
      <c r="AO16"/>
      <c r="AP16"/>
      <c r="AQ16" s="35"/>
      <c r="AR16" s="12"/>
      <c r="AS16" s="12"/>
      <c r="AT16" s="12"/>
      <c r="AU16" s="12"/>
      <c r="AV16" s="12"/>
      <c r="AW16" s="12"/>
      <c r="AX16" s="12"/>
      <c r="AY16" s="12"/>
      <c r="AZ16" s="12"/>
      <c r="BA16" s="12"/>
      <c r="BL16" s="12"/>
      <c r="BM16" s="12"/>
      <c r="BN16" s="12"/>
      <c r="BO16" s="12"/>
      <c r="BP16" s="12"/>
      <c r="BQ16" s="12"/>
      <c r="BR16" s="12"/>
      <c r="BS16" s="12"/>
      <c r="BT16" s="12"/>
      <c r="BU16" s="12"/>
      <c r="BV16" s="12"/>
      <c r="BW16" s="12"/>
      <c r="BX16" s="12"/>
      <c r="BY16" s="12"/>
      <c r="BZ16" s="12"/>
      <c r="HQ16" s="12"/>
      <c r="HR16" s="12"/>
      <c r="HS16" s="12"/>
      <c r="HT16" s="12"/>
      <c r="HU16" s="12"/>
      <c r="HV16" s="12"/>
      <c r="HW16" s="12"/>
      <c r="HX16" s="12"/>
      <c r="HY16" s="12"/>
      <c r="HZ16" s="12"/>
      <c r="IA16" s="12"/>
      <c r="IB16" s="12"/>
    </row>
    <row r="17" spans="1:236" s="8" customFormat="1" ht="15" customHeight="1">
      <c r="A17" s="13"/>
      <c r="B17" s="14"/>
      <c r="C17" s="72" t="s">
        <v>60</v>
      </c>
      <c r="D17" s="72"/>
      <c r="E17" s="72"/>
      <c r="F17" s="72"/>
      <c r="G17" s="62"/>
      <c r="H17" s="62"/>
      <c r="I17" s="62"/>
      <c r="J17" s="62"/>
      <c r="K17" s="62"/>
      <c r="L17" s="62"/>
      <c r="M17" s="62"/>
      <c r="N17" s="62"/>
      <c r="O17" s="62"/>
      <c r="P17" s="25"/>
      <c r="Q17" s="58"/>
      <c r="R17" s="35"/>
      <c r="S17" s="35"/>
      <c r="T17" s="35"/>
      <c r="U17" s="35"/>
      <c r="V17" s="35"/>
      <c r="W17" s="35"/>
      <c r="X17"/>
      <c r="Y17"/>
      <c r="Z17"/>
      <c r="AA17"/>
      <c r="AB17"/>
      <c r="AC17"/>
      <c r="AD17"/>
      <c r="AE17"/>
      <c r="AF17"/>
      <c r="AG17"/>
      <c r="AH17"/>
      <c r="AI17"/>
      <c r="AJ17"/>
      <c r="AK17"/>
      <c r="AL17"/>
      <c r="AM17"/>
      <c r="AN17"/>
      <c r="AO17"/>
      <c r="AP17"/>
      <c r="AQ17" s="35"/>
      <c r="AR17" s="12"/>
      <c r="AS17" s="12"/>
      <c r="AT17" s="12"/>
      <c r="AU17" s="12"/>
      <c r="AV17" s="12"/>
      <c r="AW17" s="12"/>
      <c r="AX17" s="12"/>
      <c r="AY17" s="12"/>
      <c r="AZ17" s="12"/>
      <c r="BA17" s="12"/>
      <c r="BL17" s="12"/>
      <c r="BM17" s="12"/>
      <c r="BN17" s="12"/>
      <c r="BO17" s="12"/>
      <c r="BP17" s="12"/>
      <c r="BQ17" s="12"/>
      <c r="BR17" s="12"/>
      <c r="BS17" s="12"/>
      <c r="BT17" s="12"/>
      <c r="BU17" s="12"/>
      <c r="BV17" s="12"/>
      <c r="BW17" s="12"/>
      <c r="BX17" s="12"/>
      <c r="BY17" s="12"/>
      <c r="BZ17" s="12"/>
      <c r="HQ17" s="12"/>
      <c r="HR17" s="12"/>
      <c r="HS17" s="12"/>
      <c r="HT17" s="12"/>
      <c r="HU17" s="12"/>
      <c r="HV17" s="12"/>
      <c r="HW17" s="12"/>
      <c r="HX17" s="12"/>
      <c r="HY17" s="12"/>
      <c r="HZ17" s="12"/>
      <c r="IA17" s="12"/>
      <c r="IB17" s="12"/>
    </row>
    <row r="18" spans="1:236" s="8" customFormat="1">
      <c r="A18" s="13"/>
      <c r="B18" s="14"/>
      <c r="C18" s="155" t="s">
        <v>62</v>
      </c>
      <c r="D18" s="75" t="s">
        <v>64</v>
      </c>
      <c r="E18" s="156" t="s">
        <v>41</v>
      </c>
      <c r="F18" s="156" t="s">
        <v>90</v>
      </c>
      <c r="G18" s="28" t="s">
        <v>45</v>
      </c>
      <c r="H18" s="28" t="s">
        <v>50</v>
      </c>
      <c r="I18" s="28" t="s">
        <v>55</v>
      </c>
      <c r="J18" s="28" t="s">
        <v>51</v>
      </c>
      <c r="K18" s="28" t="s">
        <v>43</v>
      </c>
      <c r="L18" s="28" t="s">
        <v>0</v>
      </c>
      <c r="M18" s="28" t="s">
        <v>18</v>
      </c>
      <c r="N18" s="28" t="s">
        <v>59</v>
      </c>
      <c r="O18" s="157" t="s">
        <v>65</v>
      </c>
      <c r="P18" s="25"/>
      <c r="Q18" s="58"/>
      <c r="R18" s="35"/>
      <c r="S18" s="35"/>
      <c r="T18" s="35"/>
      <c r="U18" s="35"/>
      <c r="V18" s="35"/>
      <c r="W18" s="35"/>
      <c r="X18"/>
      <c r="Y18"/>
      <c r="Z18"/>
      <c r="AA18"/>
      <c r="AB18"/>
      <c r="AC18"/>
      <c r="AD18"/>
      <c r="AE18"/>
      <c r="AF18"/>
      <c r="AG18"/>
      <c r="AH18"/>
      <c r="AI18"/>
      <c r="AJ18"/>
      <c r="AK18"/>
      <c r="AL18"/>
      <c r="AM18"/>
      <c r="AN18"/>
      <c r="AO18"/>
      <c r="AP18"/>
      <c r="AQ18" s="35"/>
      <c r="AR18" s="12"/>
      <c r="AS18" s="12"/>
      <c r="AT18" s="12"/>
      <c r="AU18" s="12"/>
      <c r="AV18" s="12"/>
      <c r="AW18" s="12"/>
      <c r="AX18" s="12"/>
      <c r="AY18" s="12"/>
      <c r="AZ18" s="12"/>
      <c r="BA18" s="12"/>
      <c r="BL18" s="12"/>
      <c r="BM18" s="12"/>
      <c r="BN18" s="12"/>
      <c r="BO18" s="12"/>
      <c r="BP18" s="12"/>
      <c r="BQ18" s="12"/>
      <c r="BR18" s="12"/>
      <c r="BS18" s="12"/>
      <c r="BT18" s="12"/>
      <c r="BU18" s="12"/>
      <c r="BV18" s="12"/>
      <c r="BW18" s="12"/>
      <c r="BX18" s="12"/>
      <c r="BY18" s="12"/>
      <c r="BZ18" s="12"/>
      <c r="HQ18" s="12"/>
      <c r="HR18" s="12"/>
      <c r="HS18" s="12"/>
      <c r="HT18" s="12"/>
      <c r="HU18" s="12"/>
      <c r="HV18" s="12"/>
      <c r="HW18" s="12"/>
      <c r="HX18" s="12"/>
      <c r="HY18" s="12"/>
      <c r="HZ18" s="12"/>
      <c r="IA18" s="12"/>
      <c r="IB18" s="12"/>
    </row>
    <row r="19" spans="1:236" s="52" customFormat="1" ht="47.25">
      <c r="A19" s="82"/>
      <c r="B19" s="83"/>
      <c r="C19" s="164">
        <v>1</v>
      </c>
      <c r="D19" s="165" t="s">
        <v>192</v>
      </c>
      <c r="E19" s="166">
        <v>43619</v>
      </c>
      <c r="F19" s="96">
        <v>44253</v>
      </c>
      <c r="G19" s="106"/>
      <c r="H19" s="93"/>
      <c r="I19" s="93"/>
      <c r="J19" s="94"/>
      <c r="K19" s="94"/>
      <c r="L19" s="95"/>
      <c r="M19" s="95"/>
      <c r="N19" s="95"/>
      <c r="O19" s="105"/>
      <c r="P19" s="84"/>
      <c r="Q19" s="85"/>
    </row>
    <row r="20" spans="1:236" s="52" customFormat="1" ht="31.5">
      <c r="A20" s="82"/>
      <c r="B20" s="83"/>
      <c r="C20" s="92" t="s">
        <v>92</v>
      </c>
      <c r="D20" s="163" t="s">
        <v>93</v>
      </c>
      <c r="E20" s="91">
        <v>43647</v>
      </c>
      <c r="F20" s="96">
        <v>44012</v>
      </c>
      <c r="G20" s="106" t="s">
        <v>193</v>
      </c>
      <c r="H20" s="93">
        <f t="shared" ref="H20" si="0">I20</f>
        <v>4</v>
      </c>
      <c r="I20" s="93">
        <f t="shared" ref="I20:I21" si="1">IF(G20="PREOCUPANTE",1,IF(G20="ATENÇÃO",2,IF(G20="ADEQUADO",3,IF(G20="CONCLUÍDO",4,""))))</f>
        <v>4</v>
      </c>
      <c r="J20" s="94">
        <f t="shared" ref="J20:J21" si="2">IF(G20="CONCLUÍDO",1,IF(G20="ADEQUADO",0.91*K20,IF(G20="ATENÇÃO",0.6*K20,IF(G20="PREOCUPANTE",0.5*K20))))</f>
        <v>1</v>
      </c>
      <c r="K20" s="94">
        <f t="shared" ref="K20:K21" ca="1" si="3">IF(OR(D20="",D20="não há"),"-",IFERROR(M20/L20,IF(F20&lt;=TODAY(),1,0)))</f>
        <v>1</v>
      </c>
      <c r="L20" s="95">
        <f>IF(OR(E20=0,F20=0),0,NETWORKDAYS(E20,F20,Feriados!$A$3:$A$100)*8)</f>
        <v>2048</v>
      </c>
      <c r="M20" s="95">
        <f ca="1">IF($N$3&lt;E20,0,IF($N$3&gt;=F20,L20,NETWORKDAYS(E20,$N$3,Feriados!$A$3:$A$100)*8))</f>
        <v>2048</v>
      </c>
      <c r="N20" s="95">
        <f t="shared" ref="N20" si="4">J20*L20</f>
        <v>2048</v>
      </c>
      <c r="O20" s="105" t="s">
        <v>206</v>
      </c>
      <c r="P20" s="84"/>
      <c r="Q20" s="85"/>
    </row>
    <row r="21" spans="1:236" s="52" customFormat="1" ht="80.25" customHeight="1">
      <c r="A21" s="82"/>
      <c r="B21" s="83"/>
      <c r="C21" s="92" t="s">
        <v>94</v>
      </c>
      <c r="D21" s="163" t="s">
        <v>95</v>
      </c>
      <c r="E21" s="91">
        <v>44013</v>
      </c>
      <c r="F21" s="96">
        <v>44104</v>
      </c>
      <c r="G21" s="106" t="s">
        <v>47</v>
      </c>
      <c r="H21" s="93">
        <f t="shared" ref="H21" si="5">I21</f>
        <v>1</v>
      </c>
      <c r="I21" s="93">
        <f t="shared" si="1"/>
        <v>1</v>
      </c>
      <c r="J21" s="94">
        <f t="shared" ca="1" si="2"/>
        <v>0.5</v>
      </c>
      <c r="K21" s="94">
        <f t="shared" ca="1" si="3"/>
        <v>1</v>
      </c>
      <c r="L21" s="95">
        <f>IF(OR(E21=0,F21=0),0,NETWORKDAYS(E21,F21,Feriados!$A$3:$A$100)*8)</f>
        <v>520</v>
      </c>
      <c r="M21" s="95">
        <f ca="1">IF($N$3&lt;E21,0,IF($N$3&gt;=F21,L21,NETWORKDAYS(E21,$N$3,Feriados!$A$3:$A$100)*8))</f>
        <v>520</v>
      </c>
      <c r="N21" s="95">
        <f t="shared" ref="N21" ca="1" si="6">J21*L21</f>
        <v>260</v>
      </c>
      <c r="O21" s="105" t="s">
        <v>207</v>
      </c>
      <c r="P21" s="84"/>
      <c r="Q21" s="85"/>
    </row>
    <row r="22" spans="1:236" s="52" customFormat="1" ht="67.5" customHeight="1">
      <c r="A22" s="82"/>
      <c r="B22" s="83"/>
      <c r="C22" s="92" t="s">
        <v>96</v>
      </c>
      <c r="D22" s="163" t="s">
        <v>97</v>
      </c>
      <c r="E22" s="91">
        <v>44075</v>
      </c>
      <c r="F22" s="96">
        <v>44134</v>
      </c>
      <c r="G22" s="106" t="s">
        <v>47</v>
      </c>
      <c r="H22" s="93">
        <f t="shared" ref="H22:H23" si="7">I22</f>
        <v>1</v>
      </c>
      <c r="I22" s="93">
        <f t="shared" ref="I22:I23" si="8">IF(G22="PREOCUPANTE",1,IF(G22="ATENÇÃO",2,IF(G22="ADEQUADO",3,IF(G22="CONCLUÍDO",4,""))))</f>
        <v>1</v>
      </c>
      <c r="J22" s="94">
        <f t="shared" ref="J22:J23" ca="1" si="9">IF(G22="CONCLUÍDO",1,IF(G22="ADEQUADO",0.91*K22,IF(G22="ATENÇÃO",0.6*K22,IF(G22="PREOCUPANTE",0.5*K22))))</f>
        <v>0.5</v>
      </c>
      <c r="K22" s="94">
        <f t="shared" ref="K22:K23" ca="1" si="10">IF(OR(D22="",D22="não há"),"-",IFERROR(M22/L22,IF(F22&lt;=TODAY(),1,0)))</f>
        <v>1</v>
      </c>
      <c r="L22" s="95">
        <f>IF(OR(E22=0,F22=0),0,NETWORKDAYS(E22,F22,Feriados!$A$3:$A$100)*8)</f>
        <v>328</v>
      </c>
      <c r="M22" s="95">
        <f ca="1">IF($N$3&lt;E22,0,IF($N$3&gt;=F22,L22,NETWORKDAYS(E22,$N$3,Feriados!$A$3:$A$100)*8))</f>
        <v>328</v>
      </c>
      <c r="N22" s="95">
        <f t="shared" ref="N22:N23" ca="1" si="11">J22*L22</f>
        <v>164</v>
      </c>
      <c r="O22" s="105" t="s">
        <v>208</v>
      </c>
      <c r="P22" s="84"/>
      <c r="Q22" s="85"/>
    </row>
    <row r="23" spans="1:236" s="52" customFormat="1" ht="31.5">
      <c r="A23" s="82"/>
      <c r="B23" s="83"/>
      <c r="C23" s="92" t="s">
        <v>98</v>
      </c>
      <c r="D23" s="163" t="s">
        <v>99</v>
      </c>
      <c r="E23" s="91">
        <v>44105</v>
      </c>
      <c r="F23" s="96">
        <v>44253</v>
      </c>
      <c r="G23" s="106" t="s">
        <v>49</v>
      </c>
      <c r="H23" s="93">
        <f t="shared" si="7"/>
        <v>3</v>
      </c>
      <c r="I23" s="93">
        <f t="shared" si="8"/>
        <v>3</v>
      </c>
      <c r="J23" s="94">
        <f t="shared" ca="1" si="9"/>
        <v>0.33572815533980582</v>
      </c>
      <c r="K23" s="94">
        <f t="shared" ca="1" si="10"/>
        <v>0.36893203883495146</v>
      </c>
      <c r="L23" s="95">
        <f>IF(OR(E23=0,F23=0),0,NETWORKDAYS(E23,F23,Feriados!$A$3:$A$100)*8)</f>
        <v>824</v>
      </c>
      <c r="M23" s="95">
        <f ca="1">IF($N$3&lt;E23,0,IF($N$3&gt;=F23,L23,NETWORKDAYS(E23,$N$3,Feriados!$A$3:$A$100)*8))</f>
        <v>304</v>
      </c>
      <c r="N23" s="95">
        <f t="shared" ca="1" si="11"/>
        <v>276.64</v>
      </c>
      <c r="O23" s="105" t="s">
        <v>200</v>
      </c>
      <c r="P23" s="84"/>
      <c r="Q23" s="85"/>
    </row>
    <row r="24" spans="1:236" s="52" customFormat="1" ht="23.25">
      <c r="A24" s="82"/>
      <c r="B24" s="83"/>
      <c r="C24" s="92"/>
      <c r="D24" s="163"/>
      <c r="E24" s="91"/>
      <c r="F24" s="96"/>
      <c r="G24" s="106"/>
      <c r="H24" s="93"/>
      <c r="I24" s="93"/>
      <c r="J24" s="94"/>
      <c r="K24" s="94"/>
      <c r="L24" s="95"/>
      <c r="M24" s="95"/>
      <c r="N24" s="95"/>
      <c r="O24" s="105"/>
      <c r="P24" s="84"/>
      <c r="Q24" s="85"/>
    </row>
    <row r="25" spans="1:236" s="52" customFormat="1" ht="47.25">
      <c r="A25" s="82"/>
      <c r="B25" s="83"/>
      <c r="C25" s="164">
        <v>2</v>
      </c>
      <c r="D25" s="165" t="s">
        <v>109</v>
      </c>
      <c r="E25" s="166">
        <v>43619</v>
      </c>
      <c r="F25" s="168">
        <v>44377</v>
      </c>
      <c r="G25" s="106"/>
      <c r="H25" s="93"/>
      <c r="I25" s="93"/>
      <c r="J25" s="94"/>
      <c r="K25" s="94"/>
      <c r="L25" s="95"/>
      <c r="M25" s="95"/>
      <c r="N25" s="95"/>
      <c r="O25" s="105" t="s">
        <v>219</v>
      </c>
      <c r="P25" s="84"/>
      <c r="Q25" s="85"/>
    </row>
    <row r="26" spans="1:236" s="52" customFormat="1" ht="31.5">
      <c r="A26" s="82"/>
      <c r="B26" s="83"/>
      <c r="C26" s="92" t="s">
        <v>100</v>
      </c>
      <c r="D26" s="163" t="s">
        <v>93</v>
      </c>
      <c r="E26" s="91">
        <v>43647</v>
      </c>
      <c r="F26" s="96">
        <v>44012</v>
      </c>
      <c r="G26" s="106" t="s">
        <v>193</v>
      </c>
      <c r="H26" s="93">
        <f t="shared" ref="H26:H29" si="12">I26</f>
        <v>4</v>
      </c>
      <c r="I26" s="93">
        <f t="shared" ref="I26:I29" si="13">IF(G26="PREOCUPANTE",1,IF(G26="ATENÇÃO",2,IF(G26="ADEQUADO",3,IF(G26="CONCLUÍDO",4,""))))</f>
        <v>4</v>
      </c>
      <c r="J26" s="94">
        <f t="shared" ref="J26:J29" si="14">IF(G26="CONCLUÍDO",1,IF(G26="ADEQUADO",0.91*K26,IF(G26="ATENÇÃO",0.6*K26,IF(G26="PREOCUPANTE",0.5*K26))))</f>
        <v>1</v>
      </c>
      <c r="K26" s="94">
        <f t="shared" ref="K26:K29" ca="1" si="15">IF(OR(D26="",D26="não há"),"-",IFERROR(M26/L26,IF(F26&lt;=TODAY(),1,0)))</f>
        <v>1</v>
      </c>
      <c r="L26" s="95">
        <f>IF(OR(E26=0,F26=0),0,NETWORKDAYS(E26,F26,Feriados!$A$3:$A$100)*8)</f>
        <v>2048</v>
      </c>
      <c r="M26" s="95">
        <f ca="1">IF($N$3&lt;E26,0,IF($N$3&gt;=F26,L26,NETWORKDAYS(E26,$N$3,Feriados!$A$3:$A$100)*8))</f>
        <v>2048</v>
      </c>
      <c r="N26" s="95">
        <f t="shared" ref="N26:N29" si="16">J26*L26</f>
        <v>2048</v>
      </c>
      <c r="O26" s="105" t="s">
        <v>201</v>
      </c>
      <c r="P26" s="84"/>
      <c r="Q26" s="85"/>
    </row>
    <row r="27" spans="1:236" s="52" customFormat="1" ht="39" customHeight="1">
      <c r="A27" s="82"/>
      <c r="B27" s="83"/>
      <c r="C27" s="92" t="s">
        <v>101</v>
      </c>
      <c r="D27" s="163" t="s">
        <v>95</v>
      </c>
      <c r="E27" s="91">
        <v>44013</v>
      </c>
      <c r="F27" s="96">
        <v>44104</v>
      </c>
      <c r="G27" s="106" t="s">
        <v>193</v>
      </c>
      <c r="H27" s="93">
        <f t="shared" si="12"/>
        <v>4</v>
      </c>
      <c r="I27" s="93">
        <f t="shared" si="13"/>
        <v>4</v>
      </c>
      <c r="J27" s="94">
        <f t="shared" si="14"/>
        <v>1</v>
      </c>
      <c r="K27" s="94">
        <f t="shared" ca="1" si="15"/>
        <v>1</v>
      </c>
      <c r="L27" s="95">
        <f>IF(OR(E27=0,F27=0),0,NETWORKDAYS(E27,F27,Feriados!$A$3:$A$100)*8)</f>
        <v>520</v>
      </c>
      <c r="M27" s="95">
        <f ca="1">IF($N$3&lt;E27,0,IF($N$3&gt;=F27,L27,NETWORKDAYS(E27,$N$3,Feriados!$A$3:$A$100)*8))</f>
        <v>520</v>
      </c>
      <c r="N27" s="95">
        <f t="shared" si="16"/>
        <v>520</v>
      </c>
      <c r="O27" s="105" t="s">
        <v>203</v>
      </c>
      <c r="P27" s="84"/>
      <c r="Q27" s="85"/>
    </row>
    <row r="28" spans="1:236" s="52" customFormat="1" ht="47.25">
      <c r="A28" s="82"/>
      <c r="B28" s="83"/>
      <c r="C28" s="92" t="s">
        <v>102</v>
      </c>
      <c r="D28" s="163" t="s">
        <v>97</v>
      </c>
      <c r="E28" s="91">
        <v>44075</v>
      </c>
      <c r="F28" s="168">
        <v>44377</v>
      </c>
      <c r="G28" s="106" t="s">
        <v>49</v>
      </c>
      <c r="H28" s="93">
        <f t="shared" si="12"/>
        <v>3</v>
      </c>
      <c r="I28" s="93">
        <f t="shared" si="13"/>
        <v>3</v>
      </c>
      <c r="J28" s="94">
        <f t="shared" ca="1" si="14"/>
        <v>0.25325471698113206</v>
      </c>
      <c r="K28" s="94">
        <f t="shared" ca="1" si="15"/>
        <v>0.27830188679245282</v>
      </c>
      <c r="L28" s="95">
        <f>IF(OR(E28=0,F28=0),0,NETWORKDAYS(E28,F28,Feriados!$A$3:$A$100)*8)</f>
        <v>1696</v>
      </c>
      <c r="M28" s="95">
        <f ca="1">IF($N$3&lt;E28,0,IF($N$3&gt;=F28,L28,NETWORKDAYS(E28,$N$3,Feriados!$A$3:$A$100)*8))</f>
        <v>472</v>
      </c>
      <c r="N28" s="95">
        <f t="shared" ca="1" si="16"/>
        <v>429.52</v>
      </c>
      <c r="O28" s="105" t="s">
        <v>214</v>
      </c>
      <c r="P28" s="84"/>
      <c r="Q28" s="85"/>
    </row>
    <row r="29" spans="1:236" s="52" customFormat="1" ht="47.25">
      <c r="A29" s="82"/>
      <c r="B29" s="83"/>
      <c r="C29" s="92" t="s">
        <v>103</v>
      </c>
      <c r="D29" s="163" t="s">
        <v>99</v>
      </c>
      <c r="E29" s="91">
        <v>44105</v>
      </c>
      <c r="F29" s="168">
        <v>44377</v>
      </c>
      <c r="G29" s="106" t="s">
        <v>49</v>
      </c>
      <c r="H29" s="93">
        <f t="shared" si="12"/>
        <v>3</v>
      </c>
      <c r="I29" s="93">
        <f t="shared" si="13"/>
        <v>3</v>
      </c>
      <c r="J29" s="94">
        <f t="shared" ca="1" si="14"/>
        <v>0.18104712041884816</v>
      </c>
      <c r="K29" s="94">
        <f t="shared" ca="1" si="15"/>
        <v>0.19895287958115182</v>
      </c>
      <c r="L29" s="95">
        <f>IF(OR(E29=0,F29=0),0,NETWORKDAYS(E29,F29,Feriados!$A$3:$A$100)*8)</f>
        <v>1528</v>
      </c>
      <c r="M29" s="95">
        <f ca="1">IF($N$3&lt;E29,0,IF($N$3&gt;=F29,L29,NETWORKDAYS(E29,$N$3,Feriados!$A$3:$A$100)*8))</f>
        <v>304</v>
      </c>
      <c r="N29" s="95">
        <f t="shared" ca="1" si="16"/>
        <v>276.64</v>
      </c>
      <c r="O29" s="105" t="s">
        <v>215</v>
      </c>
      <c r="P29" s="84"/>
      <c r="Q29" s="85"/>
    </row>
    <row r="30" spans="1:236" s="52" customFormat="1" ht="23.25">
      <c r="A30" s="82"/>
      <c r="B30" s="83"/>
      <c r="C30" s="92"/>
      <c r="D30" s="163"/>
      <c r="E30" s="91"/>
      <c r="F30" s="96"/>
      <c r="G30" s="106"/>
      <c r="H30" s="93"/>
      <c r="I30" s="93"/>
      <c r="J30" s="94"/>
      <c r="K30" s="94"/>
      <c r="L30" s="95"/>
      <c r="M30" s="95"/>
      <c r="N30" s="95"/>
      <c r="O30" s="105"/>
      <c r="P30" s="84"/>
      <c r="Q30" s="85"/>
    </row>
    <row r="31" spans="1:236" s="52" customFormat="1" ht="47.25">
      <c r="A31" s="82"/>
      <c r="B31" s="83"/>
      <c r="C31" s="164">
        <v>3</v>
      </c>
      <c r="D31" s="165" t="s">
        <v>108</v>
      </c>
      <c r="E31" s="166">
        <v>43619</v>
      </c>
      <c r="F31" s="96">
        <v>44253</v>
      </c>
      <c r="G31" s="106"/>
      <c r="H31" s="93"/>
      <c r="I31" s="93"/>
      <c r="J31" s="94"/>
      <c r="K31" s="94"/>
      <c r="L31" s="95"/>
      <c r="M31" s="95"/>
      <c r="N31" s="95"/>
      <c r="O31" s="105"/>
      <c r="P31" s="84"/>
      <c r="Q31" s="85"/>
    </row>
    <row r="32" spans="1:236" s="52" customFormat="1" ht="31.5">
      <c r="A32" s="82"/>
      <c r="B32" s="83"/>
      <c r="C32" s="92" t="s">
        <v>104</v>
      </c>
      <c r="D32" s="163" t="s">
        <v>93</v>
      </c>
      <c r="E32" s="91">
        <v>43647</v>
      </c>
      <c r="F32" s="96">
        <v>44012</v>
      </c>
      <c r="G32" s="106" t="s">
        <v>193</v>
      </c>
      <c r="H32" s="93">
        <f t="shared" ref="H32:H35" si="17">I32</f>
        <v>4</v>
      </c>
      <c r="I32" s="93">
        <f t="shared" ref="I32:I35" si="18">IF(G32="PREOCUPANTE",1,IF(G32="ATENÇÃO",2,IF(G32="ADEQUADO",3,IF(G32="CONCLUÍDO",4,""))))</f>
        <v>4</v>
      </c>
      <c r="J32" s="94">
        <f t="shared" ref="J32:J35" si="19">IF(G32="CONCLUÍDO",1,IF(G32="ADEQUADO",0.91*K32,IF(G32="ATENÇÃO",0.6*K32,IF(G32="PREOCUPANTE",0.5*K32))))</f>
        <v>1</v>
      </c>
      <c r="K32" s="94">
        <f t="shared" ref="K32:K35" ca="1" si="20">IF(OR(D32="",D32="não há"),"-",IFERROR(M32/L32,IF(F32&lt;=TODAY(),1,0)))</f>
        <v>1</v>
      </c>
      <c r="L32" s="95">
        <f>IF(OR(E32=0,F32=0),0,NETWORKDAYS(E32,F32,Feriados!$A$3:$A$100)*8)</f>
        <v>2048</v>
      </c>
      <c r="M32" s="95">
        <f ca="1">IF($N$3&lt;E32,0,IF($N$3&gt;=F32,L32,NETWORKDAYS(E32,$N$3,Feriados!$A$3:$A$100)*8))</f>
        <v>2048</v>
      </c>
      <c r="N32" s="95">
        <f t="shared" ref="N32:N35" si="21">J32*L32</f>
        <v>2048</v>
      </c>
      <c r="O32" s="105" t="s">
        <v>202</v>
      </c>
      <c r="P32" s="84"/>
      <c r="Q32" s="85"/>
    </row>
    <row r="33" spans="1:17" s="52" customFormat="1" ht="70.5" customHeight="1">
      <c r="A33" s="82"/>
      <c r="B33" s="83"/>
      <c r="C33" s="92" t="s">
        <v>105</v>
      </c>
      <c r="D33" s="163" t="s">
        <v>95</v>
      </c>
      <c r="E33" s="91">
        <v>44013</v>
      </c>
      <c r="F33" s="96">
        <v>44104</v>
      </c>
      <c r="G33" s="106" t="s">
        <v>47</v>
      </c>
      <c r="H33" s="93">
        <f t="shared" si="17"/>
        <v>1</v>
      </c>
      <c r="I33" s="93">
        <f t="shared" si="18"/>
        <v>1</v>
      </c>
      <c r="J33" s="94">
        <f t="shared" ca="1" si="19"/>
        <v>0.5</v>
      </c>
      <c r="K33" s="94">
        <f t="shared" ca="1" si="20"/>
        <v>1</v>
      </c>
      <c r="L33" s="95">
        <f>IF(OR(E33=0,F33=0),0,NETWORKDAYS(E33,F33,Feriados!$A$3:$A$100)*8)</f>
        <v>520</v>
      </c>
      <c r="M33" s="95">
        <f ca="1">IF($N$3&lt;E33,0,IF($N$3&gt;=F33,L33,NETWORKDAYS(E33,$N$3,Feriados!$A$3:$A$100)*8))</f>
        <v>520</v>
      </c>
      <c r="N33" s="95">
        <f t="shared" ca="1" si="21"/>
        <v>260</v>
      </c>
      <c r="O33" s="105" t="s">
        <v>218</v>
      </c>
      <c r="P33" s="84"/>
      <c r="Q33" s="85"/>
    </row>
    <row r="34" spans="1:17" s="52" customFormat="1" ht="70.5" customHeight="1">
      <c r="A34" s="82"/>
      <c r="B34" s="83"/>
      <c r="C34" s="92" t="s">
        <v>106</v>
      </c>
      <c r="D34" s="163" t="s">
        <v>97</v>
      </c>
      <c r="E34" s="91">
        <v>44075</v>
      </c>
      <c r="F34" s="96">
        <v>44134</v>
      </c>
      <c r="G34" s="106" t="s">
        <v>47</v>
      </c>
      <c r="H34" s="93">
        <f t="shared" si="17"/>
        <v>1</v>
      </c>
      <c r="I34" s="93">
        <f t="shared" si="18"/>
        <v>1</v>
      </c>
      <c r="J34" s="94">
        <f t="shared" ca="1" si="19"/>
        <v>0.5</v>
      </c>
      <c r="K34" s="94">
        <f t="shared" ca="1" si="20"/>
        <v>1</v>
      </c>
      <c r="L34" s="95">
        <f>IF(OR(E34=0,F34=0),0,NETWORKDAYS(E34,F34,Feriados!$A$3:$A$100)*8)</f>
        <v>328</v>
      </c>
      <c r="M34" s="95">
        <f ca="1">IF($N$3&lt;E34,0,IF($N$3&gt;=F34,L34,NETWORKDAYS(E34,$N$3,Feriados!$A$3:$A$100)*8))</f>
        <v>328</v>
      </c>
      <c r="N34" s="95">
        <f t="shared" ca="1" si="21"/>
        <v>164</v>
      </c>
      <c r="O34" s="105" t="s">
        <v>218</v>
      </c>
      <c r="P34" s="84"/>
      <c r="Q34" s="85"/>
    </row>
    <row r="35" spans="1:17" s="52" customFormat="1" ht="71.25" customHeight="1">
      <c r="A35" s="82"/>
      <c r="B35" s="83"/>
      <c r="C35" s="92" t="s">
        <v>107</v>
      </c>
      <c r="D35" s="163" t="s">
        <v>99</v>
      </c>
      <c r="E35" s="91">
        <v>44105</v>
      </c>
      <c r="F35" s="96">
        <v>44253</v>
      </c>
      <c r="G35" s="106" t="s">
        <v>49</v>
      </c>
      <c r="H35" s="93">
        <f t="shared" si="17"/>
        <v>3</v>
      </c>
      <c r="I35" s="93">
        <f t="shared" si="18"/>
        <v>3</v>
      </c>
      <c r="J35" s="94">
        <f t="shared" ca="1" si="19"/>
        <v>0.33572815533980582</v>
      </c>
      <c r="K35" s="94">
        <f t="shared" ca="1" si="20"/>
        <v>0.36893203883495146</v>
      </c>
      <c r="L35" s="95">
        <f>IF(OR(E35=0,F35=0),0,NETWORKDAYS(E35,F35,Feriados!$A$3:$A$100)*8)</f>
        <v>824</v>
      </c>
      <c r="M35" s="95">
        <f ca="1">IF($N$3&lt;E35,0,IF($N$3&gt;=F35,L35,NETWORKDAYS(E35,$N$3,Feriados!$A$3:$A$100)*8))</f>
        <v>304</v>
      </c>
      <c r="N35" s="95">
        <f t="shared" ca="1" si="21"/>
        <v>276.64</v>
      </c>
      <c r="O35" s="105" t="s">
        <v>218</v>
      </c>
      <c r="P35" s="84"/>
      <c r="Q35" s="85"/>
    </row>
    <row r="36" spans="1:17" s="52" customFormat="1" ht="23.25">
      <c r="A36" s="82"/>
      <c r="B36" s="83"/>
      <c r="C36" s="92"/>
      <c r="D36" s="163"/>
      <c r="E36" s="91"/>
      <c r="F36" s="96"/>
      <c r="G36" s="106"/>
      <c r="H36" s="93"/>
      <c r="I36" s="93"/>
      <c r="J36" s="94"/>
      <c r="K36" s="94"/>
      <c r="L36" s="95"/>
      <c r="M36" s="95"/>
      <c r="N36" s="95"/>
      <c r="O36" s="105"/>
      <c r="P36" s="84"/>
      <c r="Q36" s="85"/>
    </row>
    <row r="37" spans="1:17" s="52" customFormat="1" ht="47.25">
      <c r="A37" s="82"/>
      <c r="B37" s="83"/>
      <c r="C37" s="164">
        <v>4</v>
      </c>
      <c r="D37" s="165" t="s">
        <v>110</v>
      </c>
      <c r="E37" s="166">
        <v>43619</v>
      </c>
      <c r="F37" s="96">
        <v>44253</v>
      </c>
      <c r="G37" s="106"/>
      <c r="H37" s="93"/>
      <c r="I37" s="93"/>
      <c r="J37" s="94"/>
      <c r="K37" s="94"/>
      <c r="L37" s="95"/>
      <c r="M37" s="95"/>
      <c r="N37" s="95"/>
      <c r="O37" s="105"/>
      <c r="P37" s="84"/>
      <c r="Q37" s="85"/>
    </row>
    <row r="38" spans="1:17" s="52" customFormat="1" ht="23.25">
      <c r="A38" s="82"/>
      <c r="B38" s="83"/>
      <c r="C38" s="92" t="s">
        <v>111</v>
      </c>
      <c r="D38" s="163" t="s">
        <v>93</v>
      </c>
      <c r="E38" s="91">
        <v>43647</v>
      </c>
      <c r="F38" s="96">
        <v>44012</v>
      </c>
      <c r="G38" s="106" t="s">
        <v>193</v>
      </c>
      <c r="H38" s="93">
        <f t="shared" ref="H38:H41" si="22">I38</f>
        <v>4</v>
      </c>
      <c r="I38" s="93">
        <f t="shared" ref="I38:I41" si="23">IF(G38="PREOCUPANTE",1,IF(G38="ATENÇÃO",2,IF(G38="ADEQUADO",3,IF(G38="CONCLUÍDO",4,""))))</f>
        <v>4</v>
      </c>
      <c r="J38" s="94">
        <f t="shared" ref="J38:J41" si="24">IF(G38="CONCLUÍDO",1,IF(G38="ADEQUADO",0.91*K38,IF(G38="ATENÇÃO",0.6*K38,IF(G38="PREOCUPANTE",0.5*K38))))</f>
        <v>1</v>
      </c>
      <c r="K38" s="94">
        <f t="shared" ref="K38:K41" ca="1" si="25">IF(OR(D38="",D38="não há"),"-",IFERROR(M38/L38,IF(F38&lt;=TODAY(),1,0)))</f>
        <v>1</v>
      </c>
      <c r="L38" s="95">
        <f>IF(OR(E38=0,F38=0),0,NETWORKDAYS(E38,F38,Feriados!$A$3:$A$100)*8)</f>
        <v>2048</v>
      </c>
      <c r="M38" s="95">
        <f ca="1">IF($N$3&lt;E38,0,IF($N$3&gt;=F38,L38,NETWORKDAYS(E38,$N$3,Feriados!$A$3:$A$100)*8))</f>
        <v>2048</v>
      </c>
      <c r="N38" s="95">
        <f t="shared" ref="N38:N41" si="26">J38*L38</f>
        <v>2048</v>
      </c>
      <c r="O38" s="105" t="s">
        <v>198</v>
      </c>
      <c r="P38" s="84"/>
      <c r="Q38" s="85"/>
    </row>
    <row r="39" spans="1:17" s="52" customFormat="1" ht="23.25">
      <c r="A39" s="82"/>
      <c r="B39" s="83"/>
      <c r="C39" s="92" t="s">
        <v>112</v>
      </c>
      <c r="D39" s="163" t="s">
        <v>95</v>
      </c>
      <c r="E39" s="91">
        <v>44013</v>
      </c>
      <c r="F39" s="96">
        <v>44104</v>
      </c>
      <c r="G39" s="106" t="s">
        <v>49</v>
      </c>
      <c r="H39" s="93">
        <f t="shared" si="22"/>
        <v>3</v>
      </c>
      <c r="I39" s="93">
        <f t="shared" si="23"/>
        <v>3</v>
      </c>
      <c r="J39" s="94">
        <f t="shared" ca="1" si="24"/>
        <v>0.91</v>
      </c>
      <c r="K39" s="94">
        <f t="shared" ca="1" si="25"/>
        <v>1</v>
      </c>
      <c r="L39" s="95">
        <f>IF(OR(E39=0,F39=0),0,NETWORKDAYS(E39,F39,Feriados!$A$3:$A$100)*8)</f>
        <v>520</v>
      </c>
      <c r="M39" s="95">
        <f ca="1">IF($N$3&lt;E39,0,IF($N$3&gt;=F39,L39,NETWORKDAYS(E39,$N$3,Feriados!$A$3:$A$100)*8))</f>
        <v>520</v>
      </c>
      <c r="N39" s="95">
        <f t="shared" ca="1" si="26"/>
        <v>473.2</v>
      </c>
      <c r="O39" s="105" t="s">
        <v>194</v>
      </c>
      <c r="P39" s="84"/>
      <c r="Q39" s="85"/>
    </row>
    <row r="40" spans="1:17" s="52" customFormat="1" ht="23.25">
      <c r="A40" s="82"/>
      <c r="B40" s="83"/>
      <c r="C40" s="92" t="s">
        <v>113</v>
      </c>
      <c r="D40" s="163" t="s">
        <v>97</v>
      </c>
      <c r="E40" s="91">
        <v>44075</v>
      </c>
      <c r="F40" s="96">
        <v>44134</v>
      </c>
      <c r="G40" s="106" t="s">
        <v>49</v>
      </c>
      <c r="H40" s="93">
        <f t="shared" si="22"/>
        <v>3</v>
      </c>
      <c r="I40" s="93">
        <f t="shared" si="23"/>
        <v>3</v>
      </c>
      <c r="J40" s="94">
        <f t="shared" ca="1" si="24"/>
        <v>0.91</v>
      </c>
      <c r="K40" s="94">
        <f t="shared" ca="1" si="25"/>
        <v>1</v>
      </c>
      <c r="L40" s="95">
        <f>IF(OR(E40=0,F40=0),0,NETWORKDAYS(E40,F40,Feriados!$A$3:$A$100)*8)</f>
        <v>328</v>
      </c>
      <c r="M40" s="95">
        <f ca="1">IF($N$3&lt;E40,0,IF($N$3&gt;=F40,L40,NETWORKDAYS(E40,$N$3,Feriados!$A$3:$A$100)*8))</f>
        <v>328</v>
      </c>
      <c r="N40" s="95">
        <f t="shared" ca="1" si="26"/>
        <v>298.48</v>
      </c>
      <c r="O40" s="105" t="s">
        <v>194</v>
      </c>
      <c r="P40" s="84"/>
      <c r="Q40" s="85"/>
    </row>
    <row r="41" spans="1:17" s="52" customFormat="1" ht="31.5">
      <c r="A41" s="82"/>
      <c r="B41" s="83"/>
      <c r="C41" s="92" t="s">
        <v>114</v>
      </c>
      <c r="D41" s="163" t="s">
        <v>99</v>
      </c>
      <c r="E41" s="91">
        <v>44105</v>
      </c>
      <c r="F41" s="96">
        <v>44253</v>
      </c>
      <c r="G41" s="106" t="s">
        <v>49</v>
      </c>
      <c r="H41" s="93">
        <f t="shared" si="22"/>
        <v>3</v>
      </c>
      <c r="I41" s="93">
        <f t="shared" si="23"/>
        <v>3</v>
      </c>
      <c r="J41" s="94">
        <f t="shared" ca="1" si="24"/>
        <v>0.33572815533980582</v>
      </c>
      <c r="K41" s="94">
        <f t="shared" ca="1" si="25"/>
        <v>0.36893203883495146</v>
      </c>
      <c r="L41" s="95">
        <f>IF(OR(E41=0,F41=0),0,NETWORKDAYS(E41,F41,Feriados!$A$3:$A$100)*8)</f>
        <v>824</v>
      </c>
      <c r="M41" s="95">
        <f ca="1">IF($N$3&lt;E41,0,IF($N$3&gt;=F41,L41,NETWORKDAYS(E41,$N$3,Feriados!$A$3:$A$100)*8))</f>
        <v>304</v>
      </c>
      <c r="N41" s="95">
        <f t="shared" ca="1" si="26"/>
        <v>276.64</v>
      </c>
      <c r="O41" s="105" t="s">
        <v>194</v>
      </c>
      <c r="P41" s="84"/>
      <c r="Q41" s="85"/>
    </row>
    <row r="42" spans="1:17" s="52" customFormat="1" ht="23.25">
      <c r="A42" s="82"/>
      <c r="B42" s="83"/>
      <c r="C42" s="92"/>
      <c r="D42" s="163"/>
      <c r="E42" s="91"/>
      <c r="F42" s="96"/>
      <c r="G42" s="106"/>
      <c r="H42" s="93"/>
      <c r="I42" s="93"/>
      <c r="J42" s="94"/>
      <c r="K42" s="94"/>
      <c r="L42" s="95"/>
      <c r="M42" s="95"/>
      <c r="N42" s="95"/>
      <c r="O42" s="105"/>
      <c r="P42" s="84"/>
      <c r="Q42" s="85"/>
    </row>
    <row r="43" spans="1:17" s="52" customFormat="1" ht="47.25">
      <c r="A43" s="82"/>
      <c r="B43" s="83"/>
      <c r="C43" s="164">
        <v>5</v>
      </c>
      <c r="D43" s="165" t="s">
        <v>115</v>
      </c>
      <c r="E43" s="166">
        <v>43619</v>
      </c>
      <c r="F43" s="96">
        <v>44253</v>
      </c>
      <c r="G43" s="106"/>
      <c r="H43" s="93"/>
      <c r="I43" s="93"/>
      <c r="J43" s="94"/>
      <c r="K43" s="94"/>
      <c r="L43" s="95"/>
      <c r="M43" s="95"/>
      <c r="N43" s="95"/>
      <c r="O43" s="105"/>
      <c r="P43" s="84"/>
      <c r="Q43" s="85"/>
    </row>
    <row r="44" spans="1:17" s="52" customFormat="1" ht="23.25">
      <c r="A44" s="82"/>
      <c r="B44" s="83"/>
      <c r="C44" s="92" t="s">
        <v>117</v>
      </c>
      <c r="D44" s="163" t="s">
        <v>93</v>
      </c>
      <c r="E44" s="91">
        <v>43647</v>
      </c>
      <c r="F44" s="96">
        <v>44012</v>
      </c>
      <c r="G44" s="106" t="s">
        <v>193</v>
      </c>
      <c r="H44" s="93">
        <f t="shared" ref="H44:H47" si="27">I44</f>
        <v>4</v>
      </c>
      <c r="I44" s="93">
        <f t="shared" ref="I44:I47" si="28">IF(G44="PREOCUPANTE",1,IF(G44="ATENÇÃO",2,IF(G44="ADEQUADO",3,IF(G44="CONCLUÍDO",4,""))))</f>
        <v>4</v>
      </c>
      <c r="J44" s="94">
        <f t="shared" ref="J44:J47" si="29">IF(G44="CONCLUÍDO",1,IF(G44="ADEQUADO",0.91*K44,IF(G44="ATENÇÃO",0.6*K44,IF(G44="PREOCUPANTE",0.5*K44))))</f>
        <v>1</v>
      </c>
      <c r="K44" s="94">
        <f t="shared" ref="K44:K47" ca="1" si="30">IF(OR(D44="",D44="não há"),"-",IFERROR(M44/L44,IF(F44&lt;=TODAY(),1,0)))</f>
        <v>1</v>
      </c>
      <c r="L44" s="95">
        <f>IF(OR(E44=0,F44=0),0,NETWORKDAYS(E44,F44,Feriados!$A$3:$A$100)*8)</f>
        <v>2048</v>
      </c>
      <c r="M44" s="95">
        <f ca="1">IF($N$3&lt;E44,0,IF($N$3&gt;=F44,L44,NETWORKDAYS(E44,$N$3,Feriados!$A$3:$A$100)*8))</f>
        <v>2048</v>
      </c>
      <c r="N44" s="95">
        <f t="shared" ref="N44:N47" si="31">J44*L44</f>
        <v>2048</v>
      </c>
      <c r="O44" s="105" t="s">
        <v>198</v>
      </c>
      <c r="P44" s="84"/>
      <c r="Q44" s="85"/>
    </row>
    <row r="45" spans="1:17" s="52" customFormat="1" ht="23.25">
      <c r="A45" s="82"/>
      <c r="B45" s="83"/>
      <c r="C45" s="92" t="s">
        <v>118</v>
      </c>
      <c r="D45" s="163" t="s">
        <v>95</v>
      </c>
      <c r="E45" s="91">
        <v>44013</v>
      </c>
      <c r="F45" s="96">
        <v>44104</v>
      </c>
      <c r="G45" s="106" t="s">
        <v>49</v>
      </c>
      <c r="H45" s="93">
        <f t="shared" si="27"/>
        <v>3</v>
      </c>
      <c r="I45" s="93">
        <f t="shared" si="28"/>
        <v>3</v>
      </c>
      <c r="J45" s="94">
        <f t="shared" ca="1" si="29"/>
        <v>0.91</v>
      </c>
      <c r="K45" s="94">
        <f t="shared" ca="1" si="30"/>
        <v>1</v>
      </c>
      <c r="L45" s="95">
        <f>IF(OR(E45=0,F45=0),0,NETWORKDAYS(E45,F45,Feriados!$A$3:$A$100)*8)</f>
        <v>520</v>
      </c>
      <c r="M45" s="95">
        <f ca="1">IF($N$3&lt;E45,0,IF($N$3&gt;=F45,L45,NETWORKDAYS(E45,$N$3,Feriados!$A$3:$A$100)*8))</f>
        <v>520</v>
      </c>
      <c r="N45" s="95">
        <f t="shared" ca="1" si="31"/>
        <v>473.2</v>
      </c>
      <c r="O45" s="105" t="s">
        <v>194</v>
      </c>
      <c r="P45" s="84"/>
      <c r="Q45" s="85"/>
    </row>
    <row r="46" spans="1:17" s="52" customFormat="1" ht="23.25">
      <c r="A46" s="82"/>
      <c r="B46" s="83"/>
      <c r="C46" s="92" t="s">
        <v>119</v>
      </c>
      <c r="D46" s="163" t="s">
        <v>97</v>
      </c>
      <c r="E46" s="91">
        <v>44075</v>
      </c>
      <c r="F46" s="96">
        <v>44134</v>
      </c>
      <c r="G46" s="106" t="s">
        <v>49</v>
      </c>
      <c r="H46" s="93">
        <f t="shared" si="27"/>
        <v>3</v>
      </c>
      <c r="I46" s="93">
        <f t="shared" si="28"/>
        <v>3</v>
      </c>
      <c r="J46" s="94">
        <f t="shared" ca="1" si="29"/>
        <v>0.91</v>
      </c>
      <c r="K46" s="94">
        <f t="shared" ca="1" si="30"/>
        <v>1</v>
      </c>
      <c r="L46" s="95">
        <f>IF(OR(E46=0,F46=0),0,NETWORKDAYS(E46,F46,Feriados!$A$3:$A$100)*8)</f>
        <v>328</v>
      </c>
      <c r="M46" s="95">
        <f ca="1">IF($N$3&lt;E46,0,IF($N$3&gt;=F46,L46,NETWORKDAYS(E46,$N$3,Feriados!$A$3:$A$100)*8))</f>
        <v>328</v>
      </c>
      <c r="N46" s="95">
        <f t="shared" ca="1" si="31"/>
        <v>298.48</v>
      </c>
      <c r="O46" s="105" t="s">
        <v>194</v>
      </c>
      <c r="P46" s="84"/>
      <c r="Q46" s="85"/>
    </row>
    <row r="47" spans="1:17" s="52" customFormat="1" ht="31.5">
      <c r="A47" s="82"/>
      <c r="B47" s="83"/>
      <c r="C47" s="92" t="s">
        <v>120</v>
      </c>
      <c r="D47" s="163" t="s">
        <v>99</v>
      </c>
      <c r="E47" s="91">
        <v>44105</v>
      </c>
      <c r="F47" s="96">
        <v>44253</v>
      </c>
      <c r="G47" s="106" t="s">
        <v>49</v>
      </c>
      <c r="H47" s="93">
        <f t="shared" si="27"/>
        <v>3</v>
      </c>
      <c r="I47" s="93">
        <f t="shared" si="28"/>
        <v>3</v>
      </c>
      <c r="J47" s="94">
        <f t="shared" ca="1" si="29"/>
        <v>0.33572815533980582</v>
      </c>
      <c r="K47" s="94">
        <f t="shared" ca="1" si="30"/>
        <v>0.36893203883495146</v>
      </c>
      <c r="L47" s="95">
        <f>IF(OR(E47=0,F47=0),0,NETWORKDAYS(E47,F47,Feriados!$A$3:$A$100)*8)</f>
        <v>824</v>
      </c>
      <c r="M47" s="95">
        <f ca="1">IF($N$3&lt;E47,0,IF($N$3&gt;=F47,L47,NETWORKDAYS(E47,$N$3,Feriados!$A$3:$A$100)*8))</f>
        <v>304</v>
      </c>
      <c r="N47" s="95">
        <f t="shared" ca="1" si="31"/>
        <v>276.64</v>
      </c>
      <c r="O47" s="105" t="s">
        <v>194</v>
      </c>
      <c r="P47" s="84"/>
      <c r="Q47" s="85"/>
    </row>
    <row r="48" spans="1:17" s="52" customFormat="1" ht="23.25">
      <c r="A48" s="82"/>
      <c r="B48" s="83"/>
      <c r="C48" s="92"/>
      <c r="D48" s="163"/>
      <c r="E48" s="91"/>
      <c r="F48" s="96"/>
      <c r="G48" s="106"/>
      <c r="H48" s="93"/>
      <c r="I48" s="93"/>
      <c r="J48" s="94"/>
      <c r="K48" s="94"/>
      <c r="L48" s="95"/>
      <c r="M48" s="95"/>
      <c r="N48" s="95"/>
      <c r="O48" s="105"/>
      <c r="P48" s="84"/>
      <c r="Q48" s="85"/>
    </row>
    <row r="49" spans="1:17" s="52" customFormat="1" ht="47.25">
      <c r="A49" s="82"/>
      <c r="B49" s="83"/>
      <c r="C49" s="164">
        <v>6</v>
      </c>
      <c r="D49" s="165" t="s">
        <v>116</v>
      </c>
      <c r="E49" s="166">
        <v>43619</v>
      </c>
      <c r="F49" s="96">
        <v>44253</v>
      </c>
      <c r="G49" s="106"/>
      <c r="H49" s="93"/>
      <c r="I49" s="93"/>
      <c r="J49" s="94"/>
      <c r="K49" s="94"/>
      <c r="L49" s="95"/>
      <c r="M49" s="95"/>
      <c r="N49" s="95"/>
      <c r="O49" s="105"/>
      <c r="P49" s="84"/>
      <c r="Q49" s="85"/>
    </row>
    <row r="50" spans="1:17" s="52" customFormat="1" ht="23.25">
      <c r="A50" s="82"/>
      <c r="B50" s="83"/>
      <c r="C50" s="92" t="s">
        <v>121</v>
      </c>
      <c r="D50" s="163" t="s">
        <v>93</v>
      </c>
      <c r="E50" s="91">
        <v>43647</v>
      </c>
      <c r="F50" s="96">
        <v>44012</v>
      </c>
      <c r="G50" s="106" t="s">
        <v>193</v>
      </c>
      <c r="H50" s="93">
        <f t="shared" ref="H50:H53" si="32">I50</f>
        <v>4</v>
      </c>
      <c r="I50" s="93">
        <f t="shared" ref="I50:I53" si="33">IF(G50="PREOCUPANTE",1,IF(G50="ATENÇÃO",2,IF(G50="ADEQUADO",3,IF(G50="CONCLUÍDO",4,""))))</f>
        <v>4</v>
      </c>
      <c r="J50" s="94">
        <f t="shared" ref="J50:J53" si="34">IF(G50="CONCLUÍDO",1,IF(G50="ADEQUADO",0.91*K50,IF(G50="ATENÇÃO",0.6*K50,IF(G50="PREOCUPANTE",0.5*K50))))</f>
        <v>1</v>
      </c>
      <c r="K50" s="94">
        <f t="shared" ref="K50:K53" ca="1" si="35">IF(OR(D50="",D50="não há"),"-",IFERROR(M50/L50,IF(F50&lt;=TODAY(),1,0)))</f>
        <v>1</v>
      </c>
      <c r="L50" s="95">
        <f>IF(OR(E50=0,F50=0),0,NETWORKDAYS(E50,F50,Feriados!$A$3:$A$100)*8)</f>
        <v>2048</v>
      </c>
      <c r="M50" s="95">
        <f ca="1">IF($N$3&lt;E50,0,IF($N$3&gt;=F50,L50,NETWORKDAYS(E50,$N$3,Feriados!$A$3:$A$100)*8))</f>
        <v>2048</v>
      </c>
      <c r="N50" s="95">
        <f t="shared" ref="N50:N53" si="36">J50*L50</f>
        <v>2048</v>
      </c>
      <c r="O50" s="105" t="s">
        <v>198</v>
      </c>
      <c r="P50" s="84"/>
      <c r="Q50" s="85"/>
    </row>
    <row r="51" spans="1:17" s="52" customFormat="1" ht="23.25">
      <c r="A51" s="82"/>
      <c r="B51" s="83"/>
      <c r="C51" s="92" t="s">
        <v>122</v>
      </c>
      <c r="D51" s="163" t="s">
        <v>95</v>
      </c>
      <c r="E51" s="91">
        <v>44013</v>
      </c>
      <c r="F51" s="96">
        <v>44104</v>
      </c>
      <c r="G51" s="106" t="s">
        <v>49</v>
      </c>
      <c r="H51" s="93">
        <f t="shared" si="32"/>
        <v>3</v>
      </c>
      <c r="I51" s="93">
        <f t="shared" si="33"/>
        <v>3</v>
      </c>
      <c r="J51" s="94">
        <f t="shared" ca="1" si="34"/>
        <v>0.91</v>
      </c>
      <c r="K51" s="94">
        <f t="shared" ca="1" si="35"/>
        <v>1</v>
      </c>
      <c r="L51" s="95">
        <f>IF(OR(E51=0,F51=0),0,NETWORKDAYS(E51,F51,Feriados!$A$3:$A$100)*8)</f>
        <v>520</v>
      </c>
      <c r="M51" s="95">
        <f ca="1">IF($N$3&lt;E51,0,IF($N$3&gt;=F51,L51,NETWORKDAYS(E51,$N$3,Feriados!$A$3:$A$100)*8))</f>
        <v>520</v>
      </c>
      <c r="N51" s="95">
        <f t="shared" ca="1" si="36"/>
        <v>473.2</v>
      </c>
      <c r="O51" s="105" t="s">
        <v>194</v>
      </c>
      <c r="P51" s="84"/>
      <c r="Q51" s="85"/>
    </row>
    <row r="52" spans="1:17" s="52" customFormat="1" ht="23.25">
      <c r="A52" s="82"/>
      <c r="B52" s="83"/>
      <c r="C52" s="92" t="s">
        <v>123</v>
      </c>
      <c r="D52" s="163" t="s">
        <v>97</v>
      </c>
      <c r="E52" s="91">
        <v>44075</v>
      </c>
      <c r="F52" s="96">
        <v>44134</v>
      </c>
      <c r="G52" s="106" t="s">
        <v>49</v>
      </c>
      <c r="H52" s="93">
        <f t="shared" si="32"/>
        <v>3</v>
      </c>
      <c r="I52" s="93">
        <f t="shared" si="33"/>
        <v>3</v>
      </c>
      <c r="J52" s="94">
        <f t="shared" ca="1" si="34"/>
        <v>0.91</v>
      </c>
      <c r="K52" s="94">
        <f t="shared" ca="1" si="35"/>
        <v>1</v>
      </c>
      <c r="L52" s="95">
        <f>IF(OR(E52=0,F52=0),0,NETWORKDAYS(E52,F52,Feriados!$A$3:$A$100)*8)</f>
        <v>328</v>
      </c>
      <c r="M52" s="95">
        <f ca="1">IF($N$3&lt;E52,0,IF($N$3&gt;=F52,L52,NETWORKDAYS(E52,$N$3,Feriados!$A$3:$A$100)*8))</f>
        <v>328</v>
      </c>
      <c r="N52" s="95">
        <f t="shared" ca="1" si="36"/>
        <v>298.48</v>
      </c>
      <c r="O52" s="105" t="s">
        <v>194</v>
      </c>
      <c r="P52" s="84"/>
      <c r="Q52" s="85"/>
    </row>
    <row r="53" spans="1:17" s="52" customFormat="1" ht="31.5">
      <c r="A53" s="82"/>
      <c r="B53" s="83"/>
      <c r="C53" s="92" t="s">
        <v>124</v>
      </c>
      <c r="D53" s="163" t="s">
        <v>99</v>
      </c>
      <c r="E53" s="91">
        <v>44105</v>
      </c>
      <c r="F53" s="96">
        <v>44253</v>
      </c>
      <c r="G53" s="106" t="s">
        <v>49</v>
      </c>
      <c r="H53" s="93">
        <f t="shared" si="32"/>
        <v>3</v>
      </c>
      <c r="I53" s="93">
        <f t="shared" si="33"/>
        <v>3</v>
      </c>
      <c r="J53" s="94">
        <f t="shared" ca="1" si="34"/>
        <v>0.33572815533980582</v>
      </c>
      <c r="K53" s="94">
        <f t="shared" ca="1" si="35"/>
        <v>0.36893203883495146</v>
      </c>
      <c r="L53" s="95">
        <f>IF(OR(E53=0,F53=0),0,NETWORKDAYS(E53,F53,Feriados!$A$3:$A$100)*8)</f>
        <v>824</v>
      </c>
      <c r="M53" s="95">
        <f ca="1">IF($N$3&lt;E53,0,IF($N$3&gt;=F53,L53,NETWORKDAYS(E53,$N$3,Feriados!$A$3:$A$100)*8))</f>
        <v>304</v>
      </c>
      <c r="N53" s="95">
        <f t="shared" ca="1" si="36"/>
        <v>276.64</v>
      </c>
      <c r="O53" s="105" t="s">
        <v>194</v>
      </c>
      <c r="P53" s="84"/>
      <c r="Q53" s="85"/>
    </row>
    <row r="54" spans="1:17" s="52" customFormat="1" ht="23.25">
      <c r="A54" s="82"/>
      <c r="B54" s="83"/>
      <c r="C54" s="92"/>
      <c r="D54" s="163"/>
      <c r="E54" s="91"/>
      <c r="F54" s="96"/>
      <c r="G54" s="106"/>
      <c r="H54" s="93"/>
      <c r="I54" s="93"/>
      <c r="J54" s="94"/>
      <c r="K54" s="94"/>
      <c r="L54" s="95"/>
      <c r="M54" s="95"/>
      <c r="N54" s="95"/>
      <c r="O54" s="105"/>
      <c r="P54" s="84"/>
      <c r="Q54" s="85"/>
    </row>
    <row r="55" spans="1:17" s="52" customFormat="1" ht="31.5">
      <c r="A55" s="82"/>
      <c r="B55" s="83"/>
      <c r="C55" s="164">
        <v>7</v>
      </c>
      <c r="D55" s="165" t="s">
        <v>135</v>
      </c>
      <c r="E55" s="166">
        <v>43619</v>
      </c>
      <c r="F55" s="96">
        <v>44253</v>
      </c>
      <c r="G55" s="106"/>
      <c r="H55" s="93"/>
      <c r="I55" s="93"/>
      <c r="J55" s="94"/>
      <c r="K55" s="94"/>
      <c r="L55" s="95"/>
      <c r="M55" s="95"/>
      <c r="N55" s="95"/>
      <c r="O55" s="105"/>
      <c r="P55" s="84"/>
      <c r="Q55" s="85"/>
    </row>
    <row r="56" spans="1:17" s="52" customFormat="1" ht="23.25">
      <c r="A56" s="82"/>
      <c r="B56" s="83"/>
      <c r="C56" s="92" t="s">
        <v>125</v>
      </c>
      <c r="D56" s="163" t="s">
        <v>93</v>
      </c>
      <c r="E56" s="91">
        <v>43647</v>
      </c>
      <c r="F56" s="96">
        <v>44012</v>
      </c>
      <c r="G56" s="106" t="s">
        <v>193</v>
      </c>
      <c r="H56" s="93">
        <f t="shared" ref="H56:H59" si="37">I56</f>
        <v>4</v>
      </c>
      <c r="I56" s="93">
        <f t="shared" ref="I56:I59" si="38">IF(G56="PREOCUPANTE",1,IF(G56="ATENÇÃO",2,IF(G56="ADEQUADO",3,IF(G56="CONCLUÍDO",4,""))))</f>
        <v>4</v>
      </c>
      <c r="J56" s="94">
        <f t="shared" ref="J56:J59" si="39">IF(G56="CONCLUÍDO",1,IF(G56="ADEQUADO",0.91*K56,IF(G56="ATENÇÃO",0.6*K56,IF(G56="PREOCUPANTE",0.5*K56))))</f>
        <v>1</v>
      </c>
      <c r="K56" s="94">
        <f t="shared" ref="K56:K59" ca="1" si="40">IF(OR(D56="",D56="não há"),"-",IFERROR(M56/L56,IF(F56&lt;=TODAY(),1,0)))</f>
        <v>1</v>
      </c>
      <c r="L56" s="95">
        <f>IF(OR(E56=0,F56=0),0,NETWORKDAYS(E56,F56,Feriados!$A$3:$A$100)*8)</f>
        <v>2048</v>
      </c>
      <c r="M56" s="95">
        <f ca="1">IF($N$3&lt;E56,0,IF($N$3&gt;=F56,L56,NETWORKDAYS(E56,$N$3,Feriados!$A$3:$A$100)*8))</f>
        <v>2048</v>
      </c>
      <c r="N56" s="95">
        <f t="shared" ref="N56:N59" si="41">J56*L56</f>
        <v>2048</v>
      </c>
      <c r="O56" s="105" t="s">
        <v>204</v>
      </c>
      <c r="P56" s="84"/>
      <c r="Q56" s="85"/>
    </row>
    <row r="57" spans="1:17" s="52" customFormat="1" ht="35.25" customHeight="1">
      <c r="A57" s="82"/>
      <c r="B57" s="83"/>
      <c r="C57" s="92" t="s">
        <v>126</v>
      </c>
      <c r="D57" s="163" t="s">
        <v>95</v>
      </c>
      <c r="E57" s="91">
        <v>44013</v>
      </c>
      <c r="F57" s="96">
        <v>44104</v>
      </c>
      <c r="G57" s="106" t="s">
        <v>193</v>
      </c>
      <c r="H57" s="93">
        <f t="shared" si="37"/>
        <v>4</v>
      </c>
      <c r="I57" s="93">
        <f t="shared" si="38"/>
        <v>4</v>
      </c>
      <c r="J57" s="94">
        <f t="shared" si="39"/>
        <v>1</v>
      </c>
      <c r="K57" s="94">
        <f t="shared" ca="1" si="40"/>
        <v>1</v>
      </c>
      <c r="L57" s="95">
        <f>IF(OR(E57=0,F57=0),0,NETWORKDAYS(E57,F57,Feriados!$A$3:$A$100)*8)</f>
        <v>520</v>
      </c>
      <c r="M57" s="95">
        <f ca="1">IF($N$3&lt;E57,0,IF($N$3&gt;=F57,L57,NETWORKDAYS(E57,$N$3,Feriados!$A$3:$A$100)*8))</f>
        <v>520</v>
      </c>
      <c r="N57" s="95">
        <f t="shared" si="41"/>
        <v>520</v>
      </c>
      <c r="O57" s="105" t="s">
        <v>209</v>
      </c>
      <c r="P57" s="84"/>
      <c r="Q57" s="85"/>
    </row>
    <row r="58" spans="1:17" s="52" customFormat="1" ht="23.25">
      <c r="A58" s="82"/>
      <c r="B58" s="83"/>
      <c r="C58" s="92" t="s">
        <v>127</v>
      </c>
      <c r="D58" s="163" t="s">
        <v>97</v>
      </c>
      <c r="E58" s="91">
        <v>44075</v>
      </c>
      <c r="F58" s="96">
        <v>44134</v>
      </c>
      <c r="G58" s="106" t="s">
        <v>193</v>
      </c>
      <c r="H58" s="93">
        <f t="shared" si="37"/>
        <v>4</v>
      </c>
      <c r="I58" s="93">
        <f t="shared" si="38"/>
        <v>4</v>
      </c>
      <c r="J58" s="94">
        <f t="shared" si="39"/>
        <v>1</v>
      </c>
      <c r="K58" s="94">
        <f t="shared" ca="1" si="40"/>
        <v>1</v>
      </c>
      <c r="L58" s="95">
        <f>IF(OR(E58=0,F58=0),0,NETWORKDAYS(E58,F58,Feriados!$A$3:$A$100)*8)</f>
        <v>328</v>
      </c>
      <c r="M58" s="95">
        <f ca="1">IF($N$3&lt;E58,0,IF($N$3&gt;=F58,L58,NETWORKDAYS(E58,$N$3,Feriados!$A$3:$A$100)*8))</f>
        <v>328</v>
      </c>
      <c r="N58" s="95">
        <f t="shared" si="41"/>
        <v>328</v>
      </c>
      <c r="O58" s="105" t="s">
        <v>209</v>
      </c>
      <c r="P58" s="84"/>
      <c r="Q58" s="85"/>
    </row>
    <row r="59" spans="1:17" s="52" customFormat="1" ht="31.5">
      <c r="A59" s="82"/>
      <c r="B59" s="83"/>
      <c r="C59" s="92" t="s">
        <v>128</v>
      </c>
      <c r="D59" s="163" t="s">
        <v>99</v>
      </c>
      <c r="E59" s="91">
        <v>44105</v>
      </c>
      <c r="F59" s="96">
        <v>44253</v>
      </c>
      <c r="G59" s="106" t="s">
        <v>49</v>
      </c>
      <c r="H59" s="93">
        <f t="shared" si="37"/>
        <v>3</v>
      </c>
      <c r="I59" s="93">
        <f t="shared" si="38"/>
        <v>3</v>
      </c>
      <c r="J59" s="94">
        <f t="shared" ca="1" si="39"/>
        <v>0.33572815533980582</v>
      </c>
      <c r="K59" s="94">
        <f t="shared" ca="1" si="40"/>
        <v>0.36893203883495146</v>
      </c>
      <c r="L59" s="95">
        <f>IF(OR(E59=0,F59=0),0,NETWORKDAYS(E59,F59,Feriados!$A$3:$A$100)*8)</f>
        <v>824</v>
      </c>
      <c r="M59" s="95">
        <f ca="1">IF($N$3&lt;E59,0,IF($N$3&gt;=F59,L59,NETWORKDAYS(E59,$N$3,Feriados!$A$3:$A$100)*8))</f>
        <v>304</v>
      </c>
      <c r="N59" s="95">
        <f t="shared" ca="1" si="41"/>
        <v>276.64</v>
      </c>
      <c r="O59" s="105" t="s">
        <v>210</v>
      </c>
      <c r="P59" s="84"/>
      <c r="Q59" s="85"/>
    </row>
    <row r="60" spans="1:17" s="52" customFormat="1" ht="23.25">
      <c r="A60" s="82"/>
      <c r="B60" s="83"/>
      <c r="C60" s="92"/>
      <c r="D60" s="163"/>
      <c r="E60" s="91"/>
      <c r="F60" s="96"/>
      <c r="G60" s="106"/>
      <c r="H60" s="93"/>
      <c r="I60" s="93"/>
      <c r="J60" s="94"/>
      <c r="K60" s="94"/>
      <c r="L60" s="95"/>
      <c r="M60" s="95"/>
      <c r="N60" s="95"/>
      <c r="O60" s="105"/>
      <c r="P60" s="84"/>
      <c r="Q60" s="85"/>
    </row>
    <row r="61" spans="1:17" s="52" customFormat="1" ht="63">
      <c r="A61" s="82"/>
      <c r="B61" s="83"/>
      <c r="C61" s="164">
        <v>8</v>
      </c>
      <c r="D61" s="165" t="s">
        <v>145</v>
      </c>
      <c r="E61" s="166">
        <v>43619</v>
      </c>
      <c r="F61" s="96">
        <v>44253</v>
      </c>
      <c r="G61" s="106"/>
      <c r="H61" s="93"/>
      <c r="I61" s="93"/>
      <c r="J61" s="94"/>
      <c r="K61" s="94"/>
      <c r="L61" s="95"/>
      <c r="M61" s="95"/>
      <c r="N61" s="95"/>
      <c r="O61" s="105"/>
      <c r="P61" s="84"/>
      <c r="Q61" s="85"/>
    </row>
    <row r="62" spans="1:17" s="52" customFormat="1" ht="23.25">
      <c r="A62" s="82"/>
      <c r="B62" s="83"/>
      <c r="C62" s="92" t="s">
        <v>131</v>
      </c>
      <c r="D62" s="163" t="s">
        <v>93</v>
      </c>
      <c r="E62" s="91">
        <v>43647</v>
      </c>
      <c r="F62" s="96">
        <v>44012</v>
      </c>
      <c r="G62" s="106" t="s">
        <v>193</v>
      </c>
      <c r="H62" s="93">
        <f t="shared" ref="H62:H65" si="42">I62</f>
        <v>4</v>
      </c>
      <c r="I62" s="93">
        <f t="shared" ref="I62:I65" si="43">IF(G62="PREOCUPANTE",1,IF(G62="ATENÇÃO",2,IF(G62="ADEQUADO",3,IF(G62="CONCLUÍDO",4,""))))</f>
        <v>4</v>
      </c>
      <c r="J62" s="94">
        <f t="shared" ref="J62:J65" si="44">IF(G62="CONCLUÍDO",1,IF(G62="ADEQUADO",0.91*K62,IF(G62="ATENÇÃO",0.6*K62,IF(G62="PREOCUPANTE",0.5*K62))))</f>
        <v>1</v>
      </c>
      <c r="K62" s="94">
        <f t="shared" ref="K62:K65" ca="1" si="45">IF(OR(D62="",D62="não há"),"-",IFERROR(M62/L62,IF(F62&lt;=TODAY(),1,0)))</f>
        <v>1</v>
      </c>
      <c r="L62" s="95">
        <f>IF(OR(E62=0,F62=0),0,NETWORKDAYS(E62,F62,Feriados!$A$3:$A$100)*8)</f>
        <v>2048</v>
      </c>
      <c r="M62" s="95">
        <f ca="1">IF($N$3&lt;E62,0,IF($N$3&gt;=F62,L62,NETWORKDAYS(E62,$N$3,Feriados!$A$3:$A$100)*8))</f>
        <v>2048</v>
      </c>
      <c r="N62" s="95">
        <f t="shared" ref="N62:N65" si="46">J62*L62</f>
        <v>2048</v>
      </c>
      <c r="O62" s="105" t="s">
        <v>199</v>
      </c>
      <c r="P62" s="84"/>
      <c r="Q62" s="85"/>
    </row>
    <row r="63" spans="1:17" s="52" customFormat="1" ht="23.25">
      <c r="A63" s="82"/>
      <c r="B63" s="83"/>
      <c r="C63" s="92" t="s">
        <v>132</v>
      </c>
      <c r="D63" s="163" t="s">
        <v>95</v>
      </c>
      <c r="E63" s="91">
        <v>44013</v>
      </c>
      <c r="F63" s="96">
        <v>44104</v>
      </c>
      <c r="G63" s="106" t="s">
        <v>193</v>
      </c>
      <c r="H63" s="93">
        <f t="shared" si="42"/>
        <v>4</v>
      </c>
      <c r="I63" s="93">
        <f t="shared" si="43"/>
        <v>4</v>
      </c>
      <c r="J63" s="94">
        <f t="shared" si="44"/>
        <v>1</v>
      </c>
      <c r="K63" s="94">
        <f t="shared" ca="1" si="45"/>
        <v>1</v>
      </c>
      <c r="L63" s="95">
        <f>IF(OR(E63=0,F63=0),0,NETWORKDAYS(E63,F63,Feriados!$A$3:$A$100)*8)</f>
        <v>520</v>
      </c>
      <c r="M63" s="95">
        <f ca="1">IF($N$3&lt;E63,0,IF($N$3&gt;=F63,L63,NETWORKDAYS(E63,$N$3,Feriados!$A$3:$A$100)*8))</f>
        <v>520</v>
      </c>
      <c r="N63" s="95">
        <f t="shared" si="46"/>
        <v>520</v>
      </c>
      <c r="O63" s="105" t="s">
        <v>211</v>
      </c>
      <c r="P63" s="84"/>
      <c r="Q63" s="85"/>
    </row>
    <row r="64" spans="1:17" s="52" customFormat="1" ht="23.25">
      <c r="A64" s="82"/>
      <c r="B64" s="83"/>
      <c r="C64" s="92" t="s">
        <v>133</v>
      </c>
      <c r="D64" s="163" t="s">
        <v>97</v>
      </c>
      <c r="E64" s="91">
        <v>44075</v>
      </c>
      <c r="F64" s="96">
        <v>44134</v>
      </c>
      <c r="G64" s="106" t="s">
        <v>49</v>
      </c>
      <c r="H64" s="93">
        <f t="shared" si="42"/>
        <v>3</v>
      </c>
      <c r="I64" s="93">
        <f t="shared" si="43"/>
        <v>3</v>
      </c>
      <c r="J64" s="94">
        <f t="shared" ca="1" si="44"/>
        <v>0.91</v>
      </c>
      <c r="K64" s="94">
        <f t="shared" ca="1" si="45"/>
        <v>1</v>
      </c>
      <c r="L64" s="95">
        <f>IF(OR(E64=0,F64=0),0,NETWORKDAYS(E64,F64,Feriados!$A$3:$A$100)*8)</f>
        <v>328</v>
      </c>
      <c r="M64" s="95">
        <f ca="1">IF($N$3&lt;E64,0,IF($N$3&gt;=F64,L64,NETWORKDAYS(E64,$N$3,Feriados!$A$3:$A$100)*8))</f>
        <v>328</v>
      </c>
      <c r="N64" s="95">
        <f t="shared" ca="1" si="46"/>
        <v>298.48</v>
      </c>
      <c r="O64" s="105" t="s">
        <v>205</v>
      </c>
      <c r="P64" s="84"/>
      <c r="Q64" s="85"/>
    </row>
    <row r="65" spans="1:17" s="52" customFormat="1" ht="31.5">
      <c r="A65" s="82"/>
      <c r="B65" s="83"/>
      <c r="C65" s="92" t="s">
        <v>134</v>
      </c>
      <c r="D65" s="163" t="s">
        <v>99</v>
      </c>
      <c r="E65" s="91">
        <v>44105</v>
      </c>
      <c r="F65" s="96">
        <v>44253</v>
      </c>
      <c r="G65" s="106" t="s">
        <v>49</v>
      </c>
      <c r="H65" s="93">
        <f t="shared" si="42"/>
        <v>3</v>
      </c>
      <c r="I65" s="93">
        <f t="shared" si="43"/>
        <v>3</v>
      </c>
      <c r="J65" s="94">
        <f t="shared" ca="1" si="44"/>
        <v>0.33572815533980582</v>
      </c>
      <c r="K65" s="94">
        <f t="shared" ca="1" si="45"/>
        <v>0.36893203883495146</v>
      </c>
      <c r="L65" s="95">
        <f>IF(OR(E65=0,F65=0),0,NETWORKDAYS(E65,F65,Feriados!$A$3:$A$100)*8)</f>
        <v>824</v>
      </c>
      <c r="M65" s="95">
        <f ca="1">IF($N$3&lt;E65,0,IF($N$3&gt;=F65,L65,NETWORKDAYS(E65,$N$3,Feriados!$A$3:$A$100)*8))</f>
        <v>304</v>
      </c>
      <c r="N65" s="95">
        <f t="shared" ca="1" si="46"/>
        <v>276.64</v>
      </c>
      <c r="O65" s="105" t="s">
        <v>205</v>
      </c>
      <c r="P65" s="84"/>
      <c r="Q65" s="85"/>
    </row>
    <row r="66" spans="1:17" s="52" customFormat="1" ht="23.25">
      <c r="A66" s="82"/>
      <c r="B66" s="83"/>
      <c r="C66" s="92"/>
      <c r="D66" s="163"/>
      <c r="E66" s="91"/>
      <c r="F66" s="96"/>
      <c r="G66" s="106"/>
      <c r="H66" s="93"/>
      <c r="I66" s="93"/>
      <c r="J66" s="94"/>
      <c r="K66" s="94"/>
      <c r="L66" s="95"/>
      <c r="M66" s="95"/>
      <c r="N66" s="95"/>
      <c r="O66" s="105"/>
      <c r="P66" s="84"/>
      <c r="Q66" s="85"/>
    </row>
    <row r="67" spans="1:17" s="52" customFormat="1" ht="47.25">
      <c r="A67" s="82"/>
      <c r="B67" s="83"/>
      <c r="C67" s="164">
        <v>9</v>
      </c>
      <c r="D67" s="165" t="s">
        <v>129</v>
      </c>
      <c r="E67" s="166">
        <v>43864</v>
      </c>
      <c r="F67" s="96">
        <v>44498</v>
      </c>
      <c r="G67" s="106"/>
      <c r="H67" s="93"/>
      <c r="I67" s="93"/>
      <c r="J67" s="94"/>
      <c r="K67" s="94"/>
      <c r="L67" s="95"/>
      <c r="M67" s="95"/>
      <c r="N67" s="95"/>
      <c r="O67" s="105"/>
      <c r="P67" s="84"/>
      <c r="Q67" s="85"/>
    </row>
    <row r="68" spans="1:17" s="52" customFormat="1" ht="31.5">
      <c r="A68" s="82"/>
      <c r="B68" s="83"/>
      <c r="C68" s="92" t="s">
        <v>136</v>
      </c>
      <c r="D68" s="163" t="s">
        <v>93</v>
      </c>
      <c r="E68" s="91">
        <v>43892</v>
      </c>
      <c r="F68" s="96">
        <v>44253</v>
      </c>
      <c r="G68" s="106" t="s">
        <v>49</v>
      </c>
      <c r="H68" s="93">
        <f t="shared" ref="H68:H71" si="47">I68</f>
        <v>3</v>
      </c>
      <c r="I68" s="93">
        <f t="shared" ref="I68:I71" si="48">IF(G68="PREOCUPANTE",1,IF(G68="ATENÇÃO",2,IF(G68="ADEQUADO",3,IF(G68="CONCLUÍDO",4,""))))</f>
        <v>3</v>
      </c>
      <c r="J68" s="94">
        <f t="shared" ref="J68:J71" ca="1" si="49">IF(G68="CONCLUÍDO",1,IF(G68="ADEQUADO",0.91*K68,IF(G68="ATENÇÃO",0.6*K68,IF(G68="PREOCUPANTE",0.5*K68))))</f>
        <v>0.67620553359683799</v>
      </c>
      <c r="K68" s="94">
        <f t="shared" ref="K68:K71" ca="1" si="50">IF(OR(D68="",D68="não há"),"-",IFERROR(M68/L68,IF(F68&lt;=TODAY(),1,0)))</f>
        <v>0.74308300395256921</v>
      </c>
      <c r="L68" s="95">
        <f>IF(OR(E68=0,F68=0),0,NETWORKDAYS(E68,F68,Feriados!$A$3:$A$100)*8)</f>
        <v>2024</v>
      </c>
      <c r="M68" s="95">
        <f ca="1">IF($N$3&lt;E68,0,IF($N$3&gt;=F68,L68,NETWORKDAYS(E68,$N$3,Feriados!$A$3:$A$100)*8))</f>
        <v>1504</v>
      </c>
      <c r="N68" s="95">
        <f t="shared" ref="N68:N71" ca="1" si="51">J68*L68</f>
        <v>1368.64</v>
      </c>
      <c r="O68" s="105" t="s">
        <v>216</v>
      </c>
      <c r="P68" s="84"/>
      <c r="Q68" s="85"/>
    </row>
    <row r="69" spans="1:17" s="52" customFormat="1" ht="23.25">
      <c r="A69" s="82"/>
      <c r="B69" s="83"/>
      <c r="C69" s="92" t="s">
        <v>137</v>
      </c>
      <c r="D69" s="163" t="s">
        <v>95</v>
      </c>
      <c r="E69" s="91">
        <v>44256</v>
      </c>
      <c r="F69" s="96">
        <v>44347</v>
      </c>
      <c r="G69" s="106" t="s">
        <v>49</v>
      </c>
      <c r="H69" s="93">
        <f t="shared" si="47"/>
        <v>3</v>
      </c>
      <c r="I69" s="93">
        <f t="shared" si="48"/>
        <v>3</v>
      </c>
      <c r="J69" s="94">
        <f t="shared" ca="1" si="49"/>
        <v>0</v>
      </c>
      <c r="K69" s="94">
        <f t="shared" ca="1" si="50"/>
        <v>0</v>
      </c>
      <c r="L69" s="95">
        <f>IF(OR(E69=0,F69=0),0,NETWORKDAYS(E69,F69,Feriados!$A$3:$A$100)*8)</f>
        <v>528</v>
      </c>
      <c r="M69" s="95">
        <f ca="1">IF($N$3&lt;E69,0,IF($N$3&gt;=F69,L69,NETWORKDAYS(E69,$N$3,Feriados!$A$3:$A$100)*8))</f>
        <v>0</v>
      </c>
      <c r="N69" s="95">
        <f t="shared" ca="1" si="51"/>
        <v>0</v>
      </c>
      <c r="O69" s="105" t="s">
        <v>195</v>
      </c>
      <c r="P69" s="84"/>
      <c r="Q69" s="85"/>
    </row>
    <row r="70" spans="1:17" s="52" customFormat="1" ht="23.25">
      <c r="A70" s="82"/>
      <c r="B70" s="83"/>
      <c r="C70" s="92" t="s">
        <v>138</v>
      </c>
      <c r="D70" s="163" t="s">
        <v>97</v>
      </c>
      <c r="E70" s="91">
        <v>44319</v>
      </c>
      <c r="F70" s="96">
        <v>44377</v>
      </c>
      <c r="G70" s="106" t="s">
        <v>49</v>
      </c>
      <c r="H70" s="93">
        <f t="shared" si="47"/>
        <v>3</v>
      </c>
      <c r="I70" s="93">
        <f t="shared" si="48"/>
        <v>3</v>
      </c>
      <c r="J70" s="94">
        <f t="shared" ca="1" si="49"/>
        <v>0</v>
      </c>
      <c r="K70" s="94">
        <f t="shared" ca="1" si="50"/>
        <v>0</v>
      </c>
      <c r="L70" s="95">
        <f>IF(OR(E70=0,F70=0),0,NETWORKDAYS(E70,F70,Feriados!$A$3:$A$100)*8)</f>
        <v>344</v>
      </c>
      <c r="M70" s="95">
        <f ca="1">IF($N$3&lt;E70,0,IF($N$3&gt;=F70,L70,NETWORKDAYS(E70,$N$3,Feriados!$A$3:$A$100)*8))</f>
        <v>0</v>
      </c>
      <c r="N70" s="95">
        <f t="shared" ca="1" si="51"/>
        <v>0</v>
      </c>
      <c r="O70" s="105" t="s">
        <v>195</v>
      </c>
      <c r="P70" s="84"/>
      <c r="Q70" s="85"/>
    </row>
    <row r="71" spans="1:17" s="52" customFormat="1" ht="31.5">
      <c r="A71" s="82"/>
      <c r="B71" s="83"/>
      <c r="C71" s="92" t="s">
        <v>139</v>
      </c>
      <c r="D71" s="163" t="s">
        <v>99</v>
      </c>
      <c r="E71" s="91">
        <v>44348</v>
      </c>
      <c r="F71" s="96">
        <v>44498</v>
      </c>
      <c r="G71" s="106" t="s">
        <v>49</v>
      </c>
      <c r="H71" s="93">
        <f t="shared" si="47"/>
        <v>3</v>
      </c>
      <c r="I71" s="93">
        <f t="shared" si="48"/>
        <v>3</v>
      </c>
      <c r="J71" s="94">
        <f t="shared" ca="1" si="49"/>
        <v>0</v>
      </c>
      <c r="K71" s="94">
        <f t="shared" ca="1" si="50"/>
        <v>0</v>
      </c>
      <c r="L71" s="95">
        <f>IF(OR(E71=0,F71=0),0,NETWORKDAYS(E71,F71,Feriados!$A$3:$A$100)*8)</f>
        <v>872</v>
      </c>
      <c r="M71" s="95">
        <f ca="1">IF($N$3&lt;E71,0,IF($N$3&gt;=F71,L71,NETWORKDAYS(E71,$N$3,Feriados!$A$3:$A$100)*8))</f>
        <v>0</v>
      </c>
      <c r="N71" s="95">
        <f t="shared" ca="1" si="51"/>
        <v>0</v>
      </c>
      <c r="O71" s="105" t="s">
        <v>195</v>
      </c>
      <c r="P71" s="84"/>
      <c r="Q71" s="85"/>
    </row>
    <row r="72" spans="1:17" s="52" customFormat="1" ht="23.25">
      <c r="A72" s="82"/>
      <c r="B72" s="83"/>
      <c r="C72" s="92"/>
      <c r="D72" s="163"/>
      <c r="E72" s="91"/>
      <c r="F72" s="96"/>
      <c r="G72" s="106"/>
      <c r="H72" s="93"/>
      <c r="I72" s="93"/>
      <c r="J72" s="94"/>
      <c r="K72" s="94"/>
      <c r="L72" s="95"/>
      <c r="M72" s="95"/>
      <c r="N72" s="95"/>
      <c r="O72" s="105"/>
      <c r="P72" s="84"/>
      <c r="Q72" s="85"/>
    </row>
    <row r="73" spans="1:17" s="52" customFormat="1" ht="47.25">
      <c r="A73" s="82"/>
      <c r="B73" s="83"/>
      <c r="C73" s="164">
        <v>10</v>
      </c>
      <c r="D73" s="165" t="s">
        <v>130</v>
      </c>
      <c r="E73" s="166">
        <v>43864</v>
      </c>
      <c r="F73" s="96">
        <v>44498</v>
      </c>
      <c r="G73" s="106"/>
      <c r="H73" s="93"/>
      <c r="I73" s="93"/>
      <c r="J73" s="94"/>
      <c r="K73" s="94"/>
      <c r="L73" s="95"/>
      <c r="M73" s="95"/>
      <c r="N73" s="95"/>
      <c r="O73" s="105"/>
      <c r="P73" s="84"/>
      <c r="Q73" s="85"/>
    </row>
    <row r="74" spans="1:17" s="52" customFormat="1" ht="23.25">
      <c r="A74" s="82"/>
      <c r="B74" s="83"/>
      <c r="C74" s="92" t="s">
        <v>140</v>
      </c>
      <c r="D74" s="163" t="s">
        <v>93</v>
      </c>
      <c r="E74" s="91">
        <v>43892</v>
      </c>
      <c r="F74" s="96">
        <v>44253</v>
      </c>
      <c r="G74" s="106" t="s">
        <v>49</v>
      </c>
      <c r="H74" s="93">
        <f t="shared" ref="H74:H77" si="52">I74</f>
        <v>3</v>
      </c>
      <c r="I74" s="93">
        <f t="shared" ref="I74:I77" si="53">IF(G74="PREOCUPANTE",1,IF(G74="ATENÇÃO",2,IF(G74="ADEQUADO",3,IF(G74="CONCLUÍDO",4,""))))</f>
        <v>3</v>
      </c>
      <c r="J74" s="94">
        <f t="shared" ref="J74:J77" ca="1" si="54">IF(G74="CONCLUÍDO",1,IF(G74="ADEQUADO",0.91*K74,IF(G74="ATENÇÃO",0.6*K74,IF(G74="PREOCUPANTE",0.5*K74))))</f>
        <v>0.67620553359683799</v>
      </c>
      <c r="K74" s="94">
        <f t="shared" ref="K74:K77" ca="1" si="55">IF(OR(D74="",D74="não há"),"-",IFERROR(M74/L74,IF(F74&lt;=TODAY(),1,0)))</f>
        <v>0.74308300395256921</v>
      </c>
      <c r="L74" s="95">
        <f>IF(OR(E74=0,F74=0),0,NETWORKDAYS(E74,F74,Feriados!$A$3:$A$100)*8)</f>
        <v>2024</v>
      </c>
      <c r="M74" s="95">
        <f ca="1">IF($N$3&lt;E74,0,IF($N$3&gt;=F74,L74,NETWORKDAYS(E74,$N$3,Feriados!$A$3:$A$100)*8))</f>
        <v>1504</v>
      </c>
      <c r="N74" s="95">
        <f t="shared" ref="N74:N77" ca="1" si="56">J74*L74</f>
        <v>1368.64</v>
      </c>
      <c r="O74" s="105" t="s">
        <v>194</v>
      </c>
      <c r="P74" s="84"/>
      <c r="Q74" s="85"/>
    </row>
    <row r="75" spans="1:17" s="52" customFormat="1" ht="23.25">
      <c r="A75" s="82"/>
      <c r="B75" s="83"/>
      <c r="C75" s="92" t="s">
        <v>141</v>
      </c>
      <c r="D75" s="163" t="s">
        <v>95</v>
      </c>
      <c r="E75" s="91">
        <v>44256</v>
      </c>
      <c r="F75" s="96">
        <v>44347</v>
      </c>
      <c r="G75" s="106" t="s">
        <v>49</v>
      </c>
      <c r="H75" s="93">
        <f t="shared" si="52"/>
        <v>3</v>
      </c>
      <c r="I75" s="93">
        <f t="shared" si="53"/>
        <v>3</v>
      </c>
      <c r="J75" s="94">
        <f t="shared" ca="1" si="54"/>
        <v>0</v>
      </c>
      <c r="K75" s="94">
        <f t="shared" ca="1" si="55"/>
        <v>0</v>
      </c>
      <c r="L75" s="95">
        <f>IF(OR(E75=0,F75=0),0,NETWORKDAYS(E75,F75,Feriados!$A$3:$A$100)*8)</f>
        <v>528</v>
      </c>
      <c r="M75" s="95">
        <f ca="1">IF($N$3&lt;E75,0,IF($N$3&gt;=F75,L75,NETWORKDAYS(E75,$N$3,Feriados!$A$3:$A$100)*8))</f>
        <v>0</v>
      </c>
      <c r="N75" s="95">
        <f t="shared" ca="1" si="56"/>
        <v>0</v>
      </c>
      <c r="O75" s="105" t="s">
        <v>196</v>
      </c>
      <c r="P75" s="84"/>
      <c r="Q75" s="85"/>
    </row>
    <row r="76" spans="1:17" s="52" customFormat="1" ht="23.25">
      <c r="A76" s="82"/>
      <c r="B76" s="83"/>
      <c r="C76" s="92" t="s">
        <v>142</v>
      </c>
      <c r="D76" s="163" t="s">
        <v>97</v>
      </c>
      <c r="E76" s="91">
        <v>44319</v>
      </c>
      <c r="F76" s="96">
        <v>44377</v>
      </c>
      <c r="G76" s="106" t="s">
        <v>49</v>
      </c>
      <c r="H76" s="93">
        <f t="shared" si="52"/>
        <v>3</v>
      </c>
      <c r="I76" s="93">
        <f t="shared" si="53"/>
        <v>3</v>
      </c>
      <c r="J76" s="94">
        <f t="shared" ca="1" si="54"/>
        <v>0</v>
      </c>
      <c r="K76" s="94">
        <f t="shared" ca="1" si="55"/>
        <v>0</v>
      </c>
      <c r="L76" s="95">
        <f>IF(OR(E76=0,F76=0),0,NETWORKDAYS(E76,F76,Feriados!$A$3:$A$100)*8)</f>
        <v>344</v>
      </c>
      <c r="M76" s="95">
        <f ca="1">IF($N$3&lt;E76,0,IF($N$3&gt;=F76,L76,NETWORKDAYS(E76,$N$3,Feriados!$A$3:$A$100)*8))</f>
        <v>0</v>
      </c>
      <c r="N76" s="95">
        <f t="shared" ca="1" si="56"/>
        <v>0</v>
      </c>
      <c r="O76" s="105" t="s">
        <v>196</v>
      </c>
      <c r="P76" s="84"/>
      <c r="Q76" s="85"/>
    </row>
    <row r="77" spans="1:17" s="52" customFormat="1" ht="31.5">
      <c r="A77" s="82"/>
      <c r="B77" s="83"/>
      <c r="C77" s="92" t="s">
        <v>143</v>
      </c>
      <c r="D77" s="163" t="s">
        <v>99</v>
      </c>
      <c r="E77" s="91">
        <v>44348</v>
      </c>
      <c r="F77" s="96">
        <v>44498</v>
      </c>
      <c r="G77" s="106" t="s">
        <v>49</v>
      </c>
      <c r="H77" s="93">
        <f t="shared" si="52"/>
        <v>3</v>
      </c>
      <c r="I77" s="93">
        <f t="shared" si="53"/>
        <v>3</v>
      </c>
      <c r="J77" s="94">
        <f t="shared" ca="1" si="54"/>
        <v>0</v>
      </c>
      <c r="K77" s="94">
        <f t="shared" ca="1" si="55"/>
        <v>0</v>
      </c>
      <c r="L77" s="95">
        <f>IF(OR(E77=0,F77=0),0,NETWORKDAYS(E77,F77,Feriados!$A$3:$A$100)*8)</f>
        <v>872</v>
      </c>
      <c r="M77" s="95">
        <f ca="1">IF($N$3&lt;E77,0,IF($N$3&gt;=F77,L77,NETWORKDAYS(E77,$N$3,Feriados!$A$3:$A$100)*8))</f>
        <v>0</v>
      </c>
      <c r="N77" s="95">
        <f t="shared" ca="1" si="56"/>
        <v>0</v>
      </c>
      <c r="O77" s="105" t="s">
        <v>195</v>
      </c>
      <c r="P77" s="84"/>
      <c r="Q77" s="85"/>
    </row>
    <row r="78" spans="1:17" s="52" customFormat="1" ht="23.25">
      <c r="A78" s="82"/>
      <c r="B78" s="83"/>
      <c r="C78" s="92"/>
      <c r="D78" s="163"/>
      <c r="E78" s="91"/>
      <c r="F78" s="96"/>
      <c r="G78" s="106"/>
      <c r="H78" s="93"/>
      <c r="I78" s="93"/>
      <c r="J78" s="94"/>
      <c r="K78" s="94"/>
      <c r="L78" s="95"/>
      <c r="M78" s="95"/>
      <c r="N78" s="95"/>
      <c r="O78" s="105"/>
      <c r="P78" s="84"/>
      <c r="Q78" s="85"/>
    </row>
    <row r="79" spans="1:17" s="52" customFormat="1" ht="47.25">
      <c r="A79" s="82"/>
      <c r="B79" s="83"/>
      <c r="C79" s="164">
        <v>11</v>
      </c>
      <c r="D79" s="165" t="s">
        <v>144</v>
      </c>
      <c r="E79" s="166">
        <v>43864</v>
      </c>
      <c r="F79" s="96">
        <v>44498</v>
      </c>
      <c r="G79" s="106"/>
      <c r="H79" s="93"/>
      <c r="I79" s="93"/>
      <c r="J79" s="94"/>
      <c r="K79" s="94"/>
      <c r="L79" s="95"/>
      <c r="M79" s="95"/>
      <c r="N79" s="95"/>
      <c r="O79" s="105"/>
      <c r="P79" s="84"/>
      <c r="Q79" s="85"/>
    </row>
    <row r="80" spans="1:17" s="52" customFormat="1" ht="23.25">
      <c r="A80" s="82"/>
      <c r="B80" s="83"/>
      <c r="C80" s="92" t="s">
        <v>146</v>
      </c>
      <c r="D80" s="163" t="s">
        <v>93</v>
      </c>
      <c r="E80" s="91">
        <v>43892</v>
      </c>
      <c r="F80" s="96">
        <v>44253</v>
      </c>
      <c r="G80" s="106" t="s">
        <v>49</v>
      </c>
      <c r="H80" s="93">
        <f t="shared" ref="H80:H83" si="57">I80</f>
        <v>3</v>
      </c>
      <c r="I80" s="93">
        <f t="shared" ref="I80:I83" si="58">IF(G80="PREOCUPANTE",1,IF(G80="ATENÇÃO",2,IF(G80="ADEQUADO",3,IF(G80="CONCLUÍDO",4,""))))</f>
        <v>3</v>
      </c>
      <c r="J80" s="94">
        <f t="shared" ref="J80:J83" ca="1" si="59">IF(G80="CONCLUÍDO",1,IF(G80="ADEQUADO",0.91*K80,IF(G80="ATENÇÃO",0.6*K80,IF(G80="PREOCUPANTE",0.5*K80))))</f>
        <v>0.67620553359683799</v>
      </c>
      <c r="K80" s="94">
        <f t="shared" ref="K80:K83" ca="1" si="60">IF(OR(D80="",D80="não há"),"-",IFERROR(M80/L80,IF(F80&lt;=TODAY(),1,0)))</f>
        <v>0.74308300395256921</v>
      </c>
      <c r="L80" s="95">
        <f>IF(OR(E80=0,F80=0),0,NETWORKDAYS(E80,F80,Feriados!$A$3:$A$100)*8)</f>
        <v>2024</v>
      </c>
      <c r="M80" s="95">
        <f ca="1">IF($N$3&lt;E80,0,IF($N$3&gt;=F80,L80,NETWORKDAYS(E80,$N$3,Feriados!$A$3:$A$100)*8))</f>
        <v>1504</v>
      </c>
      <c r="N80" s="95">
        <f t="shared" ref="N80:N83" ca="1" si="61">J80*L80</f>
        <v>1368.64</v>
      </c>
      <c r="O80" s="105" t="s">
        <v>197</v>
      </c>
      <c r="P80" s="84"/>
      <c r="Q80" s="85"/>
    </row>
    <row r="81" spans="1:17" s="52" customFormat="1" ht="23.25">
      <c r="A81" s="82"/>
      <c r="B81" s="83"/>
      <c r="C81" s="92" t="s">
        <v>147</v>
      </c>
      <c r="D81" s="163" t="s">
        <v>95</v>
      </c>
      <c r="E81" s="91">
        <v>44256</v>
      </c>
      <c r="F81" s="96">
        <v>44347</v>
      </c>
      <c r="G81" s="106" t="s">
        <v>49</v>
      </c>
      <c r="H81" s="93">
        <f t="shared" si="57"/>
        <v>3</v>
      </c>
      <c r="I81" s="93">
        <f t="shared" si="58"/>
        <v>3</v>
      </c>
      <c r="J81" s="94">
        <f t="shared" ca="1" si="59"/>
        <v>0</v>
      </c>
      <c r="K81" s="94">
        <f t="shared" ca="1" si="60"/>
        <v>0</v>
      </c>
      <c r="L81" s="95">
        <f>IF(OR(E81=0,F81=0),0,NETWORKDAYS(E81,F81,Feriados!$A$3:$A$100)*8)</f>
        <v>528</v>
      </c>
      <c r="M81" s="95">
        <f ca="1">IF($N$3&lt;E81,0,IF($N$3&gt;=F81,L81,NETWORKDAYS(E81,$N$3,Feriados!$A$3:$A$100)*8))</f>
        <v>0</v>
      </c>
      <c r="N81" s="95">
        <f t="shared" ca="1" si="61"/>
        <v>0</v>
      </c>
      <c r="O81" s="105" t="s">
        <v>195</v>
      </c>
      <c r="P81" s="84"/>
      <c r="Q81" s="85"/>
    </row>
    <row r="82" spans="1:17" s="52" customFormat="1" ht="23.25">
      <c r="A82" s="82"/>
      <c r="B82" s="83"/>
      <c r="C82" s="92" t="s">
        <v>148</v>
      </c>
      <c r="D82" s="163" t="s">
        <v>97</v>
      </c>
      <c r="E82" s="91">
        <v>44319</v>
      </c>
      <c r="F82" s="96">
        <v>44377</v>
      </c>
      <c r="G82" s="106" t="s">
        <v>49</v>
      </c>
      <c r="H82" s="93">
        <f t="shared" si="57"/>
        <v>3</v>
      </c>
      <c r="I82" s="93">
        <f t="shared" si="58"/>
        <v>3</v>
      </c>
      <c r="J82" s="94">
        <f t="shared" ca="1" si="59"/>
        <v>0</v>
      </c>
      <c r="K82" s="94">
        <f t="shared" ca="1" si="60"/>
        <v>0</v>
      </c>
      <c r="L82" s="95">
        <f>IF(OR(E82=0,F82=0),0,NETWORKDAYS(E82,F82,Feriados!$A$3:$A$100)*8)</f>
        <v>344</v>
      </c>
      <c r="M82" s="95">
        <f ca="1">IF($N$3&lt;E82,0,IF($N$3&gt;=F82,L82,NETWORKDAYS(E82,$N$3,Feriados!$A$3:$A$100)*8))</f>
        <v>0</v>
      </c>
      <c r="N82" s="95">
        <f t="shared" ca="1" si="61"/>
        <v>0</v>
      </c>
      <c r="O82" s="105" t="s">
        <v>195</v>
      </c>
      <c r="P82" s="84"/>
      <c r="Q82" s="85"/>
    </row>
    <row r="83" spans="1:17" s="52" customFormat="1" ht="31.5">
      <c r="A83" s="82"/>
      <c r="B83" s="83"/>
      <c r="C83" s="92" t="s">
        <v>149</v>
      </c>
      <c r="D83" s="163" t="s">
        <v>99</v>
      </c>
      <c r="E83" s="91">
        <v>44348</v>
      </c>
      <c r="F83" s="96">
        <v>44498</v>
      </c>
      <c r="G83" s="106" t="s">
        <v>49</v>
      </c>
      <c r="H83" s="93">
        <f t="shared" si="57"/>
        <v>3</v>
      </c>
      <c r="I83" s="93">
        <f t="shared" si="58"/>
        <v>3</v>
      </c>
      <c r="J83" s="94">
        <f t="shared" ca="1" si="59"/>
        <v>0</v>
      </c>
      <c r="K83" s="94">
        <f t="shared" ca="1" si="60"/>
        <v>0</v>
      </c>
      <c r="L83" s="95">
        <f>IF(OR(E83=0,F83=0),0,NETWORKDAYS(E83,F83,Feriados!$A$3:$A$100)*8)</f>
        <v>872</v>
      </c>
      <c r="M83" s="95">
        <f ca="1">IF($N$3&lt;E83,0,IF($N$3&gt;=F83,L83,NETWORKDAYS(E83,$N$3,Feriados!$A$3:$A$100)*8))</f>
        <v>0</v>
      </c>
      <c r="N83" s="95">
        <f t="shared" ca="1" si="61"/>
        <v>0</v>
      </c>
      <c r="O83" s="105" t="s">
        <v>195</v>
      </c>
      <c r="P83" s="84"/>
      <c r="Q83" s="85"/>
    </row>
    <row r="84" spans="1:17" s="52" customFormat="1" ht="23.25">
      <c r="A84" s="82"/>
      <c r="B84" s="83"/>
      <c r="C84" s="92"/>
      <c r="D84" s="163"/>
      <c r="E84" s="91"/>
      <c r="F84" s="96"/>
      <c r="G84" s="106"/>
      <c r="H84" s="93"/>
      <c r="I84" s="93"/>
      <c r="J84" s="94"/>
      <c r="K84" s="94"/>
      <c r="L84" s="95"/>
      <c r="M84" s="95"/>
      <c r="N84" s="95"/>
      <c r="O84" s="105"/>
      <c r="P84" s="84"/>
      <c r="Q84" s="85"/>
    </row>
    <row r="85" spans="1:17" s="52" customFormat="1" ht="47.25">
      <c r="A85" s="82"/>
      <c r="B85" s="83"/>
      <c r="C85" s="164">
        <v>12</v>
      </c>
      <c r="D85" s="165" t="s">
        <v>150</v>
      </c>
      <c r="E85" s="166">
        <v>43864</v>
      </c>
      <c r="F85" s="96">
        <v>44498</v>
      </c>
      <c r="G85" s="106"/>
      <c r="H85" s="93"/>
      <c r="I85" s="93"/>
      <c r="J85" s="94"/>
      <c r="K85" s="94"/>
      <c r="L85" s="95"/>
      <c r="M85" s="95"/>
      <c r="N85" s="95"/>
      <c r="O85" s="105"/>
      <c r="P85" s="84"/>
      <c r="Q85" s="85"/>
    </row>
    <row r="86" spans="1:17" s="52" customFormat="1" ht="23.25">
      <c r="A86" s="82"/>
      <c r="B86" s="83"/>
      <c r="C86" s="92" t="s">
        <v>151</v>
      </c>
      <c r="D86" s="163" t="s">
        <v>93</v>
      </c>
      <c r="E86" s="91">
        <v>43892</v>
      </c>
      <c r="F86" s="96">
        <v>44253</v>
      </c>
      <c r="G86" s="106" t="s">
        <v>193</v>
      </c>
      <c r="H86" s="93">
        <f t="shared" ref="H86:H89" si="62">I86</f>
        <v>4</v>
      </c>
      <c r="I86" s="93">
        <f t="shared" ref="I86:I89" si="63">IF(G86="PREOCUPANTE",1,IF(G86="ATENÇÃO",2,IF(G86="ADEQUADO",3,IF(G86="CONCLUÍDO",4,""))))</f>
        <v>4</v>
      </c>
      <c r="J86" s="94">
        <f t="shared" ref="J86:J89" si="64">IF(G86="CONCLUÍDO",1,IF(G86="ADEQUADO",0.91*K86,IF(G86="ATENÇÃO",0.6*K86,IF(G86="PREOCUPANTE",0.5*K86))))</f>
        <v>1</v>
      </c>
      <c r="K86" s="94">
        <f t="shared" ref="K86:K89" ca="1" si="65">IF(OR(D86="",D86="não há"),"-",IFERROR(M86/L86,IF(F86&lt;=TODAY(),1,0)))</f>
        <v>0.74308300395256921</v>
      </c>
      <c r="L86" s="95">
        <f>IF(OR(E86=0,F86=0),0,NETWORKDAYS(E86,F86,Feriados!$A$3:$A$100)*8)</f>
        <v>2024</v>
      </c>
      <c r="M86" s="95">
        <f ca="1">IF($N$3&lt;E86,0,IF($N$3&gt;=F86,L86,NETWORKDAYS(E86,$N$3,Feriados!$A$3:$A$100)*8))</f>
        <v>1504</v>
      </c>
      <c r="N86" s="95">
        <f t="shared" ref="N86:N89" si="66">J86*L86</f>
        <v>2024</v>
      </c>
      <c r="O86" s="105" t="s">
        <v>212</v>
      </c>
      <c r="P86" s="84"/>
      <c r="Q86" s="85"/>
    </row>
    <row r="87" spans="1:17" s="52" customFormat="1" ht="23.25">
      <c r="A87" s="82"/>
      <c r="B87" s="83"/>
      <c r="C87" s="92" t="s">
        <v>152</v>
      </c>
      <c r="D87" s="163" t="s">
        <v>95</v>
      </c>
      <c r="E87" s="91">
        <v>44256</v>
      </c>
      <c r="F87" s="96">
        <v>44347</v>
      </c>
      <c r="G87" s="106" t="s">
        <v>193</v>
      </c>
      <c r="H87" s="93">
        <f t="shared" si="62"/>
        <v>4</v>
      </c>
      <c r="I87" s="93">
        <f t="shared" si="63"/>
        <v>4</v>
      </c>
      <c r="J87" s="94">
        <f t="shared" si="64"/>
        <v>1</v>
      </c>
      <c r="K87" s="94">
        <f t="shared" ca="1" si="65"/>
        <v>0</v>
      </c>
      <c r="L87" s="95">
        <f>IF(OR(E87=0,F87=0),0,NETWORKDAYS(E87,F87,Feriados!$A$3:$A$100)*8)</f>
        <v>528</v>
      </c>
      <c r="M87" s="95">
        <f ca="1">IF($N$3&lt;E87,0,IF($N$3&gt;=F87,L87,NETWORKDAYS(E87,$N$3,Feriados!$A$3:$A$100)*8))</f>
        <v>0</v>
      </c>
      <c r="N87" s="95">
        <f t="shared" si="66"/>
        <v>528</v>
      </c>
      <c r="O87" s="105" t="s">
        <v>212</v>
      </c>
      <c r="P87" s="84"/>
      <c r="Q87" s="85"/>
    </row>
    <row r="88" spans="1:17" s="52" customFormat="1" ht="23.25">
      <c r="A88" s="82"/>
      <c r="B88" s="83"/>
      <c r="C88" s="92" t="s">
        <v>153</v>
      </c>
      <c r="D88" s="163" t="s">
        <v>97</v>
      </c>
      <c r="E88" s="91">
        <v>44319</v>
      </c>
      <c r="F88" s="96">
        <v>44377</v>
      </c>
      <c r="G88" s="106" t="s">
        <v>49</v>
      </c>
      <c r="H88" s="93">
        <f t="shared" si="62"/>
        <v>3</v>
      </c>
      <c r="I88" s="93">
        <f t="shared" si="63"/>
        <v>3</v>
      </c>
      <c r="J88" s="94">
        <f t="shared" ca="1" si="64"/>
        <v>0</v>
      </c>
      <c r="K88" s="94">
        <f t="shared" ca="1" si="65"/>
        <v>0</v>
      </c>
      <c r="L88" s="95">
        <f>IF(OR(E88=0,F88=0),0,NETWORKDAYS(E88,F88,Feriados!$A$3:$A$100)*8)</f>
        <v>344</v>
      </c>
      <c r="M88" s="95">
        <f ca="1">IF($N$3&lt;E88,0,IF($N$3&gt;=F88,L88,NETWORKDAYS(E88,$N$3,Feriados!$A$3:$A$100)*8))</f>
        <v>0</v>
      </c>
      <c r="N88" s="95">
        <f t="shared" ca="1" si="66"/>
        <v>0</v>
      </c>
      <c r="O88" s="105" t="s">
        <v>194</v>
      </c>
      <c r="P88" s="84"/>
      <c r="Q88" s="85"/>
    </row>
    <row r="89" spans="1:17" s="52" customFormat="1" ht="31.5">
      <c r="A89" s="82"/>
      <c r="B89" s="83"/>
      <c r="C89" s="92" t="s">
        <v>154</v>
      </c>
      <c r="D89" s="163" t="s">
        <v>99</v>
      </c>
      <c r="E89" s="91">
        <v>44348</v>
      </c>
      <c r="F89" s="96">
        <v>44498</v>
      </c>
      <c r="G89" s="106" t="s">
        <v>49</v>
      </c>
      <c r="H89" s="93">
        <f t="shared" si="62"/>
        <v>3</v>
      </c>
      <c r="I89" s="93">
        <f t="shared" si="63"/>
        <v>3</v>
      </c>
      <c r="J89" s="94">
        <f t="shared" ca="1" si="64"/>
        <v>0</v>
      </c>
      <c r="K89" s="94">
        <f t="shared" ca="1" si="65"/>
        <v>0</v>
      </c>
      <c r="L89" s="95">
        <f>IF(OR(E89=0,F89=0),0,NETWORKDAYS(E89,F89,Feriados!$A$3:$A$100)*8)</f>
        <v>872</v>
      </c>
      <c r="M89" s="95">
        <f ca="1">IF($N$3&lt;E89,0,IF($N$3&gt;=F89,L89,NETWORKDAYS(E89,$N$3,Feriados!$A$3:$A$100)*8))</f>
        <v>0</v>
      </c>
      <c r="N89" s="95">
        <f t="shared" ca="1" si="66"/>
        <v>0</v>
      </c>
      <c r="O89" s="105" t="s">
        <v>195</v>
      </c>
      <c r="P89" s="84"/>
      <c r="Q89" s="85"/>
    </row>
    <row r="90" spans="1:17" s="52" customFormat="1" ht="23.25">
      <c r="A90" s="82"/>
      <c r="B90" s="83"/>
      <c r="C90" s="92"/>
      <c r="D90" s="163"/>
      <c r="E90" s="91"/>
      <c r="F90" s="96"/>
      <c r="G90" s="106"/>
      <c r="H90" s="93"/>
      <c r="I90" s="93"/>
      <c r="J90" s="94"/>
      <c r="K90" s="94"/>
      <c r="L90" s="95"/>
      <c r="M90" s="95"/>
      <c r="N90" s="95"/>
      <c r="O90" s="105"/>
      <c r="P90" s="84"/>
      <c r="Q90" s="85"/>
    </row>
    <row r="91" spans="1:17" s="52" customFormat="1" ht="47.25">
      <c r="A91" s="82"/>
      <c r="B91" s="83"/>
      <c r="C91" s="164">
        <v>13</v>
      </c>
      <c r="D91" s="165" t="s">
        <v>160</v>
      </c>
      <c r="E91" s="166">
        <v>43864</v>
      </c>
      <c r="F91" s="96">
        <v>44498</v>
      </c>
      <c r="G91" s="106"/>
      <c r="H91" s="93"/>
      <c r="I91" s="93"/>
      <c r="J91" s="94"/>
      <c r="K91" s="94"/>
      <c r="L91" s="95"/>
      <c r="M91" s="95"/>
      <c r="N91" s="95"/>
      <c r="O91" s="105"/>
      <c r="P91" s="84"/>
      <c r="Q91" s="85"/>
    </row>
    <row r="92" spans="1:17" s="52" customFormat="1" ht="23.25">
      <c r="A92" s="82"/>
      <c r="B92" s="83"/>
      <c r="C92" s="92" t="s">
        <v>155</v>
      </c>
      <c r="D92" s="163" t="s">
        <v>93</v>
      </c>
      <c r="E92" s="91">
        <v>43892</v>
      </c>
      <c r="F92" s="96">
        <v>44253</v>
      </c>
      <c r="G92" s="106" t="s">
        <v>193</v>
      </c>
      <c r="H92" s="93">
        <f t="shared" ref="H92:H95" si="67">I92</f>
        <v>4</v>
      </c>
      <c r="I92" s="93">
        <f t="shared" ref="I92:I95" si="68">IF(G92="PREOCUPANTE",1,IF(G92="ATENÇÃO",2,IF(G92="ADEQUADO",3,IF(G92="CONCLUÍDO",4,""))))</f>
        <v>4</v>
      </c>
      <c r="J92" s="94">
        <f t="shared" ref="J92:J95" si="69">IF(G92="CONCLUÍDO",1,IF(G92="ADEQUADO",0.91*K92,IF(G92="ATENÇÃO",0.6*K92,IF(G92="PREOCUPANTE",0.5*K92))))</f>
        <v>1</v>
      </c>
      <c r="K92" s="94">
        <f t="shared" ref="K92:K95" ca="1" si="70">IF(OR(D92="",D92="não há"),"-",IFERROR(M92/L92,IF(F92&lt;=TODAY(),1,0)))</f>
        <v>0.74308300395256921</v>
      </c>
      <c r="L92" s="95">
        <f>IF(OR(E92=0,F92=0),0,NETWORKDAYS(E92,F92,Feriados!$A$3:$A$100)*8)</f>
        <v>2024</v>
      </c>
      <c r="M92" s="95">
        <f ca="1">IF($N$3&lt;E92,0,IF($N$3&gt;=F92,L92,NETWORKDAYS(E92,$N$3,Feriados!$A$3:$A$100)*8))</f>
        <v>1504</v>
      </c>
      <c r="N92" s="95">
        <f t="shared" ref="N92:N95" si="71">J92*L92</f>
        <v>2024</v>
      </c>
      <c r="O92" s="105" t="s">
        <v>212</v>
      </c>
      <c r="P92" s="84"/>
      <c r="Q92" s="85"/>
    </row>
    <row r="93" spans="1:17" s="52" customFormat="1" ht="23.25">
      <c r="A93" s="82"/>
      <c r="B93" s="83"/>
      <c r="C93" s="92" t="s">
        <v>156</v>
      </c>
      <c r="D93" s="163" t="s">
        <v>95</v>
      </c>
      <c r="E93" s="91">
        <v>44256</v>
      </c>
      <c r="F93" s="96">
        <v>44347</v>
      </c>
      <c r="G93" s="106" t="s">
        <v>49</v>
      </c>
      <c r="H93" s="93">
        <f t="shared" si="67"/>
        <v>3</v>
      </c>
      <c r="I93" s="93">
        <f t="shared" si="68"/>
        <v>3</v>
      </c>
      <c r="J93" s="94">
        <f t="shared" ca="1" si="69"/>
        <v>0</v>
      </c>
      <c r="K93" s="94">
        <f t="shared" ca="1" si="70"/>
        <v>0</v>
      </c>
      <c r="L93" s="95">
        <f>IF(OR(E93=0,F93=0),0,NETWORKDAYS(E93,F93,Feriados!$A$3:$A$100)*8)</f>
        <v>528</v>
      </c>
      <c r="M93" s="95">
        <f ca="1">IF($N$3&lt;E93,0,IF($N$3&gt;=F93,L93,NETWORKDAYS(E93,$N$3,Feriados!$A$3:$A$100)*8))</f>
        <v>0</v>
      </c>
      <c r="N93" s="95">
        <f t="shared" ca="1" si="71"/>
        <v>0</v>
      </c>
      <c r="O93" s="105" t="s">
        <v>195</v>
      </c>
      <c r="P93" s="84"/>
      <c r="Q93" s="85"/>
    </row>
    <row r="94" spans="1:17" s="52" customFormat="1" ht="23.25">
      <c r="A94" s="82"/>
      <c r="B94" s="83"/>
      <c r="C94" s="92" t="s">
        <v>157</v>
      </c>
      <c r="D94" s="163" t="s">
        <v>97</v>
      </c>
      <c r="E94" s="91">
        <v>44319</v>
      </c>
      <c r="F94" s="96">
        <v>44377</v>
      </c>
      <c r="G94" s="106" t="s">
        <v>49</v>
      </c>
      <c r="H94" s="93">
        <f t="shared" si="67"/>
        <v>3</v>
      </c>
      <c r="I94" s="93">
        <f t="shared" si="68"/>
        <v>3</v>
      </c>
      <c r="J94" s="94">
        <f t="shared" ca="1" si="69"/>
        <v>0</v>
      </c>
      <c r="K94" s="94">
        <f t="shared" ca="1" si="70"/>
        <v>0</v>
      </c>
      <c r="L94" s="95">
        <f>IF(OR(E94=0,F94=0),0,NETWORKDAYS(E94,F94,Feriados!$A$3:$A$100)*8)</f>
        <v>344</v>
      </c>
      <c r="M94" s="95">
        <f ca="1">IF($N$3&lt;E94,0,IF($N$3&gt;=F94,L94,NETWORKDAYS(E94,$N$3,Feriados!$A$3:$A$100)*8))</f>
        <v>0</v>
      </c>
      <c r="N94" s="95">
        <f t="shared" ca="1" si="71"/>
        <v>0</v>
      </c>
      <c r="O94" s="105" t="s">
        <v>195</v>
      </c>
      <c r="P94" s="84"/>
      <c r="Q94" s="85"/>
    </row>
    <row r="95" spans="1:17" s="52" customFormat="1" ht="31.5">
      <c r="A95" s="82"/>
      <c r="B95" s="83"/>
      <c r="C95" s="92" t="s">
        <v>158</v>
      </c>
      <c r="D95" s="163" t="s">
        <v>99</v>
      </c>
      <c r="E95" s="91">
        <v>44348</v>
      </c>
      <c r="F95" s="96">
        <v>44498</v>
      </c>
      <c r="G95" s="106" t="s">
        <v>49</v>
      </c>
      <c r="H95" s="93">
        <f t="shared" si="67"/>
        <v>3</v>
      </c>
      <c r="I95" s="93">
        <f t="shared" si="68"/>
        <v>3</v>
      </c>
      <c r="J95" s="94">
        <f t="shared" ca="1" si="69"/>
        <v>0</v>
      </c>
      <c r="K95" s="94">
        <f t="shared" ca="1" si="70"/>
        <v>0</v>
      </c>
      <c r="L95" s="95">
        <f>IF(OR(E95=0,F95=0),0,NETWORKDAYS(E95,F95,Feriados!$A$3:$A$100)*8)</f>
        <v>872</v>
      </c>
      <c r="M95" s="95">
        <f ca="1">IF($N$3&lt;E95,0,IF($N$3&gt;=F95,L95,NETWORKDAYS(E95,$N$3,Feriados!$A$3:$A$100)*8))</f>
        <v>0</v>
      </c>
      <c r="N95" s="95">
        <f t="shared" ca="1" si="71"/>
        <v>0</v>
      </c>
      <c r="O95" s="105" t="s">
        <v>195</v>
      </c>
      <c r="P95" s="84"/>
      <c r="Q95" s="85"/>
    </row>
    <row r="96" spans="1:17" s="52" customFormat="1" ht="23.25">
      <c r="A96" s="82"/>
      <c r="B96" s="83"/>
      <c r="C96" s="92"/>
      <c r="D96" s="163"/>
      <c r="E96" s="91"/>
      <c r="F96" s="96"/>
      <c r="G96" s="106"/>
      <c r="H96" s="93"/>
      <c r="I96" s="93"/>
      <c r="J96" s="94"/>
      <c r="K96" s="94"/>
      <c r="L96" s="95"/>
      <c r="M96" s="95"/>
      <c r="N96" s="95"/>
      <c r="O96" s="105"/>
      <c r="P96" s="84"/>
      <c r="Q96" s="85"/>
    </row>
    <row r="97" spans="1:17" s="52" customFormat="1" ht="78.75">
      <c r="A97" s="82"/>
      <c r="B97" s="83"/>
      <c r="C97" s="164">
        <v>14</v>
      </c>
      <c r="D97" s="165" t="s">
        <v>159</v>
      </c>
      <c r="E97" s="166">
        <v>43864</v>
      </c>
      <c r="F97" s="96">
        <v>44498</v>
      </c>
      <c r="G97" s="106"/>
      <c r="H97" s="93"/>
      <c r="I97" s="93"/>
      <c r="J97" s="94"/>
      <c r="K97" s="94"/>
      <c r="L97" s="95"/>
      <c r="M97" s="95"/>
      <c r="N97" s="95"/>
      <c r="O97" s="105"/>
      <c r="P97" s="84"/>
      <c r="Q97" s="85"/>
    </row>
    <row r="98" spans="1:17" s="52" customFormat="1" ht="23.25">
      <c r="A98" s="82"/>
      <c r="B98" s="83"/>
      <c r="C98" s="92" t="s">
        <v>161</v>
      </c>
      <c r="D98" s="163" t="s">
        <v>93</v>
      </c>
      <c r="E98" s="91">
        <v>43892</v>
      </c>
      <c r="F98" s="96">
        <v>44253</v>
      </c>
      <c r="G98" s="106" t="s">
        <v>193</v>
      </c>
      <c r="H98" s="93">
        <f t="shared" ref="H98:H101" si="72">I98</f>
        <v>4</v>
      </c>
      <c r="I98" s="93">
        <f t="shared" ref="I98:I101" si="73">IF(G98="PREOCUPANTE",1,IF(G98="ATENÇÃO",2,IF(G98="ADEQUADO",3,IF(G98="CONCLUÍDO",4,""))))</f>
        <v>4</v>
      </c>
      <c r="J98" s="94">
        <f t="shared" ref="J98:J101" si="74">IF(G98="CONCLUÍDO",1,IF(G98="ADEQUADO",0.91*K98,IF(G98="ATENÇÃO",0.6*K98,IF(G98="PREOCUPANTE",0.5*K98))))</f>
        <v>1</v>
      </c>
      <c r="K98" s="94">
        <f t="shared" ref="K98:K101" ca="1" si="75">IF(OR(D98="",D98="não há"),"-",IFERROR(M98/L98,IF(F98&lt;=TODAY(),1,0)))</f>
        <v>0.74308300395256921</v>
      </c>
      <c r="L98" s="95">
        <f>IF(OR(E98=0,F98=0),0,NETWORKDAYS(E98,F98,Feriados!$A$3:$A$100)*8)</f>
        <v>2024</v>
      </c>
      <c r="M98" s="95">
        <f ca="1">IF($N$3&lt;E98,0,IF($N$3&gt;=F98,L98,NETWORKDAYS(E98,$N$3,Feriados!$A$3:$A$100)*8))</f>
        <v>1504</v>
      </c>
      <c r="N98" s="95">
        <f t="shared" ref="N98:N101" si="76">J98*L98</f>
        <v>2024</v>
      </c>
      <c r="O98" s="105" t="s">
        <v>212</v>
      </c>
      <c r="P98" s="84"/>
      <c r="Q98" s="85"/>
    </row>
    <row r="99" spans="1:17" s="52" customFormat="1" ht="31.5">
      <c r="A99" s="82"/>
      <c r="B99" s="83"/>
      <c r="C99" s="92" t="s">
        <v>162</v>
      </c>
      <c r="D99" s="163" t="s">
        <v>95</v>
      </c>
      <c r="E99" s="91">
        <v>44256</v>
      </c>
      <c r="F99" s="96">
        <v>44347</v>
      </c>
      <c r="G99" s="106" t="s">
        <v>49</v>
      </c>
      <c r="H99" s="93">
        <f t="shared" si="72"/>
        <v>3</v>
      </c>
      <c r="I99" s="93">
        <f t="shared" si="73"/>
        <v>3</v>
      </c>
      <c r="J99" s="94">
        <f t="shared" ca="1" si="74"/>
        <v>0</v>
      </c>
      <c r="K99" s="94">
        <f t="shared" ca="1" si="75"/>
        <v>0</v>
      </c>
      <c r="L99" s="95">
        <f>IF(OR(E99=0,F99=0),0,NETWORKDAYS(E99,F99,Feriados!$A$3:$A$100)*8)</f>
        <v>528</v>
      </c>
      <c r="M99" s="95">
        <f ca="1">IF($N$3&lt;E99,0,IF($N$3&gt;=F99,L99,NETWORKDAYS(E99,$N$3,Feriados!$A$3:$A$100)*8))</f>
        <v>0</v>
      </c>
      <c r="N99" s="95">
        <f t="shared" ca="1" si="76"/>
        <v>0</v>
      </c>
      <c r="O99" s="105" t="s">
        <v>217</v>
      </c>
      <c r="P99" s="84"/>
      <c r="Q99" s="85"/>
    </row>
    <row r="100" spans="1:17" s="52" customFormat="1" ht="23.25">
      <c r="A100" s="82"/>
      <c r="B100" s="83"/>
      <c r="C100" s="92" t="s">
        <v>163</v>
      </c>
      <c r="D100" s="163" t="s">
        <v>97</v>
      </c>
      <c r="E100" s="91">
        <v>44319</v>
      </c>
      <c r="F100" s="96">
        <v>44377</v>
      </c>
      <c r="G100" s="106" t="s">
        <v>49</v>
      </c>
      <c r="H100" s="93">
        <f t="shared" si="72"/>
        <v>3</v>
      </c>
      <c r="I100" s="93">
        <f t="shared" si="73"/>
        <v>3</v>
      </c>
      <c r="J100" s="94">
        <f t="shared" ca="1" si="74"/>
        <v>0</v>
      </c>
      <c r="K100" s="94">
        <f t="shared" ca="1" si="75"/>
        <v>0</v>
      </c>
      <c r="L100" s="95">
        <f>IF(OR(E100=0,F100=0),0,NETWORKDAYS(E100,F100,Feriados!$A$3:$A$100)*8)</f>
        <v>344</v>
      </c>
      <c r="M100" s="95">
        <f ca="1">IF($N$3&lt;E100,0,IF($N$3&gt;=F100,L100,NETWORKDAYS(E100,$N$3,Feriados!$A$3:$A$100)*8))</f>
        <v>0</v>
      </c>
      <c r="N100" s="95">
        <f t="shared" ca="1" si="76"/>
        <v>0</v>
      </c>
      <c r="O100" s="105" t="s">
        <v>195</v>
      </c>
      <c r="P100" s="84"/>
      <c r="Q100" s="85"/>
    </row>
    <row r="101" spans="1:17" s="52" customFormat="1" ht="31.5">
      <c r="A101" s="82"/>
      <c r="B101" s="83"/>
      <c r="C101" s="92" t="s">
        <v>164</v>
      </c>
      <c r="D101" s="163" t="s">
        <v>99</v>
      </c>
      <c r="E101" s="91">
        <v>44348</v>
      </c>
      <c r="F101" s="96">
        <v>44498</v>
      </c>
      <c r="G101" s="106" t="s">
        <v>49</v>
      </c>
      <c r="H101" s="93">
        <f t="shared" si="72"/>
        <v>3</v>
      </c>
      <c r="I101" s="93">
        <f t="shared" si="73"/>
        <v>3</v>
      </c>
      <c r="J101" s="94">
        <f t="shared" ca="1" si="74"/>
        <v>0</v>
      </c>
      <c r="K101" s="94">
        <f t="shared" ca="1" si="75"/>
        <v>0</v>
      </c>
      <c r="L101" s="95">
        <f>IF(OR(E101=0,F101=0),0,NETWORKDAYS(E101,F101,Feriados!$A$3:$A$100)*8)</f>
        <v>872</v>
      </c>
      <c r="M101" s="95">
        <f ca="1">IF($N$3&lt;E101,0,IF($N$3&gt;=F101,L101,NETWORKDAYS(E101,$N$3,Feriados!$A$3:$A$100)*8))</f>
        <v>0</v>
      </c>
      <c r="N101" s="95">
        <f t="shared" ca="1" si="76"/>
        <v>0</v>
      </c>
      <c r="O101" s="105" t="s">
        <v>195</v>
      </c>
      <c r="P101" s="84"/>
      <c r="Q101" s="85"/>
    </row>
    <row r="102" spans="1:17" s="52" customFormat="1" ht="23.25">
      <c r="A102" s="82"/>
      <c r="B102" s="83"/>
      <c r="C102" s="92"/>
      <c r="D102" s="163"/>
      <c r="E102" s="91"/>
      <c r="F102" s="96"/>
      <c r="G102" s="106"/>
      <c r="H102" s="93"/>
      <c r="I102" s="93"/>
      <c r="J102" s="94"/>
      <c r="K102" s="94"/>
      <c r="L102" s="95"/>
      <c r="M102" s="95"/>
      <c r="N102" s="95"/>
      <c r="O102" s="105"/>
      <c r="P102" s="84"/>
      <c r="Q102" s="85"/>
    </row>
    <row r="103" spans="1:17" s="52" customFormat="1" ht="47.25">
      <c r="A103" s="82"/>
      <c r="B103" s="83"/>
      <c r="C103" s="164">
        <v>15</v>
      </c>
      <c r="D103" s="165" t="s">
        <v>165</v>
      </c>
      <c r="E103" s="166">
        <v>43864</v>
      </c>
      <c r="F103" s="96">
        <v>44498</v>
      </c>
      <c r="G103" s="106"/>
      <c r="H103" s="93"/>
      <c r="I103" s="93"/>
      <c r="J103" s="94"/>
      <c r="K103" s="94"/>
      <c r="L103" s="95"/>
      <c r="M103" s="95"/>
      <c r="N103" s="95"/>
      <c r="O103" s="105"/>
      <c r="P103" s="84"/>
      <c r="Q103" s="85"/>
    </row>
    <row r="104" spans="1:17" s="52" customFormat="1" ht="23.25">
      <c r="A104" s="82"/>
      <c r="B104" s="83"/>
      <c r="C104" s="92" t="s">
        <v>166</v>
      </c>
      <c r="D104" s="163" t="s">
        <v>93</v>
      </c>
      <c r="E104" s="91">
        <v>43892</v>
      </c>
      <c r="F104" s="96">
        <v>44253</v>
      </c>
      <c r="G104" s="106" t="s">
        <v>193</v>
      </c>
      <c r="H104" s="93">
        <f t="shared" ref="H104:H107" si="77">I104</f>
        <v>4</v>
      </c>
      <c r="I104" s="93">
        <f t="shared" ref="I104:I107" si="78">IF(G104="PREOCUPANTE",1,IF(G104="ATENÇÃO",2,IF(G104="ADEQUADO",3,IF(G104="CONCLUÍDO",4,""))))</f>
        <v>4</v>
      </c>
      <c r="J104" s="94">
        <f t="shared" ref="J104:J107" si="79">IF(G104="CONCLUÍDO",1,IF(G104="ADEQUADO",0.91*K104,IF(G104="ATENÇÃO",0.6*K104,IF(G104="PREOCUPANTE",0.5*K104))))</f>
        <v>1</v>
      </c>
      <c r="K104" s="94">
        <f t="shared" ref="K104:K107" ca="1" si="80">IF(OR(D104="",D104="não há"),"-",IFERROR(M104/L104,IF(F104&lt;=TODAY(),1,0)))</f>
        <v>0.74308300395256921</v>
      </c>
      <c r="L104" s="95">
        <f>IF(OR(E104=0,F104=0),0,NETWORKDAYS(E104,F104,Feriados!$A$3:$A$100)*8)</f>
        <v>2024</v>
      </c>
      <c r="M104" s="95">
        <f ca="1">IF($N$3&lt;E104,0,IF($N$3&gt;=F104,L104,NETWORKDAYS(E104,$N$3,Feriados!$A$3:$A$100)*8))</f>
        <v>1504</v>
      </c>
      <c r="N104" s="95">
        <f t="shared" ref="N104:N107" si="81">J104*L104</f>
        <v>2024</v>
      </c>
      <c r="O104" s="105" t="s">
        <v>212</v>
      </c>
      <c r="P104" s="84"/>
      <c r="Q104" s="85"/>
    </row>
    <row r="105" spans="1:17" s="52" customFormat="1" ht="23.25">
      <c r="A105" s="82"/>
      <c r="B105" s="83"/>
      <c r="C105" s="92" t="s">
        <v>167</v>
      </c>
      <c r="D105" s="163" t="s">
        <v>95</v>
      </c>
      <c r="E105" s="91">
        <v>44256</v>
      </c>
      <c r="F105" s="96">
        <v>44347</v>
      </c>
      <c r="G105" s="106" t="s">
        <v>49</v>
      </c>
      <c r="H105" s="93">
        <f t="shared" si="77"/>
        <v>3</v>
      </c>
      <c r="I105" s="93">
        <f t="shared" si="78"/>
        <v>3</v>
      </c>
      <c r="J105" s="94">
        <f t="shared" ca="1" si="79"/>
        <v>0</v>
      </c>
      <c r="K105" s="94">
        <f t="shared" ca="1" si="80"/>
        <v>0</v>
      </c>
      <c r="L105" s="95">
        <f>IF(OR(E105=0,F105=0),0,NETWORKDAYS(E105,F105,Feriados!$A$3:$A$100)*8)</f>
        <v>528</v>
      </c>
      <c r="M105" s="95">
        <f ca="1">IF($N$3&lt;E105,0,IF($N$3&gt;=F105,L105,NETWORKDAYS(E105,$N$3,Feriados!$A$3:$A$100)*8))</f>
        <v>0</v>
      </c>
      <c r="N105" s="95">
        <f t="shared" ca="1" si="81"/>
        <v>0</v>
      </c>
      <c r="O105" s="105" t="s">
        <v>194</v>
      </c>
      <c r="P105" s="84"/>
      <c r="Q105" s="85"/>
    </row>
    <row r="106" spans="1:17" s="52" customFormat="1" ht="23.25">
      <c r="A106" s="82"/>
      <c r="B106" s="83"/>
      <c r="C106" s="92" t="s">
        <v>168</v>
      </c>
      <c r="D106" s="163" t="s">
        <v>97</v>
      </c>
      <c r="E106" s="91">
        <v>44319</v>
      </c>
      <c r="F106" s="96">
        <v>44377</v>
      </c>
      <c r="G106" s="106" t="s">
        <v>49</v>
      </c>
      <c r="H106" s="93">
        <f t="shared" si="77"/>
        <v>3</v>
      </c>
      <c r="I106" s="93">
        <f t="shared" si="78"/>
        <v>3</v>
      </c>
      <c r="J106" s="94">
        <f t="shared" ca="1" si="79"/>
        <v>0</v>
      </c>
      <c r="K106" s="94">
        <f t="shared" ca="1" si="80"/>
        <v>0</v>
      </c>
      <c r="L106" s="95">
        <f>IF(OR(E106=0,F106=0),0,NETWORKDAYS(E106,F106,Feriados!$A$3:$A$100)*8)</f>
        <v>344</v>
      </c>
      <c r="M106" s="95">
        <f ca="1">IF($N$3&lt;E106,0,IF($N$3&gt;=F106,L106,NETWORKDAYS(E106,$N$3,Feriados!$A$3:$A$100)*8))</f>
        <v>0</v>
      </c>
      <c r="N106" s="95">
        <f t="shared" ca="1" si="81"/>
        <v>0</v>
      </c>
      <c r="O106" s="105" t="s">
        <v>195</v>
      </c>
      <c r="P106" s="84"/>
      <c r="Q106" s="85"/>
    </row>
    <row r="107" spans="1:17" s="52" customFormat="1" ht="31.5">
      <c r="A107" s="82"/>
      <c r="B107" s="83"/>
      <c r="C107" s="92" t="s">
        <v>169</v>
      </c>
      <c r="D107" s="163" t="s">
        <v>99</v>
      </c>
      <c r="E107" s="91">
        <v>44348</v>
      </c>
      <c r="F107" s="96">
        <v>44498</v>
      </c>
      <c r="G107" s="106" t="s">
        <v>49</v>
      </c>
      <c r="H107" s="93">
        <f t="shared" si="77"/>
        <v>3</v>
      </c>
      <c r="I107" s="93">
        <f t="shared" si="78"/>
        <v>3</v>
      </c>
      <c r="J107" s="94">
        <f t="shared" ca="1" si="79"/>
        <v>0</v>
      </c>
      <c r="K107" s="94">
        <f t="shared" ca="1" si="80"/>
        <v>0</v>
      </c>
      <c r="L107" s="95">
        <f>IF(OR(E107=0,F107=0),0,NETWORKDAYS(E107,F107,Feriados!$A$3:$A$100)*8)</f>
        <v>872</v>
      </c>
      <c r="M107" s="95">
        <f ca="1">IF($N$3&lt;E107,0,IF($N$3&gt;=F107,L107,NETWORKDAYS(E107,$N$3,Feriados!$A$3:$A$100)*8))</f>
        <v>0</v>
      </c>
      <c r="N107" s="95">
        <f t="shared" ca="1" si="81"/>
        <v>0</v>
      </c>
      <c r="O107" s="105" t="s">
        <v>195</v>
      </c>
      <c r="P107" s="84"/>
      <c r="Q107" s="85"/>
    </row>
    <row r="108" spans="1:17" s="52" customFormat="1" ht="23.25">
      <c r="A108" s="82"/>
      <c r="B108" s="83"/>
      <c r="C108" s="92"/>
      <c r="D108" s="163"/>
      <c r="E108" s="91"/>
      <c r="F108" s="96"/>
      <c r="G108" s="106"/>
      <c r="H108" s="93"/>
      <c r="I108" s="93"/>
      <c r="J108" s="94"/>
      <c r="K108" s="94"/>
      <c r="L108" s="95"/>
      <c r="M108" s="95"/>
      <c r="N108" s="95"/>
      <c r="O108" s="105"/>
      <c r="P108" s="84"/>
      <c r="Q108" s="85"/>
    </row>
    <row r="109" spans="1:17" s="52" customFormat="1" ht="47.25">
      <c r="A109" s="82"/>
      <c r="B109" s="83"/>
      <c r="C109" s="164">
        <v>16</v>
      </c>
      <c r="D109" s="165" t="s">
        <v>170</v>
      </c>
      <c r="E109" s="166">
        <v>44105</v>
      </c>
      <c r="F109" s="96">
        <v>44592</v>
      </c>
      <c r="G109" s="106"/>
      <c r="H109" s="93"/>
      <c r="I109" s="93"/>
      <c r="J109" s="94"/>
      <c r="K109" s="94"/>
      <c r="L109" s="95"/>
      <c r="M109" s="95"/>
      <c r="N109" s="95"/>
      <c r="O109" s="105"/>
      <c r="P109" s="84"/>
      <c r="Q109" s="85"/>
    </row>
    <row r="110" spans="1:17" s="52" customFormat="1" ht="23.25">
      <c r="A110" s="82"/>
      <c r="B110" s="83"/>
      <c r="C110" s="92" t="s">
        <v>171</v>
      </c>
      <c r="D110" s="163" t="s">
        <v>93</v>
      </c>
      <c r="E110" s="91">
        <v>44137</v>
      </c>
      <c r="F110" s="96">
        <v>44407</v>
      </c>
      <c r="G110" s="106" t="s">
        <v>49</v>
      </c>
      <c r="H110" s="93">
        <f t="shared" ref="H110:H113" si="82">I110</f>
        <v>3</v>
      </c>
      <c r="I110" s="93">
        <f t="shared" ref="I110:I113" si="83">IF(G110="PREOCUPANTE",1,IF(G110="ATENÇÃO",2,IF(G110="ADEQUADO",3,IF(G110="CONCLUÍDO",4,""))))</f>
        <v>3</v>
      </c>
      <c r="J110" s="94">
        <f t="shared" ref="J110:J113" ca="1" si="84">IF(G110="CONCLUÍDO",1,IF(G110="ADEQUADO",0.91*K110,IF(G110="ATENÇÃO",0.6*K110,IF(G110="PREOCUPANTE",0.5*K110))))</f>
        <v>8.4870466321243523E-2</v>
      </c>
      <c r="K110" s="94">
        <f t="shared" ref="K110:K113" ca="1" si="85">IF(OR(D110="",D110="não há"),"-",IFERROR(M110/L110,IF(F110&lt;=TODAY(),1,0)))</f>
        <v>9.3264248704663211E-2</v>
      </c>
      <c r="L110" s="95">
        <f>IF(OR(E110=0,F110=0),0,NETWORKDAYS(E110,F110,Feriados!$A$3:$A$100)*8)</f>
        <v>1544</v>
      </c>
      <c r="M110" s="95">
        <f ca="1">IF($N$3&lt;E110,0,IF($N$3&gt;=F110,L110,NETWORKDAYS(E110,$N$3,Feriados!$A$3:$A$100)*8))</f>
        <v>144</v>
      </c>
      <c r="N110" s="95">
        <f t="shared" ref="N110:N113" ca="1" si="86">J110*L110</f>
        <v>131.04</v>
      </c>
      <c r="O110" s="105" t="s">
        <v>195</v>
      </c>
      <c r="P110" s="84"/>
      <c r="Q110" s="85"/>
    </row>
    <row r="111" spans="1:17" s="52" customFormat="1" ht="23.25">
      <c r="A111" s="82"/>
      <c r="B111" s="83"/>
      <c r="C111" s="92" t="s">
        <v>172</v>
      </c>
      <c r="D111" s="163" t="s">
        <v>95</v>
      </c>
      <c r="E111" s="91">
        <v>44378</v>
      </c>
      <c r="F111" s="96">
        <v>44439</v>
      </c>
      <c r="G111" s="106" t="s">
        <v>49</v>
      </c>
      <c r="H111" s="93">
        <f t="shared" si="82"/>
        <v>3</v>
      </c>
      <c r="I111" s="93">
        <f t="shared" si="83"/>
        <v>3</v>
      </c>
      <c r="J111" s="94">
        <f t="shared" ca="1" si="84"/>
        <v>0</v>
      </c>
      <c r="K111" s="94">
        <f t="shared" ca="1" si="85"/>
        <v>0</v>
      </c>
      <c r="L111" s="95">
        <f>IF(OR(E111=0,F111=0),0,NETWORKDAYS(E111,F111,Feriados!$A$3:$A$100)*8)</f>
        <v>352</v>
      </c>
      <c r="M111" s="95">
        <f ca="1">IF($N$3&lt;E111,0,IF($N$3&gt;=F111,L111,NETWORKDAYS(E111,$N$3,Feriados!$A$3:$A$100)*8))</f>
        <v>0</v>
      </c>
      <c r="N111" s="95">
        <f t="shared" ca="1" si="86"/>
        <v>0</v>
      </c>
      <c r="O111" s="105" t="s">
        <v>195</v>
      </c>
      <c r="P111" s="84"/>
      <c r="Q111" s="85"/>
    </row>
    <row r="112" spans="1:17" s="52" customFormat="1" ht="23.25">
      <c r="A112" s="82"/>
      <c r="B112" s="83"/>
      <c r="C112" s="92" t="s">
        <v>173</v>
      </c>
      <c r="D112" s="163" t="s">
        <v>97</v>
      </c>
      <c r="E112" s="91">
        <v>44440</v>
      </c>
      <c r="F112" s="96">
        <v>44498</v>
      </c>
      <c r="G112" s="106" t="s">
        <v>49</v>
      </c>
      <c r="H112" s="93">
        <f t="shared" si="82"/>
        <v>3</v>
      </c>
      <c r="I112" s="93">
        <f t="shared" si="83"/>
        <v>3</v>
      </c>
      <c r="J112" s="94">
        <f t="shared" ca="1" si="84"/>
        <v>0</v>
      </c>
      <c r="K112" s="94">
        <f t="shared" ca="1" si="85"/>
        <v>0</v>
      </c>
      <c r="L112" s="95">
        <f>IF(OR(E112=0,F112=0),0,NETWORKDAYS(E112,F112,Feriados!$A$3:$A$100)*8)</f>
        <v>344</v>
      </c>
      <c r="M112" s="95">
        <f ca="1">IF($N$3&lt;E112,0,IF($N$3&gt;=F112,L112,NETWORKDAYS(E112,$N$3,Feriados!$A$3:$A$100)*8))</f>
        <v>0</v>
      </c>
      <c r="N112" s="95">
        <f t="shared" ca="1" si="86"/>
        <v>0</v>
      </c>
      <c r="O112" s="105" t="s">
        <v>195</v>
      </c>
      <c r="P112" s="84"/>
      <c r="Q112" s="85"/>
    </row>
    <row r="113" spans="1:17" s="52" customFormat="1" ht="31.5">
      <c r="A113" s="82"/>
      <c r="B113" s="83"/>
      <c r="C113" s="92" t="s">
        <v>174</v>
      </c>
      <c r="D113" s="163" t="s">
        <v>99</v>
      </c>
      <c r="E113" s="91">
        <v>44501</v>
      </c>
      <c r="F113" s="96">
        <v>44592</v>
      </c>
      <c r="G113" s="106" t="s">
        <v>49</v>
      </c>
      <c r="H113" s="93">
        <f t="shared" si="82"/>
        <v>3</v>
      </c>
      <c r="I113" s="93">
        <f t="shared" si="83"/>
        <v>3</v>
      </c>
      <c r="J113" s="94">
        <f t="shared" ca="1" si="84"/>
        <v>0</v>
      </c>
      <c r="K113" s="94">
        <f t="shared" ca="1" si="85"/>
        <v>0</v>
      </c>
      <c r="L113" s="95">
        <f>IF(OR(E113=0,F113=0),0,NETWORKDAYS(E113,F113,Feriados!$A$3:$A$100)*8)</f>
        <v>528</v>
      </c>
      <c r="M113" s="95">
        <f ca="1">IF($N$3&lt;E113,0,IF($N$3&gt;=F113,L113,NETWORKDAYS(E113,$N$3,Feriados!$A$3:$A$100)*8))</f>
        <v>0</v>
      </c>
      <c r="N113" s="95">
        <f t="shared" ca="1" si="86"/>
        <v>0</v>
      </c>
      <c r="O113" s="105" t="s">
        <v>195</v>
      </c>
      <c r="P113" s="84"/>
      <c r="Q113" s="85"/>
    </row>
    <row r="114" spans="1:17" s="52" customFormat="1" ht="23.25">
      <c r="A114" s="82"/>
      <c r="B114" s="83"/>
      <c r="C114" s="92"/>
      <c r="D114" s="163"/>
      <c r="E114" s="91"/>
      <c r="F114" s="96"/>
      <c r="G114" s="106"/>
      <c r="H114" s="93"/>
      <c r="I114" s="93"/>
      <c r="J114" s="94"/>
      <c r="K114" s="94"/>
      <c r="L114" s="95"/>
      <c r="M114" s="95"/>
      <c r="N114" s="95"/>
      <c r="O114" s="105"/>
      <c r="P114" s="84"/>
      <c r="Q114" s="85"/>
    </row>
    <row r="115" spans="1:17" s="52" customFormat="1" ht="47.25">
      <c r="A115" s="82"/>
      <c r="B115" s="83"/>
      <c r="C115" s="164">
        <v>17</v>
      </c>
      <c r="D115" s="165" t="s">
        <v>175</v>
      </c>
      <c r="E115" s="166">
        <v>44105</v>
      </c>
      <c r="F115" s="96">
        <v>44592</v>
      </c>
      <c r="G115" s="106"/>
      <c r="H115" s="93"/>
      <c r="I115" s="93"/>
      <c r="J115" s="94"/>
      <c r="K115" s="94"/>
      <c r="L115" s="95"/>
      <c r="M115" s="95"/>
      <c r="N115" s="95"/>
      <c r="O115" s="105"/>
      <c r="P115" s="84"/>
      <c r="Q115" s="85"/>
    </row>
    <row r="116" spans="1:17" s="52" customFormat="1" ht="23.25">
      <c r="A116" s="82"/>
      <c r="B116" s="83"/>
      <c r="C116" s="92" t="s">
        <v>176</v>
      </c>
      <c r="D116" s="163" t="s">
        <v>93</v>
      </c>
      <c r="E116" s="91">
        <v>44137</v>
      </c>
      <c r="F116" s="96">
        <v>44407</v>
      </c>
      <c r="G116" s="106" t="s">
        <v>49</v>
      </c>
      <c r="H116" s="93">
        <f t="shared" ref="H116:H119" si="87">I116</f>
        <v>3</v>
      </c>
      <c r="I116" s="93">
        <f t="shared" ref="I116:I119" si="88">IF(G116="PREOCUPANTE",1,IF(G116="ATENÇÃO",2,IF(G116="ADEQUADO",3,IF(G116="CONCLUÍDO",4,""))))</f>
        <v>3</v>
      </c>
      <c r="J116" s="94">
        <f t="shared" ref="J116:J119" ca="1" si="89">IF(G116="CONCLUÍDO",1,IF(G116="ADEQUADO",0.91*K116,IF(G116="ATENÇÃO",0.6*K116,IF(G116="PREOCUPANTE",0.5*K116))))</f>
        <v>8.4870466321243523E-2</v>
      </c>
      <c r="K116" s="94">
        <f t="shared" ref="K116:K119" ca="1" si="90">IF(OR(D116="",D116="não há"),"-",IFERROR(M116/L116,IF(F116&lt;=TODAY(),1,0)))</f>
        <v>9.3264248704663211E-2</v>
      </c>
      <c r="L116" s="95">
        <f>IF(OR(E116=0,F116=0),0,NETWORKDAYS(E116,F116,Feriados!$A$3:$A$100)*8)</f>
        <v>1544</v>
      </c>
      <c r="M116" s="95">
        <f ca="1">IF($N$3&lt;E116,0,IF($N$3&gt;=F116,L116,NETWORKDAYS(E116,$N$3,Feriados!$A$3:$A$100)*8))</f>
        <v>144</v>
      </c>
      <c r="N116" s="95">
        <f t="shared" ref="N116:N119" ca="1" si="91">J116*L116</f>
        <v>131.04</v>
      </c>
      <c r="O116" s="105" t="s">
        <v>195</v>
      </c>
      <c r="P116" s="84"/>
      <c r="Q116" s="85"/>
    </row>
    <row r="117" spans="1:17" s="52" customFormat="1" ht="23.25">
      <c r="A117" s="82"/>
      <c r="B117" s="83"/>
      <c r="C117" s="92" t="s">
        <v>177</v>
      </c>
      <c r="D117" s="163" t="s">
        <v>95</v>
      </c>
      <c r="E117" s="91">
        <v>44378</v>
      </c>
      <c r="F117" s="96">
        <v>44439</v>
      </c>
      <c r="G117" s="106" t="s">
        <v>49</v>
      </c>
      <c r="H117" s="93">
        <f t="shared" si="87"/>
        <v>3</v>
      </c>
      <c r="I117" s="93">
        <f t="shared" si="88"/>
        <v>3</v>
      </c>
      <c r="J117" s="94">
        <f t="shared" ca="1" si="89"/>
        <v>0</v>
      </c>
      <c r="K117" s="94">
        <f t="shared" ca="1" si="90"/>
        <v>0</v>
      </c>
      <c r="L117" s="95">
        <f>IF(OR(E117=0,F117=0),0,NETWORKDAYS(E117,F117,Feriados!$A$3:$A$100)*8)</f>
        <v>352</v>
      </c>
      <c r="M117" s="95">
        <f ca="1">IF($N$3&lt;E117,0,IF($N$3&gt;=F117,L117,NETWORKDAYS(E117,$N$3,Feriados!$A$3:$A$100)*8))</f>
        <v>0</v>
      </c>
      <c r="N117" s="95">
        <f t="shared" ca="1" si="91"/>
        <v>0</v>
      </c>
      <c r="O117" s="105" t="s">
        <v>195</v>
      </c>
      <c r="P117" s="84"/>
      <c r="Q117" s="85"/>
    </row>
    <row r="118" spans="1:17" s="52" customFormat="1" ht="23.25">
      <c r="A118" s="82"/>
      <c r="B118" s="83"/>
      <c r="C118" s="92" t="s">
        <v>178</v>
      </c>
      <c r="D118" s="163" t="s">
        <v>97</v>
      </c>
      <c r="E118" s="91">
        <v>44440</v>
      </c>
      <c r="F118" s="96">
        <v>44498</v>
      </c>
      <c r="G118" s="106" t="s">
        <v>49</v>
      </c>
      <c r="H118" s="93">
        <f t="shared" si="87"/>
        <v>3</v>
      </c>
      <c r="I118" s="93">
        <f t="shared" si="88"/>
        <v>3</v>
      </c>
      <c r="J118" s="94">
        <f t="shared" ca="1" si="89"/>
        <v>0</v>
      </c>
      <c r="K118" s="94">
        <f t="shared" ca="1" si="90"/>
        <v>0</v>
      </c>
      <c r="L118" s="95">
        <f>IF(OR(E118=0,F118=0),0,NETWORKDAYS(E118,F118,Feriados!$A$3:$A$100)*8)</f>
        <v>344</v>
      </c>
      <c r="M118" s="95">
        <f ca="1">IF($N$3&lt;E118,0,IF($N$3&gt;=F118,L118,NETWORKDAYS(E118,$N$3,Feriados!$A$3:$A$100)*8))</f>
        <v>0</v>
      </c>
      <c r="N118" s="95">
        <f t="shared" ca="1" si="91"/>
        <v>0</v>
      </c>
      <c r="O118" s="105" t="s">
        <v>195</v>
      </c>
      <c r="P118" s="84"/>
      <c r="Q118" s="85"/>
    </row>
    <row r="119" spans="1:17" s="52" customFormat="1" ht="31.5">
      <c r="A119" s="82"/>
      <c r="B119" s="83"/>
      <c r="C119" s="92" t="s">
        <v>179</v>
      </c>
      <c r="D119" s="163" t="s">
        <v>99</v>
      </c>
      <c r="E119" s="91">
        <v>44501</v>
      </c>
      <c r="F119" s="96">
        <v>44592</v>
      </c>
      <c r="G119" s="106" t="s">
        <v>49</v>
      </c>
      <c r="H119" s="93">
        <f t="shared" si="87"/>
        <v>3</v>
      </c>
      <c r="I119" s="93">
        <f t="shared" si="88"/>
        <v>3</v>
      </c>
      <c r="J119" s="94">
        <f t="shared" ca="1" si="89"/>
        <v>0</v>
      </c>
      <c r="K119" s="94">
        <f t="shared" ca="1" si="90"/>
        <v>0</v>
      </c>
      <c r="L119" s="95">
        <f>IF(OR(E119=0,F119=0),0,NETWORKDAYS(E119,F119,Feriados!$A$3:$A$100)*8)</f>
        <v>528</v>
      </c>
      <c r="M119" s="95">
        <f ca="1">IF($N$3&lt;E119,0,IF($N$3&gt;=F119,L119,NETWORKDAYS(E119,$N$3,Feriados!$A$3:$A$100)*8))</f>
        <v>0</v>
      </c>
      <c r="N119" s="95">
        <f t="shared" ca="1" si="91"/>
        <v>0</v>
      </c>
      <c r="O119" s="105" t="s">
        <v>195</v>
      </c>
      <c r="P119" s="84"/>
      <c r="Q119" s="85"/>
    </row>
    <row r="120" spans="1:17" s="52" customFormat="1" ht="23.25">
      <c r="A120" s="82"/>
      <c r="B120" s="83"/>
      <c r="C120" s="92"/>
      <c r="D120" s="163"/>
      <c r="E120" s="91"/>
      <c r="F120" s="96"/>
      <c r="G120" s="106"/>
      <c r="H120" s="93"/>
      <c r="I120" s="93"/>
      <c r="J120" s="94"/>
      <c r="K120" s="94"/>
      <c r="L120" s="95"/>
      <c r="M120" s="95"/>
      <c r="N120" s="95"/>
      <c r="O120" s="105"/>
      <c r="P120" s="84"/>
      <c r="Q120" s="85"/>
    </row>
    <row r="121" spans="1:17" s="52" customFormat="1" ht="47.25">
      <c r="A121" s="82"/>
      <c r="B121" s="83"/>
      <c r="C121" s="164">
        <v>18</v>
      </c>
      <c r="D121" s="165" t="s">
        <v>180</v>
      </c>
      <c r="E121" s="166">
        <v>44105</v>
      </c>
      <c r="F121" s="96">
        <v>44592</v>
      </c>
      <c r="G121" s="106"/>
      <c r="H121" s="93"/>
      <c r="I121" s="93"/>
      <c r="J121" s="94"/>
      <c r="K121" s="94"/>
      <c r="L121" s="95"/>
      <c r="M121" s="95"/>
      <c r="N121" s="95"/>
      <c r="O121" s="105"/>
      <c r="P121" s="84"/>
      <c r="Q121" s="85"/>
    </row>
    <row r="122" spans="1:17" s="52" customFormat="1" ht="31.5">
      <c r="A122" s="82"/>
      <c r="B122" s="83"/>
      <c r="C122" s="92" t="s">
        <v>181</v>
      </c>
      <c r="D122" s="163" t="s">
        <v>93</v>
      </c>
      <c r="E122" s="91">
        <v>44137</v>
      </c>
      <c r="F122" s="96">
        <v>44407</v>
      </c>
      <c r="G122" s="106" t="s">
        <v>49</v>
      </c>
      <c r="H122" s="93">
        <f t="shared" ref="H122:H125" si="92">I122</f>
        <v>3</v>
      </c>
      <c r="I122" s="93">
        <f t="shared" ref="I122:I125" si="93">IF(G122="PREOCUPANTE",1,IF(G122="ATENÇÃO",2,IF(G122="ADEQUADO",3,IF(G122="CONCLUÍDO",4,""))))</f>
        <v>3</v>
      </c>
      <c r="J122" s="94">
        <f t="shared" ref="J122:J125" ca="1" si="94">IF(G122="CONCLUÍDO",1,IF(G122="ADEQUADO",0.91*K122,IF(G122="ATENÇÃO",0.6*K122,IF(G122="PREOCUPANTE",0.5*K122))))</f>
        <v>8.4870466321243523E-2</v>
      </c>
      <c r="K122" s="94">
        <f t="shared" ref="K122:K125" ca="1" si="95">IF(OR(D122="",D122="não há"),"-",IFERROR(M122/L122,IF(F122&lt;=TODAY(),1,0)))</f>
        <v>9.3264248704663211E-2</v>
      </c>
      <c r="L122" s="95">
        <f>IF(OR(E122=0,F122=0),0,NETWORKDAYS(E122,F122,Feriados!$A$3:$A$100)*8)</f>
        <v>1544</v>
      </c>
      <c r="M122" s="95">
        <f ca="1">IF($N$3&lt;E122,0,IF($N$3&gt;=F122,L122,NETWORKDAYS(E122,$N$3,Feriados!$A$3:$A$100)*8))</f>
        <v>144</v>
      </c>
      <c r="N122" s="95">
        <f t="shared" ref="N122:N125" ca="1" si="96">J122*L122</f>
        <v>131.04</v>
      </c>
      <c r="O122" s="105" t="s">
        <v>213</v>
      </c>
      <c r="P122" s="84"/>
      <c r="Q122" s="85"/>
    </row>
    <row r="123" spans="1:17" s="52" customFormat="1" ht="23.25">
      <c r="A123" s="82"/>
      <c r="B123" s="83"/>
      <c r="C123" s="92" t="s">
        <v>182</v>
      </c>
      <c r="D123" s="163" t="s">
        <v>95</v>
      </c>
      <c r="E123" s="91">
        <v>44378</v>
      </c>
      <c r="F123" s="96">
        <v>44439</v>
      </c>
      <c r="G123" s="106" t="s">
        <v>49</v>
      </c>
      <c r="H123" s="93">
        <f t="shared" si="92"/>
        <v>3</v>
      </c>
      <c r="I123" s="93">
        <f t="shared" si="93"/>
        <v>3</v>
      </c>
      <c r="J123" s="94">
        <f t="shared" ca="1" si="94"/>
        <v>0</v>
      </c>
      <c r="K123" s="94">
        <f t="shared" ca="1" si="95"/>
        <v>0</v>
      </c>
      <c r="L123" s="95">
        <f>IF(OR(E123=0,F123=0),0,NETWORKDAYS(E123,F123,Feriados!$A$3:$A$100)*8)</f>
        <v>352</v>
      </c>
      <c r="M123" s="95">
        <f ca="1">IF($N$3&lt;E123,0,IF($N$3&gt;=F123,L123,NETWORKDAYS(E123,$N$3,Feriados!$A$3:$A$100)*8))</f>
        <v>0</v>
      </c>
      <c r="N123" s="95">
        <f t="shared" ca="1" si="96"/>
        <v>0</v>
      </c>
      <c r="O123" s="105" t="s">
        <v>195</v>
      </c>
      <c r="P123" s="84"/>
      <c r="Q123" s="85"/>
    </row>
    <row r="124" spans="1:17" s="52" customFormat="1" ht="23.25">
      <c r="A124" s="82"/>
      <c r="B124" s="83"/>
      <c r="C124" s="92" t="s">
        <v>183</v>
      </c>
      <c r="D124" s="163" t="s">
        <v>97</v>
      </c>
      <c r="E124" s="91">
        <v>44440</v>
      </c>
      <c r="F124" s="96">
        <v>44498</v>
      </c>
      <c r="G124" s="106" t="s">
        <v>49</v>
      </c>
      <c r="H124" s="93">
        <f t="shared" si="92"/>
        <v>3</v>
      </c>
      <c r="I124" s="93">
        <f t="shared" si="93"/>
        <v>3</v>
      </c>
      <c r="J124" s="94">
        <f t="shared" ca="1" si="94"/>
        <v>0</v>
      </c>
      <c r="K124" s="94">
        <f t="shared" ca="1" si="95"/>
        <v>0</v>
      </c>
      <c r="L124" s="95">
        <f>IF(OR(E124=0,F124=0),0,NETWORKDAYS(E124,F124,Feriados!$A$3:$A$100)*8)</f>
        <v>344</v>
      </c>
      <c r="M124" s="95">
        <f ca="1">IF($N$3&lt;E124,0,IF($N$3&gt;=F124,L124,NETWORKDAYS(E124,$N$3,Feriados!$A$3:$A$100)*8))</f>
        <v>0</v>
      </c>
      <c r="N124" s="95">
        <f t="shared" ca="1" si="96"/>
        <v>0</v>
      </c>
      <c r="O124" s="105" t="s">
        <v>195</v>
      </c>
      <c r="P124" s="84"/>
      <c r="Q124" s="85"/>
    </row>
    <row r="125" spans="1:17" s="52" customFormat="1" ht="31.5">
      <c r="A125" s="82"/>
      <c r="B125" s="83"/>
      <c r="C125" s="92" t="s">
        <v>184</v>
      </c>
      <c r="D125" s="163" t="s">
        <v>99</v>
      </c>
      <c r="E125" s="91">
        <v>44501</v>
      </c>
      <c r="F125" s="96">
        <v>44592</v>
      </c>
      <c r="G125" s="106" t="s">
        <v>49</v>
      </c>
      <c r="H125" s="93">
        <f t="shared" si="92"/>
        <v>3</v>
      </c>
      <c r="I125" s="93">
        <f t="shared" si="93"/>
        <v>3</v>
      </c>
      <c r="J125" s="94">
        <f t="shared" ca="1" si="94"/>
        <v>0</v>
      </c>
      <c r="K125" s="94">
        <f t="shared" ca="1" si="95"/>
        <v>0</v>
      </c>
      <c r="L125" s="95">
        <f>IF(OR(E125=0,F125=0),0,NETWORKDAYS(E125,F125,Feriados!$A$3:$A$100)*8)</f>
        <v>528</v>
      </c>
      <c r="M125" s="95">
        <f ca="1">IF($N$3&lt;E125,0,IF($N$3&gt;=F125,L125,NETWORKDAYS(E125,$N$3,Feriados!$A$3:$A$100)*8))</f>
        <v>0</v>
      </c>
      <c r="N125" s="95">
        <f t="shared" ca="1" si="96"/>
        <v>0</v>
      </c>
      <c r="O125" s="105" t="s">
        <v>195</v>
      </c>
      <c r="P125" s="84"/>
      <c r="Q125" s="85"/>
    </row>
    <row r="126" spans="1:17" s="52" customFormat="1" ht="23.25">
      <c r="A126" s="82"/>
      <c r="B126" s="83"/>
      <c r="C126" s="92"/>
      <c r="D126" s="163"/>
      <c r="E126" s="91"/>
      <c r="F126" s="96"/>
      <c r="G126" s="106"/>
      <c r="H126" s="93"/>
      <c r="I126" s="93"/>
      <c r="J126" s="94"/>
      <c r="K126" s="94"/>
      <c r="L126" s="95"/>
      <c r="M126" s="95"/>
      <c r="N126" s="95"/>
      <c r="O126" s="105"/>
      <c r="P126" s="84"/>
      <c r="Q126" s="85"/>
    </row>
    <row r="127" spans="1:17" s="52" customFormat="1" ht="47.25">
      <c r="A127" s="82"/>
      <c r="B127" s="83"/>
      <c r="C127" s="164">
        <v>19</v>
      </c>
      <c r="D127" s="165" t="s">
        <v>185</v>
      </c>
      <c r="E127" s="166">
        <v>44105</v>
      </c>
      <c r="F127" s="96">
        <v>44592</v>
      </c>
      <c r="G127" s="106"/>
      <c r="H127" s="93"/>
      <c r="I127" s="93"/>
      <c r="J127" s="94"/>
      <c r="K127" s="94"/>
      <c r="L127" s="95"/>
      <c r="M127" s="95"/>
      <c r="N127" s="95"/>
      <c r="O127" s="105"/>
      <c r="P127" s="84"/>
      <c r="Q127" s="85"/>
    </row>
    <row r="128" spans="1:17" s="52" customFormat="1" ht="23.25">
      <c r="A128" s="82"/>
      <c r="B128" s="83"/>
      <c r="C128" s="92" t="s">
        <v>186</v>
      </c>
      <c r="D128" s="163" t="s">
        <v>93</v>
      </c>
      <c r="E128" s="91">
        <v>44137</v>
      </c>
      <c r="F128" s="96">
        <v>44407</v>
      </c>
      <c r="G128" s="106" t="s">
        <v>49</v>
      </c>
      <c r="H128" s="93">
        <f t="shared" ref="H128:H131" si="97">I128</f>
        <v>3</v>
      </c>
      <c r="I128" s="93">
        <f t="shared" ref="I128:I131" si="98">IF(G128="PREOCUPANTE",1,IF(G128="ATENÇÃO",2,IF(G128="ADEQUADO",3,IF(G128="CONCLUÍDO",4,""))))</f>
        <v>3</v>
      </c>
      <c r="J128" s="94">
        <f t="shared" ref="J128:J131" ca="1" si="99">IF(G128="CONCLUÍDO",1,IF(G128="ADEQUADO",0.91*K128,IF(G128="ATENÇÃO",0.6*K128,IF(G128="PREOCUPANTE",0.5*K128))))</f>
        <v>8.4870466321243523E-2</v>
      </c>
      <c r="K128" s="94">
        <f t="shared" ref="K128:K131" ca="1" si="100">IF(OR(D128="",D128="não há"),"-",IFERROR(M128/L128,IF(F128&lt;=TODAY(),1,0)))</f>
        <v>9.3264248704663211E-2</v>
      </c>
      <c r="L128" s="95">
        <f>IF(OR(E128=0,F128=0),0,NETWORKDAYS(E128,F128,Feriados!$A$3:$A$100)*8)</f>
        <v>1544</v>
      </c>
      <c r="M128" s="95">
        <f ca="1">IF($N$3&lt;E128,0,IF($N$3&gt;=F128,L128,NETWORKDAYS(E128,$N$3,Feriados!$A$3:$A$100)*8))</f>
        <v>144</v>
      </c>
      <c r="N128" s="95">
        <f t="shared" ref="N128:N131" ca="1" si="101">J128*L128</f>
        <v>131.04</v>
      </c>
      <c r="O128" s="105" t="s">
        <v>195</v>
      </c>
      <c r="P128" s="84"/>
      <c r="Q128" s="85"/>
    </row>
    <row r="129" spans="1:17" s="52" customFormat="1" ht="23.25">
      <c r="A129" s="82"/>
      <c r="B129" s="83"/>
      <c r="C129" s="92" t="s">
        <v>187</v>
      </c>
      <c r="D129" s="163" t="s">
        <v>95</v>
      </c>
      <c r="E129" s="91">
        <v>44378</v>
      </c>
      <c r="F129" s="96">
        <v>44439</v>
      </c>
      <c r="G129" s="106" t="s">
        <v>49</v>
      </c>
      <c r="H129" s="93">
        <f t="shared" si="97"/>
        <v>3</v>
      </c>
      <c r="I129" s="93">
        <f t="shared" si="98"/>
        <v>3</v>
      </c>
      <c r="J129" s="94">
        <f t="shared" ca="1" si="99"/>
        <v>0</v>
      </c>
      <c r="K129" s="94">
        <f t="shared" ca="1" si="100"/>
        <v>0</v>
      </c>
      <c r="L129" s="95">
        <f>IF(OR(E129=0,F129=0),0,NETWORKDAYS(E129,F129,Feriados!$A$3:$A$100)*8)</f>
        <v>352</v>
      </c>
      <c r="M129" s="95">
        <f ca="1">IF($N$3&lt;E129,0,IF($N$3&gt;=F129,L129,NETWORKDAYS(E129,$N$3,Feriados!$A$3:$A$100)*8))</f>
        <v>0</v>
      </c>
      <c r="N129" s="95">
        <f t="shared" ca="1" si="101"/>
        <v>0</v>
      </c>
      <c r="O129" s="105" t="s">
        <v>195</v>
      </c>
      <c r="P129" s="84"/>
      <c r="Q129" s="85"/>
    </row>
    <row r="130" spans="1:17" s="52" customFormat="1" ht="23.25">
      <c r="A130" s="82"/>
      <c r="B130" s="83"/>
      <c r="C130" s="92" t="s">
        <v>188</v>
      </c>
      <c r="D130" s="163" t="s">
        <v>97</v>
      </c>
      <c r="E130" s="91">
        <v>44440</v>
      </c>
      <c r="F130" s="96">
        <v>44498</v>
      </c>
      <c r="G130" s="106" t="s">
        <v>49</v>
      </c>
      <c r="H130" s="93">
        <f t="shared" si="97"/>
        <v>3</v>
      </c>
      <c r="I130" s="93">
        <f t="shared" si="98"/>
        <v>3</v>
      </c>
      <c r="J130" s="94">
        <f t="shared" ca="1" si="99"/>
        <v>0</v>
      </c>
      <c r="K130" s="94">
        <f t="shared" ca="1" si="100"/>
        <v>0</v>
      </c>
      <c r="L130" s="95">
        <f>IF(OR(E130=0,F130=0),0,NETWORKDAYS(E130,F130,Feriados!$A$3:$A$100)*8)</f>
        <v>344</v>
      </c>
      <c r="M130" s="95">
        <f ca="1">IF($N$3&lt;E130,0,IF($N$3&gt;=F130,L130,NETWORKDAYS(E130,$N$3,Feriados!$A$3:$A$100)*8))</f>
        <v>0</v>
      </c>
      <c r="N130" s="95">
        <f t="shared" ca="1" si="101"/>
        <v>0</v>
      </c>
      <c r="O130" s="105" t="s">
        <v>195</v>
      </c>
      <c r="P130" s="84"/>
      <c r="Q130" s="85"/>
    </row>
    <row r="131" spans="1:17" s="52" customFormat="1" ht="31.5">
      <c r="A131" s="82"/>
      <c r="B131" s="83"/>
      <c r="C131" s="92" t="s">
        <v>189</v>
      </c>
      <c r="D131" s="163" t="s">
        <v>99</v>
      </c>
      <c r="E131" s="91">
        <v>44501</v>
      </c>
      <c r="F131" s="96">
        <v>44592</v>
      </c>
      <c r="G131" s="106" t="s">
        <v>49</v>
      </c>
      <c r="H131" s="93">
        <f t="shared" si="97"/>
        <v>3</v>
      </c>
      <c r="I131" s="93">
        <f t="shared" si="98"/>
        <v>3</v>
      </c>
      <c r="J131" s="94">
        <f t="shared" ca="1" si="99"/>
        <v>0</v>
      </c>
      <c r="K131" s="94">
        <f t="shared" ca="1" si="100"/>
        <v>0</v>
      </c>
      <c r="L131" s="95">
        <f>IF(OR(E131=0,F131=0),0,NETWORKDAYS(E131,F131,Feriados!$A$3:$A$100)*8)</f>
        <v>528</v>
      </c>
      <c r="M131" s="95">
        <f ca="1">IF($N$3&lt;E131,0,IF($N$3&gt;=F131,L131,NETWORKDAYS(E131,$N$3,Feriados!$A$3:$A$100)*8))</f>
        <v>0</v>
      </c>
      <c r="N131" s="95">
        <f t="shared" ca="1" si="101"/>
        <v>0</v>
      </c>
      <c r="O131" s="105" t="s">
        <v>195</v>
      </c>
      <c r="P131" s="84"/>
      <c r="Q131" s="85"/>
    </row>
    <row r="132" spans="1:17" s="52" customFormat="1" ht="23.25">
      <c r="A132" s="82"/>
      <c r="B132" s="83"/>
      <c r="C132" s="92"/>
      <c r="D132" s="104"/>
      <c r="E132" s="91"/>
      <c r="F132" s="96"/>
      <c r="G132" s="106"/>
      <c r="H132" s="93"/>
      <c r="I132" s="93"/>
      <c r="J132" s="94"/>
      <c r="K132" s="94"/>
      <c r="L132" s="95"/>
      <c r="M132" s="95"/>
      <c r="N132" s="95"/>
      <c r="O132" s="105"/>
      <c r="P132" s="84"/>
      <c r="Q132" s="85"/>
    </row>
    <row r="133" spans="1:17" s="52" customFormat="1" ht="7.5" customHeight="1" thickBot="1">
      <c r="A133" s="82"/>
      <c r="B133" s="159"/>
      <c r="C133" s="76"/>
      <c r="D133" s="77"/>
      <c r="E133" s="77"/>
      <c r="F133" s="77"/>
      <c r="G133" s="77"/>
      <c r="H133" s="77"/>
      <c r="I133" s="77"/>
      <c r="J133" s="77"/>
      <c r="K133" s="77"/>
      <c r="L133" s="77"/>
      <c r="M133" s="77"/>
      <c r="N133" s="77"/>
      <c r="O133" s="34"/>
      <c r="P133" s="160"/>
      <c r="Q133" s="82"/>
    </row>
    <row r="134" spans="1:17" ht="15" customHeight="1">
      <c r="A134" s="71"/>
      <c r="B134" s="71"/>
      <c r="C134" s="71"/>
      <c r="D134" s="71"/>
      <c r="E134" s="71"/>
      <c r="F134" s="71"/>
      <c r="G134" s="71"/>
      <c r="H134" s="71"/>
      <c r="I134" s="71"/>
      <c r="J134" s="71"/>
      <c r="K134" s="71"/>
      <c r="L134" s="71"/>
      <c r="M134" s="71"/>
      <c r="N134" s="71"/>
      <c r="O134" s="71"/>
      <c r="P134" s="82"/>
      <c r="Q134" s="82"/>
    </row>
    <row r="135" spans="1:17" ht="15" customHeight="1">
      <c r="A135" s="71"/>
      <c r="B135" s="71"/>
      <c r="C135" s="71"/>
      <c r="D135" s="71"/>
      <c r="E135" s="71"/>
      <c r="F135" s="71"/>
      <c r="G135" s="55"/>
      <c r="H135" s="71"/>
      <c r="I135" s="71"/>
      <c r="J135" s="71"/>
      <c r="K135" s="71"/>
      <c r="L135" s="71"/>
      <c r="M135" s="71"/>
      <c r="N135" s="71"/>
      <c r="O135" s="71"/>
      <c r="P135" s="82"/>
      <c r="Q135" s="82"/>
    </row>
    <row r="136" spans="1:17" ht="15" customHeight="1">
      <c r="A136" s="71"/>
      <c r="B136" s="71"/>
      <c r="C136" s="71"/>
      <c r="D136" s="71"/>
      <c r="E136" s="71"/>
      <c r="F136" s="71"/>
      <c r="G136" s="55"/>
      <c r="H136" s="71"/>
      <c r="I136" s="71"/>
      <c r="J136" s="71"/>
      <c r="K136" s="71"/>
      <c r="L136" s="71"/>
      <c r="M136" s="71"/>
      <c r="N136" s="71"/>
      <c r="O136" s="71"/>
      <c r="P136" s="82"/>
      <c r="Q136" s="82"/>
    </row>
    <row r="137" spans="1:17" ht="15" customHeight="1">
      <c r="A137" s="71"/>
      <c r="B137" s="71"/>
      <c r="C137" s="78"/>
      <c r="D137" s="71"/>
      <c r="E137" s="71"/>
      <c r="F137" s="71"/>
      <c r="G137" s="55"/>
      <c r="H137" s="71"/>
      <c r="I137" s="71"/>
      <c r="J137" s="71"/>
      <c r="K137" s="71"/>
      <c r="L137" s="71"/>
      <c r="M137" s="71"/>
      <c r="N137" s="71"/>
      <c r="O137" s="71"/>
      <c r="P137" s="82"/>
      <c r="Q137" s="82"/>
    </row>
    <row r="138" spans="1:17" ht="15" customHeight="1">
      <c r="C138" s="78"/>
      <c r="D138" s="71"/>
      <c r="E138" s="71"/>
      <c r="F138" s="71"/>
      <c r="N138" s="161"/>
      <c r="P138" s="162"/>
      <c r="Q138" s="162"/>
    </row>
    <row r="139" spans="1:17" ht="15" customHeight="1">
      <c r="C139" s="78"/>
      <c r="J139" s="80"/>
      <c r="P139" s="71"/>
    </row>
    <row r="140" spans="1:17" ht="15" customHeight="1">
      <c r="C140" s="79"/>
      <c r="D140" s="161"/>
      <c r="J140" s="80"/>
      <c r="P140" s="71"/>
    </row>
    <row r="141" spans="1:17" ht="15" customHeight="1">
      <c r="C141" s="80"/>
      <c r="D141" s="161"/>
      <c r="P141" s="71"/>
    </row>
    <row r="142" spans="1:17" ht="15" customHeight="1">
      <c r="C142" s="80"/>
      <c r="D142" s="161"/>
      <c r="N142" s="161"/>
      <c r="P142" s="162"/>
      <c r="Q142" s="162"/>
    </row>
    <row r="143" spans="1:17" ht="15" customHeight="1">
      <c r="C143" s="80"/>
      <c r="D143" s="161"/>
      <c r="J143" s="80"/>
      <c r="P143" s="71"/>
    </row>
    <row r="144" spans="1:17">
      <c r="P144" s="71"/>
    </row>
    <row r="145" spans="16:16">
      <c r="P145" s="71"/>
    </row>
  </sheetData>
  <sheetProtection password="E207" sheet="1" objects="1" scenarios="1" formatCells="0" formatRows="0" insertRows="0" deleteRows="0" sort="0" autoFilter="0"/>
  <autoFilter ref="C18:P23">
    <sortState ref="C19:P26">
      <sortCondition ref="F18:F26"/>
    </sortState>
  </autoFilter>
  <mergeCells count="6">
    <mergeCell ref="O9:O13"/>
    <mergeCell ref="K9:K13"/>
    <mergeCell ref="N9:N13"/>
    <mergeCell ref="J9:J13"/>
    <mergeCell ref="F9:F13"/>
    <mergeCell ref="G9:G13"/>
  </mergeCells>
  <conditionalFormatting sqref="D133:I133 K133:N133">
    <cfRule type="cellIs" dxfId="174" priority="534" operator="notEqual">
      <formula>"A detalhar"</formula>
    </cfRule>
  </conditionalFormatting>
  <conditionalFormatting sqref="C133">
    <cfRule type="cellIs" dxfId="173" priority="520" operator="notEqual">
      <formula>"A detalhar"</formula>
    </cfRule>
  </conditionalFormatting>
  <conditionalFormatting sqref="C141">
    <cfRule type="iconSet" priority="491">
      <iconSet showValue="0">
        <cfvo type="percent" val="0"/>
        <cfvo type="num" val="7"/>
        <cfvo type="num" val="9"/>
      </iconSet>
    </cfRule>
  </conditionalFormatting>
  <conditionalFormatting sqref="C142">
    <cfRule type="iconSet" priority="490">
      <iconSet showValue="0">
        <cfvo type="percent" val="0"/>
        <cfvo type="num" val="7"/>
        <cfvo type="num" val="9"/>
      </iconSet>
    </cfRule>
  </conditionalFormatting>
  <conditionalFormatting sqref="C143">
    <cfRule type="iconSet" priority="489">
      <iconSet showValue="0">
        <cfvo type="percent" val="0"/>
        <cfvo type="num" val="7"/>
        <cfvo type="num" val="9"/>
      </iconSet>
    </cfRule>
  </conditionalFormatting>
  <conditionalFormatting sqref="J133">
    <cfRule type="cellIs" dxfId="172" priority="386" operator="notEqual">
      <formula>"A detalhar"</formula>
    </cfRule>
  </conditionalFormatting>
  <conditionalFormatting sqref="J143">
    <cfRule type="iconSet" priority="385">
      <iconSet showValue="0">
        <cfvo type="percent" val="0"/>
        <cfvo type="num" val="7"/>
        <cfvo type="num" val="9"/>
      </iconSet>
    </cfRule>
  </conditionalFormatting>
  <conditionalFormatting sqref="J139">
    <cfRule type="iconSet" priority="378">
      <iconSet showValue="0">
        <cfvo type="percent" val="0"/>
        <cfvo type="num" val="7"/>
        <cfvo type="num" val="9"/>
      </iconSet>
    </cfRule>
  </conditionalFormatting>
  <conditionalFormatting sqref="J140">
    <cfRule type="iconSet" priority="377">
      <iconSet showValue="0">
        <cfvo type="percent" val="0"/>
        <cfvo type="num" val="7"/>
        <cfvo type="num" val="9"/>
      </iconSet>
    </cfRule>
  </conditionalFormatting>
  <conditionalFormatting sqref="C43 C48 C72 C84 C90 C96 C102 C108 C114 C120 C126">
    <cfRule type="cellIs" dxfId="171" priority="112" operator="notEqual">
      <formula>"A detalhar"</formula>
    </cfRule>
  </conditionalFormatting>
  <conditionalFormatting sqref="C19">
    <cfRule type="cellIs" dxfId="170" priority="111" operator="notEqual">
      <formula>"A detalhar"</formula>
    </cfRule>
  </conditionalFormatting>
  <conditionalFormatting sqref="C20">
    <cfRule type="cellIs" dxfId="169" priority="110" operator="notEqual">
      <formula>"A detalhar"</formula>
    </cfRule>
  </conditionalFormatting>
  <conditionalFormatting sqref="C21">
    <cfRule type="cellIs" dxfId="168" priority="109" operator="notEqual">
      <formula>"A detalhar"</formula>
    </cfRule>
  </conditionalFormatting>
  <conditionalFormatting sqref="C22 C132">
    <cfRule type="cellIs" dxfId="167" priority="108" operator="notEqual">
      <formula>"A detalhar"</formula>
    </cfRule>
  </conditionalFormatting>
  <conditionalFormatting sqref="C23:C24 C30 C36 C42">
    <cfRule type="cellIs" dxfId="166" priority="107" operator="notEqual">
      <formula>"A detalhar"</formula>
    </cfRule>
  </conditionalFormatting>
  <conditionalFormatting sqref="C25">
    <cfRule type="cellIs" dxfId="165" priority="106" operator="notEqual">
      <formula>"A detalhar"</formula>
    </cfRule>
  </conditionalFormatting>
  <conditionalFormatting sqref="C26">
    <cfRule type="cellIs" dxfId="164" priority="105" operator="notEqual">
      <formula>"A detalhar"</formula>
    </cfRule>
  </conditionalFormatting>
  <conditionalFormatting sqref="C27">
    <cfRule type="cellIs" dxfId="163" priority="104" operator="notEqual">
      <formula>"A detalhar"</formula>
    </cfRule>
  </conditionalFormatting>
  <conditionalFormatting sqref="C28">
    <cfRule type="cellIs" dxfId="162" priority="103" operator="notEqual">
      <formula>"A detalhar"</formula>
    </cfRule>
  </conditionalFormatting>
  <conditionalFormatting sqref="C29">
    <cfRule type="cellIs" dxfId="161" priority="102" operator="notEqual">
      <formula>"A detalhar"</formula>
    </cfRule>
  </conditionalFormatting>
  <conditionalFormatting sqref="C31">
    <cfRule type="cellIs" dxfId="160" priority="101" operator="notEqual">
      <formula>"A detalhar"</formula>
    </cfRule>
  </conditionalFormatting>
  <conditionalFormatting sqref="C32">
    <cfRule type="cellIs" dxfId="159" priority="100" operator="notEqual">
      <formula>"A detalhar"</formula>
    </cfRule>
  </conditionalFormatting>
  <conditionalFormatting sqref="C33">
    <cfRule type="cellIs" dxfId="158" priority="99" operator="notEqual">
      <formula>"A detalhar"</formula>
    </cfRule>
  </conditionalFormatting>
  <conditionalFormatting sqref="C34">
    <cfRule type="cellIs" dxfId="157" priority="98" operator="notEqual">
      <formula>"A detalhar"</formula>
    </cfRule>
  </conditionalFormatting>
  <conditionalFormatting sqref="C35">
    <cfRule type="cellIs" dxfId="156" priority="97" operator="notEqual">
      <formula>"A detalhar"</formula>
    </cfRule>
  </conditionalFormatting>
  <conditionalFormatting sqref="C37">
    <cfRule type="cellIs" dxfId="155" priority="96" operator="notEqual">
      <formula>"A detalhar"</formula>
    </cfRule>
  </conditionalFormatting>
  <conditionalFormatting sqref="C38">
    <cfRule type="cellIs" dxfId="154" priority="95" operator="notEqual">
      <formula>"A detalhar"</formula>
    </cfRule>
  </conditionalFormatting>
  <conditionalFormatting sqref="C39">
    <cfRule type="cellIs" dxfId="153" priority="94" operator="notEqual">
      <formula>"A detalhar"</formula>
    </cfRule>
  </conditionalFormatting>
  <conditionalFormatting sqref="C40">
    <cfRule type="cellIs" dxfId="152" priority="93" operator="notEqual">
      <formula>"A detalhar"</formula>
    </cfRule>
  </conditionalFormatting>
  <conditionalFormatting sqref="C41">
    <cfRule type="cellIs" dxfId="151" priority="92" operator="notEqual">
      <formula>"A detalhar"</formula>
    </cfRule>
  </conditionalFormatting>
  <conditionalFormatting sqref="C44">
    <cfRule type="cellIs" dxfId="150" priority="91" operator="notEqual">
      <formula>"A detalhar"</formula>
    </cfRule>
  </conditionalFormatting>
  <conditionalFormatting sqref="C45">
    <cfRule type="cellIs" dxfId="149" priority="90" operator="notEqual">
      <formula>"A detalhar"</formula>
    </cfRule>
  </conditionalFormatting>
  <conditionalFormatting sqref="C46">
    <cfRule type="cellIs" dxfId="148" priority="89" operator="notEqual">
      <formula>"A detalhar"</formula>
    </cfRule>
  </conditionalFormatting>
  <conditionalFormatting sqref="C47">
    <cfRule type="cellIs" dxfId="147" priority="88" operator="notEqual">
      <formula>"A detalhar"</formula>
    </cfRule>
  </conditionalFormatting>
  <conditionalFormatting sqref="C49">
    <cfRule type="cellIs" dxfId="146" priority="87" operator="notEqual">
      <formula>"A detalhar"</formula>
    </cfRule>
  </conditionalFormatting>
  <conditionalFormatting sqref="C50">
    <cfRule type="cellIs" dxfId="145" priority="86" operator="notEqual">
      <formula>"A detalhar"</formula>
    </cfRule>
  </conditionalFormatting>
  <conditionalFormatting sqref="C51">
    <cfRule type="cellIs" dxfId="144" priority="85" operator="notEqual">
      <formula>"A detalhar"</formula>
    </cfRule>
  </conditionalFormatting>
  <conditionalFormatting sqref="C52">
    <cfRule type="cellIs" dxfId="143" priority="84" operator="notEqual">
      <formula>"A detalhar"</formula>
    </cfRule>
  </conditionalFormatting>
  <conditionalFormatting sqref="C53:C54 C60 C66">
    <cfRule type="cellIs" dxfId="142" priority="83" operator="notEqual">
      <formula>"A detalhar"</formula>
    </cfRule>
  </conditionalFormatting>
  <conditionalFormatting sqref="C67">
    <cfRule type="cellIs" dxfId="141" priority="82" operator="notEqual">
      <formula>"A detalhar"</formula>
    </cfRule>
  </conditionalFormatting>
  <conditionalFormatting sqref="C68">
    <cfRule type="cellIs" dxfId="140" priority="81" operator="notEqual">
      <formula>"A detalhar"</formula>
    </cfRule>
  </conditionalFormatting>
  <conditionalFormatting sqref="C69">
    <cfRule type="cellIs" dxfId="139" priority="80" operator="notEqual">
      <formula>"A detalhar"</formula>
    </cfRule>
  </conditionalFormatting>
  <conditionalFormatting sqref="C70">
    <cfRule type="cellIs" dxfId="138" priority="79" operator="notEqual">
      <formula>"A detalhar"</formula>
    </cfRule>
  </conditionalFormatting>
  <conditionalFormatting sqref="C71">
    <cfRule type="cellIs" dxfId="137" priority="78" operator="notEqual">
      <formula>"A detalhar"</formula>
    </cfRule>
  </conditionalFormatting>
  <conditionalFormatting sqref="C73">
    <cfRule type="cellIs" dxfId="136" priority="77" operator="notEqual">
      <formula>"A detalhar"</formula>
    </cfRule>
  </conditionalFormatting>
  <conditionalFormatting sqref="C74">
    <cfRule type="cellIs" dxfId="135" priority="76" operator="notEqual">
      <formula>"A detalhar"</formula>
    </cfRule>
  </conditionalFormatting>
  <conditionalFormatting sqref="C75">
    <cfRule type="cellIs" dxfId="134" priority="75" operator="notEqual">
      <formula>"A detalhar"</formula>
    </cfRule>
  </conditionalFormatting>
  <conditionalFormatting sqref="C76">
    <cfRule type="cellIs" dxfId="133" priority="74" operator="notEqual">
      <formula>"A detalhar"</formula>
    </cfRule>
  </conditionalFormatting>
  <conditionalFormatting sqref="C78">
    <cfRule type="cellIs" dxfId="132" priority="73" operator="notEqual">
      <formula>"A detalhar"</formula>
    </cfRule>
  </conditionalFormatting>
  <conditionalFormatting sqref="C130">
    <cfRule type="cellIs" dxfId="131" priority="34" operator="notEqual">
      <formula>"A detalhar"</formula>
    </cfRule>
  </conditionalFormatting>
  <conditionalFormatting sqref="C77">
    <cfRule type="cellIs" dxfId="130" priority="72" operator="notEqual">
      <formula>"A detalhar"</formula>
    </cfRule>
  </conditionalFormatting>
  <conditionalFormatting sqref="C79">
    <cfRule type="cellIs" dxfId="129" priority="71" operator="notEqual">
      <formula>"A detalhar"</formula>
    </cfRule>
  </conditionalFormatting>
  <conditionalFormatting sqref="C80">
    <cfRule type="cellIs" dxfId="128" priority="70" operator="notEqual">
      <formula>"A detalhar"</formula>
    </cfRule>
  </conditionalFormatting>
  <conditionalFormatting sqref="C81">
    <cfRule type="cellIs" dxfId="127" priority="69" operator="notEqual">
      <formula>"A detalhar"</formula>
    </cfRule>
  </conditionalFormatting>
  <conditionalFormatting sqref="C82">
    <cfRule type="cellIs" dxfId="126" priority="68" operator="notEqual">
      <formula>"A detalhar"</formula>
    </cfRule>
  </conditionalFormatting>
  <conditionalFormatting sqref="C83">
    <cfRule type="cellIs" dxfId="125" priority="67" operator="notEqual">
      <formula>"A detalhar"</formula>
    </cfRule>
  </conditionalFormatting>
  <conditionalFormatting sqref="C85">
    <cfRule type="cellIs" dxfId="124" priority="66" operator="notEqual">
      <formula>"A detalhar"</formula>
    </cfRule>
  </conditionalFormatting>
  <conditionalFormatting sqref="C86">
    <cfRule type="cellIs" dxfId="123" priority="65" operator="notEqual">
      <formula>"A detalhar"</formula>
    </cfRule>
  </conditionalFormatting>
  <conditionalFormatting sqref="C87">
    <cfRule type="cellIs" dxfId="122" priority="64" operator="notEqual">
      <formula>"A detalhar"</formula>
    </cfRule>
  </conditionalFormatting>
  <conditionalFormatting sqref="C88">
    <cfRule type="cellIs" dxfId="121" priority="63" operator="notEqual">
      <formula>"A detalhar"</formula>
    </cfRule>
  </conditionalFormatting>
  <conditionalFormatting sqref="C89">
    <cfRule type="cellIs" dxfId="120" priority="62" operator="notEqual">
      <formula>"A detalhar"</formula>
    </cfRule>
  </conditionalFormatting>
  <conditionalFormatting sqref="C91">
    <cfRule type="cellIs" dxfId="119" priority="61" operator="notEqual">
      <formula>"A detalhar"</formula>
    </cfRule>
  </conditionalFormatting>
  <conditionalFormatting sqref="C92">
    <cfRule type="cellIs" dxfId="118" priority="60" operator="notEqual">
      <formula>"A detalhar"</formula>
    </cfRule>
  </conditionalFormatting>
  <conditionalFormatting sqref="C93">
    <cfRule type="cellIs" dxfId="117" priority="59" operator="notEqual">
      <formula>"A detalhar"</formula>
    </cfRule>
  </conditionalFormatting>
  <conditionalFormatting sqref="C94">
    <cfRule type="cellIs" dxfId="116" priority="58" operator="notEqual">
      <formula>"A detalhar"</formula>
    </cfRule>
  </conditionalFormatting>
  <conditionalFormatting sqref="C95">
    <cfRule type="cellIs" dxfId="115" priority="57" operator="notEqual">
      <formula>"A detalhar"</formula>
    </cfRule>
  </conditionalFormatting>
  <conditionalFormatting sqref="C98">
    <cfRule type="cellIs" dxfId="114" priority="56" operator="notEqual">
      <formula>"A detalhar"</formula>
    </cfRule>
  </conditionalFormatting>
  <conditionalFormatting sqref="C99">
    <cfRule type="cellIs" dxfId="113" priority="55" operator="notEqual">
      <formula>"A detalhar"</formula>
    </cfRule>
  </conditionalFormatting>
  <conditionalFormatting sqref="C100">
    <cfRule type="cellIs" dxfId="112" priority="54" operator="notEqual">
      <formula>"A detalhar"</formula>
    </cfRule>
  </conditionalFormatting>
  <conditionalFormatting sqref="C101">
    <cfRule type="cellIs" dxfId="111" priority="53" operator="notEqual">
      <formula>"A detalhar"</formula>
    </cfRule>
  </conditionalFormatting>
  <conditionalFormatting sqref="C104">
    <cfRule type="cellIs" dxfId="110" priority="52" operator="notEqual">
      <formula>"A detalhar"</formula>
    </cfRule>
  </conditionalFormatting>
  <conditionalFormatting sqref="C105">
    <cfRule type="cellIs" dxfId="109" priority="51" operator="notEqual">
      <formula>"A detalhar"</formula>
    </cfRule>
  </conditionalFormatting>
  <conditionalFormatting sqref="C106">
    <cfRule type="cellIs" dxfId="108" priority="50" operator="notEqual">
      <formula>"A detalhar"</formula>
    </cfRule>
  </conditionalFormatting>
  <conditionalFormatting sqref="C107">
    <cfRule type="cellIs" dxfId="107" priority="49" operator="notEqual">
      <formula>"A detalhar"</formula>
    </cfRule>
  </conditionalFormatting>
  <conditionalFormatting sqref="C110">
    <cfRule type="cellIs" dxfId="106" priority="48" operator="notEqual">
      <formula>"A detalhar"</formula>
    </cfRule>
  </conditionalFormatting>
  <conditionalFormatting sqref="C111">
    <cfRule type="cellIs" dxfId="105" priority="47" operator="notEqual">
      <formula>"A detalhar"</formula>
    </cfRule>
  </conditionalFormatting>
  <conditionalFormatting sqref="C112">
    <cfRule type="cellIs" dxfId="104" priority="46" operator="notEqual">
      <formula>"A detalhar"</formula>
    </cfRule>
  </conditionalFormatting>
  <conditionalFormatting sqref="C113">
    <cfRule type="cellIs" dxfId="103" priority="45" operator="notEqual">
      <formula>"A detalhar"</formula>
    </cfRule>
  </conditionalFormatting>
  <conditionalFormatting sqref="C116">
    <cfRule type="cellIs" dxfId="102" priority="44" operator="notEqual">
      <formula>"A detalhar"</formula>
    </cfRule>
  </conditionalFormatting>
  <conditionalFormatting sqref="C117">
    <cfRule type="cellIs" dxfId="101" priority="43" operator="notEqual">
      <formula>"A detalhar"</formula>
    </cfRule>
  </conditionalFormatting>
  <conditionalFormatting sqref="C118">
    <cfRule type="cellIs" dxfId="100" priority="42" operator="notEqual">
      <formula>"A detalhar"</formula>
    </cfRule>
  </conditionalFormatting>
  <conditionalFormatting sqref="C119">
    <cfRule type="cellIs" dxfId="99" priority="41" operator="notEqual">
      <formula>"A detalhar"</formula>
    </cfRule>
  </conditionalFormatting>
  <conditionalFormatting sqref="C122">
    <cfRule type="cellIs" dxfId="98" priority="40" operator="notEqual">
      <formula>"A detalhar"</formula>
    </cfRule>
  </conditionalFormatting>
  <conditionalFormatting sqref="C123">
    <cfRule type="cellIs" dxfId="97" priority="39" operator="notEqual">
      <formula>"A detalhar"</formula>
    </cfRule>
  </conditionalFormatting>
  <conditionalFormatting sqref="C124">
    <cfRule type="cellIs" dxfId="96" priority="38" operator="notEqual">
      <formula>"A detalhar"</formula>
    </cfRule>
  </conditionalFormatting>
  <conditionalFormatting sqref="C125">
    <cfRule type="cellIs" dxfId="95" priority="37" operator="notEqual">
      <formula>"A detalhar"</formula>
    </cfRule>
  </conditionalFormatting>
  <conditionalFormatting sqref="C128">
    <cfRule type="cellIs" dxfId="94" priority="36" operator="notEqual">
      <formula>"A detalhar"</formula>
    </cfRule>
  </conditionalFormatting>
  <conditionalFormatting sqref="C129">
    <cfRule type="cellIs" dxfId="93" priority="35" operator="notEqual">
      <formula>"A detalhar"</formula>
    </cfRule>
  </conditionalFormatting>
  <conditionalFormatting sqref="C131">
    <cfRule type="cellIs" dxfId="92" priority="33" operator="notEqual">
      <formula>"A detalhar"</formula>
    </cfRule>
  </conditionalFormatting>
  <conditionalFormatting sqref="C97">
    <cfRule type="cellIs" dxfId="91" priority="32" operator="notEqual">
      <formula>"A detalhar"</formula>
    </cfRule>
  </conditionalFormatting>
  <conditionalFormatting sqref="C103">
    <cfRule type="cellIs" dxfId="90" priority="31" operator="notEqual">
      <formula>"A detalhar"</formula>
    </cfRule>
  </conditionalFormatting>
  <conditionalFormatting sqref="C109">
    <cfRule type="cellIs" dxfId="89" priority="30" operator="notEqual">
      <formula>"A detalhar"</formula>
    </cfRule>
  </conditionalFormatting>
  <conditionalFormatting sqref="C115">
    <cfRule type="cellIs" dxfId="88" priority="29" operator="notEqual">
      <formula>"A detalhar"</formula>
    </cfRule>
  </conditionalFormatting>
  <conditionalFormatting sqref="C121">
    <cfRule type="cellIs" dxfId="87" priority="28" operator="notEqual">
      <formula>"A detalhar"</formula>
    </cfRule>
  </conditionalFormatting>
  <conditionalFormatting sqref="C127">
    <cfRule type="cellIs" dxfId="86" priority="27" operator="notEqual">
      <formula>"A detalhar"</formula>
    </cfRule>
  </conditionalFormatting>
  <conditionalFormatting sqref="C55">
    <cfRule type="cellIs" dxfId="85" priority="26" operator="notEqual">
      <formula>"A detalhar"</formula>
    </cfRule>
  </conditionalFormatting>
  <conditionalFormatting sqref="C56">
    <cfRule type="cellIs" dxfId="84" priority="25" operator="notEqual">
      <formula>"A detalhar"</formula>
    </cfRule>
  </conditionalFormatting>
  <conditionalFormatting sqref="C57">
    <cfRule type="cellIs" dxfId="83" priority="24" operator="notEqual">
      <formula>"A detalhar"</formula>
    </cfRule>
  </conditionalFormatting>
  <conditionalFormatting sqref="C58">
    <cfRule type="cellIs" dxfId="82" priority="23" operator="notEqual">
      <formula>"A detalhar"</formula>
    </cfRule>
  </conditionalFormatting>
  <conditionalFormatting sqref="C59">
    <cfRule type="cellIs" dxfId="81" priority="22" operator="notEqual">
      <formula>"A detalhar"</formula>
    </cfRule>
  </conditionalFormatting>
  <conditionalFormatting sqref="C61">
    <cfRule type="cellIs" dxfId="80" priority="21" operator="notEqual">
      <formula>"A detalhar"</formula>
    </cfRule>
  </conditionalFormatting>
  <conditionalFormatting sqref="C62">
    <cfRule type="cellIs" dxfId="79" priority="20" operator="notEqual">
      <formula>"A detalhar"</formula>
    </cfRule>
  </conditionalFormatting>
  <conditionalFormatting sqref="C63">
    <cfRule type="cellIs" dxfId="78" priority="19" operator="notEqual">
      <formula>"A detalhar"</formula>
    </cfRule>
  </conditionalFormatting>
  <conditionalFormatting sqref="C64">
    <cfRule type="cellIs" dxfId="77" priority="18" operator="notEqual">
      <formula>"A detalhar"</formula>
    </cfRule>
  </conditionalFormatting>
  <conditionalFormatting sqref="C65">
    <cfRule type="cellIs" dxfId="76" priority="17" operator="notEqual">
      <formula>"A detalhar"</formula>
    </cfRule>
  </conditionalFormatting>
  <conditionalFormatting sqref="G60 G66:G132 G19:G54">
    <cfRule type="containsText" dxfId="75" priority="14" operator="containsText" text="ATENÇÃO">
      <formula>NOT(ISERROR(SEARCH("ATENÇÃO",G19)))</formula>
    </cfRule>
    <cfRule type="containsText" dxfId="74" priority="15" operator="containsText" text="ADEQUADO">
      <formula>NOT(ISERROR(SEARCH("ADEQUADO",G19)))</formula>
    </cfRule>
    <cfRule type="containsText" dxfId="73" priority="16" operator="containsText" text="PREOCUPANTE">
      <formula>NOT(ISERROR(SEARCH("PREOCUPANTE",G19)))</formula>
    </cfRule>
  </conditionalFormatting>
  <conditionalFormatting sqref="G60 G66:G132 G19:G54">
    <cfRule type="containsText" dxfId="72" priority="13" operator="containsText" text="SUSPENSO">
      <formula>NOT(ISERROR(SEARCH("SUSPENSO",G19)))</formula>
    </cfRule>
  </conditionalFormatting>
  <conditionalFormatting sqref="G55:G59">
    <cfRule type="containsText" dxfId="71" priority="10" operator="containsText" text="ATENÇÃO">
      <formula>NOT(ISERROR(SEARCH("ATENÇÃO",G55)))</formula>
    </cfRule>
    <cfRule type="containsText" dxfId="70" priority="11" operator="containsText" text="ADEQUADO">
      <formula>NOT(ISERROR(SEARCH("ADEQUADO",G55)))</formula>
    </cfRule>
    <cfRule type="containsText" dxfId="69" priority="12" operator="containsText" text="PREOCUPANTE">
      <formula>NOT(ISERROR(SEARCH("PREOCUPANTE",G55)))</formula>
    </cfRule>
  </conditionalFormatting>
  <conditionalFormatting sqref="G55:G59">
    <cfRule type="containsText" dxfId="68" priority="9" operator="containsText" text="SUSPENSO">
      <formula>NOT(ISERROR(SEARCH("SUSPENSO",G55)))</formula>
    </cfRule>
  </conditionalFormatting>
  <conditionalFormatting sqref="G61 G63:G65">
    <cfRule type="containsText" dxfId="67" priority="6" operator="containsText" text="ATENÇÃO">
      <formula>NOT(ISERROR(SEARCH("ATENÇÃO",G61)))</formula>
    </cfRule>
    <cfRule type="containsText" dxfId="66" priority="7" operator="containsText" text="ADEQUADO">
      <formula>NOT(ISERROR(SEARCH("ADEQUADO",G61)))</formula>
    </cfRule>
    <cfRule type="containsText" dxfId="65" priority="8" operator="containsText" text="PREOCUPANTE">
      <formula>NOT(ISERROR(SEARCH("PREOCUPANTE",G61)))</formula>
    </cfRule>
  </conditionalFormatting>
  <conditionalFormatting sqref="G61 G63:G65">
    <cfRule type="containsText" dxfId="64" priority="5" operator="containsText" text="SUSPENSO">
      <formula>NOT(ISERROR(SEARCH("SUSPENSO",G61)))</formula>
    </cfRule>
  </conditionalFormatting>
  <conditionalFormatting sqref="G62">
    <cfRule type="containsText" dxfId="63" priority="2" operator="containsText" text="ATENÇÃO">
      <formula>NOT(ISERROR(SEARCH("ATENÇÃO",G62)))</formula>
    </cfRule>
    <cfRule type="containsText" dxfId="62" priority="3" operator="containsText" text="ADEQUADO">
      <formula>NOT(ISERROR(SEARCH("ADEQUADO",G62)))</formula>
    </cfRule>
    <cfRule type="containsText" dxfId="61" priority="4" operator="containsText" text="PREOCUPANTE">
      <formula>NOT(ISERROR(SEARCH("PREOCUPANTE",G62)))</formula>
    </cfRule>
  </conditionalFormatting>
  <conditionalFormatting sqref="G62">
    <cfRule type="containsText" dxfId="60" priority="1" operator="containsText" text="SUSPENSO">
      <formula>NOT(ISERROR(SEARCH("SUSPENSO",G62)))</formula>
    </cfRule>
  </conditionalFormatting>
  <dataValidations count="2">
    <dataValidation allowBlank="1" showErrorMessage="1" sqref="C140:C143 J143 J139:J140 H19:I132"/>
    <dataValidation type="list" allowBlank="1" showInputMessage="1" showErrorMessage="1" sqref="G19:G13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492"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C140</xm:sqref>
        </x14:conditionalFormatting>
        <x14:conditionalFormatting xmlns:xm="http://schemas.microsoft.com/office/excel/2006/main">
          <x14:cfRule type="iconSet" priority="354" id="{05E1F586-1A97-4DC7-872B-0AF296601F9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329" id="{A1424175-DEC5-4859-A2F6-8A3D622458FD}">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323" id="{F6DA2333-711A-44A3-AB35-FCDEBECBE6F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H132:I132</xm:sqref>
        </x14:conditionalFormatting>
        <x14:conditionalFormatting xmlns:xm="http://schemas.microsoft.com/office/excel/2006/main">
          <x14:cfRule type="iconSet" priority="16658" id="{26CF5088-C9B9-41B1-BB29-0C8B6DF85C4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6659"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6668" id="{F658F376-DB03-4650-BBF6-043404BF1F24}">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H23:I25 H30:I31 H36:I37 H42:I42</xm:sqref>
        </x14:conditionalFormatting>
        <x14:conditionalFormatting xmlns:xm="http://schemas.microsoft.com/office/excel/2006/main">
          <x14:cfRule type="iconSet" priority="16724" id="{379D8E9A-93EC-4E39-B8C8-F38516B8DB94}">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H90:I91 H84:I85 H72:I73 H43:I43 H48:I49 H67:I67 H78:I79 H96:I97 H102:I103 H108:I109 H114:I115 H120:I121 H126:I127</xm:sqref>
        </x14:conditionalFormatting>
        <x14:conditionalFormatting xmlns:xm="http://schemas.microsoft.com/office/excel/2006/main">
          <x14:cfRule type="iconSet" priority="220" id="{2EC560B4-8B87-429A-9C58-599C9451283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219" id="{7C0F4A96-2447-4846-936C-AA8842FA91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221" id="{6972D4F0-C81C-4EFD-9758-62A97C8CCF6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222" id="{9A29DEE8-5EB0-4C8F-9252-2CBC19F50F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216" id="{3CAF4D7A-9429-4383-8527-85F7AD72A7C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215" id="{AE1D1777-346A-4226-9C82-F57A2033926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17" id="{440E8ABE-FEE3-4241-A56D-9C5907265D4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218" id="{A7319CA0-B9DB-4461-B1DA-FE223BF1AEB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12" id="{C64178F9-F4CA-4C0D-9F54-F1AE39C24A1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211" id="{E923A6C5-0E7B-4F4F-92E0-6E43F16083A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213" id="{D048EAF1-2473-4569-BE9B-82E729192D3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214" id="{4A92F20C-F791-4FE6-991A-6A3C2B9F3EF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208" id="{9EC3743C-5707-420F-AC66-055FEBC5D17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H45:I45</xm:sqref>
        </x14:conditionalFormatting>
        <x14:conditionalFormatting xmlns:xm="http://schemas.microsoft.com/office/excel/2006/main">
          <x14:cfRule type="iconSet" priority="207" id="{3595A158-9C52-4173-A297-3CE41A474F34}">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H46:I46</xm:sqref>
        </x14:conditionalFormatting>
        <x14:conditionalFormatting xmlns:xm="http://schemas.microsoft.com/office/excel/2006/main">
          <x14:cfRule type="iconSet" priority="209" id="{6C241612-3AF5-495C-97E3-4B4DD4BF2EB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H44:I44</xm:sqref>
        </x14:conditionalFormatting>
        <x14:conditionalFormatting xmlns:xm="http://schemas.microsoft.com/office/excel/2006/main">
          <x14:cfRule type="iconSet" priority="210" id="{980DC689-446A-452A-913A-1C3AD47A309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H47:I47</xm:sqref>
        </x14:conditionalFormatting>
        <x14:conditionalFormatting xmlns:xm="http://schemas.microsoft.com/office/excel/2006/main">
          <x14:cfRule type="iconSet" priority="204" id="{D10CCE78-B818-4E14-9CAF-5F294C42B68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H51:I51</xm:sqref>
        </x14:conditionalFormatting>
        <x14:conditionalFormatting xmlns:xm="http://schemas.microsoft.com/office/excel/2006/main">
          <x14:cfRule type="iconSet" priority="203" id="{FD7D8890-83BD-49EB-B723-BD478FE58E3D}">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H52:I52</xm:sqref>
        </x14:conditionalFormatting>
        <x14:conditionalFormatting xmlns:xm="http://schemas.microsoft.com/office/excel/2006/main">
          <x14:cfRule type="iconSet" priority="205" id="{A2397335-039C-4D42-B8E9-B847704EBCB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H50:I50</xm:sqref>
        </x14:conditionalFormatting>
        <x14:conditionalFormatting xmlns:xm="http://schemas.microsoft.com/office/excel/2006/main">
          <x14:cfRule type="iconSet" priority="200" id="{A0B0E0BE-C20A-4980-82BB-D465C633835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H69:I69</xm:sqref>
        </x14:conditionalFormatting>
        <x14:conditionalFormatting xmlns:xm="http://schemas.microsoft.com/office/excel/2006/main">
          <x14:cfRule type="iconSet" priority="199" id="{8B392135-8BB8-4CDB-8CA2-CEF10C48CB3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H70:I70</xm:sqref>
        </x14:conditionalFormatting>
        <x14:conditionalFormatting xmlns:xm="http://schemas.microsoft.com/office/excel/2006/main">
          <x14:cfRule type="iconSet" priority="201" id="{246868BF-A445-4BEE-AB58-2EC689FE4F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H68:I68</xm:sqref>
        </x14:conditionalFormatting>
        <x14:conditionalFormatting xmlns:xm="http://schemas.microsoft.com/office/excel/2006/main">
          <x14:cfRule type="iconSet" priority="202" id="{8B4C0ECD-25EE-40F3-AE72-0F7D7A83998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H71:I71</xm:sqref>
        </x14:conditionalFormatting>
        <x14:conditionalFormatting xmlns:xm="http://schemas.microsoft.com/office/excel/2006/main">
          <x14:cfRule type="iconSet" priority="196" id="{7DBCBD72-536F-44ED-9CA0-2B5F47E9F53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H75:I75</xm:sqref>
        </x14:conditionalFormatting>
        <x14:conditionalFormatting xmlns:xm="http://schemas.microsoft.com/office/excel/2006/main">
          <x14:cfRule type="iconSet" priority="195" id="{146A7E1B-4257-47BF-B122-B01EB706273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H76:I76</xm:sqref>
        </x14:conditionalFormatting>
        <x14:conditionalFormatting xmlns:xm="http://schemas.microsoft.com/office/excel/2006/main">
          <x14:cfRule type="iconSet" priority="197" id="{9ED9634D-7300-4B50-AE30-730F04DF09CD}">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H74:I74</xm:sqref>
        </x14:conditionalFormatting>
        <x14:conditionalFormatting xmlns:xm="http://schemas.microsoft.com/office/excel/2006/main">
          <x14:cfRule type="iconSet" priority="198" id="{28F66593-8295-4073-BBCD-28308478B1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H77:I77</xm:sqref>
        </x14:conditionalFormatting>
        <x14:conditionalFormatting xmlns:xm="http://schemas.microsoft.com/office/excel/2006/main">
          <x14:cfRule type="iconSet" priority="188" id="{50121A97-A17F-421B-8452-F09E825299F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H81:I81</xm:sqref>
        </x14:conditionalFormatting>
        <x14:conditionalFormatting xmlns:xm="http://schemas.microsoft.com/office/excel/2006/main">
          <x14:cfRule type="iconSet" priority="187" id="{942CC64C-7F71-4E4E-B969-24895E053766}">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H82:I82</xm:sqref>
        </x14:conditionalFormatting>
        <x14:conditionalFormatting xmlns:xm="http://schemas.microsoft.com/office/excel/2006/main">
          <x14:cfRule type="iconSet" priority="189" id="{C456910A-F988-442B-B326-0432BB72AB5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H80:I80</xm:sqref>
        </x14:conditionalFormatting>
        <x14:conditionalFormatting xmlns:xm="http://schemas.microsoft.com/office/excel/2006/main">
          <x14:cfRule type="iconSet" priority="190" id="{1E145AE2-0B53-40F4-8BF1-21E2E026FCF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H83:I83</xm:sqref>
        </x14:conditionalFormatting>
        <x14:conditionalFormatting xmlns:xm="http://schemas.microsoft.com/office/excel/2006/main">
          <x14:cfRule type="iconSet" priority="180" id="{3E09BB7F-6014-4883-A099-30BBA9D49B0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H87:I87</xm:sqref>
        </x14:conditionalFormatting>
        <x14:conditionalFormatting xmlns:xm="http://schemas.microsoft.com/office/excel/2006/main">
          <x14:cfRule type="iconSet" priority="179" id="{05CCF89E-8614-475B-A1F8-E3D5776EC74D}">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H88:I88</xm:sqref>
        </x14:conditionalFormatting>
        <x14:conditionalFormatting xmlns:xm="http://schemas.microsoft.com/office/excel/2006/main">
          <x14:cfRule type="iconSet" priority="181" id="{47C88EC7-E0BC-4C0C-8A88-60136CD975A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H86:I86</xm:sqref>
        </x14:conditionalFormatting>
        <x14:conditionalFormatting xmlns:xm="http://schemas.microsoft.com/office/excel/2006/main">
          <x14:cfRule type="iconSet" priority="182" id="{18AC4BCF-D14A-48B3-BA80-3220F62D18E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H89:I89</xm:sqref>
        </x14:conditionalFormatting>
        <x14:conditionalFormatting xmlns:xm="http://schemas.microsoft.com/office/excel/2006/main">
          <x14:cfRule type="iconSet" priority="176" id="{5BABF625-D86D-4DB2-B4BE-D50FBC57E85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H93:I93</xm:sqref>
        </x14:conditionalFormatting>
        <x14:conditionalFormatting xmlns:xm="http://schemas.microsoft.com/office/excel/2006/main">
          <x14:cfRule type="iconSet" priority="175" id="{6F903EA1-6C5E-4258-A4B9-39F6C69582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H94:I94</xm:sqref>
        </x14:conditionalFormatting>
        <x14:conditionalFormatting xmlns:xm="http://schemas.microsoft.com/office/excel/2006/main">
          <x14:cfRule type="iconSet" priority="177" id="{0DA3B0AF-715C-4225-A9B0-DE5EF9844D4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H92:I92</xm:sqref>
        </x14:conditionalFormatting>
        <x14:conditionalFormatting xmlns:xm="http://schemas.microsoft.com/office/excel/2006/main">
          <x14:cfRule type="iconSet" priority="178" id="{810D1FDB-BB5D-413A-9B49-7BC8D1CBF40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H95:I95</xm:sqref>
        </x14:conditionalFormatting>
        <x14:conditionalFormatting xmlns:xm="http://schemas.microsoft.com/office/excel/2006/main">
          <x14:cfRule type="iconSet" priority="172" id="{B370B605-EE2D-4ABB-8B6D-15DD8DBA3AF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H99:I99</xm:sqref>
        </x14:conditionalFormatting>
        <x14:conditionalFormatting xmlns:xm="http://schemas.microsoft.com/office/excel/2006/main">
          <x14:cfRule type="iconSet" priority="171" id="{5ECC121C-0E98-4A85-96B8-5B01CFF0323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H100:I100</xm:sqref>
        </x14:conditionalFormatting>
        <x14:conditionalFormatting xmlns:xm="http://schemas.microsoft.com/office/excel/2006/main">
          <x14:cfRule type="iconSet" priority="173" id="{A89E2812-C462-4F49-94AB-DDAB4CB6F20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H98:I98</xm:sqref>
        </x14:conditionalFormatting>
        <x14:conditionalFormatting xmlns:xm="http://schemas.microsoft.com/office/excel/2006/main">
          <x14:cfRule type="iconSet" priority="174" id="{00377E24-5B61-42AF-ACEC-BFBF7F7151B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H101:I101</xm:sqref>
        </x14:conditionalFormatting>
        <x14:conditionalFormatting xmlns:xm="http://schemas.microsoft.com/office/excel/2006/main">
          <x14:cfRule type="iconSet" priority="168" id="{7E82DC21-05BD-4F41-8AB9-5A2B77441C0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H105:I105</xm:sqref>
        </x14:conditionalFormatting>
        <x14:conditionalFormatting xmlns:xm="http://schemas.microsoft.com/office/excel/2006/main">
          <x14:cfRule type="iconSet" priority="167" id="{15D39268-C299-45B2-B591-6B9ECC8FAFE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H106:I106</xm:sqref>
        </x14:conditionalFormatting>
        <x14:conditionalFormatting xmlns:xm="http://schemas.microsoft.com/office/excel/2006/main">
          <x14:cfRule type="iconSet" priority="169" id="{437C4CBE-6DB6-4CBB-853B-EC6E5964819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H104:I104</xm:sqref>
        </x14:conditionalFormatting>
        <x14:conditionalFormatting xmlns:xm="http://schemas.microsoft.com/office/excel/2006/main">
          <x14:cfRule type="iconSet" priority="170" id="{BA52ACAF-D372-46E5-8E0E-EA2C2009F29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H107:I107</xm:sqref>
        </x14:conditionalFormatting>
        <x14:conditionalFormatting xmlns:xm="http://schemas.microsoft.com/office/excel/2006/main">
          <x14:cfRule type="iconSet" priority="164" id="{7FD0AF23-5B7F-4024-9F75-D6965F0DDB66}">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H111:I111</xm:sqref>
        </x14:conditionalFormatting>
        <x14:conditionalFormatting xmlns:xm="http://schemas.microsoft.com/office/excel/2006/main">
          <x14:cfRule type="iconSet" priority="163" id="{0D405BA1-84EA-4AFB-B788-B619A3D1F7E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H112:I112</xm:sqref>
        </x14:conditionalFormatting>
        <x14:conditionalFormatting xmlns:xm="http://schemas.microsoft.com/office/excel/2006/main">
          <x14:cfRule type="iconSet" priority="165" id="{FF2B4444-0455-4417-82BD-BF5E5C7CC606}">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H110:I110</xm:sqref>
        </x14:conditionalFormatting>
        <x14:conditionalFormatting xmlns:xm="http://schemas.microsoft.com/office/excel/2006/main">
          <x14:cfRule type="iconSet" priority="166" id="{57315AC5-6DA5-4081-A5D2-3FAD4C9429B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H113:I113</xm:sqref>
        </x14:conditionalFormatting>
        <x14:conditionalFormatting xmlns:xm="http://schemas.microsoft.com/office/excel/2006/main">
          <x14:cfRule type="iconSet" priority="160" id="{D04A7A44-87E9-4F4A-8F2B-E869A0475E2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H117:I117</xm:sqref>
        </x14:conditionalFormatting>
        <x14:conditionalFormatting xmlns:xm="http://schemas.microsoft.com/office/excel/2006/main">
          <x14:cfRule type="iconSet" priority="159" id="{EFED0352-CD0E-42FF-9AF7-173750938E1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H118:I118</xm:sqref>
        </x14:conditionalFormatting>
        <x14:conditionalFormatting xmlns:xm="http://schemas.microsoft.com/office/excel/2006/main">
          <x14:cfRule type="iconSet" priority="161" id="{E8B5B326-DB2E-4BC9-A3BD-5EDB06C6D11D}">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H116:I116</xm:sqref>
        </x14:conditionalFormatting>
        <x14:conditionalFormatting xmlns:xm="http://schemas.microsoft.com/office/excel/2006/main">
          <x14:cfRule type="iconSet" priority="162" id="{E7D46C94-E4B6-4D91-BA2B-C47D80453EE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H119:I119</xm:sqref>
        </x14:conditionalFormatting>
        <x14:conditionalFormatting xmlns:xm="http://schemas.microsoft.com/office/excel/2006/main">
          <x14:cfRule type="iconSet" priority="156" id="{7457EAB1-F3A4-4FD4-ACA2-09D2233FD80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H123:I123</xm:sqref>
        </x14:conditionalFormatting>
        <x14:conditionalFormatting xmlns:xm="http://schemas.microsoft.com/office/excel/2006/main">
          <x14:cfRule type="iconSet" priority="155" id="{37E494B2-5636-4D2B-B352-B8AC6F47F42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H124:I124</xm:sqref>
        </x14:conditionalFormatting>
        <x14:conditionalFormatting xmlns:xm="http://schemas.microsoft.com/office/excel/2006/main">
          <x14:cfRule type="iconSet" priority="157" id="{EA8BE36F-7B4A-418F-B3FF-281798B9780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H122:I122</xm:sqref>
        </x14:conditionalFormatting>
        <x14:conditionalFormatting xmlns:xm="http://schemas.microsoft.com/office/excel/2006/main">
          <x14:cfRule type="iconSet" priority="158" id="{32EC40D2-1AF6-4DE2-AA88-BB988C1CB30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H125:I125</xm:sqref>
        </x14:conditionalFormatting>
        <x14:conditionalFormatting xmlns:xm="http://schemas.microsoft.com/office/excel/2006/main">
          <x14:cfRule type="iconSet" priority="152" id="{3D1D6811-6D17-49D2-91E5-907BB2A1AEE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H129:I129</xm:sqref>
        </x14:conditionalFormatting>
        <x14:conditionalFormatting xmlns:xm="http://schemas.microsoft.com/office/excel/2006/main">
          <x14:cfRule type="iconSet" priority="151" id="{92F726C1-C4F9-4FFF-AF24-77A5E502C692}">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H130:I130</xm:sqref>
        </x14:conditionalFormatting>
        <x14:conditionalFormatting xmlns:xm="http://schemas.microsoft.com/office/excel/2006/main">
          <x14:cfRule type="iconSet" priority="153" id="{4986B1DF-040B-4F9C-8B23-F62135A4DE4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H128:I128</xm:sqref>
        </x14:conditionalFormatting>
        <x14:conditionalFormatting xmlns:xm="http://schemas.microsoft.com/office/excel/2006/main">
          <x14:cfRule type="iconSet" priority="154" id="{1900D942-5D18-4B91-AE85-24CAA4295C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H131:I131</xm:sqref>
        </x14:conditionalFormatting>
        <x14:conditionalFormatting xmlns:xm="http://schemas.microsoft.com/office/excel/2006/main">
          <x14:cfRule type="iconSet" priority="134" id="{4ECB418A-4B77-4FA1-A27C-BF70DDEC0E9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H55:I55</xm:sqref>
        </x14:conditionalFormatting>
        <x14:conditionalFormatting xmlns:xm="http://schemas.microsoft.com/office/excel/2006/main">
          <x14:cfRule type="iconSet" priority="127" id="{18CE1DC8-82D3-4D6B-A690-F160C2E454E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H57:I57</xm:sqref>
        </x14:conditionalFormatting>
        <x14:conditionalFormatting xmlns:xm="http://schemas.microsoft.com/office/excel/2006/main">
          <x14:cfRule type="iconSet" priority="126" id="{8E29F441-14CB-4017-9B26-C820954C7DA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H58:I58</xm:sqref>
        </x14:conditionalFormatting>
        <x14:conditionalFormatting xmlns:xm="http://schemas.microsoft.com/office/excel/2006/main">
          <x14:cfRule type="iconSet" priority="128" id="{6F5F314D-FD1C-43EA-BDC7-E46AFCFD78B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H56:I56</xm:sqref>
        </x14:conditionalFormatting>
        <x14:conditionalFormatting xmlns:xm="http://schemas.microsoft.com/office/excel/2006/main">
          <x14:cfRule type="iconSet" priority="129" id="{E7B9ECB7-52BA-4960-B7AF-75F404FE18CA}">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H59:I59</xm:sqref>
        </x14:conditionalFormatting>
        <x14:conditionalFormatting xmlns:xm="http://schemas.microsoft.com/office/excel/2006/main">
          <x14:cfRule type="iconSet" priority="125" id="{F48D2D4F-8937-4AAE-9856-46342CF59E2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H61:I61</xm:sqref>
        </x14:conditionalFormatting>
        <x14:conditionalFormatting xmlns:xm="http://schemas.microsoft.com/office/excel/2006/main">
          <x14:cfRule type="iconSet" priority="118" id="{A4B7D1A8-F8F4-47D8-9019-E54E43F03CB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H63:I63</xm:sqref>
        </x14:conditionalFormatting>
        <x14:conditionalFormatting xmlns:xm="http://schemas.microsoft.com/office/excel/2006/main">
          <x14:cfRule type="iconSet" priority="117" id="{97D9A498-601C-4BFA-BC8A-94EF21CAAF6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H64:I64</xm:sqref>
        </x14:conditionalFormatting>
        <x14:conditionalFormatting xmlns:xm="http://schemas.microsoft.com/office/excel/2006/main">
          <x14:cfRule type="iconSet" priority="119" id="{EE83D5F9-5828-4802-A2B6-8B9A0E135B8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H62:I62</xm:sqref>
        </x14:conditionalFormatting>
        <x14:conditionalFormatting xmlns:xm="http://schemas.microsoft.com/office/excel/2006/main">
          <x14:cfRule type="iconSet" priority="120" id="{7ACFC665-369F-41B0-8EAB-B26F71AC1641}">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H65:I65</xm:sqref>
        </x14:conditionalFormatting>
        <x14:conditionalFormatting xmlns:xm="http://schemas.microsoft.com/office/excel/2006/main">
          <x14:cfRule type="iconSet" priority="16747" id="{CDD04F02-0EB1-41B5-AD91-774A077E4F54}">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H53:I54 H60:I60 H66:I66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80" t="s">
        <v>1</v>
      </c>
      <c r="B1" s="180"/>
      <c r="C1" s="180"/>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heetViews>
  <sheetFormatPr defaultRowHeight="15.75"/>
  <cols>
    <col min="1" max="2" width="23.7109375" style="35" bestFit="1" customWidth="1"/>
    <col min="3" max="3" width="14.42578125" style="35" bestFit="1" customWidth="1"/>
    <col min="4" max="4" width="14.28515625" style="35" bestFit="1" customWidth="1"/>
    <col min="5" max="9" width="11.140625" style="35" customWidth="1"/>
    <col min="10" max="10" width="12" style="35" bestFit="1" customWidth="1"/>
    <col min="11" max="19" width="11.140625" style="35" customWidth="1"/>
  </cols>
  <sheetData>
    <row r="2" spans="1:19" ht="47.25">
      <c r="A2" s="36" t="s">
        <v>56</v>
      </c>
      <c r="B2" s="36" t="s">
        <v>57</v>
      </c>
      <c r="C2" s="36" t="s">
        <v>54</v>
      </c>
      <c r="D2" s="36" t="s">
        <v>58</v>
      </c>
      <c r="E2" s="181" t="s">
        <v>34</v>
      </c>
      <c r="F2" s="182"/>
      <c r="G2" s="37"/>
      <c r="I2" s="183" t="s">
        <v>36</v>
      </c>
      <c r="J2" s="183"/>
      <c r="M2" s="183" t="s">
        <v>34</v>
      </c>
      <c r="N2" s="183"/>
      <c r="O2" s="183"/>
      <c r="P2" s="183"/>
      <c r="Q2" s="183"/>
      <c r="R2" s="183"/>
      <c r="S2" s="183"/>
    </row>
    <row r="3" spans="1:19">
      <c r="A3" s="38">
        <f ca="1">IFERROR(SUM(STATUS_REPORT!M19:M1081)/SUM(STATUS_REPORT!L19:L1081),0)</f>
        <v>0.53187066974595842</v>
      </c>
      <c r="B3" s="38">
        <f ca="1">IFERROR(SUM(STATUS_REPORT!N19:N1081)/SUM(STATUS_REPORT!L19:L1081),0)</f>
        <v>0.54316166281755196</v>
      </c>
      <c r="C3" s="38"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38">
        <f ca="1">1-B3</f>
        <v>0.45683833718244804</v>
      </c>
      <c r="E3" s="39" t="s">
        <v>47</v>
      </c>
      <c r="F3" s="40">
        <v>0.5</v>
      </c>
      <c r="G3" s="41">
        <f>F3-0.99%</f>
        <v>0.49009999999999998</v>
      </c>
      <c r="I3" s="39" t="s">
        <v>37</v>
      </c>
      <c r="J3" s="42">
        <f ca="1">P4*100</f>
        <v>100</v>
      </c>
      <c r="K3" s="40">
        <f ca="1">J3/100</f>
        <v>1</v>
      </c>
      <c r="M3" s="43" t="s">
        <v>23</v>
      </c>
      <c r="N3" s="39"/>
      <c r="O3" s="43" t="s">
        <v>27</v>
      </c>
      <c r="P3" s="39"/>
      <c r="Q3" s="43" t="s">
        <v>29</v>
      </c>
      <c r="R3" s="44" t="s">
        <v>31</v>
      </c>
      <c r="S3" s="44" t="s">
        <v>32</v>
      </c>
    </row>
    <row r="4" spans="1:19">
      <c r="E4" s="39" t="s">
        <v>48</v>
      </c>
      <c r="F4" s="40">
        <v>0.4</v>
      </c>
      <c r="G4" s="40">
        <f>F3+F4</f>
        <v>0.9</v>
      </c>
      <c r="I4" s="39" t="s">
        <v>38</v>
      </c>
      <c r="J4" s="45">
        <v>2.5</v>
      </c>
      <c r="M4" s="46" t="s">
        <v>24</v>
      </c>
      <c r="N4" s="47">
        <f>69.99/100</f>
        <v>0.69989999999999997</v>
      </c>
      <c r="O4" s="46" t="s">
        <v>28</v>
      </c>
      <c r="P4" s="167">
        <f ca="1">IF(IFERROR(B3/A3,0)&gt;1,1,IFERROR(B3/A3,0))</f>
        <v>1</v>
      </c>
      <c r="Q4" s="46" t="s">
        <v>30</v>
      </c>
      <c r="R4" s="48">
        <v>0</v>
      </c>
      <c r="S4" s="49">
        <v>0</v>
      </c>
    </row>
    <row r="5" spans="1:19">
      <c r="E5" s="39" t="s">
        <v>49</v>
      </c>
      <c r="F5" s="50">
        <v>0.1</v>
      </c>
      <c r="G5" s="51"/>
      <c r="I5" s="39" t="s">
        <v>39</v>
      </c>
      <c r="J5" s="45">
        <f ca="1">200-(J3+J4)</f>
        <v>97.5</v>
      </c>
      <c r="M5" s="46" t="s">
        <v>25</v>
      </c>
      <c r="N5" s="47">
        <f>20/100</f>
        <v>0.2</v>
      </c>
      <c r="O5" s="52"/>
      <c r="P5" s="52"/>
      <c r="Q5" s="46" t="s">
        <v>33</v>
      </c>
      <c r="R5" s="53">
        <f ca="1">-COS(PI()*P4/N7)+1+COS(PI()*P4/N7)</f>
        <v>1</v>
      </c>
      <c r="S5" s="53">
        <f ca="1">SIN(PI()*P4/N7)+P4-SIN(PI()*P4/N7)</f>
        <v>1</v>
      </c>
    </row>
    <row r="6" spans="1:19">
      <c r="E6" s="39" t="s">
        <v>35</v>
      </c>
      <c r="F6" s="54">
        <v>1</v>
      </c>
      <c r="G6" s="55"/>
      <c r="M6" s="46" t="s">
        <v>26</v>
      </c>
      <c r="N6" s="47">
        <f>(1-(N4+N5))/1</f>
        <v>0.10010000000000008</v>
      </c>
      <c r="O6" s="52"/>
      <c r="P6" s="52"/>
      <c r="Q6" s="52"/>
      <c r="R6" s="52"/>
      <c r="S6" s="52"/>
    </row>
    <row r="7" spans="1:19">
      <c r="M7" s="52"/>
      <c r="N7" s="47">
        <f>SUM(N4:N6)</f>
        <v>1</v>
      </c>
      <c r="O7" s="52"/>
      <c r="P7" s="52"/>
      <c r="Q7" s="52"/>
      <c r="R7" s="52"/>
      <c r="S7" s="52"/>
    </row>
    <row r="8" spans="1:19">
      <c r="M8" s="52"/>
      <c r="N8" s="56"/>
      <c r="O8" s="52"/>
      <c r="P8" s="52"/>
      <c r="Q8" s="52"/>
      <c r="R8" s="52"/>
      <c r="S8" s="52"/>
    </row>
    <row r="14" spans="1:19">
      <c r="A14" s="52"/>
      <c r="B14" s="52"/>
      <c r="C14" s="52"/>
      <c r="D14" s="52"/>
      <c r="E14" s="52"/>
      <c r="F14" s="52"/>
      <c r="G14" s="52"/>
      <c r="H14" s="52"/>
      <c r="I14" s="52"/>
      <c r="J14" s="52"/>
      <c r="K14" s="52"/>
      <c r="L14" s="52"/>
      <c r="M14" s="52"/>
      <c r="N14" s="52"/>
      <c r="O14" s="52"/>
      <c r="P14" s="52"/>
      <c r="Q14" s="52"/>
      <c r="R14" s="52"/>
      <c r="S14" s="52"/>
    </row>
    <row r="15" spans="1:19">
      <c r="A15" s="52"/>
      <c r="B15" s="52"/>
      <c r="C15" s="52"/>
      <c r="D15" s="52"/>
      <c r="E15" s="52"/>
      <c r="F15" s="52"/>
      <c r="G15" s="52"/>
      <c r="H15" s="52"/>
      <c r="I15" s="52"/>
      <c r="J15" s="52"/>
      <c r="K15" s="52"/>
      <c r="L15" s="52"/>
      <c r="M15" s="52"/>
      <c r="N15" s="52"/>
      <c r="O15" s="52"/>
      <c r="P15" s="52"/>
      <c r="Q15" s="52"/>
      <c r="R15" s="52"/>
      <c r="S15" s="52"/>
    </row>
    <row r="16" spans="1:19">
      <c r="A16" s="52"/>
      <c r="B16" s="52"/>
      <c r="C16" s="52"/>
      <c r="D16" s="52"/>
      <c r="E16" s="52"/>
      <c r="F16" s="52"/>
      <c r="G16" s="52"/>
      <c r="H16" s="52"/>
      <c r="I16" s="52"/>
      <c r="J16" s="52"/>
      <c r="K16" s="52"/>
      <c r="L16" s="52"/>
      <c r="M16" s="52"/>
      <c r="N16" s="52"/>
      <c r="O16" s="52"/>
      <c r="P16" s="52"/>
      <c r="Q16" s="52"/>
      <c r="R16" s="52"/>
      <c r="S16" s="52"/>
    </row>
    <row r="17" spans="1:19">
      <c r="A17" s="52"/>
      <c r="B17" s="52"/>
      <c r="C17" s="52"/>
      <c r="D17" s="52"/>
      <c r="E17" s="52"/>
      <c r="F17" s="52"/>
      <c r="G17" s="52"/>
      <c r="H17" s="52"/>
      <c r="I17" s="52"/>
      <c r="J17" s="52"/>
      <c r="K17" s="52"/>
      <c r="L17" s="52"/>
      <c r="M17" s="52"/>
      <c r="N17" s="52"/>
      <c r="O17" s="52"/>
      <c r="P17" s="52"/>
      <c r="Q17" s="52"/>
      <c r="R17" s="52"/>
      <c r="S17" s="52"/>
    </row>
    <row r="18" spans="1:19">
      <c r="A18" s="52"/>
      <c r="B18" s="52"/>
      <c r="C18" s="52"/>
      <c r="D18" s="52"/>
      <c r="E18" s="52"/>
      <c r="F18" s="52"/>
      <c r="G18" s="52"/>
      <c r="H18" s="52"/>
      <c r="I18" s="52"/>
      <c r="J18" s="52"/>
      <c r="K18" s="52"/>
      <c r="L18" s="52"/>
      <c r="M18" s="52"/>
      <c r="N18" s="52"/>
      <c r="O18" s="52"/>
      <c r="P18" s="52"/>
      <c r="Q18" s="52"/>
      <c r="R18" s="52"/>
      <c r="S18" s="52"/>
    </row>
    <row r="19" spans="1:19">
      <c r="A19" s="52"/>
      <c r="B19" s="52"/>
      <c r="C19" s="52"/>
      <c r="D19" s="52"/>
      <c r="E19" s="52"/>
      <c r="F19" s="52"/>
      <c r="G19" s="52"/>
      <c r="H19" s="52"/>
      <c r="I19" s="52"/>
      <c r="J19" s="52"/>
      <c r="K19" s="52"/>
      <c r="L19" s="52"/>
      <c r="M19" s="52"/>
      <c r="N19" s="52"/>
      <c r="O19" s="52"/>
      <c r="P19" s="52"/>
      <c r="Q19" s="52"/>
      <c r="R19" s="52"/>
      <c r="S19" s="52"/>
    </row>
    <row r="20" spans="1:19">
      <c r="A20" s="52"/>
      <c r="B20" s="52"/>
      <c r="C20" s="52"/>
      <c r="D20" s="52"/>
      <c r="E20" s="52"/>
      <c r="F20" s="52"/>
      <c r="G20" s="52"/>
      <c r="H20" s="52"/>
      <c r="I20" s="52"/>
      <c r="J20" s="52"/>
      <c r="K20" s="52"/>
      <c r="L20" s="52"/>
      <c r="M20" s="52"/>
      <c r="N20" s="52"/>
      <c r="O20" s="52"/>
      <c r="P20" s="52"/>
      <c r="Q20" s="52"/>
      <c r="R20" s="52"/>
      <c r="S20" s="52"/>
    </row>
    <row r="21" spans="1:19">
      <c r="A21" s="52"/>
      <c r="B21" s="52"/>
      <c r="C21" s="52"/>
      <c r="D21" s="52"/>
      <c r="E21" s="52"/>
      <c r="F21" s="52"/>
      <c r="G21" s="52"/>
      <c r="H21" s="52"/>
      <c r="I21" s="52"/>
      <c r="J21" s="52"/>
      <c r="K21" s="52"/>
      <c r="L21" s="52"/>
      <c r="M21" s="52"/>
      <c r="N21" s="52"/>
      <c r="O21" s="52"/>
      <c r="P21" s="52"/>
      <c r="Q21" s="52"/>
      <c r="R21" s="52"/>
      <c r="S21" s="52"/>
    </row>
    <row r="22" spans="1:19">
      <c r="A22" s="52"/>
      <c r="B22" s="52"/>
      <c r="C22" s="52"/>
      <c r="D22" s="52"/>
    </row>
    <row r="25" spans="1:19">
      <c r="A25" s="57"/>
      <c r="B25" s="57"/>
      <c r="C25" s="57"/>
      <c r="D25" s="57"/>
    </row>
  </sheetData>
  <sheetProtection password="E207" sheet="1" objects="1" scenarios="1"/>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29"/>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ColWidth="9.140625" defaultRowHeight="15"/>
  <cols>
    <col min="1" max="1" width="3.28515625" style="135" bestFit="1" customWidth="1"/>
    <col min="2" max="3" width="24.28515625" style="135" customWidth="1"/>
    <col min="4" max="4" width="12.7109375" style="135" customWidth="1"/>
    <col min="5" max="5" width="13.5703125" style="135" bestFit="1" customWidth="1"/>
    <col min="6" max="6" width="11.140625" style="135" bestFit="1" customWidth="1"/>
    <col min="7" max="7" width="10.7109375" style="135" customWidth="1"/>
    <col min="8" max="8" width="10.7109375" style="135" hidden="1" customWidth="1"/>
    <col min="9" max="10" width="14.85546875" style="135" hidden="1" customWidth="1"/>
    <col min="11" max="11" width="11.5703125" style="135" hidden="1" customWidth="1"/>
    <col min="12" max="12" width="3.7109375" style="135" hidden="1" customWidth="1"/>
    <col min="13" max="13" width="11.5703125" style="135" hidden="1" customWidth="1"/>
    <col min="14" max="14" width="3.7109375" style="135" hidden="1" customWidth="1"/>
    <col min="15" max="15" width="11.5703125" style="135" hidden="1" customWidth="1"/>
    <col min="16" max="16" width="3.7109375" style="135" hidden="1" customWidth="1"/>
    <col min="17" max="17" width="11.5703125" style="135" hidden="1" customWidth="1"/>
    <col min="18" max="18" width="3.7109375" style="135" hidden="1" customWidth="1"/>
    <col min="19" max="19" width="12.85546875" style="135" hidden="1" customWidth="1"/>
    <col min="20" max="20" width="3.7109375" style="135" hidden="1" customWidth="1"/>
    <col min="21" max="21" width="9.7109375" style="135" hidden="1" customWidth="1"/>
    <col min="22" max="22" width="8.28515625" style="135" hidden="1" customWidth="1"/>
    <col min="23" max="23" width="42.7109375" style="135" customWidth="1"/>
    <col min="24" max="24" width="10.7109375" style="135" customWidth="1"/>
    <col min="25" max="25" width="36.42578125" style="135" customWidth="1"/>
    <col min="26" max="26" width="13.85546875" style="135" customWidth="1"/>
    <col min="27" max="16384" width="9.140625" style="135"/>
  </cols>
  <sheetData>
    <row r="1" spans="1:27" s="108" customFormat="1" ht="18.75">
      <c r="A1" s="184" t="s">
        <v>66</v>
      </c>
      <c r="B1" s="184"/>
      <c r="C1" s="184"/>
      <c r="D1" s="184"/>
      <c r="E1" s="184"/>
      <c r="F1" s="184"/>
      <c r="G1" s="184"/>
      <c r="H1" s="184"/>
      <c r="I1" s="184"/>
      <c r="J1" s="184"/>
      <c r="K1" s="184"/>
      <c r="L1" s="184"/>
      <c r="M1" s="184"/>
      <c r="N1" s="184"/>
      <c r="O1" s="184"/>
      <c r="P1" s="184"/>
      <c r="Q1" s="184"/>
      <c r="R1" s="184"/>
      <c r="S1" s="184"/>
      <c r="T1" s="184"/>
      <c r="U1" s="184"/>
      <c r="V1" s="184"/>
      <c r="W1" s="184"/>
      <c r="X1" s="184"/>
      <c r="Y1" s="184"/>
      <c r="Z1" s="184"/>
      <c r="AA1" s="107"/>
    </row>
    <row r="2" spans="1:27" s="110" customFormat="1" ht="18.75">
      <c r="A2" s="185" t="s">
        <v>67</v>
      </c>
      <c r="B2" s="185"/>
      <c r="C2" s="185"/>
      <c r="D2" s="185"/>
      <c r="E2" s="186" t="s">
        <v>68</v>
      </c>
      <c r="F2" s="186"/>
      <c r="G2" s="186"/>
      <c r="H2" s="186"/>
      <c r="I2" s="186"/>
      <c r="J2" s="186"/>
      <c r="K2" s="186"/>
      <c r="L2" s="186"/>
      <c r="M2" s="186"/>
      <c r="N2" s="186"/>
      <c r="O2" s="186"/>
      <c r="P2" s="186"/>
      <c r="Q2" s="186"/>
      <c r="R2" s="186"/>
      <c r="S2" s="186"/>
      <c r="T2" s="186"/>
      <c r="U2" s="186"/>
      <c r="V2" s="186"/>
      <c r="W2" s="187" t="s">
        <v>69</v>
      </c>
      <c r="X2" s="187"/>
      <c r="Y2" s="187"/>
      <c r="Z2" s="187"/>
      <c r="AA2" s="109"/>
    </row>
    <row r="3" spans="1:27" s="115" customFormat="1" ht="60">
      <c r="A3" s="111" t="s">
        <v>62</v>
      </c>
      <c r="B3" s="111" t="s">
        <v>70</v>
      </c>
      <c r="C3" s="111" t="s">
        <v>71</v>
      </c>
      <c r="D3" s="111" t="s">
        <v>72</v>
      </c>
      <c r="E3" s="112" t="s">
        <v>73</v>
      </c>
      <c r="F3" s="112" t="s">
        <v>74</v>
      </c>
      <c r="G3" s="112" t="s">
        <v>75</v>
      </c>
      <c r="H3" s="112" t="s">
        <v>75</v>
      </c>
      <c r="I3" s="112" t="s">
        <v>76</v>
      </c>
      <c r="J3" s="112" t="s">
        <v>77</v>
      </c>
      <c r="K3" s="188" t="s">
        <v>73</v>
      </c>
      <c r="L3" s="188"/>
      <c r="M3" s="188" t="s">
        <v>78</v>
      </c>
      <c r="N3" s="188"/>
      <c r="O3" s="188"/>
      <c r="P3" s="188"/>
      <c r="Q3" s="188"/>
      <c r="R3" s="188"/>
      <c r="S3" s="188"/>
      <c r="T3" s="188"/>
      <c r="U3" s="188"/>
      <c r="V3" s="112" t="s">
        <v>79</v>
      </c>
      <c r="W3" s="113" t="s">
        <v>80</v>
      </c>
      <c r="X3" s="113" t="s">
        <v>81</v>
      </c>
      <c r="Y3" s="113" t="s">
        <v>82</v>
      </c>
      <c r="Z3" s="113" t="s">
        <v>83</v>
      </c>
      <c r="AA3" s="114"/>
    </row>
    <row r="4" spans="1:27" s="115" customFormat="1" ht="15.75">
      <c r="A4" s="116"/>
      <c r="B4" s="116"/>
      <c r="C4" s="116"/>
      <c r="D4" s="116"/>
      <c r="E4" s="117"/>
      <c r="F4" s="117"/>
      <c r="G4" s="117"/>
      <c r="H4" s="117"/>
      <c r="I4" s="117"/>
      <c r="J4" s="117"/>
      <c r="K4" s="117" t="s">
        <v>84</v>
      </c>
      <c r="L4" s="117"/>
      <c r="M4" s="118" t="s">
        <v>85</v>
      </c>
      <c r="N4" s="119"/>
      <c r="O4" s="118" t="s">
        <v>86</v>
      </c>
      <c r="P4" s="117"/>
      <c r="Q4" s="118" t="s">
        <v>87</v>
      </c>
      <c r="R4" s="117"/>
      <c r="S4" s="118" t="s">
        <v>88</v>
      </c>
      <c r="T4" s="117"/>
      <c r="U4" s="117" t="s">
        <v>89</v>
      </c>
      <c r="V4" s="117"/>
      <c r="W4" s="120"/>
      <c r="X4" s="120"/>
      <c r="Y4" s="120"/>
      <c r="Z4" s="120"/>
      <c r="AA4" s="114"/>
    </row>
    <row r="5" spans="1:27" ht="18.75">
      <c r="A5" s="121">
        <v>1</v>
      </c>
      <c r="B5" s="122"/>
      <c r="C5" s="122"/>
      <c r="D5" s="123"/>
      <c r="E5" s="124"/>
      <c r="F5" s="124"/>
      <c r="G5" s="125" t="str">
        <f>H5</f>
        <v/>
      </c>
      <c r="H5" s="125" t="str">
        <f t="shared" ref="H5:H29"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
      </c>
      <c r="I5" s="126" t="str">
        <f t="shared" ref="I5:I29" si="1">IF(E5="Muito baixa",1,IF(E5="Baixa",2,IF(E5="Média",3,IF(E5="Alta",4,""))))</f>
        <v/>
      </c>
      <c r="J5" s="126" t="str">
        <f t="shared" ref="J5:J29" si="2">IF(F5="Muito baixo",1,IF(F5="Baixo",2,IF(F5="Médio",3,IF(F5="Alto",4,""))))</f>
        <v/>
      </c>
      <c r="K5" s="127"/>
      <c r="L5" s="128" t="str">
        <f t="shared" ref="L5:L29" si="3">IF(K5="","",IF(K5="Muito baixa",1,IF(K5="Baixa",2,IF(K5="Média",3,IF(K5="Alta",4,"")))))</f>
        <v/>
      </c>
      <c r="M5" s="127"/>
      <c r="N5" s="129" t="str">
        <f t="shared" ref="N5:N29" si="4">IF(M5="","",IF(M5="Muito baixo",1,IF(M5="baixo",2,IF(M5="médio",3,IF(M5="alto",4,"")))))</f>
        <v/>
      </c>
      <c r="O5" s="127"/>
      <c r="P5" s="129" t="str">
        <f t="shared" ref="P5:P29" si="5">IF(O5="","",IF(O5="Muito baixo",1,IF(O5="baixo",2,IF(O5="médio",3,IF(O5="alto",4,"")))))</f>
        <v/>
      </c>
      <c r="Q5" s="127"/>
      <c r="R5" s="129" t="str">
        <f t="shared" ref="R5:R29" si="6">IF(Q5="","",IF(Q5="Muito baixo",1,IF(Q5="baixo",2,IF(Q5="médio",3,IF(Q5="alto",4,"")))))</f>
        <v/>
      </c>
      <c r="S5" s="127"/>
      <c r="T5" s="129" t="str">
        <f t="shared" ref="T5:T29" si="7">IF(S5="","",IF(S5="Muito baixo",1,IF(S5="baixo",2,IF(S5="médio",3,IF(S5="alto",4,"")))))</f>
        <v/>
      </c>
      <c r="U5" s="130" t="str">
        <f t="shared" ref="U5:U29" si="8">IFERROR(AVERAGE(N5,P5,R5,T5),"")</f>
        <v/>
      </c>
      <c r="V5" s="131" t="str">
        <f t="shared" ref="V5:V29" si="9">IF(OR(L5="",U5=""),"",L5*U5)</f>
        <v/>
      </c>
      <c r="W5" s="132"/>
      <c r="X5" s="133"/>
      <c r="Y5" s="132"/>
      <c r="Z5" s="134"/>
    </row>
    <row r="6" spans="1:27" ht="18.75">
      <c r="A6" s="136">
        <v>2</v>
      </c>
      <c r="B6" s="137"/>
      <c r="C6" s="137"/>
      <c r="D6" s="123"/>
      <c r="E6" s="138"/>
      <c r="F6" s="138"/>
      <c r="G6" s="125" t="str">
        <f t="shared" ref="G6:G29" si="10">H6</f>
        <v/>
      </c>
      <c r="H6" s="139" t="str">
        <f t="shared" si="0"/>
        <v/>
      </c>
      <c r="I6" s="126" t="str">
        <f t="shared" si="1"/>
        <v/>
      </c>
      <c r="J6" s="126" t="str">
        <f t="shared" si="2"/>
        <v/>
      </c>
      <c r="K6" s="127"/>
      <c r="L6" s="128" t="str">
        <f t="shared" si="3"/>
        <v/>
      </c>
      <c r="M6" s="127"/>
      <c r="N6" s="129" t="str">
        <f t="shared" si="4"/>
        <v/>
      </c>
      <c r="O6" s="127"/>
      <c r="P6" s="129" t="str">
        <f t="shared" si="5"/>
        <v/>
      </c>
      <c r="Q6" s="127"/>
      <c r="R6" s="129" t="str">
        <f t="shared" si="6"/>
        <v/>
      </c>
      <c r="S6" s="127"/>
      <c r="T6" s="129" t="str">
        <f t="shared" si="7"/>
        <v/>
      </c>
      <c r="U6" s="140" t="str">
        <f t="shared" si="8"/>
        <v/>
      </c>
      <c r="V6" s="141" t="str">
        <f t="shared" si="9"/>
        <v/>
      </c>
      <c r="W6" s="132"/>
      <c r="X6" s="133"/>
      <c r="Y6" s="132"/>
      <c r="Z6" s="134"/>
    </row>
    <row r="7" spans="1:27" ht="18.75">
      <c r="A7" s="121">
        <v>3</v>
      </c>
      <c r="B7" s="137"/>
      <c r="C7" s="122"/>
      <c r="D7" s="123"/>
      <c r="E7" s="138"/>
      <c r="F7" s="138"/>
      <c r="G7" s="125" t="str">
        <f t="shared" si="10"/>
        <v/>
      </c>
      <c r="H7" s="139" t="str">
        <f t="shared" si="0"/>
        <v/>
      </c>
      <c r="I7" s="126" t="str">
        <f t="shared" si="1"/>
        <v/>
      </c>
      <c r="J7" s="126" t="str">
        <f t="shared" si="2"/>
        <v/>
      </c>
      <c r="K7" s="127"/>
      <c r="L7" s="128" t="str">
        <f t="shared" si="3"/>
        <v/>
      </c>
      <c r="M7" s="127"/>
      <c r="N7" s="129" t="str">
        <f t="shared" si="4"/>
        <v/>
      </c>
      <c r="O7" s="127"/>
      <c r="P7" s="129" t="str">
        <f t="shared" si="5"/>
        <v/>
      </c>
      <c r="Q7" s="127"/>
      <c r="R7" s="129" t="str">
        <f t="shared" si="6"/>
        <v/>
      </c>
      <c r="S7" s="127"/>
      <c r="T7" s="129" t="str">
        <f t="shared" si="7"/>
        <v/>
      </c>
      <c r="U7" s="140" t="str">
        <f t="shared" si="8"/>
        <v/>
      </c>
      <c r="V7" s="141" t="str">
        <f t="shared" si="9"/>
        <v/>
      </c>
      <c r="W7" s="132"/>
      <c r="X7" s="133"/>
      <c r="Y7" s="132"/>
      <c r="Z7" s="142"/>
    </row>
    <row r="8" spans="1:27" ht="18.75">
      <c r="A8" s="136">
        <v>4</v>
      </c>
      <c r="B8" s="143"/>
      <c r="C8" s="143"/>
      <c r="D8" s="144"/>
      <c r="E8" s="145"/>
      <c r="F8" s="145"/>
      <c r="G8" s="146" t="str">
        <f t="shared" si="10"/>
        <v/>
      </c>
      <c r="H8" s="147" t="str">
        <f t="shared" si="0"/>
        <v/>
      </c>
      <c r="I8" s="148" t="str">
        <f t="shared" si="1"/>
        <v/>
      </c>
      <c r="J8" s="148" t="str">
        <f t="shared" si="2"/>
        <v/>
      </c>
      <c r="K8" s="149"/>
      <c r="L8" s="128" t="str">
        <f t="shared" si="3"/>
        <v/>
      </c>
      <c r="M8" s="149"/>
      <c r="N8" s="150" t="str">
        <f t="shared" si="4"/>
        <v/>
      </c>
      <c r="O8" s="149"/>
      <c r="P8" s="150" t="str">
        <f t="shared" si="5"/>
        <v/>
      </c>
      <c r="Q8" s="149"/>
      <c r="R8" s="150" t="str">
        <f t="shared" si="6"/>
        <v/>
      </c>
      <c r="S8" s="149"/>
      <c r="T8" s="150" t="str">
        <f t="shared" si="7"/>
        <v/>
      </c>
      <c r="U8" s="140" t="str">
        <f t="shared" si="8"/>
        <v/>
      </c>
      <c r="V8" s="141" t="str">
        <f t="shared" si="9"/>
        <v/>
      </c>
      <c r="W8" s="132"/>
      <c r="X8" s="133"/>
      <c r="Y8" s="132"/>
      <c r="Z8" s="142"/>
    </row>
    <row r="9" spans="1:27" ht="18.75">
      <c r="A9" s="121">
        <v>5</v>
      </c>
      <c r="B9" s="151"/>
      <c r="C9" s="151"/>
      <c r="D9" s="144"/>
      <c r="E9" s="145"/>
      <c r="F9" s="145"/>
      <c r="G9" s="146" t="str">
        <f t="shared" si="10"/>
        <v/>
      </c>
      <c r="H9" s="147" t="str">
        <f t="shared" si="0"/>
        <v/>
      </c>
      <c r="I9" s="148" t="str">
        <f t="shared" si="1"/>
        <v/>
      </c>
      <c r="J9" s="148" t="str">
        <f t="shared" si="2"/>
        <v/>
      </c>
      <c r="K9" s="149"/>
      <c r="L9" s="128" t="str">
        <f t="shared" si="3"/>
        <v/>
      </c>
      <c r="M9" s="149"/>
      <c r="N9" s="150" t="str">
        <f t="shared" si="4"/>
        <v/>
      </c>
      <c r="O9" s="149"/>
      <c r="P9" s="150" t="str">
        <f t="shared" si="5"/>
        <v/>
      </c>
      <c r="Q9" s="149"/>
      <c r="R9" s="150" t="str">
        <f t="shared" si="6"/>
        <v/>
      </c>
      <c r="S9" s="149"/>
      <c r="T9" s="150" t="str">
        <f t="shared" si="7"/>
        <v/>
      </c>
      <c r="U9" s="140" t="str">
        <f t="shared" si="8"/>
        <v/>
      </c>
      <c r="V9" s="141" t="str">
        <f t="shared" si="9"/>
        <v/>
      </c>
      <c r="W9" s="132"/>
      <c r="X9" s="133"/>
      <c r="Y9" s="132"/>
      <c r="Z9" s="142"/>
    </row>
    <row r="10" spans="1:27" ht="18.75">
      <c r="A10" s="152">
        <v>6</v>
      </c>
      <c r="B10" s="153"/>
      <c r="C10" s="153"/>
      <c r="D10" s="144"/>
      <c r="E10" s="145"/>
      <c r="F10" s="145"/>
      <c r="G10" s="146" t="str">
        <f t="shared" si="10"/>
        <v/>
      </c>
      <c r="H10" s="147" t="str">
        <f t="shared" si="0"/>
        <v/>
      </c>
      <c r="I10" s="148" t="str">
        <f t="shared" si="1"/>
        <v/>
      </c>
      <c r="J10" s="148" t="str">
        <f t="shared" si="2"/>
        <v/>
      </c>
      <c r="K10" s="149"/>
      <c r="L10" s="128" t="str">
        <f t="shared" si="3"/>
        <v/>
      </c>
      <c r="M10" s="149"/>
      <c r="N10" s="150" t="str">
        <f t="shared" si="4"/>
        <v/>
      </c>
      <c r="O10" s="149"/>
      <c r="P10" s="150" t="str">
        <f t="shared" si="5"/>
        <v/>
      </c>
      <c r="Q10" s="149"/>
      <c r="R10" s="150" t="str">
        <f t="shared" si="6"/>
        <v/>
      </c>
      <c r="S10" s="149"/>
      <c r="T10" s="150" t="str">
        <f t="shared" si="7"/>
        <v/>
      </c>
      <c r="U10" s="130" t="str">
        <f t="shared" si="8"/>
        <v/>
      </c>
      <c r="V10" s="141" t="str">
        <f t="shared" si="9"/>
        <v/>
      </c>
      <c r="W10" s="132"/>
      <c r="X10" s="133"/>
      <c r="Y10" s="132"/>
      <c r="Z10" s="154"/>
    </row>
    <row r="11" spans="1:27" ht="18.75">
      <c r="A11" s="121">
        <v>7</v>
      </c>
      <c r="B11" s="151"/>
      <c r="C11" s="151"/>
      <c r="D11" s="144"/>
      <c r="E11" s="145"/>
      <c r="F11" s="145"/>
      <c r="G11" s="146" t="str">
        <f t="shared" si="10"/>
        <v/>
      </c>
      <c r="H11" s="147" t="str">
        <f t="shared" si="0"/>
        <v/>
      </c>
      <c r="I11" s="148" t="str">
        <f t="shared" si="1"/>
        <v/>
      </c>
      <c r="J11" s="148" t="str">
        <f t="shared" si="2"/>
        <v/>
      </c>
      <c r="K11" s="149"/>
      <c r="L11" s="128" t="str">
        <f t="shared" si="3"/>
        <v/>
      </c>
      <c r="M11" s="149"/>
      <c r="N11" s="150" t="str">
        <f t="shared" si="4"/>
        <v/>
      </c>
      <c r="O11" s="149"/>
      <c r="P11" s="150" t="str">
        <f t="shared" si="5"/>
        <v/>
      </c>
      <c r="Q11" s="149"/>
      <c r="R11" s="150" t="str">
        <f t="shared" si="6"/>
        <v/>
      </c>
      <c r="S11" s="149"/>
      <c r="T11" s="150" t="str">
        <f t="shared" si="7"/>
        <v/>
      </c>
      <c r="U11" s="140" t="str">
        <f t="shared" si="8"/>
        <v/>
      </c>
      <c r="V11" s="141" t="str">
        <f t="shared" si="9"/>
        <v/>
      </c>
      <c r="W11" s="132"/>
      <c r="X11" s="133"/>
      <c r="Y11" s="132"/>
      <c r="Z11" s="142"/>
    </row>
    <row r="12" spans="1:27" ht="18.75">
      <c r="A12" s="136">
        <v>8</v>
      </c>
      <c r="B12" s="143"/>
      <c r="C12" s="143"/>
      <c r="D12" s="144"/>
      <c r="E12" s="145"/>
      <c r="F12" s="145"/>
      <c r="G12" s="146" t="str">
        <f t="shared" si="10"/>
        <v/>
      </c>
      <c r="H12" s="147" t="str">
        <f t="shared" si="0"/>
        <v/>
      </c>
      <c r="I12" s="148" t="str">
        <f t="shared" si="1"/>
        <v/>
      </c>
      <c r="J12" s="148" t="str">
        <f t="shared" si="2"/>
        <v/>
      </c>
      <c r="K12" s="149"/>
      <c r="L12" s="128" t="str">
        <f t="shared" si="3"/>
        <v/>
      </c>
      <c r="M12" s="149"/>
      <c r="N12" s="150" t="str">
        <f t="shared" si="4"/>
        <v/>
      </c>
      <c r="O12" s="149"/>
      <c r="P12" s="150" t="str">
        <f t="shared" si="5"/>
        <v/>
      </c>
      <c r="Q12" s="149"/>
      <c r="R12" s="150" t="str">
        <f t="shared" si="6"/>
        <v/>
      </c>
      <c r="S12" s="149"/>
      <c r="T12" s="150" t="str">
        <f t="shared" si="7"/>
        <v/>
      </c>
      <c r="U12" s="140" t="str">
        <f t="shared" si="8"/>
        <v/>
      </c>
      <c r="V12" s="141" t="str">
        <f t="shared" si="9"/>
        <v/>
      </c>
      <c r="W12" s="153"/>
      <c r="X12" s="133"/>
      <c r="Y12" s="153"/>
      <c r="Z12" s="142"/>
    </row>
    <row r="13" spans="1:27" ht="18.75">
      <c r="A13" s="121">
        <v>9</v>
      </c>
      <c r="B13" s="151"/>
      <c r="C13" s="151"/>
      <c r="D13" s="144"/>
      <c r="E13" s="145"/>
      <c r="F13" s="145"/>
      <c r="G13" s="146" t="str">
        <f t="shared" si="10"/>
        <v/>
      </c>
      <c r="H13" s="147" t="str">
        <f t="shared" si="0"/>
        <v/>
      </c>
      <c r="I13" s="148" t="str">
        <f t="shared" si="1"/>
        <v/>
      </c>
      <c r="J13" s="148" t="str">
        <f t="shared" si="2"/>
        <v/>
      </c>
      <c r="K13" s="149"/>
      <c r="L13" s="128" t="str">
        <f t="shared" si="3"/>
        <v/>
      </c>
      <c r="M13" s="149"/>
      <c r="N13" s="150" t="str">
        <f t="shared" si="4"/>
        <v/>
      </c>
      <c r="O13" s="149"/>
      <c r="P13" s="150" t="str">
        <f t="shared" si="5"/>
        <v/>
      </c>
      <c r="Q13" s="149"/>
      <c r="R13" s="150" t="str">
        <f t="shared" si="6"/>
        <v/>
      </c>
      <c r="S13" s="149"/>
      <c r="T13" s="150" t="str">
        <f t="shared" si="7"/>
        <v/>
      </c>
      <c r="U13" s="140" t="str">
        <f t="shared" si="8"/>
        <v/>
      </c>
      <c r="V13" s="141" t="str">
        <f t="shared" si="9"/>
        <v/>
      </c>
      <c r="W13" s="153"/>
      <c r="X13" s="133"/>
      <c r="Y13" s="153"/>
      <c r="Z13" s="142"/>
    </row>
    <row r="14" spans="1:27" ht="18.75">
      <c r="A14" s="136">
        <v>10</v>
      </c>
      <c r="B14" s="143"/>
      <c r="C14" s="143"/>
      <c r="D14" s="144"/>
      <c r="E14" s="145"/>
      <c r="F14" s="145"/>
      <c r="G14" s="146" t="str">
        <f t="shared" si="10"/>
        <v/>
      </c>
      <c r="H14" s="147" t="str">
        <f t="shared" si="0"/>
        <v/>
      </c>
      <c r="I14" s="148" t="str">
        <f t="shared" si="1"/>
        <v/>
      </c>
      <c r="J14" s="148" t="str">
        <f t="shared" si="2"/>
        <v/>
      </c>
      <c r="K14" s="149"/>
      <c r="L14" s="128" t="str">
        <f t="shared" si="3"/>
        <v/>
      </c>
      <c r="M14" s="149"/>
      <c r="N14" s="150" t="str">
        <f t="shared" si="4"/>
        <v/>
      </c>
      <c r="O14" s="149"/>
      <c r="P14" s="150" t="str">
        <f t="shared" si="5"/>
        <v/>
      </c>
      <c r="Q14" s="149"/>
      <c r="R14" s="150" t="str">
        <f t="shared" si="6"/>
        <v/>
      </c>
      <c r="S14" s="149"/>
      <c r="T14" s="150" t="str">
        <f t="shared" si="7"/>
        <v/>
      </c>
      <c r="U14" s="140" t="str">
        <f t="shared" si="8"/>
        <v/>
      </c>
      <c r="V14" s="141" t="str">
        <f t="shared" si="9"/>
        <v/>
      </c>
      <c r="W14" s="153"/>
      <c r="X14" s="133"/>
      <c r="Y14" s="153"/>
      <c r="Z14" s="142"/>
    </row>
    <row r="15" spans="1:27" ht="18.75">
      <c r="A15" s="121">
        <v>11</v>
      </c>
      <c r="B15" s="151"/>
      <c r="C15" s="151"/>
      <c r="D15" s="144"/>
      <c r="E15" s="145"/>
      <c r="F15" s="145"/>
      <c r="G15" s="146" t="str">
        <f t="shared" si="10"/>
        <v/>
      </c>
      <c r="H15" s="147" t="str">
        <f t="shared" si="0"/>
        <v/>
      </c>
      <c r="I15" s="148" t="str">
        <f t="shared" si="1"/>
        <v/>
      </c>
      <c r="J15" s="148" t="str">
        <f t="shared" si="2"/>
        <v/>
      </c>
      <c r="K15" s="149"/>
      <c r="L15" s="128" t="str">
        <f t="shared" si="3"/>
        <v/>
      </c>
      <c r="M15" s="149"/>
      <c r="N15" s="150" t="str">
        <f t="shared" si="4"/>
        <v/>
      </c>
      <c r="O15" s="149"/>
      <c r="P15" s="150" t="str">
        <f t="shared" si="5"/>
        <v/>
      </c>
      <c r="Q15" s="149"/>
      <c r="R15" s="150" t="str">
        <f t="shared" si="6"/>
        <v/>
      </c>
      <c r="S15" s="149"/>
      <c r="T15" s="150" t="str">
        <f t="shared" si="7"/>
        <v/>
      </c>
      <c r="U15" s="140" t="str">
        <f t="shared" si="8"/>
        <v/>
      </c>
      <c r="V15" s="141" t="str">
        <f t="shared" si="9"/>
        <v/>
      </c>
      <c r="W15" s="132"/>
      <c r="X15" s="133"/>
      <c r="Y15" s="132"/>
      <c r="Z15" s="142"/>
    </row>
    <row r="16" spans="1:27" ht="18.75">
      <c r="A16" s="152">
        <v>12</v>
      </c>
      <c r="B16" s="143"/>
      <c r="C16" s="143"/>
      <c r="D16" s="144"/>
      <c r="E16" s="145"/>
      <c r="F16" s="145"/>
      <c r="G16" s="146" t="str">
        <f t="shared" si="10"/>
        <v/>
      </c>
      <c r="H16" s="147" t="str">
        <f t="shared" si="0"/>
        <v/>
      </c>
      <c r="I16" s="148" t="str">
        <f t="shared" si="1"/>
        <v/>
      </c>
      <c r="J16" s="148" t="str">
        <f t="shared" si="2"/>
        <v/>
      </c>
      <c r="K16" s="149"/>
      <c r="L16" s="128" t="str">
        <f t="shared" si="3"/>
        <v/>
      </c>
      <c r="M16" s="149"/>
      <c r="N16" s="150" t="str">
        <f t="shared" si="4"/>
        <v/>
      </c>
      <c r="O16" s="149"/>
      <c r="P16" s="150" t="str">
        <f t="shared" si="5"/>
        <v/>
      </c>
      <c r="Q16" s="149"/>
      <c r="R16" s="150" t="str">
        <f t="shared" si="6"/>
        <v/>
      </c>
      <c r="S16" s="149"/>
      <c r="T16" s="150" t="str">
        <f t="shared" si="7"/>
        <v/>
      </c>
      <c r="U16" s="140" t="str">
        <f t="shared" si="8"/>
        <v/>
      </c>
      <c r="V16" s="141" t="str">
        <f t="shared" si="9"/>
        <v/>
      </c>
      <c r="W16" s="153"/>
      <c r="X16" s="133"/>
      <c r="Y16" s="153"/>
      <c r="Z16" s="142"/>
    </row>
    <row r="17" spans="1:26" ht="18.75">
      <c r="A17" s="121">
        <v>13</v>
      </c>
      <c r="B17" s="151"/>
      <c r="C17" s="151"/>
      <c r="D17" s="144"/>
      <c r="E17" s="145"/>
      <c r="F17" s="145"/>
      <c r="G17" s="146" t="str">
        <f t="shared" si="10"/>
        <v/>
      </c>
      <c r="H17" s="147" t="str">
        <f t="shared" si="0"/>
        <v/>
      </c>
      <c r="I17" s="148" t="str">
        <f t="shared" si="1"/>
        <v/>
      </c>
      <c r="J17" s="148" t="str">
        <f t="shared" si="2"/>
        <v/>
      </c>
      <c r="K17" s="149"/>
      <c r="L17" s="128" t="str">
        <f t="shared" si="3"/>
        <v/>
      </c>
      <c r="M17" s="149"/>
      <c r="N17" s="150" t="str">
        <f t="shared" si="4"/>
        <v/>
      </c>
      <c r="O17" s="149"/>
      <c r="P17" s="150" t="str">
        <f t="shared" si="5"/>
        <v/>
      </c>
      <c r="Q17" s="149"/>
      <c r="R17" s="150" t="str">
        <f t="shared" si="6"/>
        <v/>
      </c>
      <c r="S17" s="149"/>
      <c r="T17" s="150" t="str">
        <f t="shared" si="7"/>
        <v/>
      </c>
      <c r="U17" s="140" t="str">
        <f t="shared" si="8"/>
        <v/>
      </c>
      <c r="V17" s="141" t="str">
        <f t="shared" si="9"/>
        <v/>
      </c>
      <c r="W17" s="153"/>
      <c r="X17" s="133"/>
      <c r="Y17" s="153"/>
      <c r="Z17" s="142"/>
    </row>
    <row r="18" spans="1:26" ht="18.75">
      <c r="A18" s="136">
        <v>14</v>
      </c>
      <c r="B18" s="143"/>
      <c r="C18" s="143"/>
      <c r="D18" s="144"/>
      <c r="E18" s="145"/>
      <c r="F18" s="145"/>
      <c r="G18" s="146" t="str">
        <f t="shared" si="10"/>
        <v/>
      </c>
      <c r="H18" s="147" t="str">
        <f t="shared" si="0"/>
        <v/>
      </c>
      <c r="I18" s="148" t="str">
        <f t="shared" si="1"/>
        <v/>
      </c>
      <c r="J18" s="148" t="str">
        <f t="shared" si="2"/>
        <v/>
      </c>
      <c r="K18" s="149"/>
      <c r="L18" s="128" t="str">
        <f t="shared" si="3"/>
        <v/>
      </c>
      <c r="M18" s="149"/>
      <c r="N18" s="150" t="str">
        <f t="shared" si="4"/>
        <v/>
      </c>
      <c r="O18" s="149"/>
      <c r="P18" s="150" t="str">
        <f t="shared" si="5"/>
        <v/>
      </c>
      <c r="Q18" s="149"/>
      <c r="R18" s="150" t="str">
        <f t="shared" si="6"/>
        <v/>
      </c>
      <c r="S18" s="149"/>
      <c r="T18" s="150" t="str">
        <f t="shared" si="7"/>
        <v/>
      </c>
      <c r="U18" s="140" t="str">
        <f t="shared" si="8"/>
        <v/>
      </c>
      <c r="V18" s="141" t="str">
        <f t="shared" si="9"/>
        <v/>
      </c>
      <c r="W18" s="153"/>
      <c r="X18" s="133"/>
      <c r="Y18" s="153"/>
      <c r="Z18" s="142"/>
    </row>
    <row r="19" spans="1:26" ht="18.75">
      <c r="A19" s="121">
        <v>15</v>
      </c>
      <c r="B19" s="143"/>
      <c r="C19" s="143"/>
      <c r="D19" s="144"/>
      <c r="E19" s="145"/>
      <c r="F19" s="145"/>
      <c r="G19" s="146" t="str">
        <f t="shared" si="10"/>
        <v/>
      </c>
      <c r="H19" s="147" t="str">
        <f t="shared" si="0"/>
        <v/>
      </c>
      <c r="I19" s="148" t="str">
        <f t="shared" si="1"/>
        <v/>
      </c>
      <c r="J19" s="148" t="str">
        <f t="shared" si="2"/>
        <v/>
      </c>
      <c r="K19" s="149"/>
      <c r="L19" s="128" t="str">
        <f t="shared" si="3"/>
        <v/>
      </c>
      <c r="M19" s="149"/>
      <c r="N19" s="150" t="str">
        <f t="shared" si="4"/>
        <v/>
      </c>
      <c r="O19" s="149"/>
      <c r="P19" s="150" t="str">
        <f t="shared" si="5"/>
        <v/>
      </c>
      <c r="Q19" s="149"/>
      <c r="R19" s="150" t="str">
        <f t="shared" si="6"/>
        <v/>
      </c>
      <c r="S19" s="149"/>
      <c r="T19" s="150" t="str">
        <f t="shared" si="7"/>
        <v/>
      </c>
      <c r="U19" s="140" t="str">
        <f t="shared" si="8"/>
        <v/>
      </c>
      <c r="V19" s="141" t="str">
        <f t="shared" si="9"/>
        <v/>
      </c>
      <c r="W19" s="153"/>
      <c r="X19" s="133"/>
      <c r="Y19" s="153"/>
      <c r="Z19" s="142"/>
    </row>
    <row r="20" spans="1:26" ht="18.75">
      <c r="A20" s="136">
        <v>16</v>
      </c>
      <c r="B20" s="143"/>
      <c r="C20" s="143"/>
      <c r="D20" s="144"/>
      <c r="E20" s="145"/>
      <c r="F20" s="145"/>
      <c r="G20" s="146" t="str">
        <f t="shared" si="10"/>
        <v/>
      </c>
      <c r="H20" s="147" t="str">
        <f t="shared" si="0"/>
        <v/>
      </c>
      <c r="I20" s="148" t="str">
        <f t="shared" si="1"/>
        <v/>
      </c>
      <c r="J20" s="148" t="str">
        <f t="shared" si="2"/>
        <v/>
      </c>
      <c r="K20" s="149"/>
      <c r="L20" s="128" t="str">
        <f t="shared" si="3"/>
        <v/>
      </c>
      <c r="M20" s="149"/>
      <c r="N20" s="150" t="str">
        <f t="shared" si="4"/>
        <v/>
      </c>
      <c r="O20" s="149"/>
      <c r="P20" s="150" t="str">
        <f t="shared" si="5"/>
        <v/>
      </c>
      <c r="Q20" s="149"/>
      <c r="R20" s="150" t="str">
        <f t="shared" si="6"/>
        <v/>
      </c>
      <c r="S20" s="149"/>
      <c r="T20" s="150" t="str">
        <f t="shared" si="7"/>
        <v/>
      </c>
      <c r="U20" s="140" t="str">
        <f t="shared" si="8"/>
        <v/>
      </c>
      <c r="V20" s="141" t="str">
        <f t="shared" si="9"/>
        <v/>
      </c>
      <c r="W20" s="153"/>
      <c r="X20" s="133"/>
      <c r="Y20" s="153"/>
      <c r="Z20" s="142"/>
    </row>
    <row r="21" spans="1:26" ht="18.75">
      <c r="A21" s="121">
        <v>17</v>
      </c>
      <c r="B21" s="143"/>
      <c r="C21" s="143"/>
      <c r="D21" s="144"/>
      <c r="E21" s="145"/>
      <c r="F21" s="145"/>
      <c r="G21" s="146" t="str">
        <f t="shared" si="10"/>
        <v/>
      </c>
      <c r="H21" s="147" t="str">
        <f t="shared" si="0"/>
        <v/>
      </c>
      <c r="I21" s="148" t="str">
        <f t="shared" si="1"/>
        <v/>
      </c>
      <c r="J21" s="148" t="str">
        <f t="shared" si="2"/>
        <v/>
      </c>
      <c r="K21" s="149"/>
      <c r="L21" s="128" t="str">
        <f t="shared" si="3"/>
        <v/>
      </c>
      <c r="M21" s="149"/>
      <c r="N21" s="150" t="str">
        <f t="shared" si="4"/>
        <v/>
      </c>
      <c r="O21" s="149"/>
      <c r="P21" s="150" t="str">
        <f t="shared" si="5"/>
        <v/>
      </c>
      <c r="Q21" s="149"/>
      <c r="R21" s="150" t="str">
        <f t="shared" si="6"/>
        <v/>
      </c>
      <c r="S21" s="149"/>
      <c r="T21" s="150" t="str">
        <f t="shared" si="7"/>
        <v/>
      </c>
      <c r="U21" s="140" t="str">
        <f t="shared" si="8"/>
        <v/>
      </c>
      <c r="V21" s="141" t="str">
        <f t="shared" si="9"/>
        <v/>
      </c>
      <c r="W21" s="153"/>
      <c r="X21" s="133"/>
      <c r="Y21" s="153"/>
      <c r="Z21" s="142"/>
    </row>
    <row r="22" spans="1:26" ht="18.75">
      <c r="A22" s="152">
        <v>18</v>
      </c>
      <c r="B22" s="143"/>
      <c r="C22" s="143"/>
      <c r="D22" s="144"/>
      <c r="E22" s="145"/>
      <c r="F22" s="145"/>
      <c r="G22" s="146" t="str">
        <f t="shared" si="10"/>
        <v/>
      </c>
      <c r="H22" s="147" t="str">
        <f t="shared" si="0"/>
        <v/>
      </c>
      <c r="I22" s="148" t="str">
        <f t="shared" si="1"/>
        <v/>
      </c>
      <c r="J22" s="148" t="str">
        <f t="shared" si="2"/>
        <v/>
      </c>
      <c r="K22" s="149"/>
      <c r="L22" s="128" t="str">
        <f t="shared" si="3"/>
        <v/>
      </c>
      <c r="M22" s="149"/>
      <c r="N22" s="150" t="str">
        <f t="shared" si="4"/>
        <v/>
      </c>
      <c r="O22" s="149"/>
      <c r="P22" s="150" t="str">
        <f t="shared" si="5"/>
        <v/>
      </c>
      <c r="Q22" s="149"/>
      <c r="R22" s="150" t="str">
        <f t="shared" si="6"/>
        <v/>
      </c>
      <c r="S22" s="149"/>
      <c r="T22" s="150" t="str">
        <f t="shared" si="7"/>
        <v/>
      </c>
      <c r="U22" s="140" t="str">
        <f t="shared" si="8"/>
        <v/>
      </c>
      <c r="V22" s="141" t="str">
        <f t="shared" si="9"/>
        <v/>
      </c>
      <c r="W22" s="153"/>
      <c r="X22" s="133"/>
      <c r="Y22" s="153"/>
      <c r="Z22" s="142"/>
    </row>
    <row r="23" spans="1:26" ht="18.75">
      <c r="A23" s="121">
        <v>19</v>
      </c>
      <c r="B23" s="143"/>
      <c r="C23" s="143"/>
      <c r="D23" s="144"/>
      <c r="E23" s="145"/>
      <c r="F23" s="145"/>
      <c r="G23" s="146" t="str">
        <f t="shared" si="10"/>
        <v/>
      </c>
      <c r="H23" s="147" t="str">
        <f t="shared" si="0"/>
        <v/>
      </c>
      <c r="I23" s="148" t="str">
        <f t="shared" si="1"/>
        <v/>
      </c>
      <c r="J23" s="148" t="str">
        <f t="shared" si="2"/>
        <v/>
      </c>
      <c r="K23" s="149"/>
      <c r="L23" s="128" t="str">
        <f t="shared" si="3"/>
        <v/>
      </c>
      <c r="M23" s="149"/>
      <c r="N23" s="150" t="str">
        <f t="shared" si="4"/>
        <v/>
      </c>
      <c r="O23" s="149"/>
      <c r="P23" s="150" t="str">
        <f t="shared" si="5"/>
        <v/>
      </c>
      <c r="Q23" s="149"/>
      <c r="R23" s="150" t="str">
        <f t="shared" si="6"/>
        <v/>
      </c>
      <c r="S23" s="149"/>
      <c r="T23" s="150" t="str">
        <f t="shared" si="7"/>
        <v/>
      </c>
      <c r="U23" s="140" t="str">
        <f t="shared" si="8"/>
        <v/>
      </c>
      <c r="V23" s="141" t="str">
        <f t="shared" si="9"/>
        <v/>
      </c>
      <c r="W23" s="153"/>
      <c r="X23" s="133"/>
      <c r="Y23" s="153"/>
      <c r="Z23" s="142"/>
    </row>
    <row r="24" spans="1:26" ht="18.75">
      <c r="A24" s="136">
        <v>20</v>
      </c>
      <c r="B24" s="143"/>
      <c r="C24" s="143"/>
      <c r="D24" s="144"/>
      <c r="E24" s="145"/>
      <c r="F24" s="145"/>
      <c r="G24" s="146" t="str">
        <f t="shared" si="10"/>
        <v/>
      </c>
      <c r="H24" s="147" t="str">
        <f t="shared" si="0"/>
        <v/>
      </c>
      <c r="I24" s="148" t="str">
        <f t="shared" si="1"/>
        <v/>
      </c>
      <c r="J24" s="148" t="str">
        <f t="shared" si="2"/>
        <v/>
      </c>
      <c r="K24" s="149"/>
      <c r="L24" s="128" t="str">
        <f t="shared" si="3"/>
        <v/>
      </c>
      <c r="M24" s="149"/>
      <c r="N24" s="150" t="str">
        <f t="shared" si="4"/>
        <v/>
      </c>
      <c r="O24" s="149"/>
      <c r="P24" s="150" t="str">
        <f t="shared" si="5"/>
        <v/>
      </c>
      <c r="Q24" s="149"/>
      <c r="R24" s="150" t="str">
        <f t="shared" si="6"/>
        <v/>
      </c>
      <c r="S24" s="149"/>
      <c r="T24" s="150" t="str">
        <f t="shared" si="7"/>
        <v/>
      </c>
      <c r="U24" s="140" t="str">
        <f t="shared" si="8"/>
        <v/>
      </c>
      <c r="V24" s="141" t="str">
        <f t="shared" si="9"/>
        <v/>
      </c>
      <c r="W24" s="153"/>
      <c r="X24" s="133"/>
      <c r="Y24" s="153"/>
      <c r="Z24" s="142"/>
    </row>
    <row r="25" spans="1:26" ht="18.75">
      <c r="A25" s="121">
        <v>21</v>
      </c>
      <c r="B25" s="143"/>
      <c r="C25" s="143"/>
      <c r="D25" s="144"/>
      <c r="E25" s="145"/>
      <c r="F25" s="145"/>
      <c r="G25" s="146" t="str">
        <f t="shared" si="10"/>
        <v/>
      </c>
      <c r="H25" s="147" t="str">
        <f t="shared" si="0"/>
        <v/>
      </c>
      <c r="I25" s="148" t="str">
        <f t="shared" si="1"/>
        <v/>
      </c>
      <c r="J25" s="148" t="str">
        <f t="shared" si="2"/>
        <v/>
      </c>
      <c r="K25" s="149"/>
      <c r="L25" s="128" t="str">
        <f t="shared" si="3"/>
        <v/>
      </c>
      <c r="M25" s="149"/>
      <c r="N25" s="150" t="str">
        <f t="shared" si="4"/>
        <v/>
      </c>
      <c r="O25" s="149"/>
      <c r="P25" s="150" t="str">
        <f t="shared" si="5"/>
        <v/>
      </c>
      <c r="Q25" s="149"/>
      <c r="R25" s="150" t="str">
        <f t="shared" si="6"/>
        <v/>
      </c>
      <c r="S25" s="149"/>
      <c r="T25" s="150" t="str">
        <f t="shared" si="7"/>
        <v/>
      </c>
      <c r="U25" s="140" t="str">
        <f t="shared" si="8"/>
        <v/>
      </c>
      <c r="V25" s="141" t="str">
        <f t="shared" si="9"/>
        <v/>
      </c>
      <c r="W25" s="153"/>
      <c r="X25" s="133"/>
      <c r="Y25" s="153"/>
      <c r="Z25" s="142"/>
    </row>
    <row r="26" spans="1:26" ht="18.75">
      <c r="A26" s="136">
        <v>22</v>
      </c>
      <c r="B26" s="143"/>
      <c r="C26" s="143"/>
      <c r="D26" s="144"/>
      <c r="E26" s="145"/>
      <c r="F26" s="145"/>
      <c r="G26" s="146" t="str">
        <f t="shared" si="10"/>
        <v/>
      </c>
      <c r="H26" s="147" t="str">
        <f t="shared" si="0"/>
        <v/>
      </c>
      <c r="I26" s="148" t="str">
        <f t="shared" si="1"/>
        <v/>
      </c>
      <c r="J26" s="148" t="str">
        <f t="shared" si="2"/>
        <v/>
      </c>
      <c r="K26" s="149"/>
      <c r="L26" s="128" t="str">
        <f t="shared" si="3"/>
        <v/>
      </c>
      <c r="M26" s="149"/>
      <c r="N26" s="150" t="str">
        <f t="shared" si="4"/>
        <v/>
      </c>
      <c r="O26" s="149"/>
      <c r="P26" s="150" t="str">
        <f t="shared" si="5"/>
        <v/>
      </c>
      <c r="Q26" s="149"/>
      <c r="R26" s="150" t="str">
        <f t="shared" si="6"/>
        <v/>
      </c>
      <c r="S26" s="149"/>
      <c r="T26" s="150" t="str">
        <f t="shared" si="7"/>
        <v/>
      </c>
      <c r="U26" s="140" t="str">
        <f t="shared" si="8"/>
        <v/>
      </c>
      <c r="V26" s="141" t="str">
        <f t="shared" si="9"/>
        <v/>
      </c>
      <c r="W26" s="153"/>
      <c r="X26" s="133"/>
      <c r="Y26" s="153"/>
      <c r="Z26" s="142"/>
    </row>
    <row r="27" spans="1:26" ht="18.75">
      <c r="A27" s="121">
        <v>23</v>
      </c>
      <c r="B27" s="143"/>
      <c r="C27" s="143"/>
      <c r="D27" s="144"/>
      <c r="E27" s="145"/>
      <c r="F27" s="145"/>
      <c r="G27" s="146" t="str">
        <f t="shared" si="10"/>
        <v/>
      </c>
      <c r="H27" s="147" t="str">
        <f t="shared" si="0"/>
        <v/>
      </c>
      <c r="I27" s="148" t="str">
        <f t="shared" si="1"/>
        <v/>
      </c>
      <c r="J27" s="148" t="str">
        <f t="shared" si="2"/>
        <v/>
      </c>
      <c r="K27" s="149"/>
      <c r="L27" s="128" t="str">
        <f t="shared" si="3"/>
        <v/>
      </c>
      <c r="M27" s="149"/>
      <c r="N27" s="150" t="str">
        <f t="shared" si="4"/>
        <v/>
      </c>
      <c r="O27" s="149"/>
      <c r="P27" s="150" t="str">
        <f t="shared" si="5"/>
        <v/>
      </c>
      <c r="Q27" s="149"/>
      <c r="R27" s="150" t="str">
        <f t="shared" si="6"/>
        <v/>
      </c>
      <c r="S27" s="149"/>
      <c r="T27" s="150" t="str">
        <f t="shared" si="7"/>
        <v/>
      </c>
      <c r="U27" s="140" t="str">
        <f t="shared" si="8"/>
        <v/>
      </c>
      <c r="V27" s="141" t="str">
        <f t="shared" si="9"/>
        <v/>
      </c>
      <c r="W27" s="153"/>
      <c r="X27" s="133"/>
      <c r="Y27" s="153"/>
      <c r="Z27" s="142"/>
    </row>
    <row r="28" spans="1:26" ht="18.75">
      <c r="A28" s="152">
        <v>24</v>
      </c>
      <c r="B28" s="143"/>
      <c r="C28" s="143"/>
      <c r="D28" s="144"/>
      <c r="E28" s="145"/>
      <c r="F28" s="145"/>
      <c r="G28" s="146" t="str">
        <f t="shared" si="10"/>
        <v/>
      </c>
      <c r="H28" s="147" t="str">
        <f t="shared" si="0"/>
        <v/>
      </c>
      <c r="I28" s="148" t="str">
        <f t="shared" si="1"/>
        <v/>
      </c>
      <c r="J28" s="148" t="str">
        <f t="shared" si="2"/>
        <v/>
      </c>
      <c r="K28" s="149"/>
      <c r="L28" s="128" t="str">
        <f t="shared" si="3"/>
        <v/>
      </c>
      <c r="M28" s="149"/>
      <c r="N28" s="150" t="str">
        <f t="shared" si="4"/>
        <v/>
      </c>
      <c r="O28" s="149"/>
      <c r="P28" s="150" t="str">
        <f t="shared" si="5"/>
        <v/>
      </c>
      <c r="Q28" s="149"/>
      <c r="R28" s="150" t="str">
        <f t="shared" si="6"/>
        <v/>
      </c>
      <c r="S28" s="149"/>
      <c r="T28" s="150" t="str">
        <f t="shared" si="7"/>
        <v/>
      </c>
      <c r="U28" s="140" t="str">
        <f t="shared" si="8"/>
        <v/>
      </c>
      <c r="V28" s="141" t="str">
        <f t="shared" si="9"/>
        <v/>
      </c>
      <c r="W28" s="153"/>
      <c r="X28" s="133"/>
      <c r="Y28" s="153"/>
      <c r="Z28" s="142"/>
    </row>
    <row r="29" spans="1:26" ht="18.75">
      <c r="A29" s="121">
        <v>25</v>
      </c>
      <c r="B29" s="143"/>
      <c r="C29" s="143"/>
      <c r="D29" s="144"/>
      <c r="E29" s="145"/>
      <c r="F29" s="145"/>
      <c r="G29" s="146" t="str">
        <f t="shared" si="10"/>
        <v/>
      </c>
      <c r="H29" s="147" t="str">
        <f t="shared" si="0"/>
        <v/>
      </c>
      <c r="I29" s="148" t="str">
        <f t="shared" si="1"/>
        <v/>
      </c>
      <c r="J29" s="148" t="str">
        <f t="shared" si="2"/>
        <v/>
      </c>
      <c r="K29" s="149"/>
      <c r="L29" s="128" t="str">
        <f t="shared" si="3"/>
        <v/>
      </c>
      <c r="M29" s="149"/>
      <c r="N29" s="150" t="str">
        <f t="shared" si="4"/>
        <v/>
      </c>
      <c r="O29" s="149"/>
      <c r="P29" s="150" t="str">
        <f t="shared" si="5"/>
        <v/>
      </c>
      <c r="Q29" s="149"/>
      <c r="R29" s="150" t="str">
        <f t="shared" si="6"/>
        <v/>
      </c>
      <c r="S29" s="149"/>
      <c r="T29" s="150" t="str">
        <f t="shared" si="7"/>
        <v/>
      </c>
      <c r="U29" s="140" t="str">
        <f t="shared" si="8"/>
        <v/>
      </c>
      <c r="V29" s="141" t="str">
        <f t="shared" si="9"/>
        <v/>
      </c>
      <c r="W29" s="153"/>
      <c r="X29" s="133"/>
      <c r="Y29" s="153"/>
      <c r="Z29" s="142"/>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59" priority="53" operator="between">
      <formula>12</formula>
      <formula>16</formula>
    </cfRule>
    <cfRule type="cellIs" dxfId="58" priority="54" operator="between">
      <formula>8</formula>
      <formula>11.99</formula>
    </cfRule>
    <cfRule type="cellIs" dxfId="57" priority="55" operator="between">
      <formula>4</formula>
      <formula>7.99</formula>
    </cfRule>
    <cfRule type="cellIs" dxfId="56" priority="56" operator="between">
      <formula>0</formula>
      <formula>3.99</formula>
    </cfRule>
  </conditionalFormatting>
  <conditionalFormatting sqref="V6 V11">
    <cfRule type="cellIs" dxfId="55" priority="49" operator="between">
      <formula>12</formula>
      <formula>16</formula>
    </cfRule>
    <cfRule type="cellIs" dxfId="54" priority="50" operator="between">
      <formula>8</formula>
      <formula>11.99</formula>
    </cfRule>
    <cfRule type="cellIs" dxfId="53" priority="51" operator="between">
      <formula>4</formula>
      <formula>7.99</formula>
    </cfRule>
    <cfRule type="cellIs" dxfId="52" priority="52" operator="between">
      <formula>0</formula>
      <formula>3.99</formula>
    </cfRule>
  </conditionalFormatting>
  <conditionalFormatting sqref="V12">
    <cfRule type="cellIs" dxfId="51" priority="45" operator="between">
      <formula>12</formula>
      <formula>16</formula>
    </cfRule>
    <cfRule type="cellIs" dxfId="50" priority="46" operator="between">
      <formula>8</formula>
      <formula>11.99</formula>
    </cfRule>
    <cfRule type="cellIs" dxfId="49" priority="47" operator="between">
      <formula>4</formula>
      <formula>7.99</formula>
    </cfRule>
    <cfRule type="cellIs" dxfId="48" priority="48" operator="between">
      <formula>0</formula>
      <formula>3.99</formula>
    </cfRule>
  </conditionalFormatting>
  <conditionalFormatting sqref="V8 V13">
    <cfRule type="cellIs" dxfId="47" priority="41" operator="between">
      <formula>12</formula>
      <formula>16</formula>
    </cfRule>
    <cfRule type="cellIs" dxfId="46" priority="42" operator="between">
      <formula>8</formula>
      <formula>11.99</formula>
    </cfRule>
    <cfRule type="cellIs" dxfId="45" priority="43" operator="between">
      <formula>4</formula>
      <formula>7.99</formula>
    </cfRule>
    <cfRule type="cellIs" dxfId="44" priority="44" operator="between">
      <formula>0</formula>
      <formula>3.99</formula>
    </cfRule>
  </conditionalFormatting>
  <conditionalFormatting sqref="V9 V14">
    <cfRule type="cellIs" dxfId="43" priority="37" operator="between">
      <formula>12</formula>
      <formula>16</formula>
    </cfRule>
    <cfRule type="cellIs" dxfId="42" priority="38" operator="between">
      <formula>8</formula>
      <formula>11.99</formula>
    </cfRule>
    <cfRule type="cellIs" dxfId="41" priority="39" operator="between">
      <formula>4</formula>
      <formula>7.99</formula>
    </cfRule>
    <cfRule type="cellIs" dxfId="40" priority="40" operator="between">
      <formula>0</formula>
      <formula>3.99</formula>
    </cfRule>
  </conditionalFormatting>
  <conditionalFormatting sqref="V7">
    <cfRule type="cellIs" dxfId="39" priority="33" operator="between">
      <formula>12</formula>
      <formula>16</formula>
    </cfRule>
    <cfRule type="cellIs" dxfId="38" priority="34" operator="between">
      <formula>8</formula>
      <formula>11.99</formula>
    </cfRule>
    <cfRule type="cellIs" dxfId="37" priority="35" operator="between">
      <formula>4</formula>
      <formula>7.99</formula>
    </cfRule>
    <cfRule type="cellIs" dxfId="36" priority="36" operator="between">
      <formula>0</formula>
      <formula>3.99</formula>
    </cfRule>
  </conditionalFormatting>
  <conditionalFormatting sqref="V15">
    <cfRule type="cellIs" dxfId="35" priority="29" operator="between">
      <formula>12</formula>
      <formula>16</formula>
    </cfRule>
    <cfRule type="cellIs" dxfId="34" priority="30" operator="between">
      <formula>8</formula>
      <formula>11.99</formula>
    </cfRule>
    <cfRule type="cellIs" dxfId="33" priority="31" operator="between">
      <formula>4</formula>
      <formula>7.99</formula>
    </cfRule>
    <cfRule type="cellIs" dxfId="32" priority="32" operator="between">
      <formula>0</formula>
      <formula>3.99</formula>
    </cfRule>
  </conditionalFormatting>
  <conditionalFormatting sqref="V16 V19 V22 V25 V28">
    <cfRule type="cellIs" dxfId="31" priority="25" operator="between">
      <formula>12</formula>
      <formula>16</formula>
    </cfRule>
    <cfRule type="cellIs" dxfId="30" priority="26" operator="between">
      <formula>8</formula>
      <formula>11.99</formula>
    </cfRule>
    <cfRule type="cellIs" dxfId="29" priority="27" operator="between">
      <formula>4</formula>
      <formula>7.99</formula>
    </cfRule>
    <cfRule type="cellIs" dxfId="28" priority="28" operator="between">
      <formula>0</formula>
      <formula>3.99</formula>
    </cfRule>
  </conditionalFormatting>
  <conditionalFormatting sqref="V17 V20 V23 V26 V29">
    <cfRule type="cellIs" dxfId="27" priority="21" operator="between">
      <formula>12</formula>
      <formula>16</formula>
    </cfRule>
    <cfRule type="cellIs" dxfId="26" priority="22" operator="between">
      <formula>8</formula>
      <formula>11.99</formula>
    </cfRule>
    <cfRule type="cellIs" dxfId="25" priority="23" operator="between">
      <formula>4</formula>
      <formula>7.99</formula>
    </cfRule>
    <cfRule type="cellIs" dxfId="24" priority="24" operator="between">
      <formula>0</formula>
      <formula>3.99</formula>
    </cfRule>
  </conditionalFormatting>
  <conditionalFormatting sqref="V18 V21 V24 V27">
    <cfRule type="cellIs" dxfId="23" priority="17" operator="between">
      <formula>12</formula>
      <formula>16</formula>
    </cfRule>
    <cfRule type="cellIs" dxfId="22" priority="18" operator="between">
      <formula>8</formula>
      <formula>11.99</formula>
    </cfRule>
    <cfRule type="cellIs" dxfId="21" priority="19" operator="between">
      <formula>4</formula>
      <formula>7.99</formula>
    </cfRule>
    <cfRule type="cellIs" dxfId="20" priority="20" operator="between">
      <formula>0</formula>
      <formula>3.99</formula>
    </cfRule>
  </conditionalFormatting>
  <conditionalFormatting sqref="H5">
    <cfRule type="expression" dxfId="19" priority="13">
      <formula>OR(H5="4-Alto",H5="4-Alto")</formula>
    </cfRule>
    <cfRule type="expression" dxfId="18" priority="14">
      <formula>OR(H5="3-Médio",H5="3-Médio")</formula>
    </cfRule>
    <cfRule type="expression" dxfId="17" priority="15">
      <formula>OR(H5="2-Baixo",H5="2-Baixo")</formula>
    </cfRule>
    <cfRule type="expression" dxfId="16" priority="16">
      <formula>OR(H5="1-Muito baixo",H5="1-Muito baixo")</formula>
    </cfRule>
  </conditionalFormatting>
  <conditionalFormatting sqref="H6">
    <cfRule type="expression" dxfId="15" priority="9">
      <formula>OR(H6="4-Alto",H6="4-Alto")</formula>
    </cfRule>
    <cfRule type="expression" dxfId="14" priority="10">
      <formula>OR(H6="3-Médio",H6="3-Médio")</formula>
    </cfRule>
    <cfRule type="expression" dxfId="13" priority="11">
      <formula>OR(H6="2-Baixo",H6="2-Baixo")</formula>
    </cfRule>
    <cfRule type="expression" dxfId="12" priority="12">
      <formula>OR(H6="1-Muito baixo",H6="1-Muito baixo")</formula>
    </cfRule>
  </conditionalFormatting>
  <conditionalFormatting sqref="H7:H29">
    <cfRule type="expression" dxfId="11" priority="5">
      <formula>OR(H7="4-Alto",H7="4-Alto")</formula>
    </cfRule>
    <cfRule type="expression" dxfId="10" priority="6">
      <formula>OR(H7="3-Médio",H7="3-Médio")</formula>
    </cfRule>
    <cfRule type="expression" dxfId="9" priority="7">
      <formula>OR(H7="2-Baixo",H7="2-Baixo")</formula>
    </cfRule>
    <cfRule type="expression" dxfId="8" priority="8">
      <formula>OR(H7="1-Muito baixo",H7="1-Muito baixo")</formula>
    </cfRule>
  </conditionalFormatting>
  <conditionalFormatting sqref="G5:G29">
    <cfRule type="expression" dxfId="7" priority="1">
      <formula>OR(G5="4-Alto",G5="4-Alto")</formula>
    </cfRule>
    <cfRule type="expression" dxfId="6" priority="2">
      <formula>OR(G5="3-Médio",G5="3-Médio")</formula>
    </cfRule>
    <cfRule type="expression" dxfId="5" priority="3">
      <formula>OR(G5="2-Baixo",G5="2-Baixo")</formula>
    </cfRule>
    <cfRule type="expression" dxfId="4" priority="4">
      <formula>OR(G5="1-Muito baixo",G5="1-Muito baixo")</formula>
    </cfRule>
  </conditionalFormatting>
  <dataValidations count="4">
    <dataValidation type="list" allowBlank="1" showInputMessage="1" showErrorMessage="1" sqref="K5:K18 E5:E29">
      <formula1>"Muito baixa,Baixa,Média,Alta"</formula1>
    </dataValidation>
    <dataValidation type="list" allowBlank="1" showInputMessage="1" showErrorMessage="1" sqref="M5:M18 O5:O29 Q5:Q29 F5:F29">
      <formula1>"Muito baixo,Baixo,Médio,Alto"</formula1>
    </dataValidation>
    <dataValidation type="list" allowBlank="1" showInputMessage="1" showErrorMessage="1" sqref="X5:X18">
      <formula1>"Evitar,Transferir,Mitigar,Aceitar"</formula1>
    </dataValidation>
    <dataValidation type="list" allowBlank="1" showInputMessage="1" showErrorMessage="1" sqref="S5:S29">
      <formula1>"Muito baixo,Baixo,Médio,Alto,Não aplicável"</formula1>
    </dataValidation>
  </dataValidations>
  <pageMargins left="0.23622047244094491" right="0.23622047244094491" top="0.74803149606299213" bottom="0.74803149606299213" header="0.31496062992125984" footer="0.31496062992125984"/>
  <pageSetup paperSize="9" scale="7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2</vt:i4>
      </vt:variant>
    </vt:vector>
  </HeadingPairs>
  <TitlesOfParts>
    <vt:vector size="6" baseType="lpstr">
      <vt:lpstr>STATUS_REPORT</vt:lpstr>
      <vt:lpstr>Feriados</vt:lpstr>
      <vt:lpstr>Base dados pizza</vt:lpstr>
      <vt:lpstr>LISTA DE RISCOS</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cp:lastPrinted>2019-09-17T16:29:30Z</cp:lastPrinted>
  <dcterms:created xsi:type="dcterms:W3CDTF">2017-11-30T17:18:01Z</dcterms:created>
  <dcterms:modified xsi:type="dcterms:W3CDTF">2020-11-26T15:54:27Z</dcterms:modified>
</cp:coreProperties>
</file>