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5" yWindow="-15" windowWidth="14520" windowHeight="12840" tabRatio="513"/>
  </bookViews>
  <sheets>
    <sheet name="STATUS_REPORT" sheetId="25" r:id="rId1"/>
    <sheet name="Feriados" sheetId="2" state="hidden" r:id="rId2"/>
    <sheet name="Base dados pizza" sheetId="31" state="hidden" r:id="rId3"/>
    <sheet name="STATUS_HISTORICO" sheetId="35" state="hidden" r:id="rId4"/>
  </sheets>
  <externalReferences>
    <externalReference r:id="rId5"/>
  </externalReferences>
  <definedNames>
    <definedName name="_xlnm._FilterDatabase" localSheetId="3" hidden="1">STATUS_HISTORICO!$A$1:$D$24</definedName>
    <definedName name="_xlnm._FilterDatabase" localSheetId="0" hidden="1">STATUS_REPORT!$C$18:$P$19</definedName>
    <definedName name="_xlnm.Print_Area" localSheetId="0">STATUS_REPORT!$A$1:$Q$53</definedName>
    <definedName name="Risco_categ_1" localSheetId="3">[1]CONFIG!$A$2:$A$19</definedName>
    <definedName name="Risco_categ_1">[1]CONFIG!$A$2:$A$19</definedName>
    <definedName name="Risco_categ_2" localSheetId="3">[1]CONFIG!$B$2:$B$5</definedName>
    <definedName name="Risco_categ_2">[1]CONFIG!$B$2:$B$5</definedName>
  </definedNames>
  <calcPr calcId="145621"/>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c r="L24" i="25"/>
  <c r="I24" i="25"/>
  <c r="H24" i="25" s="1"/>
  <c r="L23" i="25"/>
  <c r="I23" i="25"/>
  <c r="H23" i="25" s="1"/>
  <c r="L22" i="25"/>
  <c r="I22" i="25"/>
  <c r="H22" i="25" s="1"/>
  <c r="L21" i="25"/>
  <c r="J21" i="25"/>
  <c r="I21" i="25"/>
  <c r="H21" i="25" s="1"/>
  <c r="L20" i="25"/>
  <c r="I20" i="25"/>
  <c r="H20" i="25" s="1"/>
  <c r="N21" i="25" l="1"/>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sharedStrings.xml><?xml version="1.0" encoding="utf-8"?>
<sst xmlns="http://schemas.openxmlformats.org/spreadsheetml/2006/main" count="267" uniqueCount="157">
  <si>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</si>
  <si>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</si>
  <si>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</si>
  <si>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</si>
  <si>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</si>
  <si>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</si>
  <si>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</si>
  <si>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</si>
  <si>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</si>
  <si>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</si>
  <si>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</si>
  <si>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</si>
  <si>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</si>
  <si>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</si>
  <si>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</si>
  <si>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</si>
  <si>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</si>
  <si>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</si>
  <si>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</si>
  <si>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</si>
  <si>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</si>
  <si>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</si>
  <si>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</si>
  <si>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</si>
  <si>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</si>
  <si>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</si>
  <si>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</si>
  <si>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</si>
  <si>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</si>
  <si>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</si>
  <si>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</si>
  <si>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</si>
  <si>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</si>
  <si>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</si>
  <si>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</si>
  <si>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</si>
  <si>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</si>
  <si>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</si>
  <si>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</si>
  <si>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</si>
  <si>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</si>
  <si>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</si>
  <si>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</si>
  <si>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</si>
  <si>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</si>
  <si>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</si>
  <si>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</si>
  <si>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</si>
  <si>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</si>
  <si>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</si>
  <si>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</si>
  <si>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</si>
  <si>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</si>
  <si>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</si>
  <si>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</si>
  <si>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</si>
  <si>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</si>
  <si>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</si>
  <si>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</si>
  <si>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</si>
  <si>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</si>
  <si>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</si>
  <si>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</si>
  <si>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</si>
  <si>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</si>
  <si>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</si>
  <si>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</si>
  <si>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</si>
  <si>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</si>
  <si>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</si>
  <si>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</si>
  <si>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</si>
  <si>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</si>
  <si>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</si>
  <si>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</si>
  <si>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</si>
  <si>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</si>
  <si>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</si>
  <si>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</si>
  <si>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</si>
  <si>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</si>
  <si>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</si>
  <si>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</si>
  <si>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</si>
  <si>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</si>
  <si>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</si>
  <si>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</si>
  <si>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</si>
  <si>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</si>
  <si>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</si>
  <si>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</si>
  <si>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</si>
  <si>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</si>
  <si>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</si>
  <si>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</si>
  <si>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</si>
  <si>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</si>
  <si>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</si>
  <si>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</si>
  <si>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</si>
  <si>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</si>
  <si>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</si>
  <si>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</si>
  <si>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</si>
  <si>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</si>
  <si>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1.1</t>
  </si>
  <si>
    <t>1.2</t>
  </si>
  <si>
    <t>1.3</t>
  </si>
  <si>
    <t>1.4</t>
  </si>
  <si>
    <t>1.5</t>
  </si>
  <si>
    <t>2.1</t>
  </si>
  <si>
    <t>4.1</t>
  </si>
  <si>
    <t>4.2</t>
  </si>
  <si>
    <t>4.4</t>
  </si>
  <si>
    <t>4.6</t>
  </si>
  <si>
    <t>4.9</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</si>
  <si>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</si>
  <si>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</si>
  <si>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</si>
  <si>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</si>
  <si>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</si>
  <si>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</si>
  <si>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</si>
  <si>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</si>
  <si>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</si>
  <si>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</si>
  <si>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</si>
  <si>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</si>
  <si>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</si>
  <si>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</si>
  <si>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</si>
  <si>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</si>
  <si>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</si>
  <si>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</si>
  <si>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na mesma data, o endereço por meio do qual é possível monitorar o plano:https://pi-digital.github.io/apresentacao/.</t>
  </si>
  <si>
    <r>
      <t xml:space="preserve">1. Tramita no Serviço Eletrônico de Informações (SEI) a minuta do Plano de Dados Abertos do INPI para o biênio 2019-2020, por meio do processo nº 52402.009854/2018-60.
</t>
    </r>
    <r>
      <rPr>
        <sz val="12"/>
        <color rgb="FF0070C0"/>
        <rFont val="Calibri"/>
        <family val="2"/>
        <scheme val="minor"/>
      </rPr>
      <t>2. Na data de 18/09/2019, foi submetida aos membros da Força-Tarefa de Transformação Digital, aos Pontos Focais do Plano de Dados Abertos do INPI e ao Coordenador-Geral de Tecnologia da Informação, minuta do Plano de Dados Abertos (PDA) do INPI, relativo ao biênio 2019-2020. As sugestões de melhoria e demais observações serão incorporadas à versão final do documento, que será submetida à autoridade competente, com vistas à aprovação e posterior publicação, o que deve ocorrer na primeira quinzena de outubro. (em 07/10/2019).</t>
    </r>
  </si>
  <si>
    <r>
      <t xml:space="preserve">1. Em 30/08/19, foi disponibilizada, no Portal do INPI, a Carta de Serviços ao Usuário - 3ª Edição - http://www.inpi.gov.br/noticias/inpi-divulga-versao-atualizada-da-carta-de-servicos-ao-usuario/view
2. Cabe à FTTD verificar, junto à SGD, se eventuais mudanças na descrição dos serviços, implementadas durante a revisão da Carta, implicam na necessidade de alterar a descrição dos mesmos em "gov.br".
</t>
    </r>
    <r>
      <rPr>
        <sz val="12"/>
        <color rgb="FF0070C0"/>
        <rFont val="Calibri"/>
        <family val="2"/>
        <scheme val="minor"/>
      </rPr>
      <t>3. Embora concluída a entrega, a Carta de Serviços ao Usuário será atualizada à vista da recente publicação da Tabela de Retribuições dos Serviços Prestados pelo INPI (07/10/2019).</t>
    </r>
  </si>
  <si>
    <r>
      <t xml:space="preserve">1. Os 49 serviços prestados pelo INPI serão diagnosticados por meio de questionário específico, desenvolvido pela Secretaria de Governo Digital - SGD, e nomeado como"Diagnóstico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
</t>
    </r>
    <r>
      <rPr>
        <sz val="12"/>
        <color rgb="FF0070C0"/>
        <rFont val="Calibri"/>
        <family val="2"/>
        <scheme val="minor"/>
      </rPr>
      <t>4. Reunidos os dados necessários, os quais foram compilados em planilha própria, a FTTD respondeu o questionário "Diagnóstico de Serviços Públicos Federais - v3.1", tendo concluído o trabalho em 01/10/2019. Cabe observar que os questionários foram respondidos para cada um dos 49 serviços autônomos prestados pelo INPI (07/10/2019).
5. A SGD cuidará do diagnóstico dos serviços a partir dos dados disponibilizados (07/10/2019).</t>
    </r>
  </si>
  <si>
    <r>
      <t xml:space="preserve">1. Ainda é aguardada a alocação dos técnicos da Secretaria de Governo Digital para o início da execução da entrega.
</t>
    </r>
    <r>
      <rPr>
        <sz val="12"/>
        <color rgb="FF0070C0"/>
        <rFont val="Calibri"/>
        <family val="2"/>
        <scheme val="minor"/>
      </rPr>
      <t>2. Conforme Edital publicado no Portal do Servidor (https://www.servidor.gov.br/assuntos/oportunidades/abertas), deu-se início ao processo seletivo que tem como objetivo alocar servidores para desenvolver atividades no âmbito do Plano PI Digital (07/10/2019).</t>
    </r>
  </si>
  <si>
    <r>
      <t xml:space="preserve">1. A normatização do peticionamento eletrônico nos processos relativos ao registro de topografias de circuitos integrados já se encontra elaborada e aprovada pela Procuradoria Federal Especializada junto ao INPI.
2. O Módulo e-Chip já foi desenvolvido.
3. Observa-se do processo nº 52400.080336/2017-95 que a proposta de alteração da Tabela de Retribuições dos Serviços de Topografias de Circuitos Integrados foi dirigida ao Ministro da Economia por meio do Ofício SEI nº 228/2019/PR/INPI, com a data de 12 de agosto de 2019.
</t>
    </r>
    <r>
      <rPr>
        <sz val="12"/>
        <color rgb="FF0070C0"/>
        <rFont val="Calibri"/>
        <family val="2"/>
        <scheme val="minor"/>
      </rPr>
      <t>4. Conforme notícia veiculada no Portal do INPI (http://www.inpi.gov.br/noticias/inpi-lanca-sistema-online-para-pedidos-de-topografia-de-circuito-integrado/view), o módulo e-Chip entrou em operação na data de 2 de outubro (07/10/2019).</t>
    </r>
  </si>
  <si>
    <t>1. Testes referentes ao redesenho do Portal ocorrem por meio do endereço http://172.19.0.215:8081/Portal/login.
2. Quando da próxima atualização do Status Report, será estimada a data em que as atividades necessárias à implementação da entrega serão iniciadas.</t>
  </si>
  <si>
    <r>
      <t xml:space="preserve">1. O novo Portal do INPI será remodelado em conformidade com a nova Identidade Digital do Governo, de acordo com as diretrizes e manuais organizados no website http://www.portalpadrao.gov.br/, que será objeto de aprofundamento por ocasião das reuniões dedicadas a essa entrega.
2. Testes referentes ao redesenho do Portal ocorrem por meio do endereço http://172.19.0.215:8081/Portal/login.
3. Estão previstas reuniões semanais, cuja pauta trata do redeseho do Portal do INPI. A primeira, possivelmente, será realizada em 10/09.
4. Em 04/09/19, demos início à elaboração de minuta da página principal do portal, o que perpassa pela sugestão de desenho e conteúdo da página. Esperamos ter uma proposta final, ainda que não implementada, em 13/09/19.
5. A partir do redesenho da página principal, será dado início ao redesenho do Portal como um todo.
</t>
    </r>
    <r>
      <rPr>
        <sz val="12"/>
        <color rgb="FF0070C0"/>
        <rFont val="Calibri"/>
        <family val="2"/>
        <scheme val="minor"/>
      </rPr>
      <t>6. Foram realizados testes com vistas ao desenvolvimento do novo Portal, sem atualizações relevantes a fazer. Prevê-se, ainda para o mês de outubro, a apresentação de proposta de redesenho da página principal (07/10/2019).</t>
    </r>
  </si>
  <si>
    <t>1. Ainda é aguardada a alocação dos técnicos da Secretaria de Governo Digital para o início da execução da entrega.
2. Será agendada uma videoconferência com a SGD em setembro de 2019 para compreensão do potencial da ferramenta tecnológica a ser implementada.</t>
  </si>
  <si>
    <r>
      <t xml:space="preserve">1. Tramita no Serviço Eletrônico de Informações (SEI) a minuta da Política de Relacionamento e Transparência do INPI por meio do processo nº 52400.110283/2016-63, com a disciplina das diretrizes do Serviço de Atendimento Presencial.
</t>
    </r>
    <r>
      <rPr>
        <sz val="12"/>
        <color rgb="FF0070C0"/>
        <rFont val="Calibri"/>
        <family val="2"/>
        <scheme val="minor"/>
      </rPr>
      <t>2. Na data de 17/09/2019, foi submetida aos membros da Força-Tarefa de Transformação Digital, aos pontos focais do Programa de Integridade do INPI e aos participantes da elaboração do Guia de Atendimento do INPI, minuta da Política de Relacionamento e Transparência do INPI. As sugestões de melhoria e demais observações serão incorporadas à versão final do documento, que será submetida à autoridade competente, com vistas à aprovação e posterior publicação, o que deve ocorrer na primeira quinzena de outubro (07/10/2019).</t>
    </r>
  </si>
  <si>
    <t xml:space="preserve">1. Por meio da Política de Relacionamento e Transparência do INPI, em tramitação no Serviço Eletrônico de Informações (SEI) nos autos do processo nº 52400.110283/2016-63, serão lançadas as bases para a elaboração do Guia de Atendimento do INPI.
2. Também tramita no SEI a proposta de instituição da Rede de Agentes Institucional de Relacionamento no âmbito do INPI, por meio do processo nº 52402.007846/2019-60. </t>
  </si>
  <si>
    <r>
      <t xml:space="preserve">1. Com o intuito de fomentar a atuação integrada e sistêmica da Administração Pública Federal, a SGD planeja a realização de contratação centralizada, cujo objeto consiste, basicamente, nadisponibilização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
</t>
    </r>
    <r>
      <rPr>
        <sz val="12"/>
        <color rgb="FF0070C0"/>
        <rFont val="Calibri"/>
        <family val="2"/>
        <scheme val="minor"/>
      </rPr>
      <t>3. Em 18/09/2019, foi enviada à Equipe ConectaGov, planilha que apresenta nossas necessidades de integração às bases de dados da Administração Pública, em atenção ao que foi demandado pela SGD, que visa reunir as necessidades dos órgãos, com vistas à definição do objeto de contratação centralizada, que contemplará as necessidades da Administração (07/10/2019).</t>
    </r>
  </si>
  <si>
    <t>1. É aguardada a indicação de um interlocutor da SGD para as trativas iniciais a respeito da entrega.</t>
  </si>
  <si>
    <t>1. Durante o mês de agosto, fluxogramas de processos atinentes à entrega foram disponibilizados por SEARC e CQUAL, com vistas à análise e avaliação quanto à possibilidade de implementação de meios digitais de pagamento de retribuições.
2. A análise e avaliação serão realizadas em prazo a ser definido pela FTTD.</t>
  </si>
  <si>
    <t>1. A FTTD considerou importante a instituição de um grupo focal, composto pelos diversos segmentos de usuários do INPI, dedicado à proposição das funcionalidades para o aplicativo.</t>
  </si>
  <si>
    <t>1. A SEME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</si>
  <si>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1. A partir do desenvolvimento do redesenho do novo Portal do INPI, será prototipado o conteúdo interativo previsto para a entrega.</t>
  </si>
  <si>
    <t>1. O advento do Inova Simples e a necessidade da operacionalização do comando da Lei Complementar nº 167, de 24 de abril de 2019, deflagraram o início da execução da entrega, a partir do desenvolvimento de interação com o ambiente digital do portal da Redesim.</t>
  </si>
  <si>
    <r>
      <t xml:space="preserve">1. Ainda é aguardada a alocação dos técnicos da Secretaria de Governo Digital para o início da execução da entrega.
2. Será agendada uma videoconferência com a SEGD em setembro de 2019 para compreensão do potencial da ferramenta tecnológica a ser implementada.
</t>
    </r>
    <r>
      <rPr>
        <sz val="12"/>
        <color rgb="FF0070C0"/>
        <rFont val="Calibri"/>
        <family val="2"/>
        <scheme val="minor"/>
      </rPr>
      <t>3. Na data de 26/09/2019, através de videoconferência, a Secretaria de Governo Digital, dentre outros assuntos, observou que não será capaz de desenvolver, com recursos próprios, a ferramenta de chatbot, cuja implementação no novo Portal do INPI ocorrerá durante o seu redesenho. O desenvolvimento da ferramenta, portanto, caberá ao INPI (07/10/2019).</t>
    </r>
  </si>
  <si>
    <r>
      <t xml:space="preserve">1. A minuta da Política de Relacionamento e Transparência do INPI, em tramitação no Serviço Eletrônico de Informações (SEI) por meio do processo nº 52400.110283/2016-63, regulamentará a proteção dos dados pessoais e sigilosos no âmbito institucional.
</t>
    </r>
    <r>
      <rPr>
        <sz val="12"/>
        <color rgb="FF0070C0"/>
        <rFont val="Calibri"/>
        <family val="2"/>
        <scheme val="minor"/>
      </rPr>
      <t>2. Na data de 17/09/2019, foi submetida aos membros da Força-Tarefa de Transformação Digital, aos pontos focais do Programa de Integridade do INPI e aos participantes da elaboração do Guia de Atendimento do INPI, minuta da Política de Relacionamento e Transparência do INPI. As sugestões de melhoria e demais observações serão incorporadas à versão final do documento, que será submetida à autoridade competente, com vistas à aprovação e posterior publicação, o que deve ocorrer na primeira quinzena de outubro (07/10/2019).</t>
    </r>
  </si>
  <si>
    <r>
      <t xml:space="preserve">1. Foi firmada a contratação da consultoria Lexis Nexis no âmbito da Fase 2 do Prosperity Fund, que apresentará as especificações técnicas necessárias à aquisição ou desenvolvimento das soluções tecnológicas de automação do fluxo de processos de patentes.
</t>
    </r>
    <r>
      <rPr>
        <sz val="12"/>
        <color rgb="FF0070C0"/>
        <rFont val="Calibri"/>
        <family val="2"/>
        <scheme val="minor"/>
      </rPr>
      <t>3. Em se tratando dessa entrega específica, não há atualizações relevantes. Reunião específica será agendada pela SGD, possivelmente, para outubro de 2019, que terá como pauta a avaliação do potencial das ferramentas BPMS disponíveis (07/10/2019).</t>
    </r>
  </si>
  <si>
    <r>
      <t xml:space="preserve">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t>
    </r>
    <r>
      <rPr>
        <sz val="12"/>
        <color rgb="FF0070C0"/>
        <rFont val="Calibri"/>
        <family val="2"/>
        <scheme val="minor"/>
      </rPr>
      <t>No mês de setembro, foram concluídas as entregas de nº 1.3 (Diagnóstico dos serviços com cronograma para automação do fluxo de pagamento de retribuições dos serviços) e 2.1. (Módulo e-Chip integrado ao Sistema de Peticionamento Eletrônico para os serviços de topografias de circuitos integrados) (07/10/2019).</t>
    </r>
    <r>
      <rPr>
        <sz val="12"/>
        <color theme="1"/>
        <rFont val="Calibri"/>
        <family val="2"/>
        <scheme val="minor"/>
      </rPr>
      <t xml:space="preserve">
</t>
    </r>
  </si>
  <si>
    <r>
      <t xml:space="preserve">1. Ainda é aguardada a alocação dos técnicos da Secretaria de Governo Digital para o início da execução da entrega.
2. Será agendada uma videoconferência com a SGD para compreensão do potencial da ferramenta tecnológica a ser implementada.
</t>
    </r>
    <r>
      <rPr>
        <sz val="12"/>
        <color rgb="FF0070C0"/>
        <rFont val="Calibri"/>
        <family val="2"/>
        <scheme val="minor"/>
      </rPr>
      <t>3. Conforme Edital publicado no Portal do Servidor (https://www.servidor.gov.br/assuntos/oportunidades/abertas), deu-se início ao processo seletivo que tem como objetivo alocar servidores para desenvolver atividades no âmbito do Plano PI Digital (07/10/2019).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</si>
</sst>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7" formatCode="[$-416]mmmm\-yy;@"/>
  </numFmts>
  <fonts count="44">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b/>
      <sz val="10"/>
      <color theme="1"/>
      <name val="Calibri"/>
      <family val="2"/>
      <scheme val="minor"/>
    </font>
    <font>
      <sz val="10"/>
      <color theme="1"/>
      <name val="Calibri"/>
      <family val="2"/>
      <scheme val="minor"/>
    </font>
    <font>
      <sz val="10"/>
      <name val="Calibri"/>
      <family val="2"/>
      <scheme val="minor"/>
    </font>
    <font>
      <sz val="12"/>
      <color rgb="FF0070C0"/>
      <name val="Calibri"/>
      <family val="2"/>
      <scheme val="minor"/>
    </font>
  </fonts>
  <fills count="59">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s>
  <borders count="52">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1" tint="0.499984740745262"/>
      </left>
      <right style="thin">
        <color theme="1" tint="0.499984740745262"/>
      </right>
      <top style="thin">
        <color indexed="64"/>
      </top>
      <bottom/>
      <diagonal/>
    </border>
  </borders>
  <cellStyleXfs count="634">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cellStyleXfs>
  <cellXfs count="147">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32" fillId="0" borderId="18" xfId="275" applyNumberFormat="1" applyFont="1" applyFill="1" applyBorder="1" applyAlignment="1" applyProtection="1">
      <alignment horizontal="left" vertical="center" wrapText="1"/>
      <protection locked="0"/>
    </xf>
    <xf numFmtId="0" fontId="0" fillId="0" borderId="18" xfId="0" quotePrefix="1" applyFont="1" applyFill="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3" fontId="40" fillId="57" borderId="44" xfId="0" applyNumberFormat="1" applyFont="1" applyFill="1" applyBorder="1" applyAlignment="1" applyProtection="1">
      <alignment vertical="center"/>
    </xf>
    <xf numFmtId="177" fontId="40" fillId="57" borderId="44" xfId="0" applyNumberFormat="1" applyFont="1" applyFill="1" applyBorder="1" applyAlignment="1" applyProtection="1">
      <alignment horizontal="left" vertical="center" wrapText="1"/>
    </xf>
    <xf numFmtId="0" fontId="41" fillId="0" borderId="0" xfId="0" applyFont="1"/>
    <xf numFmtId="0" fontId="42" fillId="57" borderId="21" xfId="275" applyNumberFormat="1" applyFont="1" applyFill="1" applyBorder="1" applyAlignment="1" applyProtection="1">
      <alignment horizontal="center" vertical="center"/>
    </xf>
    <xf numFmtId="0" fontId="42" fillId="57" borderId="21" xfId="275" applyNumberFormat="1" applyFont="1" applyFill="1" applyBorder="1" applyAlignment="1" applyProtection="1">
      <alignment vertical="center"/>
    </xf>
    <xf numFmtId="0" fontId="42" fillId="0" borderId="51" xfId="275" applyNumberFormat="1" applyFont="1" applyFill="1" applyBorder="1" applyAlignment="1" applyProtection="1">
      <alignment horizontal="left" vertical="top" wrapText="1"/>
      <protection locked="0"/>
    </xf>
    <xf numFmtId="3" fontId="4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42" fillId="0" borderId="18" xfId="275" applyNumberFormat="1" applyFont="1" applyFill="1" applyBorder="1" applyAlignment="1" applyProtection="1">
      <alignment horizontal="left" vertical="top" wrapText="1"/>
      <protection locked="0"/>
    </xf>
    <xf numFmtId="0" fontId="42" fillId="0" borderId="34" xfId="275" applyNumberFormat="1" applyFont="1" applyFill="1" applyBorder="1" applyAlignment="1" applyProtection="1">
      <alignment horizontal="left" vertical="top" wrapText="1"/>
      <protection locked="0"/>
    </xf>
    <xf numFmtId="0" fontId="41" fillId="0" borderId="0" xfId="0" applyFont="1" applyProtection="1"/>
    <xf numFmtId="0" fontId="41" fillId="0" borderId="44" xfId="0" applyFont="1" applyBorder="1" applyAlignment="1" applyProtection="1">
      <alignment vertical="center" wrapText="1"/>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cellXfs>
  <cellStyles count="634">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45">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CC19"/>
      <color rgb="FFFFCC5A"/>
      <color rgb="FFFFCC2D"/>
      <color rgb="FFFFCC66"/>
      <color rgb="FFFFCC00"/>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dPt>
          <c:dPt>
            <c:idx val="1"/>
            <c:bubble3D val="0"/>
            <c:spPr>
              <a:solidFill>
                <a:srgbClr val="FFCC00">
                  <a:alpha val="55000"/>
                </a:srgbClr>
              </a:solidFill>
              <a:ln w="73025" cap="flat" cmpd="sng">
                <a:noFill/>
              </a:ln>
            </c:spPr>
          </c:dPt>
          <c:dPt>
            <c:idx val="2"/>
            <c:bubble3D val="0"/>
            <c:spPr>
              <a:solidFill>
                <a:srgbClr val="00B050">
                  <a:alpha val="70000"/>
                </a:srgbClr>
              </a:solidFill>
              <a:ln w="73025">
                <a:noFill/>
              </a:ln>
            </c:spPr>
          </c:dPt>
          <c:dPt>
            <c:idx val="3"/>
            <c:bubble3D val="0"/>
            <c:spPr>
              <a:noFill/>
              <a:ln w="73025">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dPt>
          <c:dPt>
            <c:idx val="1"/>
            <c:bubble3D val="0"/>
            <c:spPr>
              <a:solidFill>
                <a:srgbClr val="FFCC00">
                  <a:alpha val="55000"/>
                </a:srgbClr>
              </a:solidFill>
              <a:ln w="12700" cap="flat" cmpd="sng">
                <a:solidFill>
                  <a:schemeClr val="bg1"/>
                </a:solidFill>
              </a:ln>
            </c:spPr>
          </c:dPt>
          <c:dPt>
            <c:idx val="2"/>
            <c:bubble3D val="0"/>
            <c:spPr>
              <a:solidFill>
                <a:srgbClr val="00B050">
                  <a:alpha val="70000"/>
                </a:srgbClr>
              </a:solidFill>
              <a:ln w="12700">
                <a:solidFill>
                  <a:schemeClr val="bg1"/>
                </a:solidFill>
              </a:ln>
            </c:spPr>
          </c:dPt>
          <c:dPt>
            <c:idx val="3"/>
            <c:bubble3D val="0"/>
            <c:spPr>
              <a:noFill/>
              <a:ln w="12700">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dPt>
          <c:dPt>
            <c:idx val="1"/>
            <c:bubble3D val="0"/>
            <c:spPr>
              <a:solidFill>
                <a:schemeClr val="tx1"/>
              </a:solidFill>
              <a:ln>
                <a:solidFill>
                  <a:schemeClr val="tx1"/>
                </a:solidFill>
              </a:ln>
            </c:spPr>
          </c:dPt>
          <c:dPt>
            <c:idx val="2"/>
            <c:bubble3D val="0"/>
            <c:spPr>
              <a:noFill/>
              <a:ln>
                <a:noFill/>
              </a:ln>
            </c:spPr>
          </c:dPt>
          <c:dLbls>
            <c:dLbl>
              <c:idx val="1"/>
              <c:layout/>
              <c:tx>
                <c:strRef>
                  <c:f>'Base dados pizza'!$B$3</c:f>
                  <c:strCache>
                    <c:ptCount val="1"/>
                    <c:pt idx="0">
                      <c:v>27%</c:v>
                    </c:pt>
                  </c:strCache>
                </c:strRef>
              </c:tx>
              <c:spPr/>
              <c:txPr>
                <a:bodyPr/>
                <a:lstStyle/>
                <a:p>
                  <a:pPr>
                    <a:defRPr sz="1800" b="1"/>
                  </a:pPr>
                  <a:endParaRPr lang="pt-BR"/>
                </a:p>
              </c:txPr>
              <c:dLblPos val="bestFit"/>
              <c:showLegendKey val="0"/>
              <c:showVal val="1"/>
              <c:showCatName val="0"/>
              <c:showSerName val="0"/>
              <c:showPercent val="0"/>
              <c:showBubbleSize val="0"/>
            </c:dLbl>
            <c:txPr>
              <a:bodyPr/>
              <a:lstStyle/>
              <a:p>
                <a:pPr>
                  <a:defRPr sz="1800"/>
                </a:pPr>
                <a:endParaRPr lang="pt-BR"/>
              </a:p>
            </c:txPr>
            <c:showLegendKey val="0"/>
            <c:showVal val="0"/>
            <c:showCatName val="0"/>
            <c:showSerName val="0"/>
            <c:showPercent val="0"/>
            <c:showBubbleSize val="0"/>
          </c:dLbls>
          <c:val>
            <c:numRef>
              <c:f>'Base dados pizza'!$J$3:$J$5</c:f>
              <c:numCache>
                <c:formatCode>0.0</c:formatCode>
                <c:ptCount val="3"/>
                <c:pt idx="0" formatCode="0">
                  <c:v>100.43630017452007</c:v>
                </c:pt>
                <c:pt idx="1">
                  <c:v>2.5</c:v>
                </c:pt>
                <c:pt idx="2">
                  <c:v>97.063699825479929</c:v>
                </c:pt>
              </c:numCache>
            </c:numRef>
          </c:val>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101</v>
      </c>
      <c r="E3" s="78"/>
      <c r="F3" s="78"/>
      <c r="G3" s="17" t="s">
        <v>62</v>
      </c>
      <c r="H3" s="17"/>
      <c r="I3" s="17"/>
      <c r="J3" s="16"/>
      <c r="K3" s="16"/>
      <c r="L3" s="16"/>
      <c r="M3" s="16"/>
      <c r="N3" s="18">
        <f ca="1">O3</f>
        <v>43746</v>
      </c>
      <c r="O3" s="93">
        <f ca="1">TODAY()</f>
        <v>43746</v>
      </c>
      <c r="P3" s="15"/>
    </row>
    <row r="4" spans="1:17" ht="15" customHeight="1" thickBot="1">
      <c r="A4" s="13"/>
      <c r="B4" s="19"/>
      <c r="C4" s="79" t="s">
        <v>43</v>
      </c>
      <c r="D4" s="101" t="s">
        <v>102</v>
      </c>
      <c r="E4" s="80"/>
      <c r="F4" s="80"/>
      <c r="G4" s="20" t="s">
        <v>47</v>
      </c>
      <c r="H4" s="20"/>
      <c r="I4" s="20"/>
      <c r="J4" s="20"/>
      <c r="K4" s="20"/>
      <c r="L4" s="20"/>
      <c r="M4" s="20"/>
      <c r="N4" s="21"/>
      <c r="O4" s="102" t="s">
        <v>103</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21" customHeight="1">
      <c r="A9" s="13"/>
      <c r="B9" s="14"/>
      <c r="C9" s="110"/>
      <c r="D9" s="111"/>
      <c r="E9" s="111"/>
      <c r="F9" s="139">
        <f ca="1">IF(OR($D$3="",$D$3="não há"),"-",'Base dados pizza'!B3)</f>
        <v>0.26955503512880563</v>
      </c>
      <c r="G9" s="140">
        <f ca="1">IF(OR($D$3="",$D$3="não há"),"-",'Base dados pizza'!A3)</f>
        <v>0.268384074941452</v>
      </c>
      <c r="H9" s="98"/>
      <c r="I9" s="69"/>
      <c r="J9" s="135"/>
      <c r="K9" s="135" t="e">
        <f>IF(OR(D3="",D3="não há"),"-",#REF!)</f>
        <v>#REF!</v>
      </c>
      <c r="L9" s="69"/>
      <c r="M9" s="69"/>
      <c r="N9" s="136" t="e">
        <f>IF(OR(D3="",D3="não há"),"-",#REF!)</f>
        <v>#REF!</v>
      </c>
      <c r="O9" s="132" t="s">
        <v>155</v>
      </c>
      <c r="P9" s="25"/>
      <c r="Q9" s="68"/>
    </row>
    <row r="10" spans="1:17" ht="21" customHeight="1">
      <c r="A10" s="13"/>
      <c r="B10" s="14"/>
      <c r="C10" s="112"/>
      <c r="D10" s="113"/>
      <c r="E10" s="113"/>
      <c r="F10" s="139"/>
      <c r="G10" s="141"/>
      <c r="H10" s="99"/>
      <c r="I10" s="70"/>
      <c r="J10" s="135"/>
      <c r="K10" s="135"/>
      <c r="L10" s="70"/>
      <c r="M10" s="70"/>
      <c r="N10" s="137"/>
      <c r="O10" s="133"/>
      <c r="P10" s="25"/>
      <c r="Q10" s="68"/>
    </row>
    <row r="11" spans="1:17" ht="21" customHeight="1">
      <c r="A11" s="13"/>
      <c r="B11" s="14"/>
      <c r="C11" s="112"/>
      <c r="D11" s="113"/>
      <c r="E11" s="113"/>
      <c r="F11" s="139"/>
      <c r="G11" s="141"/>
      <c r="H11" s="99"/>
      <c r="I11" s="70"/>
      <c r="J11" s="135"/>
      <c r="K11" s="135"/>
      <c r="L11" s="70"/>
      <c r="M11" s="70"/>
      <c r="N11" s="137"/>
      <c r="O11" s="133"/>
      <c r="P11" s="25"/>
      <c r="Q11" s="68"/>
    </row>
    <row r="12" spans="1:17" ht="21" customHeight="1">
      <c r="A12" s="13"/>
      <c r="B12" s="14"/>
      <c r="C12" s="112"/>
      <c r="D12" s="113"/>
      <c r="E12" s="113"/>
      <c r="F12" s="139"/>
      <c r="G12" s="141"/>
      <c r="H12" s="99"/>
      <c r="I12" s="70"/>
      <c r="J12" s="135"/>
      <c r="K12" s="135"/>
      <c r="L12" s="70"/>
      <c r="M12" s="70"/>
      <c r="N12" s="137"/>
      <c r="O12" s="133"/>
      <c r="P12" s="25"/>
      <c r="Q12" s="68"/>
    </row>
    <row r="13" spans="1:17" ht="126.75" customHeight="1">
      <c r="A13" s="13"/>
      <c r="B13" s="14"/>
      <c r="C13" s="114"/>
      <c r="D13" s="115"/>
      <c r="E13" s="115"/>
      <c r="F13" s="139"/>
      <c r="G13" s="142"/>
      <c r="H13" s="100"/>
      <c r="I13" s="71"/>
      <c r="J13" s="135"/>
      <c r="K13" s="135"/>
      <c r="L13" s="71"/>
      <c r="M13" s="71"/>
      <c r="N13" s="138"/>
      <c r="O13" s="134"/>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26">
      <c r="A19" s="94"/>
      <c r="B19" s="95"/>
      <c r="C19" s="104" t="s">
        <v>105</v>
      </c>
      <c r="D19" s="119" t="s">
        <v>67</v>
      </c>
      <c r="E19" s="103">
        <v>43677</v>
      </c>
      <c r="F19" s="109">
        <v>43708</v>
      </c>
      <c r="G19" s="118" t="s">
        <v>100</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17" t="s">
        <v>136</v>
      </c>
      <c r="P19" s="96"/>
      <c r="Q19" s="97"/>
    </row>
    <row r="20" spans="1:17" s="62" customFormat="1" ht="220.5">
      <c r="A20" s="94"/>
      <c r="B20" s="95"/>
      <c r="C20" s="104" t="s">
        <v>107</v>
      </c>
      <c r="D20" s="119" t="s">
        <v>68</v>
      </c>
      <c r="E20" s="103">
        <v>43677</v>
      </c>
      <c r="F20" s="109">
        <v>43708</v>
      </c>
      <c r="G20" s="118" t="s">
        <v>100</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17" t="s">
        <v>137</v>
      </c>
      <c r="P20" s="96"/>
      <c r="Q20" s="97"/>
    </row>
    <row r="21" spans="1:17" s="62" customFormat="1" ht="94.5">
      <c r="A21" s="94"/>
      <c r="B21" s="95"/>
      <c r="C21" s="104" t="s">
        <v>121</v>
      </c>
      <c r="D21" s="119" t="s">
        <v>69</v>
      </c>
      <c r="E21" s="103">
        <v>43677</v>
      </c>
      <c r="F21" s="109">
        <v>43769</v>
      </c>
      <c r="G21" s="118" t="s">
        <v>100</v>
      </c>
      <c r="H21" s="105">
        <f t="shared" si="5"/>
        <v>4</v>
      </c>
      <c r="I21" s="105">
        <f t="shared" si="6"/>
        <v>4</v>
      </c>
      <c r="J21" s="106">
        <f t="shared" si="7"/>
        <v>1</v>
      </c>
      <c r="K21" s="106">
        <f t="shared" ca="1" si="8"/>
        <v>0.75757575757575757</v>
      </c>
      <c r="L21" s="107">
        <f>IF(OR(E21=0,F21=0),1,NETWORKDAYS(E21,F21,Feriados!$A$3:$A$100)*8)</f>
        <v>528</v>
      </c>
      <c r="M21" s="107">
        <f ca="1">IF($N$3&lt;E21,0,IF($N$3&gt;=F21,L21,NETWORKDAYS(E21,$N$3,Feriados!$A$3:$A$100)*8))</f>
        <v>400</v>
      </c>
      <c r="N21" s="107">
        <f t="shared" si="9"/>
        <v>528</v>
      </c>
      <c r="O21" s="117" t="s">
        <v>134</v>
      </c>
      <c r="P21" s="96"/>
      <c r="Q21" s="97"/>
    </row>
    <row r="22" spans="1:17" s="62" customFormat="1" ht="94.5">
      <c r="A22" s="94"/>
      <c r="B22" s="95"/>
      <c r="C22" s="104" t="s">
        <v>106</v>
      </c>
      <c r="D22" s="119" t="s">
        <v>70</v>
      </c>
      <c r="E22" s="103">
        <v>43677</v>
      </c>
      <c r="F22" s="109">
        <v>43861</v>
      </c>
      <c r="G22" s="118"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0.35271317829457366</v>
      </c>
      <c r="K22" s="106">
        <f t="shared" ref="K22:K25" ca="1" si="13">IF(OR(D22="",D22="não há"),"-",IFERROR(M22/L22,IF(F22&lt;=TODAY(),1,0)))</f>
        <v>0.38759689922480622</v>
      </c>
      <c r="L22" s="107">
        <f>IF(OR(E22=0,F22=0),1,NETWORKDAYS(E22,F22,Feriados!$A$3:$A$100)*8)</f>
        <v>1032</v>
      </c>
      <c r="M22" s="107">
        <f ca="1">IF($N$3&lt;E22,0,IF($N$3&gt;=F22,L22,NETWORKDAYS(E22,$N$3,Feriados!$A$3:$A$100)*8))</f>
        <v>400</v>
      </c>
      <c r="N22" s="107">
        <f t="shared" ref="N22:N25" ca="1" si="14">J22*L22</f>
        <v>364</v>
      </c>
      <c r="O22" s="117" t="s">
        <v>138</v>
      </c>
      <c r="P22" s="96"/>
      <c r="Q22" s="97"/>
    </row>
    <row r="23" spans="1:17" s="62" customFormat="1" ht="157.5">
      <c r="A23" s="94"/>
      <c r="B23" s="95"/>
      <c r="C23" s="104" t="s">
        <v>110</v>
      </c>
      <c r="D23" s="119" t="s">
        <v>71</v>
      </c>
      <c r="E23" s="103">
        <v>43677</v>
      </c>
      <c r="F23" s="109">
        <v>43861</v>
      </c>
      <c r="G23" s="118" t="s">
        <v>100</v>
      </c>
      <c r="H23" s="105">
        <f t="shared" si="10"/>
        <v>4</v>
      </c>
      <c r="I23" s="105">
        <f t="shared" si="11"/>
        <v>4</v>
      </c>
      <c r="J23" s="106">
        <f t="shared" si="12"/>
        <v>1</v>
      </c>
      <c r="K23" s="106">
        <f t="shared" ca="1" si="13"/>
        <v>0.38759689922480622</v>
      </c>
      <c r="L23" s="107">
        <f>IF(OR(E23=0,F23=0),1,NETWORKDAYS(E23,F23,Feriados!$A$3:$A$100)*8)</f>
        <v>1032</v>
      </c>
      <c r="M23" s="107">
        <f ca="1">IF($N$3&lt;E23,0,IF($N$3&gt;=F23,L23,NETWORKDAYS(E23,$N$3,Feriados!$A$3:$A$100)*8))</f>
        <v>400</v>
      </c>
      <c r="N23" s="107">
        <f t="shared" si="14"/>
        <v>1032</v>
      </c>
      <c r="O23" s="117" t="s">
        <v>139</v>
      </c>
      <c r="P23" s="96"/>
      <c r="Q23" s="97"/>
    </row>
    <row r="24" spans="1:17" s="62" customFormat="1" ht="141.75">
      <c r="A24" s="94"/>
      <c r="B24" s="95"/>
      <c r="C24" s="104" t="s">
        <v>122</v>
      </c>
      <c r="D24" s="119" t="s">
        <v>72</v>
      </c>
      <c r="E24" s="103">
        <v>43677</v>
      </c>
      <c r="F24" s="109">
        <v>43861</v>
      </c>
      <c r="G24" s="118" t="s">
        <v>50</v>
      </c>
      <c r="H24" s="105">
        <f t="shared" si="10"/>
        <v>3</v>
      </c>
      <c r="I24" s="105">
        <f t="shared" si="11"/>
        <v>3</v>
      </c>
      <c r="J24" s="106">
        <f t="shared" ca="1" si="12"/>
        <v>0.35271317829457366</v>
      </c>
      <c r="K24" s="106">
        <f t="shared" ca="1" si="13"/>
        <v>0.38759689922480622</v>
      </c>
      <c r="L24" s="107">
        <f>IF(OR(E24=0,F24=0),1,NETWORKDAYS(E24,F24,Feriados!$A$3:$A$100)*8)</f>
        <v>1032</v>
      </c>
      <c r="M24" s="107">
        <f ca="1">IF($N$3&lt;E24,0,IF($N$3&gt;=F24,L24,NETWORKDAYS(E24,$N$3,Feriados!$A$3:$A$100)*8))</f>
        <v>400</v>
      </c>
      <c r="N24" s="107">
        <f t="shared" ca="1" si="14"/>
        <v>364</v>
      </c>
      <c r="O24" s="117" t="s">
        <v>140</v>
      </c>
      <c r="P24" s="96"/>
      <c r="Q24" s="97"/>
    </row>
    <row r="25" spans="1:17" s="62" customFormat="1" ht="252">
      <c r="A25" s="94"/>
      <c r="B25" s="95"/>
      <c r="C25" s="104" t="s">
        <v>123</v>
      </c>
      <c r="D25" s="119" t="s">
        <v>73</v>
      </c>
      <c r="E25" s="103">
        <v>43677</v>
      </c>
      <c r="F25" s="109">
        <v>43861</v>
      </c>
      <c r="G25" s="118" t="s">
        <v>50</v>
      </c>
      <c r="H25" s="105">
        <f t="shared" si="10"/>
        <v>3</v>
      </c>
      <c r="I25" s="105">
        <f t="shared" si="11"/>
        <v>3</v>
      </c>
      <c r="J25" s="106">
        <f t="shared" ca="1" si="12"/>
        <v>0.35271317829457366</v>
      </c>
      <c r="K25" s="106">
        <f t="shared" ca="1" si="13"/>
        <v>0.38759689922480622</v>
      </c>
      <c r="L25" s="107">
        <f>IF(OR(E25=0,F25=0),1,NETWORKDAYS(E25,F25,Feriados!$A$3:$A$100)*8)</f>
        <v>1032</v>
      </c>
      <c r="M25" s="107">
        <f ca="1">IF($N$3&lt;E25,0,IF($N$3&gt;=F25,L25,NETWORKDAYS(E25,$N$3,Feriados!$A$3:$A$100)*8))</f>
        <v>400</v>
      </c>
      <c r="N25" s="107">
        <f t="shared" ca="1" si="14"/>
        <v>364</v>
      </c>
      <c r="O25" s="117" t="s">
        <v>141</v>
      </c>
      <c r="P25" s="96"/>
      <c r="Q25" s="97"/>
    </row>
    <row r="26" spans="1:17" s="62" customFormat="1" ht="63">
      <c r="A26" s="94"/>
      <c r="B26" s="95"/>
      <c r="C26" s="104" t="s">
        <v>111</v>
      </c>
      <c r="D26" s="119" t="s">
        <v>74</v>
      </c>
      <c r="E26" s="103">
        <v>43677</v>
      </c>
      <c r="F26" s="109">
        <v>43861</v>
      </c>
      <c r="G26" s="118"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0.35271317829457366</v>
      </c>
      <c r="K26" s="106">
        <f t="shared" ref="K26:K33" ca="1" si="18">IF(OR(D26="",D26="não há"),"-",IFERROR(M26/L26,IF(F26&lt;=TODAY(),1,0)))</f>
        <v>0.38759689922480622</v>
      </c>
      <c r="L26" s="107">
        <f>IF(OR(E26=0,F26=0),1,NETWORKDAYS(E26,F26,Feriados!$A$3:$A$100)*8)</f>
        <v>1032</v>
      </c>
      <c r="M26" s="107">
        <f ca="1">IF($N$3&lt;E26,0,IF($N$3&gt;=F26,L26,NETWORKDAYS(E26,$N$3,Feriados!$A$3:$A$100)*8))</f>
        <v>400</v>
      </c>
      <c r="N26" s="107">
        <f t="shared" ref="N26:N33" ca="1" si="19">J26*L26</f>
        <v>364</v>
      </c>
      <c r="O26" s="117" t="s">
        <v>142</v>
      </c>
      <c r="P26" s="96"/>
      <c r="Q26" s="97"/>
    </row>
    <row r="27" spans="1:17" s="62" customFormat="1" ht="157.5">
      <c r="A27" s="94"/>
      <c r="B27" s="95"/>
      <c r="C27" s="104" t="s">
        <v>112</v>
      </c>
      <c r="D27" s="119" t="s">
        <v>75</v>
      </c>
      <c r="E27" s="103">
        <v>43677</v>
      </c>
      <c r="F27" s="109">
        <v>43861</v>
      </c>
      <c r="G27" s="118" t="s">
        <v>50</v>
      </c>
      <c r="H27" s="105">
        <f t="shared" si="15"/>
        <v>3</v>
      </c>
      <c r="I27" s="105">
        <f t="shared" si="16"/>
        <v>3</v>
      </c>
      <c r="J27" s="106">
        <f t="shared" ca="1" si="17"/>
        <v>0.35271317829457366</v>
      </c>
      <c r="K27" s="106">
        <f t="shared" ca="1" si="18"/>
        <v>0.38759689922480622</v>
      </c>
      <c r="L27" s="107">
        <f>IF(OR(E27=0,F27=0),1,NETWORKDAYS(E27,F27,Feriados!$A$3:$A$100)*8)</f>
        <v>1032</v>
      </c>
      <c r="M27" s="107">
        <f ca="1">IF($N$3&lt;E27,0,IF($N$3&gt;=F27,L27,NETWORKDAYS(E27,$N$3,Feriados!$A$3:$A$100)*8))</f>
        <v>400</v>
      </c>
      <c r="N27" s="107">
        <f t="shared" ca="1" si="19"/>
        <v>364</v>
      </c>
      <c r="O27" s="117" t="s">
        <v>143</v>
      </c>
      <c r="P27" s="96"/>
      <c r="Q27" s="97"/>
    </row>
    <row r="28" spans="1:17" s="62" customFormat="1" ht="78.75">
      <c r="A28" s="94"/>
      <c r="B28" s="95"/>
      <c r="C28" s="104" t="s">
        <v>124</v>
      </c>
      <c r="D28" s="119" t="s">
        <v>76</v>
      </c>
      <c r="E28" s="103">
        <v>43677</v>
      </c>
      <c r="F28" s="109">
        <v>43861</v>
      </c>
      <c r="G28" s="118" t="s">
        <v>50</v>
      </c>
      <c r="H28" s="105">
        <f t="shared" si="15"/>
        <v>3</v>
      </c>
      <c r="I28" s="105">
        <f t="shared" si="16"/>
        <v>3</v>
      </c>
      <c r="J28" s="106">
        <f t="shared" ca="1" si="17"/>
        <v>0.35271317829457366</v>
      </c>
      <c r="K28" s="106">
        <f t="shared" ca="1" si="18"/>
        <v>0.38759689922480622</v>
      </c>
      <c r="L28" s="107">
        <f>IF(OR(E28=0,F28=0),1,NETWORKDAYS(E28,F28,Feriados!$A$3:$A$100)*8)</f>
        <v>1032</v>
      </c>
      <c r="M28" s="107">
        <f ca="1">IF($N$3&lt;E28,0,IF($N$3&gt;=F28,L28,NETWORKDAYS(E28,$N$3,Feriados!$A$3:$A$100)*8))</f>
        <v>400</v>
      </c>
      <c r="N28" s="107">
        <f t="shared" ca="1" si="19"/>
        <v>364</v>
      </c>
      <c r="O28" s="117" t="s">
        <v>144</v>
      </c>
      <c r="P28" s="96"/>
      <c r="Q28" s="97"/>
    </row>
    <row r="29" spans="1:17" s="62" customFormat="1" ht="126">
      <c r="A29" s="94"/>
      <c r="B29" s="95"/>
      <c r="C29" s="104" t="s">
        <v>113</v>
      </c>
      <c r="D29" s="119" t="s">
        <v>77</v>
      </c>
      <c r="E29" s="103">
        <v>43677</v>
      </c>
      <c r="F29" s="109">
        <v>43861</v>
      </c>
      <c r="G29" s="118" t="s">
        <v>50</v>
      </c>
      <c r="H29" s="105">
        <f t="shared" si="15"/>
        <v>3</v>
      </c>
      <c r="I29" s="105">
        <f t="shared" si="16"/>
        <v>3</v>
      </c>
      <c r="J29" s="106">
        <f t="shared" ca="1" si="17"/>
        <v>0.35271317829457366</v>
      </c>
      <c r="K29" s="106">
        <f t="shared" ca="1" si="18"/>
        <v>0.38759689922480622</v>
      </c>
      <c r="L29" s="107">
        <f>IF(OR(E29=0,F29=0),1,NETWORKDAYS(E29,F29,Feriados!$A$3:$A$100)*8)</f>
        <v>1032</v>
      </c>
      <c r="M29" s="107">
        <f ca="1">IF($N$3&lt;E29,0,IF($N$3&gt;=F29,L29,NETWORKDAYS(E29,$N$3,Feriados!$A$3:$A$100)*8))</f>
        <v>400</v>
      </c>
      <c r="N29" s="107">
        <f t="shared" ca="1" si="19"/>
        <v>364</v>
      </c>
      <c r="O29" s="117" t="s">
        <v>156</v>
      </c>
      <c r="P29" s="96"/>
      <c r="Q29" s="97"/>
    </row>
    <row r="30" spans="1:17" s="62" customFormat="1" ht="126">
      <c r="A30" s="94"/>
      <c r="B30" s="95"/>
      <c r="C30" s="104" t="s">
        <v>125</v>
      </c>
      <c r="D30" s="119" t="s">
        <v>78</v>
      </c>
      <c r="E30" s="103">
        <v>43677</v>
      </c>
      <c r="F30" s="109">
        <v>43861</v>
      </c>
      <c r="G30" s="118" t="s">
        <v>50</v>
      </c>
      <c r="H30" s="105">
        <f t="shared" si="15"/>
        <v>3</v>
      </c>
      <c r="I30" s="105">
        <f t="shared" si="16"/>
        <v>3</v>
      </c>
      <c r="J30" s="106">
        <f t="shared" ca="1" si="17"/>
        <v>0.35271317829457366</v>
      </c>
      <c r="K30" s="106">
        <f t="shared" ca="1" si="18"/>
        <v>0.38759689922480622</v>
      </c>
      <c r="L30" s="107">
        <f>IF(OR(E30=0,F30=0),1,NETWORKDAYS(E30,F30,Feriados!$A$3:$A$100)*8)</f>
        <v>1032</v>
      </c>
      <c r="M30" s="107">
        <f ca="1">IF($N$3&lt;E30,0,IF($N$3&gt;=F30,L30,NETWORKDAYS(E30,$N$3,Feriados!$A$3:$A$100)*8))</f>
        <v>400</v>
      </c>
      <c r="N30" s="107">
        <f t="shared" ca="1" si="19"/>
        <v>364</v>
      </c>
      <c r="O30" s="117" t="s">
        <v>135</v>
      </c>
      <c r="P30" s="96"/>
      <c r="Q30" s="97"/>
    </row>
    <row r="31" spans="1:17" s="62" customFormat="1" ht="189">
      <c r="A31" s="94"/>
      <c r="B31" s="95"/>
      <c r="C31" s="104" t="s">
        <v>126</v>
      </c>
      <c r="D31" s="119" t="s">
        <v>79</v>
      </c>
      <c r="E31" s="103">
        <v>43677</v>
      </c>
      <c r="F31" s="109">
        <v>43861</v>
      </c>
      <c r="G31" s="118" t="s">
        <v>50</v>
      </c>
      <c r="H31" s="105">
        <f t="shared" si="15"/>
        <v>3</v>
      </c>
      <c r="I31" s="105">
        <f t="shared" si="16"/>
        <v>3</v>
      </c>
      <c r="J31" s="106">
        <f t="shared" ca="1" si="17"/>
        <v>0.35271317829457366</v>
      </c>
      <c r="K31" s="106">
        <f t="shared" ca="1" si="18"/>
        <v>0.38759689922480622</v>
      </c>
      <c r="L31" s="107">
        <f>IF(OR(E31=0,F31=0),1,NETWORKDAYS(E31,F31,Feriados!$A$3:$A$100)*8)</f>
        <v>1032</v>
      </c>
      <c r="M31" s="107">
        <f ca="1">IF($N$3&lt;E31,0,IF($N$3&gt;=F31,L31,NETWORKDAYS(E31,$N$3,Feriados!$A$3:$A$100)*8))</f>
        <v>400</v>
      </c>
      <c r="N31" s="107">
        <f t="shared" ca="1" si="19"/>
        <v>364</v>
      </c>
      <c r="O31" s="117" t="s">
        <v>145</v>
      </c>
      <c r="P31" s="96"/>
      <c r="Q31" s="97"/>
    </row>
    <row r="32" spans="1:17" s="62" customFormat="1" ht="47.25">
      <c r="A32" s="94"/>
      <c r="B32" s="95"/>
      <c r="C32" s="104" t="s">
        <v>127</v>
      </c>
      <c r="D32" s="119" t="s">
        <v>80</v>
      </c>
      <c r="E32" s="103">
        <v>43677</v>
      </c>
      <c r="F32" s="109">
        <v>43861</v>
      </c>
      <c r="G32" s="118" t="s">
        <v>50</v>
      </c>
      <c r="H32" s="105">
        <f t="shared" si="15"/>
        <v>3</v>
      </c>
      <c r="I32" s="105">
        <f t="shared" si="16"/>
        <v>3</v>
      </c>
      <c r="J32" s="106">
        <f t="shared" ca="1" si="17"/>
        <v>0.35271317829457366</v>
      </c>
      <c r="K32" s="106">
        <f t="shared" ca="1" si="18"/>
        <v>0.38759689922480622</v>
      </c>
      <c r="L32" s="107">
        <f>IF(OR(E32=0,F32=0),1,NETWORKDAYS(E32,F32,Feriados!$A$3:$A$100)*8)</f>
        <v>1032</v>
      </c>
      <c r="M32" s="107">
        <f ca="1">IF($N$3&lt;E32,0,IF($N$3&gt;=F32,L32,NETWORKDAYS(E32,$N$3,Feriados!$A$3:$A$100)*8))</f>
        <v>400</v>
      </c>
      <c r="N32" s="107">
        <f t="shared" ca="1" si="19"/>
        <v>364</v>
      </c>
      <c r="O32" s="117" t="s">
        <v>146</v>
      </c>
      <c r="P32" s="96"/>
      <c r="Q32" s="97"/>
    </row>
    <row r="33" spans="1:43" s="62" customFormat="1" ht="63">
      <c r="A33" s="94"/>
      <c r="B33" s="95"/>
      <c r="C33" s="104" t="s">
        <v>108</v>
      </c>
      <c r="D33" s="119" t="s">
        <v>81</v>
      </c>
      <c r="E33" s="103">
        <v>43677</v>
      </c>
      <c r="F33" s="109">
        <v>43921</v>
      </c>
      <c r="G33" s="118" t="s">
        <v>50</v>
      </c>
      <c r="H33" s="105">
        <f t="shared" si="15"/>
        <v>3</v>
      </c>
      <c r="I33" s="105">
        <f t="shared" si="16"/>
        <v>3</v>
      </c>
      <c r="J33" s="106">
        <f t="shared" ca="1" si="17"/>
        <v>0.26608187134502925</v>
      </c>
      <c r="K33" s="106">
        <f t="shared" ca="1" si="18"/>
        <v>0.29239766081871343</v>
      </c>
      <c r="L33" s="107">
        <f>IF(OR(E33=0,F33=0),1,NETWORKDAYS(E33,F33,Feriados!$A$3:$A$100)*8)</f>
        <v>1368</v>
      </c>
      <c r="M33" s="107">
        <f ca="1">IF($N$3&lt;E33,0,IF($N$3&gt;=F33,L33,NETWORKDAYS(E33,$N$3,Feriados!$A$3:$A$100)*8))</f>
        <v>400</v>
      </c>
      <c r="N33" s="107">
        <f t="shared" ca="1" si="19"/>
        <v>364</v>
      </c>
      <c r="O33" s="117" t="s">
        <v>147</v>
      </c>
      <c r="P33" s="96"/>
      <c r="Q33" s="97"/>
    </row>
    <row r="34" spans="1:43" s="62" customFormat="1" ht="47.25">
      <c r="A34" s="94"/>
      <c r="B34" s="95"/>
      <c r="C34" s="104" t="s">
        <v>109</v>
      </c>
      <c r="D34" s="119" t="s">
        <v>82</v>
      </c>
      <c r="E34" s="103">
        <v>43677</v>
      </c>
      <c r="F34" s="109">
        <v>44043</v>
      </c>
      <c r="G34" s="118"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0.17704280155642024</v>
      </c>
      <c r="K34" s="106">
        <f t="shared" ref="K34:K41" ca="1" si="23">IF(OR(D34="",D34="não há"),"-",IFERROR(M34/L34,IF(F34&lt;=TODAY(),1,0)))</f>
        <v>0.19455252918287938</v>
      </c>
      <c r="L34" s="107">
        <f>IF(OR(E34=0,F34=0),1,NETWORKDAYS(E34,F34,Feriados!$A$3:$A$100)*8)</f>
        <v>2056</v>
      </c>
      <c r="M34" s="107">
        <f ca="1">IF($N$3&lt;E34,0,IF($N$3&gt;=F34,L34,NETWORKDAYS(E34,$N$3,Feriados!$A$3:$A$100)*8))</f>
        <v>400</v>
      </c>
      <c r="N34" s="107">
        <f t="shared" ref="N34:N41" ca="1" si="24">J34*L34</f>
        <v>364</v>
      </c>
      <c r="O34" s="117" t="s">
        <v>148</v>
      </c>
      <c r="P34" s="96"/>
      <c r="Q34" s="97"/>
    </row>
    <row r="35" spans="1:43" s="62" customFormat="1" ht="78.75">
      <c r="A35" s="94"/>
      <c r="B35" s="95"/>
      <c r="C35" s="104" t="s">
        <v>114</v>
      </c>
      <c r="D35" s="119" t="s">
        <v>83</v>
      </c>
      <c r="E35" s="103">
        <v>43677</v>
      </c>
      <c r="F35" s="109">
        <v>44043</v>
      </c>
      <c r="G35" s="118" t="s">
        <v>50</v>
      </c>
      <c r="H35" s="105">
        <f t="shared" si="20"/>
        <v>3</v>
      </c>
      <c r="I35" s="105">
        <f t="shared" si="21"/>
        <v>3</v>
      </c>
      <c r="J35" s="106">
        <f t="shared" ca="1" si="22"/>
        <v>0.17704280155642024</v>
      </c>
      <c r="K35" s="106">
        <f t="shared" ca="1" si="23"/>
        <v>0.19455252918287938</v>
      </c>
      <c r="L35" s="107">
        <f>IF(OR(E35=0,F35=0),1,NETWORKDAYS(E35,F35,Feriados!$A$3:$A$100)*8)</f>
        <v>2056</v>
      </c>
      <c r="M35" s="107">
        <f ca="1">IF($N$3&lt;E35,0,IF($N$3&gt;=F35,L35,NETWORKDAYS(E35,$N$3,Feriados!$A$3:$A$100)*8))</f>
        <v>400</v>
      </c>
      <c r="N35" s="107">
        <f t="shared" ca="1" si="24"/>
        <v>364</v>
      </c>
      <c r="O35" s="117" t="s">
        <v>149</v>
      </c>
      <c r="P35" s="96"/>
      <c r="Q35" s="97"/>
    </row>
    <row r="36" spans="1:43" s="62" customFormat="1" ht="63">
      <c r="A36" s="94"/>
      <c r="B36" s="95"/>
      <c r="C36" s="104" t="s">
        <v>128</v>
      </c>
      <c r="D36" s="119" t="s">
        <v>84</v>
      </c>
      <c r="E36" s="103">
        <v>43677</v>
      </c>
      <c r="F36" s="109">
        <v>44043</v>
      </c>
      <c r="G36" s="118" t="s">
        <v>50</v>
      </c>
      <c r="H36" s="105">
        <f t="shared" si="20"/>
        <v>3</v>
      </c>
      <c r="I36" s="105">
        <f t="shared" si="21"/>
        <v>3</v>
      </c>
      <c r="J36" s="106">
        <f t="shared" ca="1" si="22"/>
        <v>0.17704280155642024</v>
      </c>
      <c r="K36" s="106">
        <f t="shared" ca="1" si="23"/>
        <v>0.19455252918287938</v>
      </c>
      <c r="L36" s="107">
        <f>IF(OR(E36=0,F36=0),1,NETWORKDAYS(E36,F36,Feriados!$A$3:$A$100)*8)</f>
        <v>2056</v>
      </c>
      <c r="M36" s="107">
        <f ca="1">IF($N$3&lt;E36,0,IF($N$3&gt;=F36,L36,NETWORKDAYS(E36,$N$3,Feriados!$A$3:$A$100)*8))</f>
        <v>400</v>
      </c>
      <c r="N36" s="107">
        <f t="shared" ca="1" si="24"/>
        <v>364</v>
      </c>
      <c r="O36" s="117" t="s">
        <v>150</v>
      </c>
      <c r="P36" s="96"/>
      <c r="Q36" s="97"/>
    </row>
    <row r="37" spans="1:43" s="62" customFormat="1" ht="47.25">
      <c r="A37" s="94"/>
      <c r="B37" s="95"/>
      <c r="C37" s="104" t="s">
        <v>129</v>
      </c>
      <c r="D37" s="119" t="s">
        <v>85</v>
      </c>
      <c r="E37" s="103">
        <v>43677</v>
      </c>
      <c r="F37" s="109">
        <v>44043</v>
      </c>
      <c r="G37" s="118" t="s">
        <v>50</v>
      </c>
      <c r="H37" s="105">
        <f t="shared" si="20"/>
        <v>3</v>
      </c>
      <c r="I37" s="105">
        <f t="shared" si="21"/>
        <v>3</v>
      </c>
      <c r="J37" s="106">
        <f t="shared" ca="1" si="22"/>
        <v>0.17704280155642024</v>
      </c>
      <c r="K37" s="106">
        <f t="shared" ca="1" si="23"/>
        <v>0.19455252918287938</v>
      </c>
      <c r="L37" s="107">
        <f>IF(OR(E37=0,F37=0),1,NETWORKDAYS(E37,F37,Feriados!$A$3:$A$100)*8)</f>
        <v>2056</v>
      </c>
      <c r="M37" s="107">
        <f ca="1">IF($N$3&lt;E37,0,IF($N$3&gt;=F37,L37,NETWORKDAYS(E37,$N$3,Feriados!$A$3:$A$100)*8))</f>
        <v>400</v>
      </c>
      <c r="N37" s="107">
        <f t="shared" ca="1" si="24"/>
        <v>364</v>
      </c>
      <c r="O37" s="117" t="s">
        <v>151</v>
      </c>
      <c r="P37" s="96"/>
      <c r="Q37" s="97"/>
    </row>
    <row r="38" spans="1:43" s="62" customFormat="1" ht="126">
      <c r="A38" s="94"/>
      <c r="B38" s="95"/>
      <c r="C38" s="104" t="s">
        <v>115</v>
      </c>
      <c r="D38" s="119" t="s">
        <v>86</v>
      </c>
      <c r="E38" s="103">
        <v>43677</v>
      </c>
      <c r="F38" s="109">
        <v>44043</v>
      </c>
      <c r="G38" s="118" t="s">
        <v>50</v>
      </c>
      <c r="H38" s="105">
        <f t="shared" si="20"/>
        <v>3</v>
      </c>
      <c r="I38" s="105">
        <f t="shared" si="21"/>
        <v>3</v>
      </c>
      <c r="J38" s="106">
        <f t="shared" ca="1" si="22"/>
        <v>0.17704280155642024</v>
      </c>
      <c r="K38" s="106">
        <f t="shared" ca="1" si="23"/>
        <v>0.19455252918287938</v>
      </c>
      <c r="L38" s="107">
        <f>IF(OR(E38=0,F38=0),1,NETWORKDAYS(E38,F38,Feriados!$A$3:$A$100)*8)</f>
        <v>2056</v>
      </c>
      <c r="M38" s="107">
        <f ca="1">IF($N$3&lt;E38,0,IF($N$3&gt;=F38,L38,NETWORKDAYS(E38,$N$3,Feriados!$A$3:$A$100)*8))</f>
        <v>400</v>
      </c>
      <c r="N38" s="107">
        <f t="shared" ca="1" si="24"/>
        <v>364</v>
      </c>
      <c r="O38" s="117" t="s">
        <v>152</v>
      </c>
      <c r="P38" s="96"/>
      <c r="Q38" s="97"/>
    </row>
    <row r="39" spans="1:43" s="62" customFormat="1" ht="189">
      <c r="A39" s="94"/>
      <c r="B39" s="95"/>
      <c r="C39" s="104" t="s">
        <v>130</v>
      </c>
      <c r="D39" s="119" t="s">
        <v>87</v>
      </c>
      <c r="E39" s="103">
        <v>43677</v>
      </c>
      <c r="F39" s="109">
        <v>44043</v>
      </c>
      <c r="G39" s="118" t="s">
        <v>50</v>
      </c>
      <c r="H39" s="105">
        <f t="shared" si="20"/>
        <v>3</v>
      </c>
      <c r="I39" s="105">
        <f t="shared" si="21"/>
        <v>3</v>
      </c>
      <c r="J39" s="106">
        <f t="shared" ca="1" si="22"/>
        <v>0.17704280155642024</v>
      </c>
      <c r="K39" s="106">
        <f t="shared" ca="1" si="23"/>
        <v>0.19455252918287938</v>
      </c>
      <c r="L39" s="107">
        <f>IF(OR(E39=0,F39=0),1,NETWORKDAYS(E39,F39,Feriados!$A$3:$A$100)*8)</f>
        <v>2056</v>
      </c>
      <c r="M39" s="107">
        <f ca="1">IF($N$3&lt;E39,0,IF($N$3&gt;=F39,L39,NETWORKDAYS(E39,$N$3,Feriados!$A$3:$A$100)*8))</f>
        <v>400</v>
      </c>
      <c r="N39" s="107">
        <f t="shared" ca="1" si="24"/>
        <v>364</v>
      </c>
      <c r="O39" s="117" t="s">
        <v>145</v>
      </c>
      <c r="P39" s="96"/>
      <c r="Q39" s="97"/>
    </row>
    <row r="40" spans="1:43" s="62" customFormat="1" ht="31.5">
      <c r="A40" s="94"/>
      <c r="B40" s="95"/>
      <c r="C40" s="104" t="s">
        <v>131</v>
      </c>
      <c r="D40" s="119" t="s">
        <v>88</v>
      </c>
      <c r="E40" s="103">
        <v>43677</v>
      </c>
      <c r="F40" s="109">
        <v>44043</v>
      </c>
      <c r="G40" s="118" t="s">
        <v>50</v>
      </c>
      <c r="H40" s="105">
        <f t="shared" si="20"/>
        <v>3</v>
      </c>
      <c r="I40" s="105">
        <f t="shared" si="21"/>
        <v>3</v>
      </c>
      <c r="J40" s="106">
        <f t="shared" ca="1" si="22"/>
        <v>0.17704280155642024</v>
      </c>
      <c r="K40" s="106">
        <f t="shared" ca="1" si="23"/>
        <v>0.19455252918287938</v>
      </c>
      <c r="L40" s="107">
        <f>IF(OR(E40=0,F40=0),1,NETWORKDAYS(E40,F40,Feriados!$A$3:$A$100)*8)</f>
        <v>2056</v>
      </c>
      <c r="M40" s="107">
        <f ca="1">IF($N$3&lt;E40,0,IF($N$3&gt;=F40,L40,NETWORKDAYS(E40,$N$3,Feriados!$A$3:$A$100)*8))</f>
        <v>400</v>
      </c>
      <c r="N40" s="107">
        <f t="shared" ca="1" si="24"/>
        <v>364</v>
      </c>
      <c r="O40" s="117" t="s">
        <v>146</v>
      </c>
      <c r="P40" s="96"/>
      <c r="Q40" s="97"/>
    </row>
    <row r="41" spans="1:43" s="62" customFormat="1" ht="157.5">
      <c r="A41" s="94"/>
      <c r="B41" s="95"/>
      <c r="C41" s="104" t="s">
        <v>132</v>
      </c>
      <c r="D41" s="119" t="s">
        <v>89</v>
      </c>
      <c r="E41" s="103">
        <v>43677</v>
      </c>
      <c r="F41" s="109">
        <v>44043</v>
      </c>
      <c r="G41" s="118" t="s">
        <v>50</v>
      </c>
      <c r="H41" s="105">
        <f t="shared" si="20"/>
        <v>3</v>
      </c>
      <c r="I41" s="105">
        <f t="shared" si="21"/>
        <v>3</v>
      </c>
      <c r="J41" s="106">
        <f t="shared" ca="1" si="22"/>
        <v>0.17704280155642024</v>
      </c>
      <c r="K41" s="106">
        <f t="shared" ca="1" si="23"/>
        <v>0.19455252918287938</v>
      </c>
      <c r="L41" s="107">
        <f>IF(OR(E41=0,F41=0),1,NETWORKDAYS(E41,F41,Feriados!$A$3:$A$100)*8)</f>
        <v>2056</v>
      </c>
      <c r="M41" s="107">
        <f ca="1">IF($N$3&lt;E41,0,IF($N$3&gt;=F41,L41,NETWORKDAYS(E41,$N$3,Feriados!$A$3:$A$100)*8))</f>
        <v>400</v>
      </c>
      <c r="N41" s="107">
        <f t="shared" ca="1" si="24"/>
        <v>364</v>
      </c>
      <c r="O41" s="117" t="s">
        <v>153</v>
      </c>
      <c r="P41" s="96"/>
      <c r="Q41" s="97"/>
    </row>
    <row r="42" spans="1:43" s="62" customFormat="1" ht="94.5">
      <c r="A42" s="94"/>
      <c r="B42" s="95"/>
      <c r="C42" s="104" t="s">
        <v>133</v>
      </c>
      <c r="D42" s="119" t="s">
        <v>90</v>
      </c>
      <c r="E42" s="103">
        <v>43677</v>
      </c>
      <c r="F42" s="109">
        <v>44408</v>
      </c>
      <c r="G42" s="118" t="s">
        <v>50</v>
      </c>
      <c r="H42" s="105">
        <f t="shared" ref="H42" si="25">I42</f>
        <v>3</v>
      </c>
      <c r="I42" s="105">
        <f t="shared" ref="I42" si="26">IF(G42="PREOCUPANTE",1,IF(G42="ATENÇÃO",2,IF(G42="ADEQUADO",3,IF(G42="CONCLUÍDO",4,""))))</f>
        <v>3</v>
      </c>
      <c r="J42" s="106">
        <f t="shared" ref="J42" ca="1" si="27">IF(G42="CONCLUÍDO",1,IF(G42="ADEQUADO",0.91*K42,IF(G42="ATENÇÃO",0.6*K42,IF(G42="PREOCUPANTE",0.5*K42))))</f>
        <v>8.88671875E-2</v>
      </c>
      <c r="K42" s="106">
        <f t="shared" ref="K42" ca="1" si="28">IF(OR(D42="",D42="não há"),"-",IFERROR(M42/L42,IF(F42&lt;=TODAY(),1,0)))</f>
        <v>9.765625E-2</v>
      </c>
      <c r="L42" s="107">
        <f>IF(OR(E42=0,F42=0),1,NETWORKDAYS(E42,F42,Feriados!$A$3:$A$100)*8)</f>
        <v>4096</v>
      </c>
      <c r="M42" s="107">
        <f ca="1">IF($N$3&lt;E42,0,IF($N$3&gt;=F42,L42,NETWORKDAYS(E42,$N$3,Feriados!$A$3:$A$100)*8))</f>
        <v>400</v>
      </c>
      <c r="N42" s="107">
        <f t="shared" ref="N42" ca="1" si="29">J42*L42</f>
        <v>364</v>
      </c>
      <c r="O42" s="117" t="s">
        <v>154</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44" priority="319" operator="notEqual">
      <formula>"A detalhar"</formula>
    </cfRule>
  </conditionalFormatting>
  <conditionalFormatting sqref="C43">
    <cfRule type="cellIs" dxfId="43"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42"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41" priority="117" operator="notEqual">
      <formula>"A detalhar"</formula>
    </cfRule>
  </conditionalFormatting>
  <conditionalFormatting sqref="C21">
    <cfRule type="cellIs" dxfId="40" priority="111" operator="notEqual">
      <formula>"A detalhar"</formula>
    </cfRule>
  </conditionalFormatting>
  <conditionalFormatting sqref="C22">
    <cfRule type="cellIs" dxfId="39" priority="105" operator="notEqual">
      <formula>"A detalhar"</formula>
    </cfRule>
  </conditionalFormatting>
  <conditionalFormatting sqref="C23">
    <cfRule type="cellIs" dxfId="38" priority="99" operator="notEqual">
      <formula>"A detalhar"</formula>
    </cfRule>
  </conditionalFormatting>
  <conditionalFormatting sqref="C24">
    <cfRule type="cellIs" dxfId="37" priority="93" operator="notEqual">
      <formula>"A detalhar"</formula>
    </cfRule>
  </conditionalFormatting>
  <conditionalFormatting sqref="C25">
    <cfRule type="cellIs" dxfId="36" priority="87" operator="notEqual">
      <formula>"A detalhar"</formula>
    </cfRule>
  </conditionalFormatting>
  <conditionalFormatting sqref="C26">
    <cfRule type="cellIs" dxfId="35" priority="81" operator="notEqual">
      <formula>"A detalhar"</formula>
    </cfRule>
  </conditionalFormatting>
  <conditionalFormatting sqref="C27">
    <cfRule type="cellIs" dxfId="34" priority="75" operator="notEqual">
      <formula>"A detalhar"</formula>
    </cfRule>
  </conditionalFormatting>
  <conditionalFormatting sqref="C28">
    <cfRule type="cellIs" dxfId="33" priority="69" operator="notEqual">
      <formula>"A detalhar"</formula>
    </cfRule>
  </conditionalFormatting>
  <conditionalFormatting sqref="C29">
    <cfRule type="cellIs" dxfId="32" priority="63" operator="notEqual">
      <formula>"A detalhar"</formula>
    </cfRule>
  </conditionalFormatting>
  <conditionalFormatting sqref="C30">
    <cfRule type="cellIs" dxfId="31" priority="57" operator="notEqual">
      <formula>"A detalhar"</formula>
    </cfRule>
  </conditionalFormatting>
  <conditionalFormatting sqref="C31">
    <cfRule type="cellIs" dxfId="30" priority="51" operator="notEqual">
      <formula>"A detalhar"</formula>
    </cfRule>
  </conditionalFormatting>
  <conditionalFormatting sqref="C32">
    <cfRule type="cellIs" dxfId="29" priority="45" operator="notEqual">
      <formula>"A detalhar"</formula>
    </cfRule>
  </conditionalFormatting>
  <conditionalFormatting sqref="C33">
    <cfRule type="cellIs" dxfId="28" priority="39" operator="notEqual">
      <formula>"A detalhar"</formula>
    </cfRule>
  </conditionalFormatting>
  <conditionalFormatting sqref="C34">
    <cfRule type="cellIs" dxfId="27" priority="33" operator="notEqual">
      <formula>"A detalhar"</formula>
    </cfRule>
  </conditionalFormatting>
  <conditionalFormatting sqref="G19:G34">
    <cfRule type="containsText" dxfId="26" priority="26" operator="containsText" text="ATENÇÃO">
      <formula>NOT(ISERROR(SEARCH("ATENÇÃO",G19)))</formula>
    </cfRule>
    <cfRule type="containsText" dxfId="25" priority="27" operator="containsText" text="ADEQUADO">
      <formula>NOT(ISERROR(SEARCH("ADEQUADO",G19)))</formula>
    </cfRule>
    <cfRule type="containsText" dxfId="24" priority="28" operator="containsText" text="PREOCUPANTE">
      <formula>NOT(ISERROR(SEARCH("PREOCUPANTE",G19)))</formula>
    </cfRule>
  </conditionalFormatting>
  <conditionalFormatting sqref="G19:G34">
    <cfRule type="containsText" dxfId="23" priority="25" operator="containsText" text="SUSPENSO">
      <formula>NOT(ISERROR(SEARCH("SUSPENSO",G19)))</formula>
    </cfRule>
  </conditionalFormatting>
  <conditionalFormatting sqref="C35">
    <cfRule type="cellIs" dxfId="22" priority="23" operator="notEqual">
      <formula>"A detalhar"</formula>
    </cfRule>
  </conditionalFormatting>
  <conditionalFormatting sqref="C36">
    <cfRule type="cellIs" dxfId="21" priority="21" operator="notEqual">
      <formula>"A detalhar"</formula>
    </cfRule>
  </conditionalFormatting>
  <conditionalFormatting sqref="C37">
    <cfRule type="cellIs" dxfId="20" priority="19" operator="notEqual">
      <formula>"A detalhar"</formula>
    </cfRule>
  </conditionalFormatting>
  <conditionalFormatting sqref="C38">
    <cfRule type="cellIs" dxfId="19" priority="17" operator="notEqual">
      <formula>"A detalhar"</formula>
    </cfRule>
  </conditionalFormatting>
  <conditionalFormatting sqref="C39">
    <cfRule type="cellIs" dxfId="18" priority="15" operator="notEqual">
      <formula>"A detalhar"</formula>
    </cfRule>
  </conditionalFormatting>
  <conditionalFormatting sqref="C40">
    <cfRule type="cellIs" dxfId="17" priority="13" operator="notEqual">
      <formula>"A detalhar"</formula>
    </cfRule>
  </conditionalFormatting>
  <conditionalFormatting sqref="C41">
    <cfRule type="cellIs" dxfId="16" priority="11" operator="notEqual">
      <formula>"A detalhar"</formula>
    </cfRule>
  </conditionalFormatting>
  <conditionalFormatting sqref="C42">
    <cfRule type="cellIs" dxfId="15" priority="9" operator="notEqual">
      <formula>"A detalhar"</formula>
    </cfRule>
  </conditionalFormatting>
  <conditionalFormatting sqref="G35:G42">
    <cfRule type="containsText" dxfId="14" priority="2" operator="containsText" text="ATENÇÃO">
      <formula>NOT(ISERROR(SEARCH("ATENÇÃO",G35)))</formula>
    </cfRule>
    <cfRule type="containsText" dxfId="13" priority="3" operator="containsText" text="ADEQUADO">
      <formula>NOT(ISERROR(SEARCH("ADEQUADO",G35)))</formula>
    </cfRule>
    <cfRule type="containsText" dxfId="12" priority="4" operator="containsText" text="PREOCUPANTE">
      <formula>NOT(ISERROR(SEARCH("PREOCUPANTE",G35)))</formula>
    </cfRule>
  </conditionalFormatting>
  <conditionalFormatting sqref="G35:G42">
    <cfRule type="containsText" dxfId="11"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43" t="s">
        <v>1</v>
      </c>
      <c r="B1" s="143"/>
      <c r="C1" s="143"/>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44" t="s">
        <v>35</v>
      </c>
      <c r="F2" s="145"/>
      <c r="G2" s="46"/>
      <c r="I2" s="146" t="s">
        <v>37</v>
      </c>
      <c r="J2" s="146"/>
      <c r="M2" s="146" t="s">
        <v>35</v>
      </c>
      <c r="N2" s="146"/>
      <c r="O2" s="146"/>
      <c r="P2" s="146"/>
      <c r="Q2" s="146"/>
      <c r="R2" s="146"/>
      <c r="S2" s="146"/>
    </row>
    <row r="3" spans="1:19">
      <c r="A3" s="47">
        <f ca="1">SUM(STATUS_REPORT!M19:M991)/SUM(STATUS_REPORT!L19:L991)</f>
        <v>0.268384074941452</v>
      </c>
      <c r="B3" s="47">
        <f ca="1">SUM(STATUS_REPORT!N19:N991)/SUM(STATUS_REPORT!L19:L991)</f>
        <v>0.26955503512880563</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0.73044496487119437</v>
      </c>
      <c r="E3" s="48" t="s">
        <v>48</v>
      </c>
      <c r="F3" s="49">
        <v>0.5</v>
      </c>
      <c r="G3" s="50">
        <f>F3-0.99%</f>
        <v>0.49009999999999998</v>
      </c>
      <c r="I3" s="48" t="s">
        <v>38</v>
      </c>
      <c r="J3" s="51">
        <f ca="1">P4*100</f>
        <v>100.43630017452007</v>
      </c>
      <c r="K3" s="49">
        <f ca="1">J3/100</f>
        <v>1.0043630017452008</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1.0043630017452008</v>
      </c>
      <c r="Q4" s="55" t="s">
        <v>30</v>
      </c>
      <c r="R4" s="58">
        <v>0</v>
      </c>
      <c r="S4" s="59">
        <v>0</v>
      </c>
    </row>
    <row r="5" spans="1:19">
      <c r="E5" s="48" t="s">
        <v>50</v>
      </c>
      <c r="F5" s="60">
        <v>0.1</v>
      </c>
      <c r="G5" s="61"/>
      <c r="I5" s="48" t="s">
        <v>40</v>
      </c>
      <c r="J5" s="54">
        <f ca="1">200-(J3+J4)</f>
        <v>97.063699825479929</v>
      </c>
      <c r="M5" s="55" t="s">
        <v>25</v>
      </c>
      <c r="N5" s="56">
        <f>20/100</f>
        <v>0.2</v>
      </c>
      <c r="O5" s="62"/>
      <c r="P5" s="62"/>
      <c r="Q5" s="55" t="s">
        <v>33</v>
      </c>
      <c r="R5" s="63">
        <f ca="1">-COS(PI()*P4/N7)+1+COS(PI()*P4/N7)</f>
        <v>1</v>
      </c>
      <c r="S5" s="63">
        <f ca="1">SIN(PI()*P4/N7)+P4-SIN(PI()*P4/N7)</f>
        <v>1.0043630017452008</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30" customWidth="1"/>
    <col min="2" max="2" width="54.140625" style="130" customWidth="1"/>
    <col min="3" max="4" width="118.140625" style="130" customWidth="1"/>
    <col min="5" max="16384" width="9.140625" style="122"/>
  </cols>
  <sheetData>
    <row r="1" spans="1:4">
      <c r="A1" s="120" t="s">
        <v>116</v>
      </c>
      <c r="B1" s="120" t="s">
        <v>117</v>
      </c>
      <c r="C1" s="121" t="s">
        <v>120</v>
      </c>
      <c r="D1" s="121" t="s">
        <v>119</v>
      </c>
    </row>
    <row r="2" spans="1:4" ht="116.25" customHeight="1">
      <c r="A2" s="123">
        <v>0</v>
      </c>
      <c r="B2" s="124" t="s">
        <v>118</v>
      </c>
      <c r="C2" s="125"/>
      <c r="D2" s="125" t="s">
        <v>104</v>
      </c>
    </row>
    <row r="3" spans="1:4" ht="76.5">
      <c r="A3" s="126">
        <v>1</v>
      </c>
      <c r="B3" s="127" t="s">
        <v>67</v>
      </c>
      <c r="C3" s="128"/>
      <c r="D3" s="128" t="s">
        <v>91</v>
      </c>
    </row>
    <row r="4" spans="1:4" ht="76.5">
      <c r="A4" s="126">
        <v>2</v>
      </c>
      <c r="B4" s="127" t="s">
        <v>68</v>
      </c>
      <c r="C4" s="128"/>
      <c r="D4" s="128" t="s">
        <v>92</v>
      </c>
    </row>
    <row r="5" spans="1:4" ht="63.75">
      <c r="A5" s="126">
        <v>3</v>
      </c>
      <c r="B5" s="127" t="s">
        <v>69</v>
      </c>
      <c r="C5" s="128"/>
      <c r="D5" s="128" t="s">
        <v>93</v>
      </c>
    </row>
    <row r="6" spans="1:4" ht="51">
      <c r="A6" s="126">
        <v>4</v>
      </c>
      <c r="B6" s="127" t="s">
        <v>70</v>
      </c>
      <c r="C6" s="128"/>
      <c r="D6" s="128" t="s">
        <v>94</v>
      </c>
    </row>
    <row r="7" spans="1:4" ht="51">
      <c r="A7" s="126">
        <v>5</v>
      </c>
      <c r="B7" s="127" t="s">
        <v>71</v>
      </c>
      <c r="C7" s="128"/>
      <c r="D7" s="128" t="s">
        <v>94</v>
      </c>
    </row>
    <row r="8" spans="1:4" ht="110.25">
      <c r="A8" s="126">
        <v>6</v>
      </c>
      <c r="B8" s="127" t="s">
        <v>72</v>
      </c>
      <c r="C8" s="128"/>
      <c r="D8" s="128" t="s">
        <v>95</v>
      </c>
    </row>
    <row r="9" spans="1:4" ht="63.75">
      <c r="A9" s="126">
        <v>7</v>
      </c>
      <c r="B9" s="127" t="s">
        <v>73</v>
      </c>
      <c r="C9" s="128"/>
      <c r="D9" s="128" t="s">
        <v>96</v>
      </c>
    </row>
    <row r="10" spans="1:4" ht="51">
      <c r="A10" s="126">
        <v>8</v>
      </c>
      <c r="B10" s="127" t="s">
        <v>74</v>
      </c>
      <c r="C10" s="128"/>
      <c r="D10" s="128" t="s">
        <v>94</v>
      </c>
    </row>
    <row r="11" spans="1:4" ht="51">
      <c r="A11" s="126">
        <v>9</v>
      </c>
      <c r="B11" s="127" t="s">
        <v>75</v>
      </c>
      <c r="C11" s="128"/>
      <c r="D11" s="128" t="s">
        <v>94</v>
      </c>
    </row>
    <row r="12" spans="1:4" ht="51">
      <c r="A12" s="126">
        <v>10</v>
      </c>
      <c r="B12" s="127" t="s">
        <v>76</v>
      </c>
      <c r="C12" s="128"/>
      <c r="D12" s="128" t="s">
        <v>94</v>
      </c>
    </row>
    <row r="13" spans="1:4" ht="51">
      <c r="A13" s="126">
        <v>11</v>
      </c>
      <c r="B13" s="127" t="s">
        <v>77</v>
      </c>
      <c r="C13" s="128"/>
      <c r="D13" s="128" t="s">
        <v>94</v>
      </c>
    </row>
    <row r="14" spans="1:4" ht="51">
      <c r="A14" s="126">
        <v>12</v>
      </c>
      <c r="B14" s="127" t="s">
        <v>78</v>
      </c>
      <c r="C14" s="128"/>
      <c r="D14" s="128" t="s">
        <v>94</v>
      </c>
    </row>
    <row r="15" spans="1:4" ht="51">
      <c r="A15" s="126">
        <v>13</v>
      </c>
      <c r="B15" s="127" t="s">
        <v>79</v>
      </c>
      <c r="C15" s="128"/>
      <c r="D15" s="128" t="s">
        <v>97</v>
      </c>
    </row>
    <row r="16" spans="1:4" ht="51">
      <c r="A16" s="126">
        <v>14</v>
      </c>
      <c r="B16" s="127" t="s">
        <v>80</v>
      </c>
      <c r="C16" s="128"/>
      <c r="D16" s="128" t="s">
        <v>94</v>
      </c>
    </row>
    <row r="17" spans="1:4" ht="47.25">
      <c r="A17" s="126">
        <v>15</v>
      </c>
      <c r="B17" s="127" t="s">
        <v>81</v>
      </c>
      <c r="C17" s="128"/>
      <c r="D17" s="128" t="s">
        <v>98</v>
      </c>
    </row>
    <row r="18" spans="1:4" ht="51">
      <c r="A18" s="126">
        <v>16</v>
      </c>
      <c r="B18" s="127" t="s">
        <v>82</v>
      </c>
      <c r="C18" s="128"/>
      <c r="D18" s="128" t="s">
        <v>94</v>
      </c>
    </row>
    <row r="19" spans="1:4" ht="38.25">
      <c r="A19" s="126">
        <v>17</v>
      </c>
      <c r="B19" s="127" t="s">
        <v>83</v>
      </c>
      <c r="C19" s="128"/>
      <c r="D19" s="128" t="s">
        <v>99</v>
      </c>
    </row>
    <row r="20" spans="1:4" ht="51">
      <c r="A20" s="126">
        <v>18</v>
      </c>
      <c r="B20" s="127" t="s">
        <v>84</v>
      </c>
      <c r="C20" s="128"/>
      <c r="D20" s="128" t="s">
        <v>94</v>
      </c>
    </row>
    <row r="21" spans="1:4" ht="51">
      <c r="A21" s="126">
        <v>19</v>
      </c>
      <c r="B21" s="127" t="s">
        <v>85</v>
      </c>
      <c r="C21" s="128"/>
      <c r="D21" s="128" t="s">
        <v>94</v>
      </c>
    </row>
    <row r="22" spans="1:4" ht="51">
      <c r="A22" s="126">
        <v>20</v>
      </c>
      <c r="B22" s="127" t="s">
        <v>86</v>
      </c>
      <c r="C22" s="128"/>
      <c r="D22" s="128" t="s">
        <v>94</v>
      </c>
    </row>
    <row r="23" spans="1:4" ht="51">
      <c r="A23" s="126">
        <v>21</v>
      </c>
      <c r="B23" s="127" t="s">
        <v>87</v>
      </c>
      <c r="C23" s="128"/>
      <c r="D23" s="128" t="s">
        <v>97</v>
      </c>
    </row>
    <row r="24" spans="1:4" ht="51" hidden="1">
      <c r="A24" s="126">
        <v>21</v>
      </c>
      <c r="B24" s="127" t="s">
        <v>88</v>
      </c>
      <c r="C24" s="129"/>
      <c r="D24" s="129" t="s">
        <v>94</v>
      </c>
    </row>
    <row r="25" spans="1:4" ht="51">
      <c r="A25" s="126">
        <v>21</v>
      </c>
      <c r="B25" s="127" t="s">
        <v>89</v>
      </c>
      <c r="C25" s="131"/>
      <c r="D25" s="131" t="s">
        <v>94</v>
      </c>
    </row>
    <row r="26" spans="1:4" ht="51">
      <c r="A26" s="126">
        <v>21</v>
      </c>
      <c r="B26" s="127" t="s">
        <v>90</v>
      </c>
      <c r="C26" s="131"/>
      <c r="D26" s="131" t="s">
        <v>94</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STATUS_REPORT</vt:lpstr>
      <vt:lpstr>Feriados</vt:lpstr>
      <vt:lpstr>Base dados pizza</vt:lpstr>
      <vt:lpstr>STATUS_HISTORICO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2019-09-09T15:25:57Z</cp:lastPrinted>
  <dcterms:created xsi:type="dcterms:W3CDTF">2017-11-30T17:18:01Z</dcterms:created>
  <dcterms:modified xsi:type="dcterms:W3CDTF">2019-10-08T17:30:21Z</dcterms:modified>
</cp:coreProperties>
</file>