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3\Documents\"/>
    </mc:Choice>
  </mc:AlternateContent>
  <xr:revisionPtr revIDLastSave="0" documentId="13_ncr:1_{D28469FD-B991-41AC-B0BF-9C920164B7C7}" xr6:coauthVersionLast="47" xr6:coauthVersionMax="47" xr10:uidLastSave="{00000000-0000-0000-0000-000000000000}"/>
  <bookViews>
    <workbookView xWindow="15780" yWindow="1335" windowWidth="24870" windowHeight="19080" xr2:uid="{4BA3406E-9D6C-42EC-8F4A-D75927E633CE}"/>
  </bookViews>
  <sheets>
    <sheet name="分发交易" sheetId="2" r:id="rId1"/>
    <sheet name="收入" sheetId="4" r:id="rId2"/>
    <sheet name="支出" sheetId="5" r:id="rId3"/>
    <sheet name="损益" sheetId="6" r:id="rId4"/>
    <sheet name="现金钱包" sheetId="9" r:id="rId5"/>
    <sheet name="储备金" sheetId="8" r:id="rId6"/>
    <sheet name="银行-1234" sheetId="7" r:id="rId7"/>
    <sheet name="银行-7890" sheetId="10" r:id="rId8"/>
    <sheet name="信用卡-6666" sheetId="11" r:id="rId9"/>
    <sheet name="信用账户-555" sheetId="12" r:id="rId10"/>
    <sheet name="电子账户-X" sheetId="13" r:id="rId11"/>
    <sheet name="应收" sheetId="14" r:id="rId12"/>
    <sheet name="应付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15" l="1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F4" i="15"/>
  <c r="D4" i="15"/>
  <c r="P3" i="15"/>
  <c r="E3" i="15"/>
  <c r="E4" i="15" s="1"/>
  <c r="L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F4" i="14"/>
  <c r="D4" i="14"/>
  <c r="P3" i="14"/>
  <c r="E3" i="14"/>
  <c r="E4" i="14" s="1"/>
  <c r="L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F4" i="13"/>
  <c r="D4" i="13"/>
  <c r="P3" i="13"/>
  <c r="E3" i="13"/>
  <c r="E4" i="13" s="1"/>
  <c r="L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F4" i="12"/>
  <c r="D4" i="12"/>
  <c r="P3" i="12"/>
  <c r="E3" i="12"/>
  <c r="E4" i="12" s="1"/>
  <c r="E3" i="10"/>
  <c r="E4" i="10" s="1"/>
  <c r="L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F4" i="11"/>
  <c r="D4" i="11"/>
  <c r="P3" i="11"/>
  <c r="E3" i="11"/>
  <c r="E4" i="11" s="1"/>
  <c r="L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F4" i="10"/>
  <c r="D4" i="10"/>
  <c r="P3" i="10"/>
  <c r="L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F4" i="9"/>
  <c r="D4" i="9"/>
  <c r="P3" i="9"/>
  <c r="Q3" i="9" s="1"/>
  <c r="Q4" i="9" s="1"/>
  <c r="Q5" i="9" s="1"/>
  <c r="E3" i="9"/>
  <c r="E4" i="9" s="1"/>
  <c r="L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F4" i="8"/>
  <c r="D4" i="8"/>
  <c r="P3" i="8"/>
  <c r="P22" i="8" s="1"/>
  <c r="E3" i="8"/>
  <c r="E4" i="8" s="1"/>
  <c r="L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F4" i="7"/>
  <c r="D4" i="7"/>
  <c r="Q3" i="7"/>
  <c r="P3" i="7"/>
  <c r="P22" i="7" s="1"/>
  <c r="E3" i="7"/>
  <c r="E4" i="7" s="1"/>
  <c r="L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F4" i="6"/>
  <c r="D4" i="6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P3" i="6"/>
  <c r="P22" i="6" s="1"/>
  <c r="E3" i="6"/>
  <c r="E4" i="6" s="1"/>
  <c r="L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F4" i="5"/>
  <c r="D4" i="5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P3" i="5"/>
  <c r="E3" i="5"/>
  <c r="E4" i="5" s="1"/>
  <c r="E3" i="4"/>
  <c r="E4" i="4" s="1"/>
  <c r="E3" i="2"/>
  <c r="E4" i="2" s="1"/>
  <c r="L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F4" i="4"/>
  <c r="D4" i="4"/>
  <c r="P3" i="4"/>
  <c r="D4" i="2"/>
  <c r="F4" i="2"/>
  <c r="L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Q3" i="2" s="1"/>
  <c r="P22" i="15" l="1"/>
  <c r="P22" i="14"/>
  <c r="P22" i="13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3" i="15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3" i="14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P22" i="12"/>
  <c r="P2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3" i="12"/>
  <c r="Q4" i="12" s="1"/>
  <c r="Q5" i="12" s="1"/>
  <c r="Q6" i="12" s="1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P22" i="10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3" i="10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P22" i="9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P22" i="5"/>
  <c r="P22" i="4"/>
  <c r="Q3" i="4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P22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</calcChain>
</file>

<file path=xl/sharedStrings.xml><?xml version="1.0" encoding="utf-8"?>
<sst xmlns="http://schemas.openxmlformats.org/spreadsheetml/2006/main" count="488" uniqueCount="58">
  <si>
    <t>Label</t>
  </si>
  <si>
    <t>Date</t>
  </si>
  <si>
    <t>Out</t>
  </si>
  <si>
    <t>Flow</t>
  </si>
  <si>
    <t>In</t>
  </si>
  <si>
    <t>Note</t>
  </si>
  <si>
    <t>Comment</t>
  </si>
  <si>
    <t>流</t>
    <phoneticPr fontId="2" type="noConversion"/>
  </si>
  <si>
    <t>流量累计</t>
    <phoneticPr fontId="2" type="noConversion"/>
  </si>
  <si>
    <t>应收</t>
  </si>
  <si>
    <t>收入</t>
  </si>
  <si>
    <t>账户状态</t>
  </si>
  <si>
    <t>Id</t>
  </si>
  <si>
    <t>Name</t>
  </si>
  <si>
    <t>Balance</t>
  </si>
  <si>
    <t>Flowing</t>
  </si>
  <si>
    <t>Current</t>
  </si>
  <si>
    <t>Account</t>
  </si>
  <si>
    <t>id</t>
    <phoneticPr fontId="2" type="noConversion"/>
  </si>
  <si>
    <t>交易</t>
    <phoneticPr fontId="2" type="noConversion"/>
  </si>
  <si>
    <t>汇总</t>
    <phoneticPr fontId="2" type="noConversion"/>
  </si>
  <si>
    <t>工资</t>
  </si>
  <si>
    <t>现金钱包</t>
  </si>
  <si>
    <t>支出</t>
  </si>
  <si>
    <t>电费 家</t>
  </si>
  <si>
    <t>信用卡-6666</t>
  </si>
  <si>
    <t xml:space="preserve">电费 </t>
  </si>
  <si>
    <t>加油</t>
  </si>
  <si>
    <t>信用账户-555</t>
  </si>
  <si>
    <t>加油 车号: 数量: 单价: 里程:</t>
  </si>
  <si>
    <t>停车</t>
  </si>
  <si>
    <t>停车费</t>
  </si>
  <si>
    <t>房租</t>
  </si>
  <si>
    <t>银行-1234</t>
  </si>
  <si>
    <t>电子书</t>
  </si>
  <si>
    <t>电子账户-X</t>
  </si>
  <si>
    <t>电子书店 书名:</t>
  </si>
  <si>
    <t>餐饮</t>
  </si>
  <si>
    <t>游戏</t>
  </si>
  <si>
    <t>食品</t>
  </si>
  <si>
    <t>损益</t>
  </si>
  <si>
    <t>现金 钱包</t>
  </si>
  <si>
    <t>流转</t>
  </si>
  <si>
    <t>存现</t>
  </si>
  <si>
    <t>流转 长期存款</t>
  </si>
  <si>
    <t>银行-7890</t>
  </si>
  <si>
    <t>存现 长期存款</t>
  </si>
  <si>
    <t>流转 充值</t>
  </si>
  <si>
    <t>充值</t>
  </si>
  <si>
    <t>现金</t>
  </si>
  <si>
    <t>储备金</t>
  </si>
  <si>
    <t>存款 银行 A</t>
  </si>
  <si>
    <t>还款</t>
  </si>
  <si>
    <t>存款 银行 B</t>
  </si>
  <si>
    <t>信用 银行</t>
  </si>
  <si>
    <t>信用 某金融机构</t>
  </si>
  <si>
    <t>现金 某某金融机构 电子钱包</t>
  </si>
  <si>
    <t>应付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</si>
</sst>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76" formatCode="_ * #,##0.00_ ;_ * \-#,##0.00_ ;_ * &quot;-&quot;??_ ;_ @_ "/>
    <numFmt numFmtId="177" formatCode="yy/mm/dd"/>
    <numFmt numFmtId="178" formatCode="0000000"/>
    <numFmt numFmtId="179" formatCode="00000"/>
  </numFmts>
  <fonts count="6" x14ac:knownFonts="1">
    <font>
      <sz val="11"/>
      <color theme="1"/>
      <name val="等线"/>
      <family val="2"/>
      <charset val="134"/>
      <scheme val="minor"/>
    </font>
    <font>
      <sz val="8"/>
      <name val="微软雅黑"/>
      <family val="2"/>
      <charset val="134"/>
    </font>
    <font>
      <sz val="9"/>
      <name val="等线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43" fontId="4" fillId="0" borderId="2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76" fontId="1" fillId="0" borderId="3" xfId="0" applyNumberFormat="1" applyFont="1" applyBorder="1" applyAlignment="1">
      <alignment horizontal="left" vertical="center"/>
    </xf>
    <xf numFmtId="176" fontId="1" fillId="0" borderId="3" xfId="0" applyNumberFormat="1" applyFont="1" applyBorder="1" applyAlignment="1">
      <alignment horizontal="right" vertical="center"/>
    </xf>
    <xf numFmtId="0" fontId="1" fillId="0" borderId="3" xfId="0" applyFont="1" applyBorder="1">
      <alignment vertical="center"/>
    </xf>
    <xf numFmtId="176" fontId="3" fillId="0" borderId="3" xfId="0" applyNumberFormat="1" applyFont="1" applyBorder="1" applyAlignment="1">
      <alignment horizontal="right" vertical="center"/>
    </xf>
    <xf numFmtId="179" fontId="4" fillId="0" borderId="5" xfId="0" applyNumberFormat="1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43" fontId="4" fillId="0" borderId="5" xfId="0" applyNumberFormat="1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right" vertical="center"/>
    </xf>
    <xf numFmtId="0" fontId="1" fillId="0" borderId="2" xfId="0" applyFont="1" applyBorder="1">
      <alignment vertical="center"/>
    </xf>
    <xf numFmtId="176" fontId="3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5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9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6" formatCode="_ * #,##0.00_ ;_ * \-#,##0.00_ ;_ * &quot;-&quot;??_ ;_ @_ 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177" formatCode="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hair">
          <color indexed="8"/>
        </bottom>
        <vertical/>
        <horizontal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auto="1"/>
        </top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 style="thin">
          <color auto="1"/>
        </top>
        <bottom/>
        <vertical/>
        <horizontal style="hair">
          <color auto="1"/>
        </horizontal>
      </border>
    </dxf>
  </dxfs>
  <tableStyles count="1" defaultTableStyle="TableStyleMedium2" defaultPivotStyle="PivotStyleLight16">
    <tableStyle name="打印-简约" pivot="0" count="3" xr9:uid="{6A078DCA-3937-44EE-A334-C82E4A653573}">
      <tableStyleElement type="wholeTable" dxfId="522"/>
      <tableStyleElement type="headerRow" dxfId="521"/>
      <tableStyleElement type="totalRow" dxfId="5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5BCFD-B5B7-4856-8D82-DC7A93F0C19A}" name="表1_35611185445" displayName="表1_35611185445" ref="H2:Q22" totalsRowCount="1" headerRowDxfId="519" dataDxfId="518" totalsRowDxfId="517" totalsRowBorderDxfId="516">
  <sortState xmlns:xlrd2="http://schemas.microsoft.com/office/spreadsheetml/2017/richdata2" ref="H3:Q4">
    <sortCondition ref="J22:J24"/>
  </sortState>
  <tableColumns count="10">
    <tableColumn id="10" xr3:uid="{1836ED9F-C930-4452-A6EE-9DD255314770}" name="id" totalsRowLabel="汇总" dataDxfId="515" totalsRowDxfId="514"/>
    <tableColumn id="12" xr3:uid="{E4A23C0C-9477-4BE7-B075-3CB5078C1D72}" name="Label" dataDxfId="513" totalsRowDxfId="512"/>
    <tableColumn id="7" xr3:uid="{3F29311A-E9DA-4204-BA34-8AD119B171A4}" name="Date" dataDxfId="511" totalsRowDxfId="510"/>
    <tableColumn id="5" xr3:uid="{B60E93CA-80C7-4A5B-845E-98E0D79EF63D}" name="Out" dataDxfId="509" totalsRowDxfId="508"/>
    <tableColumn id="4" xr3:uid="{A730481C-D2EA-4D50-BF78-1F1AC69F8851}" name="Flow" totalsRowFunction="sum" dataDxfId="507" totalsRowDxfId="506"/>
    <tableColumn id="2" xr3:uid="{215A9952-A5B8-4356-A133-D6A3489DF3FB}" name="In" dataDxfId="505" totalsRowDxfId="504"/>
    <tableColumn id="3" xr3:uid="{3F945D7C-B36D-49DC-A243-C61E9162077F}" name="Note" dataDxfId="503" totalsRowDxfId="502"/>
    <tableColumn id="6" xr3:uid="{745E6E18-9FFC-4D8E-B15E-FEC857C970F3}" name="Comment" dataDxfId="501" totalsRowDxfId="500"/>
    <tableColumn id="9" xr3:uid="{3FD0A326-9A5D-48C3-82B8-BB71DD649083}" name="流" totalsRowFunction="sum" dataDxfId="499" totalsRowDxfId="498">
      <calculatedColumnFormula>IF(表1_35611185445[[#This Row],[Out]]=$C$3,-表1_35611185445[[#This Row],[Flow]],0)+IF(表1_35611185445[[#This Row],[In]]=$C$3,表1_35611185445[[#This Row],[Flow]],0)</calculatedColumnFormula>
    </tableColumn>
    <tableColumn id="8" xr3:uid="{7DB4AF6C-1717-4A25-B322-35D2876BC90D}" name="流量累计" dataDxfId="497" totalsRowDxfId="496"/>
  </tableColumns>
  <tableStyleInfo name="打印-简约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BCE50E2-DF01-493B-AAC4-AC1002E06467}" name="Table613151719" displayName="Table613151719" ref="A2:F4" totalsRowCount="1" headerRowDxfId="331" dataDxfId="330" headerRowBorderDxfId="329" totalsRowBorderDxfId="328">
  <autoFilter ref="A2:F3" xr:uid="{425BC03C-E029-463D-B61C-78C158A3E70A}"/>
  <tableColumns count="6">
    <tableColumn id="1" xr3:uid="{33229D14-1A54-4C6D-B0B5-5128EA1A83C9}" name="Id" totalsRowLabel="汇总" dataDxfId="315" totalsRowDxfId="309"/>
    <tableColumn id="2" xr3:uid="{524D1CEF-DF88-41B6-8141-99DD04C15226}" name="Label" dataDxfId="314" totalsRowDxfId="308"/>
    <tableColumn id="3" xr3:uid="{EC37C950-97C4-46E0-BE25-BC4DF1A8D29B}" name="Name" dataDxfId="313" totalsRowDxfId="307"/>
    <tableColumn id="4" xr3:uid="{9CF60190-3672-4CA9-B068-1F01DFA8A977}" name="Balance" totalsRowFunction="sum" dataDxfId="312" totalsRowDxfId="306"/>
    <tableColumn id="5" xr3:uid="{FB62F163-54B1-4C6C-A2B5-FC937990967B}" name="Flowing" totalsRowFunction="sum" dataDxfId="311" totalsRowDxfId="305">
      <calculatedColumnFormula>SUMIF(表1_3561118544512141618[In],Table613151719[[#This Row],[Name]],表1_3561118544512141618[Flow])-SUMIF(表1_3561118544512141618[Out],Table613151719[[#This Row],[Name]],表1_3561118544512141618[Flow])</calculatedColumnFormula>
    </tableColumn>
    <tableColumn id="6" xr3:uid="{0352D6FB-3EC5-45DD-9A7A-BC94ABFB4767}" name="Current" totalsRowFunction="sum" dataDxfId="310" totalsRowDxfId="30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11348A0-35FA-447A-BA5B-0C06B0394CAA}" name="表1_35611185445121416" displayName="表1_35611185445121416" ref="H2:Q22" totalsRowCount="1" headerRowDxfId="363" dataDxfId="362" totalsRowDxfId="361" totalsRowBorderDxfId="360">
  <sortState xmlns:xlrd2="http://schemas.microsoft.com/office/spreadsheetml/2017/richdata2" ref="H3:Q4">
    <sortCondition ref="J22:J24"/>
  </sortState>
  <tableColumns count="10">
    <tableColumn id="10" xr3:uid="{B7F446E6-2AC0-489A-A553-7F3F04D1ED0A}" name="id" totalsRowLabel="汇总" dataDxfId="358" totalsRowDxfId="359"/>
    <tableColumn id="12" xr3:uid="{59860C2B-F1C9-4FAA-987D-7423498DA0D1}" name="Label" dataDxfId="356" totalsRowDxfId="357"/>
    <tableColumn id="7" xr3:uid="{8AA62D56-8DE4-4B65-B457-FB3B6A52CBB9}" name="Date" dataDxfId="354" totalsRowDxfId="355"/>
    <tableColumn id="5" xr3:uid="{8B6B69F3-72B9-4D9D-8F3D-26F9D6699CDB}" name="Out" dataDxfId="352" totalsRowDxfId="353"/>
    <tableColumn id="4" xr3:uid="{C3E52BAC-8C39-4BC6-9AA0-495D8FEA54A1}" name="Flow" totalsRowFunction="sum" dataDxfId="350" totalsRowDxfId="351"/>
    <tableColumn id="2" xr3:uid="{94BC13F8-6AF3-4218-ADBD-675C2C8CEC04}" name="In" dataDxfId="348" totalsRowDxfId="349"/>
    <tableColumn id="3" xr3:uid="{A5EDCE16-19FE-4B8F-AEDD-0439E0969BF5}" name="Note" dataDxfId="346" totalsRowDxfId="347"/>
    <tableColumn id="6" xr3:uid="{9411FBF9-B9FC-499F-8C76-67FFC59F0E18}" name="Comment" dataDxfId="344" totalsRowDxfId="345"/>
    <tableColumn id="9" xr3:uid="{8AC0EA65-B0A6-4F53-BF52-7863EBB4789D}" name="流" totalsRowFunction="sum" dataDxfId="342" totalsRowDxfId="343">
      <calculatedColumnFormula>IF(表1_35611185445121416[[#This Row],[Out]]=$C$3,-表1_35611185445121416[[#This Row],[Flow]],0)+IF(表1_35611185445121416[[#This Row],[In]]=$C$3,表1_35611185445121416[[#This Row],[Flow]],0)</calculatedColumnFormula>
    </tableColumn>
    <tableColumn id="8" xr3:uid="{26013A5E-BDE0-4C47-80CC-F497A837D0C3}" name="流量累计" dataDxfId="340" totalsRowDxfId="341"/>
  </tableColumns>
  <tableStyleInfo name="打印-简约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41DE939-6816-4A58-9D71-12104CC88792}" name="Table6131517" displayName="Table6131517" ref="A2:F4" totalsRowCount="1" headerRowDxfId="339" dataDxfId="338" headerRowBorderDxfId="337" totalsRowBorderDxfId="336">
  <autoFilter ref="A2:F3" xr:uid="{425BC03C-E029-463D-B61C-78C158A3E70A}"/>
  <tableColumns count="6">
    <tableColumn id="1" xr3:uid="{5B156C3B-D6CE-4BC7-910C-D03DCB2C4046}" name="Id" totalsRowLabel="汇总" dataDxfId="283" totalsRowDxfId="277"/>
    <tableColumn id="2" xr3:uid="{870A258D-4A60-4AB6-A845-F4A6CC9F50D7}" name="Label" dataDxfId="282" totalsRowDxfId="276"/>
    <tableColumn id="3" xr3:uid="{925A8A39-0227-4C05-8AAC-8954C58D0AFC}" name="Name" dataDxfId="281" totalsRowDxfId="275"/>
    <tableColumn id="4" xr3:uid="{75150171-EDAC-48B2-82D9-C7739BC81043}" name="Balance" totalsRowFunction="sum" dataDxfId="280" totalsRowDxfId="274"/>
    <tableColumn id="5" xr3:uid="{E9BF4197-C645-4AAE-A49A-DB73C1E4BCDD}" name="Flowing" totalsRowFunction="sum" dataDxfId="279" totalsRowDxfId="273">
      <calculatedColumnFormula>SUMIF(表1_35611185445121416[In],Table6131517[[#This Row],[Name]],表1_35611185445121416[Flow])-SUMIF(表1_35611185445121416[Out],Table6131517[[#This Row],[Name]],表1_35611185445121416[Flow])</calculatedColumnFormula>
    </tableColumn>
    <tableColumn id="6" xr3:uid="{C8CD2311-66D4-41FC-90CC-E72DA7CB1D49}" name="Current" totalsRowFunction="sum" dataDxfId="278" totalsRowDxfId="27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3FFA80-9B3A-464D-9C61-B882070D2B46}" name="表1_356111854451214" displayName="表1_356111854451214" ref="H2:Q22" totalsRowCount="1" headerRowDxfId="371" dataDxfId="370" totalsRowDxfId="369" totalsRowBorderDxfId="368">
  <sortState xmlns:xlrd2="http://schemas.microsoft.com/office/spreadsheetml/2017/richdata2" ref="H3:Q4">
    <sortCondition ref="J22:J24"/>
  </sortState>
  <tableColumns count="10">
    <tableColumn id="10" xr3:uid="{92BC30C2-25AB-4077-A884-8420EBF7EE41}" name="id" totalsRowLabel="汇总" dataDxfId="247" totalsRowDxfId="237"/>
    <tableColumn id="12" xr3:uid="{225A91BD-CB26-4D21-9733-C1AC6631CA34}" name="Label" dataDxfId="246" totalsRowDxfId="236"/>
    <tableColumn id="7" xr3:uid="{D4914624-20FC-4568-B34E-A4755BF2D852}" name="Date" dataDxfId="245" totalsRowDxfId="235"/>
    <tableColumn id="5" xr3:uid="{9BBECD74-4923-4E03-8BF4-C47A3B497CA3}" name="Out" dataDxfId="244" totalsRowDxfId="234"/>
    <tableColumn id="4" xr3:uid="{278022F3-999C-4DB8-A26F-DFF98BA75142}" name="Flow" totalsRowFunction="sum" dataDxfId="243" totalsRowDxfId="233"/>
    <tableColumn id="2" xr3:uid="{551D4220-C6BB-4591-BA02-87A034A94CD2}" name="In" dataDxfId="242" totalsRowDxfId="232"/>
    <tableColumn id="3" xr3:uid="{D7797940-1A58-43EA-9D9E-FB4A3D4DE7B0}" name="Note" dataDxfId="241" totalsRowDxfId="231"/>
    <tableColumn id="6" xr3:uid="{775A9A9D-C4C1-4368-9FF8-1AA538071014}" name="Comment" dataDxfId="240" totalsRowDxfId="230"/>
    <tableColumn id="9" xr3:uid="{3A91322D-1FDB-4126-A993-062096E5E2EF}" name="流" totalsRowFunction="sum" dataDxfId="239" totalsRowDxfId="229">
      <calculatedColumnFormula>IF(表1_356111854451214[[#This Row],[Out]]=$C$3,-表1_356111854451214[[#This Row],[Flow]],0)+IF(表1_356111854451214[[#This Row],[In]]=$C$3,表1_356111854451214[[#This Row],[Flow]],0)</calculatedColumnFormula>
    </tableColumn>
    <tableColumn id="8" xr3:uid="{CD0BD4AB-26B2-4B61-95B5-B136BBE15BA3}" name="流量累计" dataDxfId="238" totalsRowDxfId="228"/>
  </tableColumns>
  <tableStyleInfo name="打印-简约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4099A52-F1A3-4A03-BC9A-4B79D61D116B}" name="Table61315" displayName="Table61315" ref="A2:F4" totalsRowCount="1" headerRowDxfId="367" dataDxfId="366" headerRowBorderDxfId="365" totalsRowBorderDxfId="364">
  <autoFilter ref="A2:F3" xr:uid="{425BC03C-E029-463D-B61C-78C158A3E70A}"/>
  <tableColumns count="6">
    <tableColumn id="1" xr3:uid="{D71E367B-4363-48C2-A323-D4207E06920D}" name="Id" totalsRowLabel="汇总" dataDxfId="271" totalsRowDxfId="265"/>
    <tableColumn id="2" xr3:uid="{B6D4F32D-9DDC-4BDB-85EB-EE15904E8A28}" name="Label" dataDxfId="270" totalsRowDxfId="264"/>
    <tableColumn id="3" xr3:uid="{4963A26E-7417-46B6-AF01-F39A2A99EC97}" name="Name" dataDxfId="269" totalsRowDxfId="263"/>
    <tableColumn id="4" xr3:uid="{A3DA3726-9F3B-4113-86B3-A29B2997E856}" name="Balance" totalsRowFunction="sum" dataDxfId="268" totalsRowDxfId="262"/>
    <tableColumn id="5" xr3:uid="{E58D3483-2B7D-414A-9108-D48042C9C2C5}" name="Flowing" totalsRowFunction="sum" dataDxfId="267" totalsRowDxfId="261">
      <calculatedColumnFormula>SUMIF(表1_356111854451214[In],Table61315[[#This Row],[Name]],表1_356111854451214[Flow])-SUMIF(表1_356111854451214[Out],Table61315[[#This Row],[Name]],表1_356111854451214[Flow])</calculatedColumnFormula>
    </tableColumn>
    <tableColumn id="6" xr3:uid="{A92452CC-5887-4B6D-BB56-62E35C0C10B5}" name="Current" totalsRowFunction="sum" dataDxfId="266" totalsRowDxfId="26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B80C3A2-E652-4BC5-A8F1-D6F97EEEC800}" name="表1_35611185445121420" displayName="表1_35611185445121420" ref="H2:Q22" totalsRowCount="1" headerRowDxfId="259" dataDxfId="258" totalsRowDxfId="257" totalsRowBorderDxfId="256">
  <sortState xmlns:xlrd2="http://schemas.microsoft.com/office/spreadsheetml/2017/richdata2" ref="H3:Q4">
    <sortCondition ref="J22:J24"/>
  </sortState>
  <tableColumns count="10">
    <tableColumn id="10" xr3:uid="{D474BFF3-746F-4578-A0C4-F8B04864D587}" name="id" totalsRowLabel="汇总" dataDxfId="211" totalsRowDxfId="201"/>
    <tableColumn id="12" xr3:uid="{1D49286D-A942-4640-8048-9382DBF58CDC}" name="Label" dataDxfId="210" totalsRowDxfId="200"/>
    <tableColumn id="7" xr3:uid="{32EB865D-1865-4F8F-9C1E-53F6638B86E3}" name="Date" dataDxfId="209" totalsRowDxfId="199"/>
    <tableColumn id="5" xr3:uid="{A8BF7C7B-22F9-4D15-BD7D-AC4A3D05DFF4}" name="Out" dataDxfId="208" totalsRowDxfId="198"/>
    <tableColumn id="4" xr3:uid="{214F65D9-DA51-4B24-B427-C227E2FCB37C}" name="Flow" totalsRowFunction="sum" dataDxfId="207" totalsRowDxfId="197"/>
    <tableColumn id="2" xr3:uid="{92F0AA8B-450C-44C5-BC4D-D576CBC34030}" name="In" dataDxfId="206" totalsRowDxfId="196"/>
    <tableColumn id="3" xr3:uid="{8440EF8E-6F48-4EF1-8017-8FDE3D22871E}" name="Note" dataDxfId="205" totalsRowDxfId="195"/>
    <tableColumn id="6" xr3:uid="{2ED478B5-DCF6-4393-8278-0BBD32BB1DDF}" name="Comment" dataDxfId="204" totalsRowDxfId="194"/>
    <tableColumn id="9" xr3:uid="{CCF53546-B729-4D33-87B5-B0A8483AC819}" name="流" totalsRowFunction="sum" dataDxfId="203" totalsRowDxfId="193">
      <calculatedColumnFormula>IF(表1_35611185445121420[[#This Row],[Out]]=$C$3,-表1_35611185445121420[[#This Row],[Flow]],0)+IF(表1_35611185445121420[[#This Row],[In]]=$C$3,表1_35611185445121420[[#This Row],[Flow]],0)</calculatedColumnFormula>
    </tableColumn>
    <tableColumn id="8" xr3:uid="{502CA323-3BF6-452A-B000-D4AFF12E915E}" name="流量累计" dataDxfId="202" totalsRowDxfId="192"/>
  </tableColumns>
  <tableStyleInfo name="打印-简约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C3FC03A-56CE-4591-8F19-5EF9D8FD34B5}" name="Table6131521" displayName="Table6131521" ref="A2:F4" totalsRowCount="1" headerRowDxfId="227" dataDxfId="226" headerRowBorderDxfId="225" totalsRowBorderDxfId="224">
  <autoFilter ref="A2:F3" xr:uid="{425BC03C-E029-463D-B61C-78C158A3E70A}"/>
  <tableColumns count="6">
    <tableColumn id="1" xr3:uid="{C0A754BD-9BF7-4B04-87F7-926B6CBAFC38}" name="Id" totalsRowLabel="汇总" dataDxfId="223" totalsRowDxfId="217"/>
    <tableColumn id="2" xr3:uid="{230D6483-9718-40DB-800D-8FA0980BE94D}" name="Label" dataDxfId="222" totalsRowDxfId="216"/>
    <tableColumn id="3" xr3:uid="{A376E6F4-6FBD-4DC7-B584-FA25F849B55D}" name="Name" dataDxfId="221" totalsRowDxfId="215"/>
    <tableColumn id="4" xr3:uid="{39F4DE4D-7C09-455A-BA8A-D8FBB11A9DE9}" name="Balance" totalsRowFunction="sum" dataDxfId="220" totalsRowDxfId="214"/>
    <tableColumn id="5" xr3:uid="{05E979F3-50F6-48C5-8838-949C51F1FDB0}" name="Flowing" totalsRowFunction="sum" dataDxfId="219" totalsRowDxfId="213">
      <calculatedColumnFormula>SUMIF(表1_35611185445121420[In],Table6131521[[#This Row],[Name]],表1_35611185445121420[Flow])-SUMIF(表1_35611185445121420[Out],Table6131521[[#This Row],[Name]],表1_35611185445121420[Flow])</calculatedColumnFormula>
    </tableColumn>
    <tableColumn id="6" xr3:uid="{52D7F7A9-E1B8-47EF-BC59-E02C8767629F}" name="Current" totalsRowFunction="sum" dataDxfId="218" totalsRowDxfId="212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CE5301-DA58-4627-80B9-6C13C823EA38}" name="表1_3561118544512142022" displayName="表1_3561118544512142022" ref="H2:Q22" totalsRowCount="1" headerRowDxfId="255" dataDxfId="254" totalsRowDxfId="253" totalsRowBorderDxfId="252">
  <sortState xmlns:xlrd2="http://schemas.microsoft.com/office/spreadsheetml/2017/richdata2" ref="H3:Q4">
    <sortCondition ref="J22:J24"/>
  </sortState>
  <tableColumns count="10">
    <tableColumn id="10" xr3:uid="{B25F1563-41F8-4233-97DB-5F703FE282EC}" name="id" totalsRowLabel="汇总" dataDxfId="157" totalsRowDxfId="147"/>
    <tableColumn id="12" xr3:uid="{2DC2DA00-AA26-48F4-BBEC-2FCE17683929}" name="Label" dataDxfId="156" totalsRowDxfId="146"/>
    <tableColumn id="7" xr3:uid="{9C596310-BC8E-4AB5-B0B4-1BB8DAED33C7}" name="Date" dataDxfId="155" totalsRowDxfId="145"/>
    <tableColumn id="5" xr3:uid="{618BAF26-0830-48B5-A63F-5E8800A61594}" name="Out" dataDxfId="154" totalsRowDxfId="144"/>
    <tableColumn id="4" xr3:uid="{A0FC66B0-6CBF-4DF7-9183-9B71BA8B956D}" name="Flow" totalsRowFunction="sum" dataDxfId="153" totalsRowDxfId="143"/>
    <tableColumn id="2" xr3:uid="{4DFAD6C5-D01E-45D9-86E1-3663664BCC55}" name="In" dataDxfId="152" totalsRowDxfId="142"/>
    <tableColumn id="3" xr3:uid="{D8FD98D4-F15E-43CF-9961-1D91F522F2A0}" name="Note" dataDxfId="151" totalsRowDxfId="141"/>
    <tableColumn id="6" xr3:uid="{A6BC8133-F74F-4404-9EDC-4E7AB4CC8898}" name="Comment" dataDxfId="150" totalsRowDxfId="140"/>
    <tableColumn id="9" xr3:uid="{882A3952-0CB6-46FA-B4CE-A29362DCD750}" name="流" totalsRowFunction="sum" dataDxfId="149" totalsRowDxfId="139">
      <calculatedColumnFormula>IF(表1_3561118544512142022[[#This Row],[Out]]=$C$3,-表1_3561118544512142022[[#This Row],[Flow]],0)+IF(表1_3561118544512142022[[#This Row],[In]]=$C$3,表1_3561118544512142022[[#This Row],[Flow]],0)</calculatedColumnFormula>
    </tableColumn>
    <tableColumn id="8" xr3:uid="{7D9F634A-5E7E-41A0-80D3-23DA35082B57}" name="流量累计" dataDxfId="148" totalsRowDxfId="138"/>
  </tableColumns>
  <tableStyleInfo name="打印-简约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8C5FD70-A249-4EAB-8671-BE52926F30F1}" name="Table613152123" displayName="Table613152123" ref="A2:F4" totalsRowCount="1" headerRowDxfId="251" dataDxfId="250" headerRowBorderDxfId="249" totalsRowBorderDxfId="248">
  <autoFilter ref="A2:F3" xr:uid="{425BC03C-E029-463D-B61C-78C158A3E70A}"/>
  <tableColumns count="6">
    <tableColumn id="1" xr3:uid="{F9EF8A6D-6282-4313-86D2-73D37B9C2E2B}" name="Id" totalsRowLabel="汇总" dataDxfId="169" totalsRowDxfId="163"/>
    <tableColumn id="2" xr3:uid="{34E2533C-79E5-4DD6-862E-EC16F02CBB74}" name="Label" dataDxfId="168" totalsRowDxfId="162"/>
    <tableColumn id="3" xr3:uid="{2F22820A-57BC-4174-97BD-A40351B001E0}" name="Name" dataDxfId="167" totalsRowDxfId="161"/>
    <tableColumn id="4" xr3:uid="{A4303F73-5D5B-4F8B-9EB8-E2681FE6BF5E}" name="Balance" totalsRowFunction="sum" dataDxfId="166" totalsRowDxfId="160"/>
    <tableColumn id="5" xr3:uid="{44D03DFE-1FC3-47BC-A9A3-2EA839081580}" name="Flowing" totalsRowFunction="sum" dataDxfId="165" totalsRowDxfId="159">
      <calculatedColumnFormula>SUMIF(表1_3561118544512142022[In],Table613152123[[#This Row],[Name]],表1_3561118544512142022[Flow])-SUMIF(表1_3561118544512142022[Out],Table613152123[[#This Row],[Name]],表1_3561118544512142022[Flow])</calculatedColumnFormula>
    </tableColumn>
    <tableColumn id="6" xr3:uid="{D1BADECA-D4FC-4690-8E95-6BCB58A448A5}" name="Current" totalsRowFunction="sum" dataDxfId="164" totalsRowDxfId="15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BA46CAD-61FD-4158-996B-F345903457E2}" name="表1_356111854451214202224" displayName="表1_356111854451214202224" ref="H2:Q22" totalsRowCount="1" headerRowDxfId="191" dataDxfId="190" totalsRowDxfId="189" totalsRowBorderDxfId="188">
  <sortState xmlns:xlrd2="http://schemas.microsoft.com/office/spreadsheetml/2017/richdata2" ref="H3:Q4">
    <sortCondition ref="J22:J24"/>
  </sortState>
  <tableColumns count="10">
    <tableColumn id="10" xr3:uid="{BB0D6077-B37E-40AD-83A3-B6F56560F225}" name="id" totalsRowLabel="汇总" dataDxfId="125" totalsRowDxfId="115"/>
    <tableColumn id="12" xr3:uid="{07399571-414F-4278-81E7-72A18CE5CC90}" name="Label" dataDxfId="124" totalsRowDxfId="114"/>
    <tableColumn id="7" xr3:uid="{E2730629-6A4E-4FCF-B447-BFB893E48131}" name="Date" dataDxfId="123" totalsRowDxfId="113"/>
    <tableColumn id="5" xr3:uid="{77712774-7A62-4215-8F63-BE57E44E06FA}" name="Out" dataDxfId="122" totalsRowDxfId="112"/>
    <tableColumn id="4" xr3:uid="{27FF1679-C1E3-4A8A-99C4-9D7FC50A2FB8}" name="Flow" totalsRowFunction="sum" dataDxfId="121" totalsRowDxfId="111"/>
    <tableColumn id="2" xr3:uid="{9DBB09F0-2477-44F6-ACA6-FE1FBF4A6354}" name="In" dataDxfId="120" totalsRowDxfId="110"/>
    <tableColumn id="3" xr3:uid="{574EB3EE-B2DC-4602-99A8-344CF27192F7}" name="Note" dataDxfId="119" totalsRowDxfId="109"/>
    <tableColumn id="6" xr3:uid="{4823D4AB-EAC4-4A64-A09D-4FC49DD6E851}" name="Comment" dataDxfId="118" totalsRowDxfId="108"/>
    <tableColumn id="9" xr3:uid="{4CBD3D6B-5C26-4721-873F-CE0C73925151}" name="流" totalsRowFunction="sum" dataDxfId="117" totalsRowDxfId="107">
      <calculatedColumnFormula>IF(表1_356111854451214202224[[#This Row],[Out]]=$C$3,-表1_356111854451214202224[[#This Row],[Flow]],0)+IF(表1_356111854451214202224[[#This Row],[In]]=$C$3,表1_356111854451214202224[[#This Row],[Flow]],0)</calculatedColumnFormula>
    </tableColumn>
    <tableColumn id="8" xr3:uid="{8D262574-696A-4ABD-8FE8-2BF18FC92614}" name="流量累计" dataDxfId="116" totalsRowDxfId="106"/>
  </tableColumns>
  <tableStyleInfo name="打印-简约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BC03C-E029-463D-B61C-78C158A3E70A}" name="Table6" displayName="Table6" ref="A2:F4" totalsRowCount="1" headerRowDxfId="495" dataDxfId="494" headerRowBorderDxfId="493" totalsRowBorderDxfId="492">
  <autoFilter ref="A2:F3" xr:uid="{425BC03C-E029-463D-B61C-78C158A3E70A}"/>
  <tableColumns count="6">
    <tableColumn id="1" xr3:uid="{DAC2DEA7-1BAF-4517-91C5-15CBF69B10A5}" name="Id" totalsRowLabel="汇总" dataDxfId="491" totalsRowDxfId="451"/>
    <tableColumn id="2" xr3:uid="{17F5B70C-6B83-418A-A489-344894515794}" name="Label" dataDxfId="490" totalsRowDxfId="450"/>
    <tableColumn id="3" xr3:uid="{CF7F5087-9D1C-4522-A05E-C50D29BB5860}" name="Name" dataDxfId="489" totalsRowDxfId="449"/>
    <tableColumn id="4" xr3:uid="{D020826A-A5DB-4C6F-9F55-E5B87733D1E2}" name="Balance" totalsRowFunction="sum" dataDxfId="488" totalsRowDxfId="448"/>
    <tableColumn id="5" xr3:uid="{BE2FE023-ACF8-49F1-952B-CF7B66575750}" name="Flowing" totalsRowFunction="sum" dataDxfId="487" totalsRowDxfId="447">
      <calculatedColumnFormula>SUMIF(表1_35611185445[In],Table6[[#This Row],[Name]],表1_35611185445[Flow])-SUMIF(表1_35611185445[Out],Table6[[#This Row],[Name]],表1_35611185445[Flow])</calculatedColumnFormula>
    </tableColumn>
    <tableColumn id="6" xr3:uid="{63C328DE-9EC5-449C-BFD9-CA28508EE820}" name="Current" totalsRowFunction="sum" dataDxfId="486" totalsRowDxfId="446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CF6CD66-011B-4823-BAA8-3EB60C1AF99D}" name="Table61315212325" displayName="Table61315212325" ref="A2:F4" totalsRowCount="1" headerRowDxfId="187" dataDxfId="186" headerRowBorderDxfId="185" totalsRowBorderDxfId="184">
  <autoFilter ref="A2:F3" xr:uid="{425BC03C-E029-463D-B61C-78C158A3E70A}"/>
  <tableColumns count="6">
    <tableColumn id="1" xr3:uid="{CD5FB15F-AD08-4FF0-BFB8-F3225BE26C15}" name="Id" totalsRowLabel="汇总" dataDxfId="137" totalsRowDxfId="131"/>
    <tableColumn id="2" xr3:uid="{98F54281-0AA8-41BB-9FE7-2800DD8FED35}" name="Label" dataDxfId="136" totalsRowDxfId="130"/>
    <tableColumn id="3" xr3:uid="{3D6FCE4B-F056-45A4-B96D-1AF4A33985A7}" name="Name" dataDxfId="135" totalsRowDxfId="129"/>
    <tableColumn id="4" xr3:uid="{8A7BA5ED-B83D-4CCD-A105-4AC70FB99722}" name="Balance" totalsRowFunction="sum" dataDxfId="134" totalsRowDxfId="128"/>
    <tableColumn id="5" xr3:uid="{7D37ADDA-1B79-439C-8EE6-8C6BA98C74D7}" name="Flowing" totalsRowFunction="sum" dataDxfId="133" totalsRowDxfId="127">
      <calculatedColumnFormula>SUMIF(表1_356111854451214202224[In],Table61315212325[[#This Row],[Name]],表1_356111854451214202224[Flow])-SUMIF(表1_356111854451214202224[Out],Table61315212325[[#This Row],[Name]],表1_356111854451214202224[Flow])</calculatedColumnFormula>
    </tableColumn>
    <tableColumn id="6" xr3:uid="{207C6EF6-39B9-4975-A19F-BB13D5A3FA52}" name="Current" totalsRowFunction="sum" dataDxfId="132" totalsRowDxfId="12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A523FFE-AA1A-45CA-A227-9475797AD74E}" name="表1_35611185445121420222426" displayName="表1_35611185445121420222426" ref="H2:Q22" totalsRowCount="1" headerRowDxfId="183" dataDxfId="182" totalsRowDxfId="181" totalsRowBorderDxfId="180">
  <sortState xmlns:xlrd2="http://schemas.microsoft.com/office/spreadsheetml/2017/richdata2" ref="H3:Q4">
    <sortCondition ref="J22:J24"/>
  </sortState>
  <tableColumns count="10">
    <tableColumn id="10" xr3:uid="{E8C120D6-D807-4F7D-90DA-E4AE401D9A19}" name="id" totalsRowLabel="汇总" dataDxfId="43" totalsRowDxfId="33"/>
    <tableColumn id="12" xr3:uid="{7E4E0F08-7D09-4F98-96E7-E367416F00D9}" name="Label" dataDxfId="42" totalsRowDxfId="32"/>
    <tableColumn id="7" xr3:uid="{C434D19F-8835-45CE-8AE8-5C426640BEE8}" name="Date" dataDxfId="41" totalsRowDxfId="31"/>
    <tableColumn id="5" xr3:uid="{CEBAA498-A008-4990-A94E-0389FC01083F}" name="Out" dataDxfId="40" totalsRowDxfId="30"/>
    <tableColumn id="4" xr3:uid="{B5BBB8C1-B899-4BE7-BF76-A403CD563EA1}" name="Flow" totalsRowFunction="sum" dataDxfId="39" totalsRowDxfId="29"/>
    <tableColumn id="2" xr3:uid="{ED1A13DE-F92F-4EF7-B4A9-65E4669D5877}" name="In" dataDxfId="38" totalsRowDxfId="28"/>
    <tableColumn id="3" xr3:uid="{7E75B89D-68B2-401E-92F8-8EC298C6480B}" name="Note" dataDxfId="37" totalsRowDxfId="27"/>
    <tableColumn id="6" xr3:uid="{2B8723DE-64A9-4C12-8513-967A1B3207DF}" name="Comment" dataDxfId="36" totalsRowDxfId="26"/>
    <tableColumn id="9" xr3:uid="{A2B96ED1-4868-40A2-B886-CC723A4D8E90}" name="流" totalsRowFunction="sum" dataDxfId="35" totalsRowDxfId="25">
      <calculatedColumnFormula>IF(表1_35611185445121420222426[[#This Row],[Out]]=$C$3,-表1_35611185445121420222426[[#This Row],[Flow]],0)+IF(表1_35611185445121420222426[[#This Row],[In]]=$C$3,表1_35611185445121420222426[[#This Row],[Flow]],0)</calculatedColumnFormula>
    </tableColumn>
    <tableColumn id="8" xr3:uid="{95BE5AFC-32A3-4CA6-9F74-80EA9773FBE5}" name="流量累计" dataDxfId="34" totalsRowDxfId="24"/>
  </tableColumns>
  <tableStyleInfo name="打印-简约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24B0A77-2CF8-46D8-9BB0-B1D30BED9DFA}" name="Table6131521232527" displayName="Table6131521232527" ref="A2:F4" totalsRowCount="1" headerRowDxfId="179" dataDxfId="178" headerRowBorderDxfId="177" totalsRowBorderDxfId="176">
  <autoFilter ref="A2:F3" xr:uid="{425BC03C-E029-463D-B61C-78C158A3E70A}"/>
  <tableColumns count="6">
    <tableColumn id="1" xr3:uid="{7957F8F6-426D-406A-9E00-2E7308B0476A}" name="Id" totalsRowLabel="汇总" dataDxfId="175" totalsRowDxfId="49"/>
    <tableColumn id="2" xr3:uid="{62CBABF9-034D-4645-A9DA-EFD081A9FCE4}" name="Label" dataDxfId="174" totalsRowDxfId="48"/>
    <tableColumn id="3" xr3:uid="{5158722D-C34D-41A1-AA17-85BC0C32E552}" name="Name" dataDxfId="173" totalsRowDxfId="47"/>
    <tableColumn id="4" xr3:uid="{599F0EAA-8346-4813-8AEC-9FA9A42A9F3E}" name="Balance" totalsRowFunction="sum" dataDxfId="172" totalsRowDxfId="46"/>
    <tableColumn id="5" xr3:uid="{5DA5E569-A533-48C0-82AB-0302164347C2}" name="Flowing" totalsRowFunction="sum" dataDxfId="171" totalsRowDxfId="45">
      <calculatedColumnFormula>SUMIF(表1_35611185445121420222426[In],Table6131521232527[[#This Row],[Name]],表1_35611185445121420222426[Flow])-SUMIF(表1_35611185445121420222426[Out],Table6131521232527[[#This Row],[Name]],表1_35611185445121420222426[Flow])</calculatedColumnFormula>
    </tableColumn>
    <tableColumn id="6" xr3:uid="{D8043093-ABBA-4C9C-9F7D-04619DC42066}" name="Current" totalsRowFunction="sum" dataDxfId="170" totalsRowDxfId="44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D84D1A2-9F10-46F5-AB9B-0ED274076239}" name="表1_3561118544512142022242628" displayName="表1_3561118544512142022242628" ref="H2:Q22" totalsRowCount="1" headerRowDxfId="105" dataDxfId="104" totalsRowDxfId="103" totalsRowBorderDxfId="102">
  <sortState xmlns:xlrd2="http://schemas.microsoft.com/office/spreadsheetml/2017/richdata2" ref="H3:Q4">
    <sortCondition ref="J22:J24"/>
  </sortState>
  <tableColumns count="10">
    <tableColumn id="10" xr3:uid="{7A79BF7F-E167-472D-8BA1-088A980E9A2F}" name="id" totalsRowLabel="汇总" dataDxfId="100" totalsRowDxfId="101"/>
    <tableColumn id="12" xr3:uid="{52B70BFC-CC6E-42F8-BF93-C6E4381926F2}" name="Label" dataDxfId="98" totalsRowDxfId="99"/>
    <tableColumn id="7" xr3:uid="{13911B44-9E1A-4FDA-9AF3-B9E863D54753}" name="Date" dataDxfId="96" totalsRowDxfId="97"/>
    <tableColumn id="5" xr3:uid="{2AA702E1-BCFB-4B8A-B94D-A4A77BE0509E}" name="Out" dataDxfId="94" totalsRowDxfId="95"/>
    <tableColumn id="4" xr3:uid="{E64889C1-C0C6-4EB0-8E37-E714D94F4473}" name="Flow" totalsRowFunction="sum" dataDxfId="92" totalsRowDxfId="93"/>
    <tableColumn id="2" xr3:uid="{BA7E2B2B-7E81-4A42-8CA0-F6048C3800AC}" name="In" dataDxfId="90" totalsRowDxfId="91"/>
    <tableColumn id="3" xr3:uid="{A3D2F3CD-02AE-46E8-BDFE-DC9F0CCE813F}" name="Note" dataDxfId="88" totalsRowDxfId="89"/>
    <tableColumn id="6" xr3:uid="{1A749ED7-29BB-4EE7-9A38-BFE0123E608E}" name="Comment" dataDxfId="86" totalsRowDxfId="87"/>
    <tableColumn id="9" xr3:uid="{1800B7CB-E92E-4A75-8BA0-6A72922741F4}" name="流" totalsRowFunction="sum" dataDxfId="84" totalsRowDxfId="85">
      <calculatedColumnFormula>IF(表1_3561118544512142022242628[[#This Row],[Out]]=$C$3,-表1_3561118544512142022242628[[#This Row],[Flow]],0)+IF(表1_3561118544512142022242628[[#This Row],[In]]=$C$3,表1_3561118544512142022242628[[#This Row],[Flow]],0)</calculatedColumnFormula>
    </tableColumn>
    <tableColumn id="8" xr3:uid="{6766860D-0136-4B6C-B019-6D7834C7C302}" name="流量累计" dataDxfId="82" totalsRowDxfId="83"/>
  </tableColumns>
  <tableStyleInfo name="打印-简约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6ADDFF8-BD74-4669-AD95-D136ACB83442}" name="Table613152123252729" displayName="Table613152123252729" ref="A2:F4" totalsRowCount="1" headerRowDxfId="81" dataDxfId="80" headerRowBorderDxfId="79" totalsRowBorderDxfId="78">
  <autoFilter ref="A2:F3" xr:uid="{425BC03C-E029-463D-B61C-78C158A3E70A}"/>
  <tableColumns count="6">
    <tableColumn id="1" xr3:uid="{236B53AA-19F3-4BD5-9C87-04F4CED95135}" name="Id" totalsRowLabel="汇总" dataDxfId="23" totalsRowDxfId="17"/>
    <tableColumn id="2" xr3:uid="{44B4CC94-22EF-406C-94A2-026384EA0855}" name="Label" dataDxfId="22" totalsRowDxfId="16"/>
    <tableColumn id="3" xr3:uid="{E9AE2F77-E7A5-44CC-9079-6B96058558E8}" name="Name" dataDxfId="21" totalsRowDxfId="15"/>
    <tableColumn id="4" xr3:uid="{630DEEA6-6DBE-425B-897D-A162853D9BDF}" name="Balance" totalsRowFunction="sum" dataDxfId="20" totalsRowDxfId="14"/>
    <tableColumn id="5" xr3:uid="{7AC9AC2E-52E2-4C0A-80A9-E2F1681ABDA2}" name="Flowing" totalsRowFunction="sum" dataDxfId="19" totalsRowDxfId="13">
      <calculatedColumnFormula>SUMIF(表1_3561118544512142022242628[In],Table613152123252729[[#This Row],[Name]],表1_3561118544512142022242628[Flow])-SUMIF(表1_3561118544512142022242628[Out],Table613152123252729[[#This Row],[Name]],表1_3561118544512142022242628[Flow])</calculatedColumnFormula>
    </tableColumn>
    <tableColumn id="6" xr3:uid="{F82DAE31-637B-4289-94BB-CE2E876B5D9C}" name="Current" totalsRowFunction="sum" dataDxfId="18" totalsRowDxfId="12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9DC0E36-7E5A-48A8-87D0-158CC8D12CA2}" name="表1_356111854451214202224262830" displayName="表1_356111854451214202224262830" ref="H2:Q22" totalsRowCount="1" headerRowDxfId="77" dataDxfId="76" totalsRowDxfId="75" totalsRowBorderDxfId="74">
  <sortState xmlns:xlrd2="http://schemas.microsoft.com/office/spreadsheetml/2017/richdata2" ref="H3:Q4">
    <sortCondition ref="J22:J24"/>
  </sortState>
  <tableColumns count="10">
    <tableColumn id="10" xr3:uid="{709216F6-E55A-4C15-A664-F29CC651C92C}" name="id" totalsRowLabel="汇总" dataDxfId="72" totalsRowDxfId="73"/>
    <tableColumn id="12" xr3:uid="{F8EF6683-C26C-48CF-8B96-EDEC3683FDFA}" name="Label" dataDxfId="70" totalsRowDxfId="71"/>
    <tableColumn id="7" xr3:uid="{22EF9709-2480-4D53-AF65-9A5B2EC54AF0}" name="Date" dataDxfId="68" totalsRowDxfId="69"/>
    <tableColumn id="5" xr3:uid="{80405DBB-89C4-4BB8-AD8F-5C7FE6CC3458}" name="Out" dataDxfId="66" totalsRowDxfId="67"/>
    <tableColumn id="4" xr3:uid="{4E483C5C-8614-4E07-844E-98BFEB06DC35}" name="Flow" totalsRowFunction="sum" dataDxfId="64" totalsRowDxfId="65"/>
    <tableColumn id="2" xr3:uid="{2E946F95-E370-4F5E-8A03-B109B941EA6C}" name="In" dataDxfId="62" totalsRowDxfId="63"/>
    <tableColumn id="3" xr3:uid="{98887C68-B39E-4EC2-9A44-7668E4E67C17}" name="Note" dataDxfId="60" totalsRowDxfId="61"/>
    <tableColumn id="6" xr3:uid="{69690156-7899-4662-902D-552D0C75C43C}" name="Comment" dataDxfId="58" totalsRowDxfId="59"/>
    <tableColumn id="9" xr3:uid="{48DC81AE-9636-4DE3-AFF3-426784FA1C28}" name="流" totalsRowFunction="sum" dataDxfId="56" totalsRowDxfId="57">
      <calculatedColumnFormula>IF(表1_356111854451214202224262830[[#This Row],[Out]]=$C$3,-表1_356111854451214202224262830[[#This Row],[Flow]],0)+IF(表1_356111854451214202224262830[[#This Row],[In]]=$C$3,表1_356111854451214202224262830[[#This Row],[Flow]],0)</calculatedColumnFormula>
    </tableColumn>
    <tableColumn id="8" xr3:uid="{B631240B-FF23-4CE1-A0DF-F676079DA5D8}" name="流量累计" dataDxfId="54" totalsRowDxfId="55"/>
  </tableColumns>
  <tableStyleInfo name="打印-简约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4CE833B-0DB8-4918-8225-9FFDEA325DDA}" name="Table61315212325272931" displayName="Table61315212325272931" ref="A2:F4" totalsRowCount="1" headerRowDxfId="53" dataDxfId="52" headerRowBorderDxfId="51" totalsRowBorderDxfId="50">
  <autoFilter ref="A2:F3" xr:uid="{425BC03C-E029-463D-B61C-78C158A3E70A}"/>
  <tableColumns count="6">
    <tableColumn id="1" xr3:uid="{76292572-EFE3-4185-81AA-52A7A3CBF1FF}" name="Id" totalsRowLabel="汇总" dataDxfId="11" totalsRowDxfId="5"/>
    <tableColumn id="2" xr3:uid="{57502E03-2427-4AEF-A1DB-95466E35EC2A}" name="Label" dataDxfId="10" totalsRowDxfId="4"/>
    <tableColumn id="3" xr3:uid="{DEBD93C7-8BE3-4118-8A4C-BD510863F530}" name="Name" dataDxfId="9" totalsRowDxfId="3"/>
    <tableColumn id="4" xr3:uid="{DC219949-471C-4F5C-B4A0-BE4EE7201AC1}" name="Balance" totalsRowFunction="sum" dataDxfId="8" totalsRowDxfId="2"/>
    <tableColumn id="5" xr3:uid="{BC5C631D-D3BE-4CFB-887B-B4CEF97527CB}" name="Flowing" totalsRowFunction="sum" dataDxfId="7" totalsRowDxfId="1">
      <calculatedColumnFormula>SUMIF(表1_356111854451214202224262830[In],Table61315212325272931[[#This Row],[Name]],表1_356111854451214202224262830[Flow])-SUMIF(表1_356111854451214202224262830[Out],Table61315212325272931[[#This Row],[Name]],表1_356111854451214202224262830[Flow])</calculatedColumnFormula>
    </tableColumn>
    <tableColumn id="6" xr3:uid="{507D26D7-B3A4-4F01-88D4-5DA7FF4BD8C4}" name="Current" totalsRowFunction="sum" dataDxfId="6" totalsRow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A38285-89E6-4455-A3CA-46BCAFA62515}" name="表1_356111854458" displayName="表1_356111854458" ref="H2:Q22" totalsRowCount="1" headerRowDxfId="485" dataDxfId="484" totalsRowDxfId="483" totalsRowBorderDxfId="482">
  <sortState xmlns:xlrd2="http://schemas.microsoft.com/office/spreadsheetml/2017/richdata2" ref="H3:Q4">
    <sortCondition ref="J22:J24"/>
  </sortState>
  <tableColumns count="10">
    <tableColumn id="10" xr3:uid="{6E3D4836-EF77-4B83-87A7-EAFFBDEC8BC9}" name="id" totalsRowLabel="汇总" dataDxfId="477" totalsRowDxfId="467"/>
    <tableColumn id="12" xr3:uid="{285472B2-E015-4CBB-82A4-CD3C536BB1F5}" name="Label" dataDxfId="476" totalsRowDxfId="466"/>
    <tableColumn id="7" xr3:uid="{0AB842B4-F76E-41DB-88B7-D474EF779853}" name="Date" dataDxfId="475" totalsRowDxfId="465"/>
    <tableColumn id="5" xr3:uid="{C59D44F5-D23B-4689-9E73-E6C24C690923}" name="Out" dataDxfId="474" totalsRowDxfId="464"/>
    <tableColumn id="4" xr3:uid="{5D49C6E4-5D26-40C5-9A04-565C6D40CE57}" name="Flow" totalsRowFunction="sum" dataDxfId="473" totalsRowDxfId="463"/>
    <tableColumn id="2" xr3:uid="{03AF5635-B625-42EE-A148-51041D38FCFC}" name="In" dataDxfId="472" totalsRowDxfId="462"/>
    <tableColumn id="3" xr3:uid="{780B7CE2-BACE-4F50-9D5B-5D3648817FA1}" name="Note" dataDxfId="471" totalsRowDxfId="461"/>
    <tableColumn id="6" xr3:uid="{9AEF997D-9B53-4835-B0B0-5C3249F674FA}" name="Comment" dataDxfId="470" totalsRowDxfId="460"/>
    <tableColumn id="9" xr3:uid="{311A0473-29CC-413D-9A18-83C3D0824038}" name="流" totalsRowFunction="sum" dataDxfId="469" totalsRowDxfId="459">
      <calculatedColumnFormula>IF(表1_356111854458[[#This Row],[Out]]=$C$3,-表1_356111854458[[#This Row],[Flow]],0)+IF(表1_356111854458[[#This Row],[In]]=$C$3,表1_356111854458[[#This Row],[Flow]],0)</calculatedColumnFormula>
    </tableColumn>
    <tableColumn id="8" xr3:uid="{41F48509-EA87-4A8C-B1AE-2525CBE287A0}" name="流量累计" dataDxfId="468" totalsRowDxfId="458"/>
  </tableColumns>
  <tableStyleInfo name="打印-简约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D511D8-085F-4E6D-A768-F41A704DA5B4}" name="Table69" displayName="Table69" ref="A2:F4" totalsRowCount="1" headerRowDxfId="481" dataDxfId="480" headerRowBorderDxfId="479" totalsRowBorderDxfId="478">
  <autoFilter ref="A2:F3" xr:uid="{425BC03C-E029-463D-B61C-78C158A3E70A}"/>
  <tableColumns count="6">
    <tableColumn id="1" xr3:uid="{17875193-AA95-43ED-8A1E-A20F027C8697}" name="Id" totalsRowLabel="汇总" dataDxfId="457" totalsRowDxfId="445"/>
    <tableColumn id="2" xr3:uid="{E2993D1C-390D-474E-A981-4E953DAC75AB}" name="Label" dataDxfId="456" totalsRowDxfId="444"/>
    <tableColumn id="3" xr3:uid="{FADC885B-7ECC-469F-9BF2-FA4CF748B2CF}" name="Name" dataDxfId="455" totalsRowDxfId="443"/>
    <tableColumn id="4" xr3:uid="{6E4614D8-569E-4ECC-B2E1-49650618E100}" name="Balance" totalsRowFunction="sum" dataDxfId="454" totalsRowDxfId="442"/>
    <tableColumn id="5" xr3:uid="{1BE352B2-ABB4-421F-9FBD-A327C73DCE05}" name="Flowing" totalsRowFunction="sum" dataDxfId="453" totalsRowDxfId="441">
      <calculatedColumnFormula>SUMIF(表1_356111854458[In],Table69[[#This Row],[Name]],表1_356111854458[Flow])-SUMIF(表1_356111854458[Out],Table69[[#This Row],[Name]],表1_356111854458[Flow])</calculatedColumnFormula>
    </tableColumn>
    <tableColumn id="6" xr3:uid="{C7B225A3-A307-4E26-9724-4AD83746F3DE}" name="Current" totalsRowFunction="sum" dataDxfId="452" totalsRowDxfId="4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B7D419-3F37-433C-A4BE-E03BDD13D8BA}" name="表1_3561118544510" displayName="表1_3561118544510" ref="H2:Q22" totalsRowCount="1" headerRowDxfId="439" dataDxfId="438" totalsRowDxfId="437" totalsRowBorderDxfId="436">
  <sortState xmlns:xlrd2="http://schemas.microsoft.com/office/spreadsheetml/2017/richdata2" ref="H3:Q4">
    <sortCondition ref="J22:J24"/>
  </sortState>
  <tableColumns count="10">
    <tableColumn id="10" xr3:uid="{F181E228-1451-484F-B416-58949994E69A}" name="id" totalsRowLabel="汇总" dataDxfId="435" totalsRowDxfId="409"/>
    <tableColumn id="12" xr3:uid="{5E9A71F4-6C5E-4E42-B976-2339340D01E4}" name="Label" dataDxfId="434" totalsRowDxfId="408"/>
    <tableColumn id="7" xr3:uid="{EFB5F6A8-31D7-4874-96EB-D9830602A22E}" name="Date" dataDxfId="433" totalsRowDxfId="407"/>
    <tableColumn id="5" xr3:uid="{2BB390F7-9A17-40D1-BA5E-4EE881A9B323}" name="Out" dataDxfId="432" totalsRowDxfId="406"/>
    <tableColumn id="4" xr3:uid="{07265EBF-9B15-4299-8EEB-E7E16BF4B48F}" name="Flow" totalsRowFunction="sum" dataDxfId="431" totalsRowDxfId="405"/>
    <tableColumn id="2" xr3:uid="{A5637354-B5EE-4140-879C-5B62CA2ED5B9}" name="In" dataDxfId="430" totalsRowDxfId="404"/>
    <tableColumn id="3" xr3:uid="{A9F509B4-9D9E-4651-AE69-5CDFA975F35A}" name="Note" dataDxfId="429" totalsRowDxfId="403"/>
    <tableColumn id="6" xr3:uid="{6F22AD40-F2E2-4560-AD36-3FFB7CE71DC2}" name="Comment" dataDxfId="428" totalsRowDxfId="402"/>
    <tableColumn id="9" xr3:uid="{4D239D81-1724-478B-A5FF-C86227BF11BD}" name="流" totalsRowFunction="sum" dataDxfId="427" totalsRowDxfId="401">
      <calculatedColumnFormula>IF(表1_3561118544510[[#This Row],[Out]]=$C$3,-表1_3561118544510[[#This Row],[Flow]],0)+IF(表1_3561118544510[[#This Row],[In]]=$C$3,表1_3561118544510[[#This Row],[Flow]],0)</calculatedColumnFormula>
    </tableColumn>
    <tableColumn id="8" xr3:uid="{13B7BF08-FCB6-43AA-81AB-A9BD66FCA6A3}" name="流量累计" dataDxfId="426" totalsRowDxfId="400"/>
  </tableColumns>
  <tableStyleInfo name="打印-简约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01BC23B-ECD7-4BA9-9C08-D3B508CA4DB0}" name="Table611" displayName="Table611" ref="A2:F4" totalsRowCount="1" headerRowDxfId="425" dataDxfId="424" headerRowBorderDxfId="423" totalsRowBorderDxfId="422">
  <autoFilter ref="A2:F3" xr:uid="{425BC03C-E029-463D-B61C-78C158A3E70A}"/>
  <tableColumns count="6">
    <tableColumn id="1" xr3:uid="{063A1B2E-E87A-4109-BCF1-9E0A88F4BB01}" name="Id" totalsRowLabel="汇总" dataDxfId="421" totalsRowDxfId="415"/>
    <tableColumn id="2" xr3:uid="{B7763458-5905-43F5-9141-CE96E474493C}" name="Label" dataDxfId="420" totalsRowDxfId="414"/>
    <tableColumn id="3" xr3:uid="{9429668B-E05A-46E3-BB75-E6F02CB2A431}" name="Name" dataDxfId="419" totalsRowDxfId="413"/>
    <tableColumn id="4" xr3:uid="{4E0F4E1E-79AC-4693-A62B-37645AADAB4D}" name="Balance" totalsRowFunction="sum" dataDxfId="418" totalsRowDxfId="412"/>
    <tableColumn id="5" xr3:uid="{3030C63A-FC49-48E2-8CB4-D60D929FAA42}" name="Flowing" totalsRowFunction="sum" dataDxfId="417" totalsRowDxfId="411">
      <calculatedColumnFormula>SUMIF(表1_3561118544510[In],Table611[[#This Row],[Name]],表1_3561118544510[Flow])-SUMIF(表1_3561118544510[Out],Table611[[#This Row],[Name]],表1_3561118544510[Flow])</calculatedColumnFormula>
    </tableColumn>
    <tableColumn id="6" xr3:uid="{22CD253A-5F82-4610-8D65-D9FECC7DDEC2}" name="Current" totalsRowFunction="sum" dataDxfId="416" totalsRowDxfId="41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B46891-6545-4788-82BE-67673C6DF6E2}" name="表1_3561118544512" displayName="表1_3561118544512" ref="H2:Q22" totalsRowCount="1" headerRowDxfId="399" dataDxfId="398" totalsRowDxfId="397" totalsRowBorderDxfId="396">
  <sortState xmlns:xlrd2="http://schemas.microsoft.com/office/spreadsheetml/2017/richdata2" ref="H3:Q4">
    <sortCondition ref="J22:J24"/>
  </sortState>
  <tableColumns count="10">
    <tableColumn id="10" xr3:uid="{5EEC1586-8AC2-4BF3-88F1-6279A33D6E25}" name="id" totalsRowLabel="汇总" dataDxfId="394" totalsRowDxfId="395"/>
    <tableColumn id="12" xr3:uid="{142F6E2E-35F2-4BD2-8D7B-19699FD1A342}" name="Label" dataDxfId="392" totalsRowDxfId="393"/>
    <tableColumn id="7" xr3:uid="{02188CA5-52EA-4B16-ADDB-414AD23B860A}" name="Date" dataDxfId="390" totalsRowDxfId="391"/>
    <tableColumn id="5" xr3:uid="{4F519F27-99EC-4EA4-9504-251EE8E7E605}" name="Out" dataDxfId="388" totalsRowDxfId="389"/>
    <tableColumn id="4" xr3:uid="{1D998144-EB17-4E4D-8DC5-E56A476BB3F2}" name="Flow" totalsRowFunction="sum" dataDxfId="386" totalsRowDxfId="387"/>
    <tableColumn id="2" xr3:uid="{53BAEA4F-F12A-427B-9174-86C7EC62FDF7}" name="In" dataDxfId="384" totalsRowDxfId="385"/>
    <tableColumn id="3" xr3:uid="{A7E3AFD7-6C83-4739-ABDE-C5248D11706E}" name="Note" dataDxfId="382" totalsRowDxfId="383"/>
    <tableColumn id="6" xr3:uid="{7BEC0564-12B5-4DCF-A67E-81BB8F191F02}" name="Comment" dataDxfId="380" totalsRowDxfId="381"/>
    <tableColumn id="9" xr3:uid="{B3A60A2A-FE6E-44CF-8397-28B1B1E76066}" name="流" totalsRowFunction="sum" dataDxfId="378" totalsRowDxfId="379">
      <calculatedColumnFormula>IF(表1_3561118544512[[#This Row],[Out]]=$C$3,-表1_3561118544512[[#This Row],[Flow]],0)+IF(表1_3561118544512[[#This Row],[In]]=$C$3,表1_3561118544512[[#This Row],[Flow]],0)</calculatedColumnFormula>
    </tableColumn>
    <tableColumn id="8" xr3:uid="{21CD5DEB-8868-4B21-8CB2-0D8CA5ED61AB}" name="流量累计" dataDxfId="376" totalsRowDxfId="377"/>
  </tableColumns>
  <tableStyleInfo name="打印-简约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BF6EC4-06EC-4B7F-9A83-64B23424C244}" name="Table613" displayName="Table613" ref="A2:F4" totalsRowCount="1" headerRowDxfId="375" dataDxfId="374" headerRowBorderDxfId="373" totalsRowBorderDxfId="372">
  <autoFilter ref="A2:F3" xr:uid="{425BC03C-E029-463D-B61C-78C158A3E70A}"/>
  <tableColumns count="6">
    <tableColumn id="1" xr3:uid="{AAD1BD51-3FE5-4645-80FA-8F4F0EC00FDE}" name="Id" totalsRowLabel="汇总" dataDxfId="327" totalsRowDxfId="321"/>
    <tableColumn id="2" xr3:uid="{5CFD9C25-8C78-4633-B2FB-288EED35453B}" name="Label" dataDxfId="326" totalsRowDxfId="320"/>
    <tableColumn id="3" xr3:uid="{BD5C61E6-884F-401D-9DB3-686B25589BF3}" name="Name" dataDxfId="325" totalsRowDxfId="319"/>
    <tableColumn id="4" xr3:uid="{4E175ABC-A526-456A-815D-755BF17DAFC5}" name="Balance" totalsRowFunction="sum" dataDxfId="324" totalsRowDxfId="318"/>
    <tableColumn id="5" xr3:uid="{B1813255-2203-4DB7-B590-028D76DF4C27}" name="Flowing" totalsRowFunction="sum" dataDxfId="323" totalsRowDxfId="317">
      <calculatedColumnFormula>SUMIF(表1_3561118544512[In],Table613[[#This Row],[Name]],表1_3561118544512[Flow])-SUMIF(表1_3561118544512[Out],Table613[[#This Row],[Name]],表1_3561118544512[Flow])</calculatedColumnFormula>
    </tableColumn>
    <tableColumn id="6" xr3:uid="{F1A0AEC4-8103-4E37-8EE6-BC4EDDA376E5}" name="Current" totalsRowFunction="sum" dataDxfId="322" totalsRowDxfId="31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F3718CD-8B35-46DC-B69A-31C064E12BC1}" name="表1_3561118544512141618" displayName="表1_3561118544512141618" ref="H2:Q22" totalsRowCount="1" headerRowDxfId="335" dataDxfId="334" totalsRowDxfId="333" totalsRowBorderDxfId="332">
  <sortState xmlns:xlrd2="http://schemas.microsoft.com/office/spreadsheetml/2017/richdata2" ref="H3:Q4">
    <sortCondition ref="J22:J24"/>
  </sortState>
  <tableColumns count="10">
    <tableColumn id="10" xr3:uid="{253D7A97-D84C-4F09-825A-97AD0F9C8121}" name="id" totalsRowLabel="汇总" dataDxfId="303" totalsRowDxfId="293"/>
    <tableColumn id="12" xr3:uid="{7D944318-9866-495E-B1B9-E7940B57DC50}" name="Label" dataDxfId="302" totalsRowDxfId="292"/>
    <tableColumn id="7" xr3:uid="{177F9DEB-7C5C-40EA-A671-DEC2CAF4AB9F}" name="Date" dataDxfId="301" totalsRowDxfId="291"/>
    <tableColumn id="5" xr3:uid="{3FC97164-F4BC-4A9D-9AC2-A388A51908ED}" name="Out" dataDxfId="300" totalsRowDxfId="290"/>
    <tableColumn id="4" xr3:uid="{DBB0A454-D65B-4E7F-B2B3-9A25CEDDC2F6}" name="Flow" totalsRowFunction="sum" dataDxfId="299" totalsRowDxfId="289"/>
    <tableColumn id="2" xr3:uid="{2B6AEB2A-7591-4FBF-BC6C-EFE0A3A2FC57}" name="In" dataDxfId="298" totalsRowDxfId="288"/>
    <tableColumn id="3" xr3:uid="{494C29EF-9090-4993-B015-C1A3E151DDB7}" name="Note" dataDxfId="297" totalsRowDxfId="287"/>
    <tableColumn id="6" xr3:uid="{6B451516-632A-4A3B-B76C-78C6339F38AE}" name="Comment" dataDxfId="296" totalsRowDxfId="286"/>
    <tableColumn id="9" xr3:uid="{3672E676-004C-4C33-BC6F-911E19D6EED9}" name="流" totalsRowFunction="sum" dataDxfId="295" totalsRowDxfId="285">
      <calculatedColumnFormula>IF(表1_3561118544512141618[[#This Row],[Out]]=$C$3,-表1_3561118544512141618[[#This Row],[Flow]],0)+IF(表1_3561118544512141618[[#This Row],[In]]=$C$3,表1_3561118544512141618[[#This Row],[Flow]],0)</calculatedColumnFormula>
    </tableColumn>
    <tableColumn id="8" xr3:uid="{3A47F1A7-5170-42BA-8CA0-CDF04CD76B03}" name="流量累计" dataDxfId="294" totalsRowDxfId="284"/>
  </tableColumns>
  <tableStyleInfo name="打印-简约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93C7-A6D8-41C1-BFCE-BEEB05ED00A4}">
  <dimension ref="A1:Q22"/>
  <sheetViews>
    <sheetView showGridLines="0" tabSelected="1" workbookViewId="0">
      <selection activeCell="E4" sqref="E4"/>
    </sheetView>
  </sheetViews>
  <sheetFormatPr defaultColWidth="3.125" defaultRowHeight="14.25" x14ac:dyDescent="0.2"/>
  <cols>
    <col min="1" max="1" width="5.875" style="10" bestFit="1" customWidth="1"/>
    <col min="2" max="2" width="6.625" style="10" customWidth="1"/>
    <col min="3" max="3" width="7.25" style="10" bestFit="1" customWidth="1"/>
    <col min="4" max="4" width="8.375" style="10" customWidth="1"/>
    <col min="5" max="5" width="8.25" style="10" customWidth="1"/>
    <col min="6" max="6" width="8.125" style="10" customWidth="1"/>
    <col min="7" max="7" width="3.125" style="10"/>
    <col min="8" max="8" width="7.625" style="10" bestFit="1" customWidth="1"/>
    <col min="9" max="9" width="5" style="10" bestFit="1" customWidth="1"/>
    <col min="10" max="10" width="4.5" style="10" bestFit="1" customWidth="1"/>
    <col min="11" max="11" width="4" style="10" bestFit="1" customWidth="1"/>
    <col min="12" max="12" width="4.625" style="10" bestFit="1" customWidth="1"/>
    <col min="13" max="13" width="2.75" style="10" bestFit="1" customWidth="1"/>
    <col min="14" max="14" width="4.75" style="10" bestFit="1" customWidth="1"/>
    <col min="15" max="15" width="7.875" style="10" bestFit="1" customWidth="1"/>
    <col min="16" max="16" width="4.375" style="10" bestFit="1" customWidth="1"/>
    <col min="17" max="17" width="7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0</v>
      </c>
      <c r="B3" s="27"/>
      <c r="C3" s="27" t="s">
        <v>17</v>
      </c>
      <c r="D3" s="28">
        <v>0</v>
      </c>
      <c r="E3" s="28">
        <f>SUMIF(表1_35611185445[In],Table6[[#This Row],[Name]],表1_35611185445[Flow])-SUMIF(表1_35611185445[Out],Table6[[#This Row],[Name]],表1_35611185445[Flow])</f>
        <v>0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IF(表1_35611185445[[#This Row],[Out]]=$C$3,-表1_35611185445[[#This Row],[Flow]],0)+IF(表1_35611185445[[#This Row],[In]]=$C$3,表1_35611185445[[#This Row],[Flow]],0)</f>
        <v>0</v>
      </c>
      <c r="Q3" s="5">
        <f>表1_35611185445[[#This Row],[流]]</f>
        <v>0</v>
      </c>
    </row>
    <row r="4" spans="1:17" x14ac:dyDescent="0.2">
      <c r="A4" s="29" t="s">
        <v>20</v>
      </c>
      <c r="B4" s="12"/>
      <c r="C4" s="12"/>
      <c r="D4" s="13">
        <f>SUBTOTAL(109,Table6[Balance])</f>
        <v>0</v>
      </c>
      <c r="E4" s="13">
        <f>SUBTOTAL(109,Table6[Flowing])</f>
        <v>0</v>
      </c>
      <c r="F4" s="13">
        <f>SUBTOTAL(109,Table6[Current])</f>
        <v>0</v>
      </c>
      <c r="H4" s="18"/>
      <c r="I4" s="3"/>
      <c r="J4" s="7"/>
      <c r="K4" s="3"/>
      <c r="L4" s="8"/>
      <c r="M4" s="3"/>
      <c r="N4" s="2"/>
      <c r="O4" s="3"/>
      <c r="P4" s="5">
        <f>IF(表1_35611185445[[#This Row],[Out]]=$C$3,-表1_35611185445[[#This Row],[Flow]],0)+IF(表1_35611185445[[#This Row],[In]]=$C$3,表1_35611185445[[#This Row],[Flow]],0)</f>
        <v>0</v>
      </c>
      <c r="Q4" s="5">
        <f>Q3+P4</f>
        <v>0</v>
      </c>
    </row>
    <row r="5" spans="1:17" x14ac:dyDescent="0.2">
      <c r="H5" s="18"/>
      <c r="I5" s="16"/>
      <c r="J5" s="7"/>
      <c r="K5" s="16"/>
      <c r="L5" s="8"/>
      <c r="M5" s="16"/>
      <c r="N5" s="17"/>
      <c r="O5" s="16"/>
      <c r="P5" s="5">
        <f>IF(表1_35611185445[[#This Row],[Out]]=$C$3,-表1_35611185445[[#This Row],[Flow]],0)+IF(表1_35611185445[[#This Row],[In]]=$C$3,表1_35611185445[[#This Row],[Flow]],0)</f>
        <v>0</v>
      </c>
      <c r="Q5" s="5">
        <f t="shared" ref="Q5:Q21" si="0">Q4+P5</f>
        <v>0</v>
      </c>
    </row>
    <row r="6" spans="1:17" x14ac:dyDescent="0.2">
      <c r="H6" s="18"/>
      <c r="I6" s="16"/>
      <c r="J6" s="7"/>
      <c r="K6" s="16"/>
      <c r="L6" s="8"/>
      <c r="M6" s="16"/>
      <c r="N6" s="17"/>
      <c r="O6" s="16"/>
      <c r="P6" s="5">
        <f>IF(表1_35611185445[[#This Row],[Out]]=$C$3,-表1_35611185445[[#This Row],[Flow]],0)+IF(表1_35611185445[[#This Row],[In]]=$C$3,表1_35611185445[[#This Row],[Flow]],0)</f>
        <v>0</v>
      </c>
      <c r="Q6" s="5">
        <f t="shared" si="0"/>
        <v>0</v>
      </c>
    </row>
    <row r="7" spans="1:17" x14ac:dyDescent="0.2">
      <c r="H7" s="18"/>
      <c r="I7" s="16"/>
      <c r="J7" s="7"/>
      <c r="K7" s="16"/>
      <c r="L7" s="8"/>
      <c r="M7" s="16"/>
      <c r="N7" s="17"/>
      <c r="O7" s="16"/>
      <c r="P7" s="5">
        <f>IF(表1_35611185445[[#This Row],[Out]]=$C$3,-表1_35611185445[[#This Row],[Flow]],0)+IF(表1_35611185445[[#This Row],[In]]=$C$3,表1_35611185445[[#This Row],[Flow]],0)</f>
        <v>0</v>
      </c>
      <c r="Q7" s="5">
        <f t="shared" si="0"/>
        <v>0</v>
      </c>
    </row>
    <row r="8" spans="1:17" x14ac:dyDescent="0.2">
      <c r="H8" s="18"/>
      <c r="I8" s="16"/>
      <c r="J8" s="7"/>
      <c r="K8" s="16"/>
      <c r="L8" s="8"/>
      <c r="M8" s="16"/>
      <c r="N8" s="17"/>
      <c r="O8" s="16"/>
      <c r="P8" s="5">
        <f>IF(表1_35611185445[[#This Row],[Out]]=$C$3,-表1_35611185445[[#This Row],[Flow]],0)+IF(表1_35611185445[[#This Row],[In]]=$C$3,表1_35611185445[[#This Row],[Flow]],0)</f>
        <v>0</v>
      </c>
      <c r="Q8" s="5">
        <f t="shared" si="0"/>
        <v>0</v>
      </c>
    </row>
    <row r="9" spans="1:17" x14ac:dyDescent="0.2">
      <c r="H9" s="18"/>
      <c r="I9" s="16"/>
      <c r="J9" s="7"/>
      <c r="K9" s="16"/>
      <c r="L9" s="8"/>
      <c r="M9" s="16"/>
      <c r="N9" s="17"/>
      <c r="O9" s="16"/>
      <c r="P9" s="5">
        <f>IF(表1_35611185445[[#This Row],[Out]]=$C$3,-表1_35611185445[[#This Row],[Flow]],0)+IF(表1_35611185445[[#This Row],[In]]=$C$3,表1_35611185445[[#This Row],[Flow]],0)</f>
        <v>0</v>
      </c>
      <c r="Q9" s="5">
        <f t="shared" si="0"/>
        <v>0</v>
      </c>
    </row>
    <row r="10" spans="1:17" x14ac:dyDescent="0.2">
      <c r="H10" s="18"/>
      <c r="I10" s="16"/>
      <c r="J10" s="7"/>
      <c r="K10" s="16"/>
      <c r="L10" s="8"/>
      <c r="M10" s="16"/>
      <c r="N10" s="17"/>
      <c r="O10" s="16"/>
      <c r="P10" s="5">
        <f>IF(表1_35611185445[[#This Row],[Out]]=$C$3,-表1_35611185445[[#This Row],[Flow]],0)+IF(表1_35611185445[[#This Row],[In]]=$C$3,表1_35611185445[[#This Row],[Flow]],0)</f>
        <v>0</v>
      </c>
      <c r="Q10" s="5">
        <f t="shared" si="0"/>
        <v>0</v>
      </c>
    </row>
    <row r="11" spans="1:17" x14ac:dyDescent="0.2">
      <c r="H11" s="18"/>
      <c r="I11" s="16"/>
      <c r="J11" s="7"/>
      <c r="K11" s="16"/>
      <c r="L11" s="8"/>
      <c r="M11" s="16"/>
      <c r="N11" s="17"/>
      <c r="O11" s="16"/>
      <c r="P11" s="5">
        <f>IF(表1_35611185445[[#This Row],[Out]]=$C$3,-表1_35611185445[[#This Row],[Flow]],0)+IF(表1_35611185445[[#This Row],[In]]=$C$3,表1_35611185445[[#This Row],[Flow]],0)</f>
        <v>0</v>
      </c>
      <c r="Q11" s="5">
        <f t="shared" si="0"/>
        <v>0</v>
      </c>
    </row>
    <row r="12" spans="1:17" x14ac:dyDescent="0.2">
      <c r="H12" s="18"/>
      <c r="I12" s="16"/>
      <c r="J12" s="7"/>
      <c r="K12" s="16"/>
      <c r="L12" s="8"/>
      <c r="M12" s="16"/>
      <c r="N12" s="17"/>
      <c r="O12" s="16"/>
      <c r="P12" s="5">
        <f>IF(表1_35611185445[[#This Row],[Out]]=$C$3,-表1_35611185445[[#This Row],[Flow]],0)+IF(表1_35611185445[[#This Row],[In]]=$C$3,表1_35611185445[[#This Row],[Flow]],0)</f>
        <v>0</v>
      </c>
      <c r="Q12" s="5">
        <f t="shared" si="0"/>
        <v>0</v>
      </c>
    </row>
    <row r="13" spans="1:17" x14ac:dyDescent="0.2">
      <c r="H13" s="18"/>
      <c r="I13" s="16"/>
      <c r="J13" s="7"/>
      <c r="K13" s="16"/>
      <c r="L13" s="8"/>
      <c r="M13" s="16"/>
      <c r="N13" s="17"/>
      <c r="O13" s="16"/>
      <c r="P13" s="5">
        <f>IF(表1_35611185445[[#This Row],[Out]]=$C$3,-表1_35611185445[[#This Row],[Flow]],0)+IF(表1_35611185445[[#This Row],[In]]=$C$3,表1_35611185445[[#This Row],[Flow]],0)</f>
        <v>0</v>
      </c>
      <c r="Q13" s="5">
        <f t="shared" si="0"/>
        <v>0</v>
      </c>
    </row>
    <row r="14" spans="1:17" x14ac:dyDescent="0.2">
      <c r="H14" s="18"/>
      <c r="I14" s="16"/>
      <c r="J14" s="7"/>
      <c r="K14" s="16"/>
      <c r="L14" s="8"/>
      <c r="M14" s="16"/>
      <c r="N14" s="17"/>
      <c r="O14" s="16"/>
      <c r="P14" s="5">
        <f>IF(表1_35611185445[[#This Row],[Out]]=$C$3,-表1_35611185445[[#This Row],[Flow]],0)+IF(表1_35611185445[[#This Row],[In]]=$C$3,表1_35611185445[[#This Row],[Flow]],0)</f>
        <v>0</v>
      </c>
      <c r="Q14" s="5">
        <f t="shared" si="0"/>
        <v>0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IF(表1_35611185445[[#This Row],[Out]]=$C$3,-表1_35611185445[[#This Row],[Flow]],0)+IF(表1_35611185445[[#This Row],[In]]=$C$3,表1_35611185445[[#This Row],[Flow]],0)</f>
        <v>0</v>
      </c>
      <c r="Q15" s="5">
        <f t="shared" si="0"/>
        <v>0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IF(表1_35611185445[[#This Row],[Out]]=$C$3,-表1_35611185445[[#This Row],[Flow]],0)+IF(表1_35611185445[[#This Row],[In]]=$C$3,表1_35611185445[[#This Row],[Flow]],0)</f>
        <v>0</v>
      </c>
      <c r="Q16" s="5">
        <f t="shared" si="0"/>
        <v>0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IF(表1_35611185445[[#This Row],[Out]]=$C$3,-表1_35611185445[[#This Row],[Flow]],0)+IF(表1_35611185445[[#This Row],[In]]=$C$3,表1_35611185445[[#This Row],[Flow]],0)</f>
        <v>0</v>
      </c>
      <c r="Q17" s="5">
        <f t="shared" si="0"/>
        <v>0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IF(表1_35611185445[[#This Row],[Out]]=$C$3,-表1_35611185445[[#This Row],[Flow]],0)+IF(表1_35611185445[[#This Row],[In]]=$C$3,表1_35611185445[[#This Row],[Flow]],0)</f>
        <v>0</v>
      </c>
      <c r="Q18" s="5">
        <f t="shared" si="0"/>
        <v>0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IF(表1_35611185445[[#This Row],[Out]]=$C$3,-表1_35611185445[[#This Row],[Flow]],0)+IF(表1_35611185445[[#This Row],[In]]=$C$3,表1_35611185445[[#This Row],[Flow]],0)</f>
        <v>0</v>
      </c>
      <c r="Q19" s="5">
        <f t="shared" si="0"/>
        <v>0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IF(表1_35611185445[[#This Row],[Out]]=$C$3,-表1_35611185445[[#This Row],[Flow]],0)+IF(表1_35611185445[[#This Row],[In]]=$C$3,表1_35611185445[[#This Row],[Flow]],0)</f>
        <v>0</v>
      </c>
      <c r="Q20" s="5">
        <f t="shared" si="0"/>
        <v>0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IF(表1_35611185445[[#This Row],[Out]]=$C$3,-表1_35611185445[[#This Row],[Flow]],0)+IF(表1_35611185445[[#This Row],[In]]=$C$3,表1_35611185445[[#This Row],[Flow]],0)</f>
        <v>0</v>
      </c>
      <c r="Q21" s="5">
        <f t="shared" si="0"/>
        <v>0</v>
      </c>
    </row>
    <row r="22" spans="8:17" x14ac:dyDescent="0.2">
      <c r="H22" s="20" t="s">
        <v>20</v>
      </c>
      <c r="I22" s="21"/>
      <c r="J22" s="20"/>
      <c r="K22" s="22"/>
      <c r="L22" s="23">
        <f>SUBTOTAL(109,表1_35611185445[Flow])</f>
        <v>0</v>
      </c>
      <c r="M22" s="22"/>
      <c r="N22" s="24"/>
      <c r="O22" s="21"/>
      <c r="P22" s="25">
        <f>SUBTOTAL(109,表1_35611185445[流])</f>
        <v>0</v>
      </c>
      <c r="Q22" s="25"/>
    </row>
  </sheetData>
  <mergeCells count="2">
    <mergeCell ref="A1:F1"/>
    <mergeCell ref="H1:Q1"/>
  </mergeCells>
  <phoneticPr fontId="2" type="noConversion"/>
  <pageMargins left="0.7" right="0.7" top="0.75" bottom="0.75" header="0.3" footer="0.3"/>
  <legacy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DFC0-A6DD-4208-8702-98BB49690317}">
  <dimension ref="A1:Q22"/>
  <sheetViews>
    <sheetView showGridLines="0" workbookViewId="0">
      <selection activeCell="C3" sqref="C3"/>
    </sheetView>
  </sheetViews>
  <sheetFormatPr defaultColWidth="3.125" defaultRowHeight="14.25" x14ac:dyDescent="0.2"/>
  <cols>
    <col min="1" max="1" width="7" style="10" bestFit="1" customWidth="1"/>
    <col min="2" max="2" width="12.75" style="10" bestFit="1" customWidth="1"/>
    <col min="3" max="3" width="10.875" style="10" bestFit="1" customWidth="1"/>
    <col min="4" max="4" width="7.125" style="10" bestFit="1" customWidth="1"/>
    <col min="5" max="5" width="7" style="10" bestFit="1" customWidth="1"/>
    <col min="6" max="6" width="6.875" style="10" bestFit="1" customWidth="1"/>
    <col min="7" max="7" width="3.125" style="10"/>
    <col min="8" max="8" width="7.625" style="10" bestFit="1" customWidth="1"/>
    <col min="9" max="9" width="5" style="10" bestFit="1" customWidth="1"/>
    <col min="10" max="10" width="7.25" style="10" bestFit="1" customWidth="1"/>
    <col min="11" max="11" width="9.875" style="10" bestFit="1" customWidth="1"/>
    <col min="12" max="12" width="6.375" style="10" bestFit="1" customWidth="1"/>
    <col min="13" max="13" width="9.875" style="10" bestFit="1" customWidth="1"/>
    <col min="14" max="14" width="19.125" style="10" bestFit="1" customWidth="1"/>
    <col min="15" max="15" width="7.875" style="10" bestFit="1" customWidth="1"/>
    <col min="16" max="17" width="7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9</v>
      </c>
      <c r="B3" s="27" t="s">
        <v>55</v>
      </c>
      <c r="C3" s="27" t="s">
        <v>28</v>
      </c>
      <c r="D3" s="28">
        <v>0</v>
      </c>
      <c r="E3" s="28">
        <f>SUMIF(表1_356111854451214202224[In],Table61315212325[[#This Row],[Name]],表1_356111854451214202224[Flow])-SUMIF(表1_356111854451214202224[Out],Table61315212325[[#This Row],[Name]],表1_356111854451214202224[Flow])</f>
        <v>0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IF(表1_356111854451214202224[[#This Row],[Out]]=$C$3,-表1_356111854451214202224[[#This Row],[Flow]],0)+IF(表1_356111854451214202224[[#This Row],[In]]=$C$3,表1_356111854451214202224[[#This Row],[Flow]],0)</f>
        <v>0</v>
      </c>
      <c r="Q3" s="5">
        <f>表1_356111854451214202224[[#This Row],[流]]</f>
        <v>0</v>
      </c>
    </row>
    <row r="4" spans="1:17" x14ac:dyDescent="0.2">
      <c r="A4" s="29" t="s">
        <v>20</v>
      </c>
      <c r="B4" s="12"/>
      <c r="C4" s="12"/>
      <c r="D4" s="13">
        <f>SUBTOTAL(109,Table61315212325[Balance])</f>
        <v>0</v>
      </c>
      <c r="E4" s="13">
        <f>SUBTOTAL(109,Table61315212325[Flowing])</f>
        <v>0</v>
      </c>
      <c r="F4" s="13">
        <f>SUBTOTAL(109,Table61315212325[Current])</f>
        <v>0</v>
      </c>
      <c r="H4" s="18">
        <v>2201006</v>
      </c>
      <c r="I4" s="3" t="s">
        <v>27</v>
      </c>
      <c r="J4" s="7">
        <v>44580</v>
      </c>
      <c r="K4" s="3" t="s">
        <v>28</v>
      </c>
      <c r="L4" s="8">
        <v>180</v>
      </c>
      <c r="M4" s="3" t="s">
        <v>23</v>
      </c>
      <c r="N4" s="2" t="s">
        <v>29</v>
      </c>
      <c r="O4" s="3"/>
      <c r="P4" s="5">
        <f>IF(表1_356111854451214202224[[#This Row],[Out]]=$C$3,-表1_356111854451214202224[[#This Row],[Flow]],0)+IF(表1_356111854451214202224[[#This Row],[In]]=$C$3,表1_356111854451214202224[[#This Row],[Flow]],0)</f>
        <v>-180</v>
      </c>
      <c r="Q4" s="5">
        <f>Q3+P4</f>
        <v>-180</v>
      </c>
    </row>
    <row r="5" spans="1:17" x14ac:dyDescent="0.2">
      <c r="H5" s="18">
        <v>2201007</v>
      </c>
      <c r="I5" s="16" t="s">
        <v>30</v>
      </c>
      <c r="J5" s="7">
        <v>44592</v>
      </c>
      <c r="K5" s="16" t="s">
        <v>28</v>
      </c>
      <c r="L5" s="8">
        <v>165</v>
      </c>
      <c r="M5" s="16" t="s">
        <v>23</v>
      </c>
      <c r="N5" s="17" t="s">
        <v>31</v>
      </c>
      <c r="O5" s="16"/>
      <c r="P5" s="5">
        <f>IF(表1_356111854451214202224[[#This Row],[Out]]=$C$3,-表1_356111854451214202224[[#This Row],[Flow]],0)+IF(表1_356111854451214202224[[#This Row],[In]]=$C$3,表1_356111854451214202224[[#This Row],[Flow]],0)</f>
        <v>-165</v>
      </c>
      <c r="Q5" s="5">
        <f t="shared" ref="Q5:Q21" si="0">Q4+P5</f>
        <v>-345</v>
      </c>
    </row>
    <row r="6" spans="1:17" x14ac:dyDescent="0.2">
      <c r="H6" s="18">
        <v>2202009</v>
      </c>
      <c r="I6" s="16" t="s">
        <v>52</v>
      </c>
      <c r="J6" s="7">
        <v>44612</v>
      </c>
      <c r="K6" s="16" t="s">
        <v>33</v>
      </c>
      <c r="L6" s="8">
        <v>345</v>
      </c>
      <c r="M6" s="16" t="s">
        <v>28</v>
      </c>
      <c r="N6" s="17" t="s">
        <v>52</v>
      </c>
      <c r="O6" s="16"/>
      <c r="P6" s="5">
        <f>IF(表1_356111854451214202224[[#This Row],[Out]]=$C$3,-表1_356111854451214202224[[#This Row],[Flow]],0)+IF(表1_356111854451214202224[[#This Row],[In]]=$C$3,表1_356111854451214202224[[#This Row],[Flow]],0)</f>
        <v>345</v>
      </c>
      <c r="Q6" s="5">
        <f t="shared" si="0"/>
        <v>0</v>
      </c>
    </row>
    <row r="7" spans="1:17" x14ac:dyDescent="0.2">
      <c r="H7" s="18"/>
      <c r="I7" s="16"/>
      <c r="J7" s="7"/>
      <c r="K7" s="16"/>
      <c r="L7" s="8"/>
      <c r="M7" s="16"/>
      <c r="N7" s="17"/>
      <c r="O7" s="16"/>
      <c r="P7" s="5">
        <f>IF(表1_356111854451214202224[[#This Row],[Out]]=$C$3,-表1_356111854451214202224[[#This Row],[Flow]],0)+IF(表1_356111854451214202224[[#This Row],[In]]=$C$3,表1_356111854451214202224[[#This Row],[Flow]],0)</f>
        <v>0</v>
      </c>
      <c r="Q7" s="5">
        <f t="shared" si="0"/>
        <v>0</v>
      </c>
    </row>
    <row r="8" spans="1:17" x14ac:dyDescent="0.2">
      <c r="H8" s="18"/>
      <c r="I8" s="16"/>
      <c r="J8" s="7"/>
      <c r="K8" s="16"/>
      <c r="L8" s="8"/>
      <c r="M8" s="16"/>
      <c r="N8" s="17"/>
      <c r="O8" s="16"/>
      <c r="P8" s="5">
        <f>IF(表1_356111854451214202224[[#This Row],[Out]]=$C$3,-表1_356111854451214202224[[#This Row],[Flow]],0)+IF(表1_356111854451214202224[[#This Row],[In]]=$C$3,表1_356111854451214202224[[#This Row],[Flow]],0)</f>
        <v>0</v>
      </c>
      <c r="Q8" s="5">
        <f t="shared" si="0"/>
        <v>0</v>
      </c>
    </row>
    <row r="9" spans="1:17" x14ac:dyDescent="0.2">
      <c r="H9" s="18"/>
      <c r="I9" s="16"/>
      <c r="J9" s="7"/>
      <c r="K9" s="16"/>
      <c r="L9" s="8"/>
      <c r="M9" s="16"/>
      <c r="N9" s="17"/>
      <c r="O9" s="16"/>
      <c r="P9" s="5">
        <f>IF(表1_356111854451214202224[[#This Row],[Out]]=$C$3,-表1_356111854451214202224[[#This Row],[Flow]],0)+IF(表1_356111854451214202224[[#This Row],[In]]=$C$3,表1_356111854451214202224[[#This Row],[Flow]],0)</f>
        <v>0</v>
      </c>
      <c r="Q9" s="5">
        <f t="shared" si="0"/>
        <v>0</v>
      </c>
    </row>
    <row r="10" spans="1:17" x14ac:dyDescent="0.2">
      <c r="H10" s="18"/>
      <c r="I10" s="16"/>
      <c r="J10" s="7"/>
      <c r="K10" s="16"/>
      <c r="L10" s="8"/>
      <c r="M10" s="16"/>
      <c r="N10" s="17"/>
      <c r="O10" s="16"/>
      <c r="P10" s="5">
        <f>IF(表1_356111854451214202224[[#This Row],[Out]]=$C$3,-表1_356111854451214202224[[#This Row],[Flow]],0)+IF(表1_356111854451214202224[[#This Row],[In]]=$C$3,表1_356111854451214202224[[#This Row],[Flow]],0)</f>
        <v>0</v>
      </c>
      <c r="Q10" s="5">
        <f t="shared" si="0"/>
        <v>0</v>
      </c>
    </row>
    <row r="11" spans="1:17" x14ac:dyDescent="0.2">
      <c r="H11" s="18"/>
      <c r="I11" s="16"/>
      <c r="J11" s="7"/>
      <c r="K11" s="16"/>
      <c r="L11" s="8"/>
      <c r="M11" s="16"/>
      <c r="N11" s="17"/>
      <c r="O11" s="16"/>
      <c r="P11" s="5">
        <f>IF(表1_356111854451214202224[[#This Row],[Out]]=$C$3,-表1_356111854451214202224[[#This Row],[Flow]],0)+IF(表1_356111854451214202224[[#This Row],[In]]=$C$3,表1_356111854451214202224[[#This Row],[Flow]],0)</f>
        <v>0</v>
      </c>
      <c r="Q11" s="5">
        <f t="shared" si="0"/>
        <v>0</v>
      </c>
    </row>
    <row r="12" spans="1:17" x14ac:dyDescent="0.2">
      <c r="H12" s="18"/>
      <c r="I12" s="16"/>
      <c r="J12" s="7"/>
      <c r="K12" s="16"/>
      <c r="L12" s="8"/>
      <c r="M12" s="16"/>
      <c r="N12" s="17"/>
      <c r="O12" s="16"/>
      <c r="P12" s="5">
        <f>IF(表1_356111854451214202224[[#This Row],[Out]]=$C$3,-表1_356111854451214202224[[#This Row],[Flow]],0)+IF(表1_356111854451214202224[[#This Row],[In]]=$C$3,表1_356111854451214202224[[#This Row],[Flow]],0)</f>
        <v>0</v>
      </c>
      <c r="Q12" s="5">
        <f t="shared" si="0"/>
        <v>0</v>
      </c>
    </row>
    <row r="13" spans="1:17" x14ac:dyDescent="0.2">
      <c r="H13" s="18"/>
      <c r="I13" s="16"/>
      <c r="J13" s="7"/>
      <c r="K13" s="16"/>
      <c r="L13" s="8"/>
      <c r="M13" s="16"/>
      <c r="N13" s="17"/>
      <c r="O13" s="16"/>
      <c r="P13" s="5">
        <f>IF(表1_356111854451214202224[[#This Row],[Out]]=$C$3,-表1_356111854451214202224[[#This Row],[Flow]],0)+IF(表1_356111854451214202224[[#This Row],[In]]=$C$3,表1_356111854451214202224[[#This Row],[Flow]],0)</f>
        <v>0</v>
      </c>
      <c r="Q13" s="5">
        <f t="shared" si="0"/>
        <v>0</v>
      </c>
    </row>
    <row r="14" spans="1:17" x14ac:dyDescent="0.2">
      <c r="H14" s="18"/>
      <c r="I14" s="16"/>
      <c r="J14" s="7"/>
      <c r="K14" s="16"/>
      <c r="L14" s="8"/>
      <c r="M14" s="16"/>
      <c r="N14" s="17"/>
      <c r="O14" s="16"/>
      <c r="P14" s="5">
        <f>IF(表1_356111854451214202224[[#This Row],[Out]]=$C$3,-表1_356111854451214202224[[#This Row],[Flow]],0)+IF(表1_356111854451214202224[[#This Row],[In]]=$C$3,表1_356111854451214202224[[#This Row],[Flow]],0)</f>
        <v>0</v>
      </c>
      <c r="Q14" s="5">
        <f t="shared" si="0"/>
        <v>0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IF(表1_356111854451214202224[[#This Row],[Out]]=$C$3,-表1_356111854451214202224[[#This Row],[Flow]],0)+IF(表1_356111854451214202224[[#This Row],[In]]=$C$3,表1_356111854451214202224[[#This Row],[Flow]],0)</f>
        <v>0</v>
      </c>
      <c r="Q15" s="5">
        <f t="shared" si="0"/>
        <v>0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IF(表1_356111854451214202224[[#This Row],[Out]]=$C$3,-表1_356111854451214202224[[#This Row],[Flow]],0)+IF(表1_356111854451214202224[[#This Row],[In]]=$C$3,表1_356111854451214202224[[#This Row],[Flow]],0)</f>
        <v>0</v>
      </c>
      <c r="Q16" s="5">
        <f t="shared" si="0"/>
        <v>0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IF(表1_356111854451214202224[[#This Row],[Out]]=$C$3,-表1_356111854451214202224[[#This Row],[Flow]],0)+IF(表1_356111854451214202224[[#This Row],[In]]=$C$3,表1_356111854451214202224[[#This Row],[Flow]],0)</f>
        <v>0</v>
      </c>
      <c r="Q17" s="5">
        <f t="shared" si="0"/>
        <v>0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IF(表1_356111854451214202224[[#This Row],[Out]]=$C$3,-表1_356111854451214202224[[#This Row],[Flow]],0)+IF(表1_356111854451214202224[[#This Row],[In]]=$C$3,表1_356111854451214202224[[#This Row],[Flow]],0)</f>
        <v>0</v>
      </c>
      <c r="Q18" s="5">
        <f t="shared" si="0"/>
        <v>0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IF(表1_356111854451214202224[[#This Row],[Out]]=$C$3,-表1_356111854451214202224[[#This Row],[Flow]],0)+IF(表1_356111854451214202224[[#This Row],[In]]=$C$3,表1_356111854451214202224[[#This Row],[Flow]],0)</f>
        <v>0</v>
      </c>
      <c r="Q19" s="5">
        <f t="shared" si="0"/>
        <v>0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IF(表1_356111854451214202224[[#This Row],[Out]]=$C$3,-表1_356111854451214202224[[#This Row],[Flow]],0)+IF(表1_356111854451214202224[[#This Row],[In]]=$C$3,表1_356111854451214202224[[#This Row],[Flow]],0)</f>
        <v>0</v>
      </c>
      <c r="Q20" s="5">
        <f t="shared" si="0"/>
        <v>0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IF(表1_356111854451214202224[[#This Row],[Out]]=$C$3,-表1_356111854451214202224[[#This Row],[Flow]],0)+IF(表1_356111854451214202224[[#This Row],[In]]=$C$3,表1_356111854451214202224[[#This Row],[Flow]],0)</f>
        <v>0</v>
      </c>
      <c r="Q21" s="5">
        <f t="shared" si="0"/>
        <v>0</v>
      </c>
    </row>
    <row r="22" spans="8:17" x14ac:dyDescent="0.2">
      <c r="H22" s="30" t="s">
        <v>20</v>
      </c>
      <c r="I22" s="31"/>
      <c r="J22" s="30"/>
      <c r="K22" s="32"/>
      <c r="L22" s="33">
        <f>SUBTOTAL(109,表1_356111854451214202224[Flow])</f>
        <v>690</v>
      </c>
      <c r="M22" s="32"/>
      <c r="N22" s="34"/>
      <c r="O22" s="31"/>
      <c r="P22" s="35">
        <f>SUBTOTAL(109,表1_356111854451214202224[流])</f>
        <v>0</v>
      </c>
      <c r="Q22" s="3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FEE2-CD60-41D5-AB61-4D28F755C043}">
  <dimension ref="A1:Q22"/>
  <sheetViews>
    <sheetView showGridLines="0" workbookViewId="0">
      <selection activeCell="J50" sqref="J50"/>
    </sheetView>
  </sheetViews>
  <sheetFormatPr defaultColWidth="3.125" defaultRowHeight="14.25" x14ac:dyDescent="0.2"/>
  <cols>
    <col min="1" max="1" width="7" style="10" bestFit="1" customWidth="1"/>
    <col min="2" max="2" width="21.625" style="10" bestFit="1" customWidth="1"/>
    <col min="3" max="3" width="9.125" style="10" bestFit="1" customWidth="1"/>
    <col min="4" max="4" width="7.125" style="10" bestFit="1" customWidth="1"/>
    <col min="5" max="5" width="7" style="10" bestFit="1" customWidth="1"/>
    <col min="6" max="6" width="6.875" style="10" bestFit="1" customWidth="1"/>
    <col min="7" max="7" width="3.125" style="10"/>
    <col min="8" max="8" width="7.625" style="10" bestFit="1" customWidth="1"/>
    <col min="9" max="9" width="7.375" style="10" bestFit="1" customWidth="1"/>
    <col min="10" max="10" width="7.25" style="10" bestFit="1" customWidth="1"/>
    <col min="11" max="11" width="8.5" style="10" bestFit="1" customWidth="1"/>
    <col min="12" max="12" width="6.375" style="10" bestFit="1" customWidth="1"/>
    <col min="13" max="13" width="8.5" style="10" bestFit="1" customWidth="1"/>
    <col min="14" max="14" width="10.5" style="10" bestFit="1" customWidth="1"/>
    <col min="15" max="15" width="7.875" style="10" bestFit="1" customWidth="1"/>
    <col min="16" max="17" width="7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10</v>
      </c>
      <c r="B3" s="27" t="s">
        <v>56</v>
      </c>
      <c r="C3" s="27" t="s">
        <v>35</v>
      </c>
      <c r="D3" s="28">
        <v>0</v>
      </c>
      <c r="E3" s="28">
        <f>SUMIF(表1_35611185445121420222426[In],Table6131521232527[[#This Row],[Name]],表1_35611185445121420222426[Flow])-SUMIF(表1_35611185445121420222426[Out],Table6131521232527[[#This Row],[Name]],表1_35611185445121420222426[Flow])</f>
        <v>61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3" s="5">
        <f>表1_35611185445121420222426[[#This Row],[流]]</f>
        <v>0</v>
      </c>
    </row>
    <row r="4" spans="1:17" x14ac:dyDescent="0.2">
      <c r="A4" s="29" t="s">
        <v>20</v>
      </c>
      <c r="B4" s="12"/>
      <c r="C4" s="12"/>
      <c r="D4" s="13">
        <f>SUBTOTAL(109,Table6131521232527[Balance])</f>
        <v>0</v>
      </c>
      <c r="E4" s="13">
        <f>SUBTOTAL(109,Table6131521232527[Flowing])</f>
        <v>61</v>
      </c>
      <c r="F4" s="13">
        <f>SUBTOTAL(109,Table6131521232527[Current])</f>
        <v>0</v>
      </c>
      <c r="H4" s="18">
        <v>2201004</v>
      </c>
      <c r="I4" s="3" t="s">
        <v>47</v>
      </c>
      <c r="J4" s="7">
        <v>44564</v>
      </c>
      <c r="K4" s="3" t="s">
        <v>22</v>
      </c>
      <c r="L4" s="8">
        <v>300</v>
      </c>
      <c r="M4" s="3" t="s">
        <v>35</v>
      </c>
      <c r="N4" s="2" t="s">
        <v>48</v>
      </c>
      <c r="O4" s="3"/>
      <c r="P4" s="5">
        <f>IF(表1_35611185445121420222426[[#This Row],[Out]]=$C$3,-表1_35611185445121420222426[[#This Row],[Flow]],0)+IF(表1_35611185445121420222426[[#This Row],[In]]=$C$3,表1_35611185445121420222426[[#This Row],[Flow]],0)</f>
        <v>300</v>
      </c>
      <c r="Q4" s="5">
        <f>Q3+P4</f>
        <v>300</v>
      </c>
    </row>
    <row r="5" spans="1:17" x14ac:dyDescent="0.2">
      <c r="H5" s="18">
        <v>2202004</v>
      </c>
      <c r="I5" s="16" t="s">
        <v>47</v>
      </c>
      <c r="J5" s="7">
        <v>44593</v>
      </c>
      <c r="K5" s="16" t="s">
        <v>22</v>
      </c>
      <c r="L5" s="8">
        <v>200</v>
      </c>
      <c r="M5" s="16" t="s">
        <v>35</v>
      </c>
      <c r="N5" s="17" t="s">
        <v>48</v>
      </c>
      <c r="O5" s="16"/>
      <c r="P5" s="5">
        <f>IF(表1_35611185445121420222426[[#This Row],[Out]]=$C$3,-表1_35611185445121420222426[[#This Row],[Flow]],0)+IF(表1_35611185445121420222426[[#This Row],[In]]=$C$3,表1_35611185445121420222426[[#This Row],[Flow]],0)</f>
        <v>200</v>
      </c>
      <c r="Q5" s="5">
        <f t="shared" ref="Q5:Q21" si="0">Q4+P5</f>
        <v>500</v>
      </c>
    </row>
    <row r="6" spans="1:17" x14ac:dyDescent="0.2">
      <c r="H6" s="18">
        <v>2202005</v>
      </c>
      <c r="I6" s="16" t="s">
        <v>34</v>
      </c>
      <c r="J6" s="7">
        <v>44597</v>
      </c>
      <c r="K6" s="16" t="s">
        <v>35</v>
      </c>
      <c r="L6" s="8">
        <v>89</v>
      </c>
      <c r="M6" s="16" t="s">
        <v>23</v>
      </c>
      <c r="N6" s="17" t="s">
        <v>36</v>
      </c>
      <c r="O6" s="16"/>
      <c r="P6" s="5">
        <f>IF(表1_35611185445121420222426[[#This Row],[Out]]=$C$3,-表1_35611185445121420222426[[#This Row],[Flow]],0)+IF(表1_35611185445121420222426[[#This Row],[In]]=$C$3,表1_35611185445121420222426[[#This Row],[Flow]],0)</f>
        <v>-89</v>
      </c>
      <c r="Q6" s="5">
        <f t="shared" si="0"/>
        <v>411</v>
      </c>
    </row>
    <row r="7" spans="1:17" x14ac:dyDescent="0.2">
      <c r="H7" s="18">
        <v>2202008</v>
      </c>
      <c r="I7" s="16" t="s">
        <v>38</v>
      </c>
      <c r="J7" s="7">
        <v>44611</v>
      </c>
      <c r="K7" s="16" t="s">
        <v>35</v>
      </c>
      <c r="L7" s="8">
        <v>350</v>
      </c>
      <c r="M7" s="16" t="s">
        <v>23</v>
      </c>
      <c r="N7" s="17" t="s">
        <v>38</v>
      </c>
      <c r="O7" s="16"/>
      <c r="P7" s="5">
        <f>IF(表1_35611185445121420222426[[#This Row],[Out]]=$C$3,-表1_35611185445121420222426[[#This Row],[Flow]],0)+IF(表1_35611185445121420222426[[#This Row],[In]]=$C$3,表1_35611185445121420222426[[#This Row],[Flow]],0)</f>
        <v>-350</v>
      </c>
      <c r="Q7" s="5">
        <f t="shared" si="0"/>
        <v>61</v>
      </c>
    </row>
    <row r="8" spans="1:17" x14ac:dyDescent="0.2">
      <c r="H8" s="18"/>
      <c r="I8" s="16"/>
      <c r="J8" s="7"/>
      <c r="K8" s="16"/>
      <c r="L8" s="8"/>
      <c r="M8" s="16"/>
      <c r="N8" s="17"/>
      <c r="O8" s="16"/>
      <c r="P8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8" s="5">
        <f t="shared" si="0"/>
        <v>61</v>
      </c>
    </row>
    <row r="9" spans="1:17" x14ac:dyDescent="0.2">
      <c r="H9" s="18"/>
      <c r="I9" s="16"/>
      <c r="J9" s="7"/>
      <c r="K9" s="16"/>
      <c r="L9" s="8"/>
      <c r="M9" s="16"/>
      <c r="N9" s="17"/>
      <c r="O9" s="16"/>
      <c r="P9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9" s="5">
        <f t="shared" si="0"/>
        <v>61</v>
      </c>
    </row>
    <row r="10" spans="1:17" x14ac:dyDescent="0.2">
      <c r="H10" s="18"/>
      <c r="I10" s="16"/>
      <c r="J10" s="7"/>
      <c r="K10" s="16"/>
      <c r="L10" s="8"/>
      <c r="M10" s="16"/>
      <c r="N10" s="17"/>
      <c r="O10" s="16"/>
      <c r="P10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10" s="5">
        <f t="shared" si="0"/>
        <v>61</v>
      </c>
    </row>
    <row r="11" spans="1:17" x14ac:dyDescent="0.2">
      <c r="H11" s="18"/>
      <c r="I11" s="16"/>
      <c r="J11" s="7"/>
      <c r="K11" s="16"/>
      <c r="L11" s="8"/>
      <c r="M11" s="16"/>
      <c r="N11" s="17"/>
      <c r="O11" s="16"/>
      <c r="P11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11" s="5">
        <f t="shared" si="0"/>
        <v>61</v>
      </c>
    </row>
    <row r="12" spans="1:17" x14ac:dyDescent="0.2">
      <c r="H12" s="18"/>
      <c r="I12" s="16"/>
      <c r="J12" s="7"/>
      <c r="K12" s="16"/>
      <c r="L12" s="8"/>
      <c r="M12" s="16"/>
      <c r="N12" s="17"/>
      <c r="O12" s="16"/>
      <c r="P12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12" s="5">
        <f t="shared" si="0"/>
        <v>61</v>
      </c>
    </row>
    <row r="13" spans="1:17" x14ac:dyDescent="0.2">
      <c r="H13" s="18"/>
      <c r="I13" s="16"/>
      <c r="J13" s="7"/>
      <c r="K13" s="16"/>
      <c r="L13" s="8"/>
      <c r="M13" s="16"/>
      <c r="N13" s="17"/>
      <c r="O13" s="16"/>
      <c r="P13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13" s="5">
        <f t="shared" si="0"/>
        <v>61</v>
      </c>
    </row>
    <row r="14" spans="1:17" x14ac:dyDescent="0.2">
      <c r="H14" s="18"/>
      <c r="I14" s="16"/>
      <c r="J14" s="7"/>
      <c r="K14" s="16"/>
      <c r="L14" s="8"/>
      <c r="M14" s="16"/>
      <c r="N14" s="17"/>
      <c r="O14" s="16"/>
      <c r="P14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14" s="5">
        <f t="shared" si="0"/>
        <v>61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15" s="5">
        <f t="shared" si="0"/>
        <v>61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16" s="5">
        <f t="shared" si="0"/>
        <v>61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17" s="5">
        <f t="shared" si="0"/>
        <v>61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18" s="5">
        <f t="shared" si="0"/>
        <v>61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19" s="5">
        <f t="shared" si="0"/>
        <v>61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20" s="5">
        <f t="shared" si="0"/>
        <v>61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IF(表1_35611185445121420222426[[#This Row],[Out]]=$C$3,-表1_35611185445121420222426[[#This Row],[Flow]],0)+IF(表1_35611185445121420222426[[#This Row],[In]]=$C$3,表1_35611185445121420222426[[#This Row],[Flow]],0)</f>
        <v>0</v>
      </c>
      <c r="Q21" s="5">
        <f t="shared" si="0"/>
        <v>61</v>
      </c>
    </row>
    <row r="22" spans="8:17" x14ac:dyDescent="0.2">
      <c r="H22" s="30" t="s">
        <v>20</v>
      </c>
      <c r="I22" s="31"/>
      <c r="J22" s="30"/>
      <c r="K22" s="32"/>
      <c r="L22" s="33">
        <f>SUBTOTAL(109,表1_35611185445121420222426[Flow])</f>
        <v>939</v>
      </c>
      <c r="M22" s="32"/>
      <c r="N22" s="34"/>
      <c r="O22" s="31"/>
      <c r="P22" s="35">
        <f>SUBTOTAL(109,表1_35611185445121420222426[流])</f>
        <v>61</v>
      </c>
      <c r="Q22" s="3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5C33-C174-4B64-A6B0-6D6A56F60459}">
  <dimension ref="A1:Q22"/>
  <sheetViews>
    <sheetView showGridLines="0" workbookViewId="0">
      <selection activeCell="A3" sqref="A3:C3"/>
    </sheetView>
  </sheetViews>
  <sheetFormatPr defaultColWidth="3.125" defaultRowHeight="14.25" x14ac:dyDescent="0.2"/>
  <cols>
    <col min="1" max="1" width="5.875" style="10" bestFit="1" customWidth="1"/>
    <col min="2" max="2" width="6.625" style="10" customWidth="1"/>
    <col min="3" max="3" width="7.25" style="10" bestFit="1" customWidth="1"/>
    <col min="4" max="4" width="8.375" style="10" customWidth="1"/>
    <col min="5" max="5" width="8.25" style="10" customWidth="1"/>
    <col min="6" max="6" width="8.125" style="10" customWidth="1"/>
    <col min="7" max="7" width="3.125" style="10"/>
    <col min="8" max="8" width="7.625" style="10" bestFit="1" customWidth="1"/>
    <col min="9" max="9" width="5" style="10" bestFit="1" customWidth="1"/>
    <col min="10" max="10" width="4.5" style="10" bestFit="1" customWidth="1"/>
    <col min="11" max="11" width="4" style="10" bestFit="1" customWidth="1"/>
    <col min="12" max="12" width="4.625" style="10" bestFit="1" customWidth="1"/>
    <col min="13" max="13" width="2.75" style="10" bestFit="1" customWidth="1"/>
    <col min="14" max="14" width="4.75" style="10" bestFit="1" customWidth="1"/>
    <col min="15" max="15" width="7.875" style="10" bestFit="1" customWidth="1"/>
    <col min="16" max="16" width="4.375" style="10" bestFit="1" customWidth="1"/>
    <col min="17" max="17" width="7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11</v>
      </c>
      <c r="B3" s="27"/>
      <c r="C3" s="27" t="s">
        <v>9</v>
      </c>
      <c r="D3" s="28">
        <v>0</v>
      </c>
      <c r="E3" s="28">
        <f>SUMIF(表1_3561118544512142022242628[In],Table613152123252729[[#This Row],[Name]],表1_3561118544512142022242628[Flow])-SUMIF(表1_3561118544512142022242628[Out],Table613152123252729[[#This Row],[Name]],表1_3561118544512142022242628[Flow])</f>
        <v>0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3" s="5">
        <f>表1_3561118544512142022242628[[#This Row],[流]]</f>
        <v>0</v>
      </c>
    </row>
    <row r="4" spans="1:17" x14ac:dyDescent="0.2">
      <c r="A4" s="29" t="s">
        <v>20</v>
      </c>
      <c r="B4" s="12"/>
      <c r="C4" s="12"/>
      <c r="D4" s="13">
        <f>SUBTOTAL(109,Table613152123252729[Balance])</f>
        <v>0</v>
      </c>
      <c r="E4" s="13">
        <f>SUBTOTAL(109,Table613152123252729[Flowing])</f>
        <v>0</v>
      </c>
      <c r="F4" s="13">
        <f>SUBTOTAL(109,Table613152123252729[Current])</f>
        <v>0</v>
      </c>
      <c r="H4" s="18"/>
      <c r="I4" s="3"/>
      <c r="J4" s="7"/>
      <c r="K4" s="3"/>
      <c r="L4" s="8"/>
      <c r="M4" s="3"/>
      <c r="N4" s="2"/>
      <c r="O4" s="3"/>
      <c r="P4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4" s="5">
        <f>Q3+P4</f>
        <v>0</v>
      </c>
    </row>
    <row r="5" spans="1:17" x14ac:dyDescent="0.2">
      <c r="H5" s="18"/>
      <c r="I5" s="16"/>
      <c r="J5" s="7"/>
      <c r="K5" s="16"/>
      <c r="L5" s="8"/>
      <c r="M5" s="16"/>
      <c r="N5" s="17"/>
      <c r="O5" s="16"/>
      <c r="P5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5" s="5">
        <f t="shared" ref="Q5:Q21" si="0">Q4+P5</f>
        <v>0</v>
      </c>
    </row>
    <row r="6" spans="1:17" x14ac:dyDescent="0.2">
      <c r="H6" s="18"/>
      <c r="I6" s="16"/>
      <c r="J6" s="7"/>
      <c r="K6" s="16"/>
      <c r="L6" s="8"/>
      <c r="M6" s="16"/>
      <c r="N6" s="17"/>
      <c r="O6" s="16"/>
      <c r="P6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6" s="5">
        <f t="shared" si="0"/>
        <v>0</v>
      </c>
    </row>
    <row r="7" spans="1:17" x14ac:dyDescent="0.2">
      <c r="H7" s="18"/>
      <c r="I7" s="16"/>
      <c r="J7" s="7"/>
      <c r="K7" s="16"/>
      <c r="L7" s="8"/>
      <c r="M7" s="16"/>
      <c r="N7" s="17"/>
      <c r="O7" s="16"/>
      <c r="P7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7" s="5">
        <f t="shared" si="0"/>
        <v>0</v>
      </c>
    </row>
    <row r="8" spans="1:17" x14ac:dyDescent="0.2">
      <c r="H8" s="18"/>
      <c r="I8" s="16"/>
      <c r="J8" s="7"/>
      <c r="K8" s="16"/>
      <c r="L8" s="8"/>
      <c r="M8" s="16"/>
      <c r="N8" s="17"/>
      <c r="O8" s="16"/>
      <c r="P8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8" s="5">
        <f t="shared" si="0"/>
        <v>0</v>
      </c>
    </row>
    <row r="9" spans="1:17" x14ac:dyDescent="0.2">
      <c r="H9" s="18"/>
      <c r="I9" s="16"/>
      <c r="J9" s="7"/>
      <c r="K9" s="16"/>
      <c r="L9" s="8"/>
      <c r="M9" s="16"/>
      <c r="N9" s="17"/>
      <c r="O9" s="16"/>
      <c r="P9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9" s="5">
        <f t="shared" si="0"/>
        <v>0</v>
      </c>
    </row>
    <row r="10" spans="1:17" x14ac:dyDescent="0.2">
      <c r="H10" s="18"/>
      <c r="I10" s="16"/>
      <c r="J10" s="7"/>
      <c r="K10" s="16"/>
      <c r="L10" s="8"/>
      <c r="M10" s="16"/>
      <c r="N10" s="17"/>
      <c r="O10" s="16"/>
      <c r="P10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10" s="5">
        <f t="shared" si="0"/>
        <v>0</v>
      </c>
    </row>
    <row r="11" spans="1:17" x14ac:dyDescent="0.2">
      <c r="H11" s="18"/>
      <c r="I11" s="16"/>
      <c r="J11" s="7"/>
      <c r="K11" s="16"/>
      <c r="L11" s="8"/>
      <c r="M11" s="16"/>
      <c r="N11" s="17"/>
      <c r="O11" s="16"/>
      <c r="P11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11" s="5">
        <f t="shared" si="0"/>
        <v>0</v>
      </c>
    </row>
    <row r="12" spans="1:17" x14ac:dyDescent="0.2">
      <c r="H12" s="18"/>
      <c r="I12" s="16"/>
      <c r="J12" s="7"/>
      <c r="K12" s="16"/>
      <c r="L12" s="8"/>
      <c r="M12" s="16"/>
      <c r="N12" s="17"/>
      <c r="O12" s="16"/>
      <c r="P12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12" s="5">
        <f t="shared" si="0"/>
        <v>0</v>
      </c>
    </row>
    <row r="13" spans="1:17" x14ac:dyDescent="0.2">
      <c r="H13" s="18"/>
      <c r="I13" s="16"/>
      <c r="J13" s="7"/>
      <c r="K13" s="16"/>
      <c r="L13" s="8"/>
      <c r="M13" s="16"/>
      <c r="N13" s="17"/>
      <c r="O13" s="16"/>
      <c r="P13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13" s="5">
        <f t="shared" si="0"/>
        <v>0</v>
      </c>
    </row>
    <row r="14" spans="1:17" x14ac:dyDescent="0.2">
      <c r="H14" s="18"/>
      <c r="I14" s="16"/>
      <c r="J14" s="7"/>
      <c r="K14" s="16"/>
      <c r="L14" s="8"/>
      <c r="M14" s="16"/>
      <c r="N14" s="17"/>
      <c r="O14" s="16"/>
      <c r="P14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14" s="5">
        <f t="shared" si="0"/>
        <v>0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15" s="5">
        <f t="shared" si="0"/>
        <v>0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16" s="5">
        <f t="shared" si="0"/>
        <v>0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17" s="5">
        <f t="shared" si="0"/>
        <v>0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18" s="5">
        <f t="shared" si="0"/>
        <v>0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19" s="5">
        <f t="shared" si="0"/>
        <v>0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20" s="5">
        <f t="shared" si="0"/>
        <v>0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IF(表1_3561118544512142022242628[[#This Row],[Out]]=$C$3,-表1_3561118544512142022242628[[#This Row],[Flow]],0)+IF(表1_3561118544512142022242628[[#This Row],[In]]=$C$3,表1_3561118544512142022242628[[#This Row],[Flow]],0)</f>
        <v>0</v>
      </c>
      <c r="Q21" s="5">
        <f t="shared" si="0"/>
        <v>0</v>
      </c>
    </row>
    <row r="22" spans="8:17" x14ac:dyDescent="0.2">
      <c r="H22" s="20" t="s">
        <v>20</v>
      </c>
      <c r="I22" s="21"/>
      <c r="J22" s="20"/>
      <c r="K22" s="22"/>
      <c r="L22" s="23">
        <f>SUBTOTAL(109,表1_3561118544512142022242628[Flow])</f>
        <v>0</v>
      </c>
      <c r="M22" s="22"/>
      <c r="N22" s="24"/>
      <c r="O22" s="21"/>
      <c r="P22" s="25">
        <f>SUBTOTAL(109,表1_3561118544512142022242628[流])</f>
        <v>0</v>
      </c>
      <c r="Q22" s="2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AE84-B3F1-4310-A68B-424C9077FAEE}">
  <dimension ref="A1:Q22"/>
  <sheetViews>
    <sheetView showGridLines="0" workbookViewId="0">
      <selection activeCell="A3" sqref="A3:C3"/>
    </sheetView>
  </sheetViews>
  <sheetFormatPr defaultColWidth="3.125" defaultRowHeight="14.25" x14ac:dyDescent="0.2"/>
  <cols>
    <col min="1" max="1" width="5.875" style="10" bestFit="1" customWidth="1"/>
    <col min="2" max="2" width="6.625" style="10" customWidth="1"/>
    <col min="3" max="3" width="7.25" style="10" bestFit="1" customWidth="1"/>
    <col min="4" max="4" width="8.375" style="10" customWidth="1"/>
    <col min="5" max="5" width="8.25" style="10" customWidth="1"/>
    <col min="6" max="6" width="8.125" style="10" customWidth="1"/>
    <col min="7" max="7" width="3.125" style="10"/>
    <col min="8" max="8" width="7.625" style="10" bestFit="1" customWidth="1"/>
    <col min="9" max="9" width="5" style="10" bestFit="1" customWidth="1"/>
    <col min="10" max="10" width="4.5" style="10" bestFit="1" customWidth="1"/>
    <col min="11" max="11" width="4" style="10" bestFit="1" customWidth="1"/>
    <col min="12" max="12" width="4.625" style="10" bestFit="1" customWidth="1"/>
    <col min="13" max="13" width="2.75" style="10" bestFit="1" customWidth="1"/>
    <col min="14" max="14" width="4.75" style="10" bestFit="1" customWidth="1"/>
    <col min="15" max="15" width="7.875" style="10" bestFit="1" customWidth="1"/>
    <col min="16" max="16" width="4.375" style="10" bestFit="1" customWidth="1"/>
    <col min="17" max="17" width="7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12</v>
      </c>
      <c r="B3" s="27"/>
      <c r="C3" s="27" t="s">
        <v>57</v>
      </c>
      <c r="D3" s="28">
        <v>0</v>
      </c>
      <c r="E3" s="28">
        <f>SUMIF(表1_356111854451214202224262830[In],Table61315212325272931[[#This Row],[Name]],表1_356111854451214202224262830[Flow])-SUMIF(表1_356111854451214202224262830[Out],Table61315212325272931[[#This Row],[Name]],表1_356111854451214202224262830[Flow])</f>
        <v>0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3" s="5">
        <f>表1_356111854451214202224262830[[#This Row],[流]]</f>
        <v>0</v>
      </c>
    </row>
    <row r="4" spans="1:17" x14ac:dyDescent="0.2">
      <c r="A4" s="29" t="s">
        <v>20</v>
      </c>
      <c r="B4" s="12"/>
      <c r="C4" s="12"/>
      <c r="D4" s="13">
        <f>SUBTOTAL(109,Table61315212325272931[Balance])</f>
        <v>0</v>
      </c>
      <c r="E4" s="13">
        <f>SUBTOTAL(109,Table61315212325272931[Flowing])</f>
        <v>0</v>
      </c>
      <c r="F4" s="13">
        <f>SUBTOTAL(109,Table61315212325272931[Current])</f>
        <v>0</v>
      </c>
      <c r="H4" s="18"/>
      <c r="I4" s="3"/>
      <c r="J4" s="7"/>
      <c r="K4" s="3"/>
      <c r="L4" s="8"/>
      <c r="M4" s="3"/>
      <c r="N4" s="2"/>
      <c r="O4" s="3"/>
      <c r="P4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4" s="5">
        <f>Q3+P4</f>
        <v>0</v>
      </c>
    </row>
    <row r="5" spans="1:17" x14ac:dyDescent="0.2">
      <c r="H5" s="18"/>
      <c r="I5" s="16"/>
      <c r="J5" s="7"/>
      <c r="K5" s="16"/>
      <c r="L5" s="8"/>
      <c r="M5" s="16"/>
      <c r="N5" s="17"/>
      <c r="O5" s="16"/>
      <c r="P5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5" s="5">
        <f t="shared" ref="Q5:Q21" si="0">Q4+P5</f>
        <v>0</v>
      </c>
    </row>
    <row r="6" spans="1:17" x14ac:dyDescent="0.2">
      <c r="H6" s="18"/>
      <c r="I6" s="16"/>
      <c r="J6" s="7"/>
      <c r="K6" s="16"/>
      <c r="L6" s="8"/>
      <c r="M6" s="16"/>
      <c r="N6" s="17"/>
      <c r="O6" s="16"/>
      <c r="P6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6" s="5">
        <f t="shared" si="0"/>
        <v>0</v>
      </c>
    </row>
    <row r="7" spans="1:17" x14ac:dyDescent="0.2">
      <c r="H7" s="18"/>
      <c r="I7" s="16"/>
      <c r="J7" s="7"/>
      <c r="K7" s="16"/>
      <c r="L7" s="8"/>
      <c r="M7" s="16"/>
      <c r="N7" s="17"/>
      <c r="O7" s="16"/>
      <c r="P7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7" s="5">
        <f t="shared" si="0"/>
        <v>0</v>
      </c>
    </row>
    <row r="8" spans="1:17" x14ac:dyDescent="0.2">
      <c r="H8" s="18"/>
      <c r="I8" s="16"/>
      <c r="J8" s="7"/>
      <c r="K8" s="16"/>
      <c r="L8" s="8"/>
      <c r="M8" s="16"/>
      <c r="N8" s="17"/>
      <c r="O8" s="16"/>
      <c r="P8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8" s="5">
        <f t="shared" si="0"/>
        <v>0</v>
      </c>
    </row>
    <row r="9" spans="1:17" x14ac:dyDescent="0.2">
      <c r="H9" s="18"/>
      <c r="I9" s="16"/>
      <c r="J9" s="7"/>
      <c r="K9" s="16"/>
      <c r="L9" s="8"/>
      <c r="M9" s="16"/>
      <c r="N9" s="17"/>
      <c r="O9" s="16"/>
      <c r="P9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9" s="5">
        <f t="shared" si="0"/>
        <v>0</v>
      </c>
    </row>
    <row r="10" spans="1:17" x14ac:dyDescent="0.2">
      <c r="H10" s="18"/>
      <c r="I10" s="16"/>
      <c r="J10" s="7"/>
      <c r="K10" s="16"/>
      <c r="L10" s="8"/>
      <c r="M10" s="16"/>
      <c r="N10" s="17"/>
      <c r="O10" s="16"/>
      <c r="P10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10" s="5">
        <f t="shared" si="0"/>
        <v>0</v>
      </c>
    </row>
    <row r="11" spans="1:17" x14ac:dyDescent="0.2">
      <c r="H11" s="18"/>
      <c r="I11" s="16"/>
      <c r="J11" s="7"/>
      <c r="K11" s="16"/>
      <c r="L11" s="8"/>
      <c r="M11" s="16"/>
      <c r="N11" s="17"/>
      <c r="O11" s="16"/>
      <c r="P11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11" s="5">
        <f t="shared" si="0"/>
        <v>0</v>
      </c>
    </row>
    <row r="12" spans="1:17" x14ac:dyDescent="0.2">
      <c r="H12" s="18"/>
      <c r="I12" s="16"/>
      <c r="J12" s="7"/>
      <c r="K12" s="16"/>
      <c r="L12" s="8"/>
      <c r="M12" s="16"/>
      <c r="N12" s="17"/>
      <c r="O12" s="16"/>
      <c r="P12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12" s="5">
        <f t="shared" si="0"/>
        <v>0</v>
      </c>
    </row>
    <row r="13" spans="1:17" x14ac:dyDescent="0.2">
      <c r="H13" s="18"/>
      <c r="I13" s="16"/>
      <c r="J13" s="7"/>
      <c r="K13" s="16"/>
      <c r="L13" s="8"/>
      <c r="M13" s="16"/>
      <c r="N13" s="17"/>
      <c r="O13" s="16"/>
      <c r="P13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13" s="5">
        <f t="shared" si="0"/>
        <v>0</v>
      </c>
    </row>
    <row r="14" spans="1:17" x14ac:dyDescent="0.2">
      <c r="H14" s="18"/>
      <c r="I14" s="16"/>
      <c r="J14" s="7"/>
      <c r="K14" s="16"/>
      <c r="L14" s="8"/>
      <c r="M14" s="16"/>
      <c r="N14" s="17"/>
      <c r="O14" s="16"/>
      <c r="P14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14" s="5">
        <f t="shared" si="0"/>
        <v>0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15" s="5">
        <f t="shared" si="0"/>
        <v>0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16" s="5">
        <f t="shared" si="0"/>
        <v>0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17" s="5">
        <f t="shared" si="0"/>
        <v>0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18" s="5">
        <f t="shared" si="0"/>
        <v>0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19" s="5">
        <f t="shared" si="0"/>
        <v>0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20" s="5">
        <f t="shared" si="0"/>
        <v>0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IF(表1_356111854451214202224262830[[#This Row],[Out]]=$C$3,-表1_356111854451214202224262830[[#This Row],[Flow]],0)+IF(表1_356111854451214202224262830[[#This Row],[In]]=$C$3,表1_356111854451214202224262830[[#This Row],[Flow]],0)</f>
        <v>0</v>
      </c>
      <c r="Q21" s="5">
        <f t="shared" si="0"/>
        <v>0</v>
      </c>
    </row>
    <row r="22" spans="8:17" x14ac:dyDescent="0.2">
      <c r="H22" s="20" t="s">
        <v>20</v>
      </c>
      <c r="I22" s="21"/>
      <c r="J22" s="20"/>
      <c r="K22" s="22"/>
      <c r="L22" s="23">
        <f>SUBTOTAL(109,表1_356111854451214202224262830[Flow])</f>
        <v>0</v>
      </c>
      <c r="M22" s="22"/>
      <c r="N22" s="24"/>
      <c r="O22" s="21"/>
      <c r="P22" s="25">
        <f>SUBTOTAL(109,表1_356111854451214202224262830[流])</f>
        <v>0</v>
      </c>
      <c r="Q22" s="2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5F9D-8984-4F80-BEB3-82A70CA8C056}">
  <dimension ref="A1:Q22"/>
  <sheetViews>
    <sheetView showGridLines="0" workbookViewId="0">
      <selection activeCell="E4" sqref="E4"/>
    </sheetView>
  </sheetViews>
  <sheetFormatPr defaultColWidth="3.125" defaultRowHeight="14.25" x14ac:dyDescent="0.2"/>
  <cols>
    <col min="1" max="1" width="5.875" style="10" bestFit="1" customWidth="1"/>
    <col min="2" max="2" width="6.625" style="10" customWidth="1"/>
    <col min="3" max="3" width="7.25" style="10" bestFit="1" customWidth="1"/>
    <col min="4" max="4" width="8.375" style="10" customWidth="1"/>
    <col min="5" max="5" width="8.25" style="10" customWidth="1"/>
    <col min="6" max="6" width="8.125" style="10" customWidth="1"/>
    <col min="7" max="7" width="3.125" style="10"/>
    <col min="8" max="8" width="7.625" style="10" bestFit="1" customWidth="1"/>
    <col min="9" max="9" width="5" style="10" bestFit="1" customWidth="1"/>
    <col min="10" max="10" width="7.25" style="10" bestFit="1" customWidth="1"/>
    <col min="11" max="11" width="4.25" style="10" bestFit="1" customWidth="1"/>
    <col min="12" max="12" width="7.5" style="10" bestFit="1" customWidth="1"/>
    <col min="13" max="13" width="7" style="10" bestFit="1" customWidth="1"/>
    <col min="14" max="14" width="4.75" style="10" bestFit="1" customWidth="1"/>
    <col min="15" max="15" width="7.875" style="10" bestFit="1" customWidth="1"/>
    <col min="16" max="17" width="8.125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1</v>
      </c>
      <c r="B3" s="27"/>
      <c r="C3" s="27" t="s">
        <v>10</v>
      </c>
      <c r="D3" s="28">
        <v>0</v>
      </c>
      <c r="E3" s="28">
        <f>SUMIF(表1_356111854458[In],Table69[[#This Row],[Name]],表1_356111854458[Flow])-SUMIF(表1_356111854458[Out],Table69[[#This Row],[Name]],表1_356111854458[Flow])</f>
        <v>-9000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IF(表1_356111854458[[#This Row],[Out]]=$C$3,-表1_356111854458[[#This Row],[Flow]],0)+IF(表1_356111854458[[#This Row],[In]]=$C$3,表1_356111854458[[#This Row],[Flow]],0)</f>
        <v>0</v>
      </c>
      <c r="Q3" s="5">
        <f>表1_356111854458[[#This Row],[流]]</f>
        <v>0</v>
      </c>
    </row>
    <row r="4" spans="1:17" x14ac:dyDescent="0.2">
      <c r="A4" s="29" t="s">
        <v>20</v>
      </c>
      <c r="B4" s="12"/>
      <c r="C4" s="12"/>
      <c r="D4" s="13">
        <f>SUBTOTAL(109,Table69[Balance])</f>
        <v>0</v>
      </c>
      <c r="E4" s="13">
        <f>SUBTOTAL(109,Table69[Flowing])</f>
        <v>-9000</v>
      </c>
      <c r="F4" s="13">
        <f>SUBTOTAL(109,Table69[Current])</f>
        <v>0</v>
      </c>
      <c r="H4" s="18">
        <v>2201001</v>
      </c>
      <c r="I4" s="3" t="s">
        <v>21</v>
      </c>
      <c r="J4" s="7">
        <v>44562</v>
      </c>
      <c r="K4" s="3" t="s">
        <v>10</v>
      </c>
      <c r="L4" s="8">
        <v>3000</v>
      </c>
      <c r="M4" s="3" t="s">
        <v>22</v>
      </c>
      <c r="N4" s="2" t="s">
        <v>21</v>
      </c>
      <c r="O4" s="3"/>
      <c r="P4" s="5">
        <f>IF(表1_356111854458[[#This Row],[Out]]=$C$3,-表1_356111854458[[#This Row],[Flow]],0)+IF(表1_356111854458[[#This Row],[In]]=$C$3,表1_356111854458[[#This Row],[Flow]],0)</f>
        <v>-3000</v>
      </c>
      <c r="Q4" s="5">
        <f>Q3+P4</f>
        <v>-3000</v>
      </c>
    </row>
    <row r="5" spans="1:17" x14ac:dyDescent="0.2">
      <c r="H5" s="18">
        <v>2202001</v>
      </c>
      <c r="I5" s="16" t="s">
        <v>21</v>
      </c>
      <c r="J5" s="7">
        <v>44593</v>
      </c>
      <c r="K5" s="16" t="s">
        <v>10</v>
      </c>
      <c r="L5" s="8">
        <v>3000</v>
      </c>
      <c r="M5" s="16" t="s">
        <v>22</v>
      </c>
      <c r="N5" s="17" t="s">
        <v>21</v>
      </c>
      <c r="O5" s="16"/>
      <c r="P5" s="5">
        <f>IF(表1_356111854458[[#This Row],[Out]]=$C$3,-表1_356111854458[[#This Row],[Flow]],0)+IF(表1_356111854458[[#This Row],[In]]=$C$3,表1_356111854458[[#This Row],[Flow]],0)</f>
        <v>-3000</v>
      </c>
      <c r="Q5" s="5">
        <f t="shared" ref="Q5:Q21" si="0">Q4+P5</f>
        <v>-6000</v>
      </c>
    </row>
    <row r="6" spans="1:17" x14ac:dyDescent="0.2">
      <c r="H6" s="18">
        <v>2203001</v>
      </c>
      <c r="I6" s="16" t="s">
        <v>21</v>
      </c>
      <c r="J6" s="7">
        <v>44621</v>
      </c>
      <c r="K6" s="16" t="s">
        <v>10</v>
      </c>
      <c r="L6" s="8">
        <v>3000</v>
      </c>
      <c r="M6" s="16" t="s">
        <v>22</v>
      </c>
      <c r="N6" s="17" t="s">
        <v>21</v>
      </c>
      <c r="O6" s="16"/>
      <c r="P6" s="5">
        <f>IF(表1_356111854458[[#This Row],[Out]]=$C$3,-表1_356111854458[[#This Row],[Flow]],0)+IF(表1_356111854458[[#This Row],[In]]=$C$3,表1_356111854458[[#This Row],[Flow]],0)</f>
        <v>-3000</v>
      </c>
      <c r="Q6" s="5">
        <f t="shared" si="0"/>
        <v>-9000</v>
      </c>
    </row>
    <row r="7" spans="1:17" x14ac:dyDescent="0.2">
      <c r="H7" s="18"/>
      <c r="I7" s="16"/>
      <c r="J7" s="7"/>
      <c r="K7" s="16"/>
      <c r="L7" s="8"/>
      <c r="M7" s="16"/>
      <c r="N7" s="17"/>
      <c r="O7" s="16"/>
      <c r="P7" s="5">
        <f>IF(表1_356111854458[[#This Row],[Out]]=$C$3,-表1_356111854458[[#This Row],[Flow]],0)+IF(表1_356111854458[[#This Row],[In]]=$C$3,表1_356111854458[[#This Row],[Flow]],0)</f>
        <v>0</v>
      </c>
      <c r="Q7" s="5">
        <f t="shared" si="0"/>
        <v>-9000</v>
      </c>
    </row>
    <row r="8" spans="1:17" x14ac:dyDescent="0.2">
      <c r="H8" s="18"/>
      <c r="I8" s="16"/>
      <c r="J8" s="7"/>
      <c r="K8" s="16"/>
      <c r="L8" s="8"/>
      <c r="M8" s="16"/>
      <c r="N8" s="17"/>
      <c r="O8" s="16"/>
      <c r="P8" s="5">
        <f>IF(表1_356111854458[[#This Row],[Out]]=$C$3,-表1_356111854458[[#This Row],[Flow]],0)+IF(表1_356111854458[[#This Row],[In]]=$C$3,表1_356111854458[[#This Row],[Flow]],0)</f>
        <v>0</v>
      </c>
      <c r="Q8" s="5">
        <f t="shared" si="0"/>
        <v>-9000</v>
      </c>
    </row>
    <row r="9" spans="1:17" x14ac:dyDescent="0.2">
      <c r="H9" s="18"/>
      <c r="I9" s="16"/>
      <c r="J9" s="7"/>
      <c r="K9" s="16"/>
      <c r="L9" s="8"/>
      <c r="M9" s="16"/>
      <c r="N9" s="17"/>
      <c r="O9" s="16"/>
      <c r="P9" s="5">
        <f>IF(表1_356111854458[[#This Row],[Out]]=$C$3,-表1_356111854458[[#This Row],[Flow]],0)+IF(表1_356111854458[[#This Row],[In]]=$C$3,表1_356111854458[[#This Row],[Flow]],0)</f>
        <v>0</v>
      </c>
      <c r="Q9" s="5">
        <f t="shared" si="0"/>
        <v>-9000</v>
      </c>
    </row>
    <row r="10" spans="1:17" x14ac:dyDescent="0.2">
      <c r="H10" s="18"/>
      <c r="I10" s="16"/>
      <c r="J10" s="7"/>
      <c r="K10" s="16"/>
      <c r="L10" s="8"/>
      <c r="M10" s="16"/>
      <c r="N10" s="17"/>
      <c r="O10" s="16"/>
      <c r="P10" s="5">
        <f>IF(表1_356111854458[[#This Row],[Out]]=$C$3,-表1_356111854458[[#This Row],[Flow]],0)+IF(表1_356111854458[[#This Row],[In]]=$C$3,表1_356111854458[[#This Row],[Flow]],0)</f>
        <v>0</v>
      </c>
      <c r="Q10" s="5">
        <f t="shared" si="0"/>
        <v>-9000</v>
      </c>
    </row>
    <row r="11" spans="1:17" x14ac:dyDescent="0.2">
      <c r="H11" s="18"/>
      <c r="I11" s="16"/>
      <c r="J11" s="7"/>
      <c r="K11" s="16"/>
      <c r="L11" s="8"/>
      <c r="M11" s="16"/>
      <c r="N11" s="17"/>
      <c r="O11" s="16"/>
      <c r="P11" s="5">
        <f>IF(表1_356111854458[[#This Row],[Out]]=$C$3,-表1_356111854458[[#This Row],[Flow]],0)+IF(表1_356111854458[[#This Row],[In]]=$C$3,表1_356111854458[[#This Row],[Flow]],0)</f>
        <v>0</v>
      </c>
      <c r="Q11" s="5">
        <f t="shared" si="0"/>
        <v>-9000</v>
      </c>
    </row>
    <row r="12" spans="1:17" x14ac:dyDescent="0.2">
      <c r="H12" s="18"/>
      <c r="I12" s="16"/>
      <c r="J12" s="7"/>
      <c r="K12" s="16"/>
      <c r="L12" s="8"/>
      <c r="M12" s="16"/>
      <c r="N12" s="17"/>
      <c r="O12" s="16"/>
      <c r="P12" s="5">
        <f>IF(表1_356111854458[[#This Row],[Out]]=$C$3,-表1_356111854458[[#This Row],[Flow]],0)+IF(表1_356111854458[[#This Row],[In]]=$C$3,表1_356111854458[[#This Row],[Flow]],0)</f>
        <v>0</v>
      </c>
      <c r="Q12" s="5">
        <f t="shared" si="0"/>
        <v>-9000</v>
      </c>
    </row>
    <row r="13" spans="1:17" x14ac:dyDescent="0.2">
      <c r="H13" s="18"/>
      <c r="I13" s="16"/>
      <c r="J13" s="7"/>
      <c r="K13" s="16"/>
      <c r="L13" s="8"/>
      <c r="M13" s="16"/>
      <c r="N13" s="17"/>
      <c r="O13" s="16"/>
      <c r="P13" s="5">
        <f>IF(表1_356111854458[[#This Row],[Out]]=$C$3,-表1_356111854458[[#This Row],[Flow]],0)+IF(表1_356111854458[[#This Row],[In]]=$C$3,表1_356111854458[[#This Row],[Flow]],0)</f>
        <v>0</v>
      </c>
      <c r="Q13" s="5">
        <f t="shared" si="0"/>
        <v>-9000</v>
      </c>
    </row>
    <row r="14" spans="1:17" x14ac:dyDescent="0.2">
      <c r="H14" s="18"/>
      <c r="I14" s="16"/>
      <c r="J14" s="7"/>
      <c r="K14" s="16"/>
      <c r="L14" s="8"/>
      <c r="M14" s="16"/>
      <c r="N14" s="17"/>
      <c r="O14" s="16"/>
      <c r="P14" s="5">
        <f>IF(表1_356111854458[[#This Row],[Out]]=$C$3,-表1_356111854458[[#This Row],[Flow]],0)+IF(表1_356111854458[[#This Row],[In]]=$C$3,表1_356111854458[[#This Row],[Flow]],0)</f>
        <v>0</v>
      </c>
      <c r="Q14" s="5">
        <f t="shared" si="0"/>
        <v>-9000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IF(表1_356111854458[[#This Row],[Out]]=$C$3,-表1_356111854458[[#This Row],[Flow]],0)+IF(表1_356111854458[[#This Row],[In]]=$C$3,表1_356111854458[[#This Row],[Flow]],0)</f>
        <v>0</v>
      </c>
      <c r="Q15" s="5">
        <f t="shared" si="0"/>
        <v>-9000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IF(表1_356111854458[[#This Row],[Out]]=$C$3,-表1_356111854458[[#This Row],[Flow]],0)+IF(表1_356111854458[[#This Row],[In]]=$C$3,表1_356111854458[[#This Row],[Flow]],0)</f>
        <v>0</v>
      </c>
      <c r="Q16" s="5">
        <f t="shared" si="0"/>
        <v>-9000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IF(表1_356111854458[[#This Row],[Out]]=$C$3,-表1_356111854458[[#This Row],[Flow]],0)+IF(表1_356111854458[[#This Row],[In]]=$C$3,表1_356111854458[[#This Row],[Flow]],0)</f>
        <v>0</v>
      </c>
      <c r="Q17" s="5">
        <f t="shared" si="0"/>
        <v>-9000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IF(表1_356111854458[[#This Row],[Out]]=$C$3,-表1_356111854458[[#This Row],[Flow]],0)+IF(表1_356111854458[[#This Row],[In]]=$C$3,表1_356111854458[[#This Row],[Flow]],0)</f>
        <v>0</v>
      </c>
      <c r="Q18" s="5">
        <f t="shared" si="0"/>
        <v>-9000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IF(表1_356111854458[[#This Row],[Out]]=$C$3,-表1_356111854458[[#This Row],[Flow]],0)+IF(表1_356111854458[[#This Row],[In]]=$C$3,表1_356111854458[[#This Row],[Flow]],0)</f>
        <v>0</v>
      </c>
      <c r="Q19" s="5">
        <f t="shared" si="0"/>
        <v>-9000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IF(表1_356111854458[[#This Row],[Out]]=$C$3,-表1_356111854458[[#This Row],[Flow]],0)+IF(表1_356111854458[[#This Row],[In]]=$C$3,表1_356111854458[[#This Row],[Flow]],0)</f>
        <v>0</v>
      </c>
      <c r="Q20" s="5">
        <f t="shared" si="0"/>
        <v>-9000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IF(表1_356111854458[[#This Row],[Out]]=$C$3,-表1_356111854458[[#This Row],[Flow]],0)+IF(表1_356111854458[[#This Row],[In]]=$C$3,表1_356111854458[[#This Row],[Flow]],0)</f>
        <v>0</v>
      </c>
      <c r="Q21" s="5">
        <f t="shared" si="0"/>
        <v>-9000</v>
      </c>
    </row>
    <row r="22" spans="8:17" x14ac:dyDescent="0.2">
      <c r="H22" s="30" t="s">
        <v>20</v>
      </c>
      <c r="I22" s="31"/>
      <c r="J22" s="30"/>
      <c r="K22" s="32"/>
      <c r="L22" s="33">
        <f>SUBTOTAL(109,表1_356111854458[Flow])</f>
        <v>9000</v>
      </c>
      <c r="M22" s="32"/>
      <c r="N22" s="34"/>
      <c r="O22" s="31"/>
      <c r="P22" s="35">
        <f>SUBTOTAL(109,表1_356111854458[流])</f>
        <v>-9000</v>
      </c>
      <c r="Q22" s="3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486-2A3D-446A-9CE0-C8D3D5D357ED}">
  <dimension ref="A1:Q22"/>
  <sheetViews>
    <sheetView showGridLines="0" workbookViewId="0">
      <selection activeCell="A2" sqref="A1:Q1048576"/>
    </sheetView>
  </sheetViews>
  <sheetFormatPr defaultColWidth="3.125" defaultRowHeight="14.25" x14ac:dyDescent="0.2"/>
  <cols>
    <col min="1" max="1" width="7" style="10" bestFit="1" customWidth="1"/>
    <col min="2" max="2" width="7.375" style="10" bestFit="1" customWidth="1"/>
    <col min="3" max="3" width="7.875" style="10" bestFit="1" customWidth="1"/>
    <col min="4" max="4" width="7.125" style="10" bestFit="1" customWidth="1"/>
    <col min="5" max="5" width="8.5" style="10" bestFit="1" customWidth="1"/>
    <col min="6" max="6" width="6.875" style="10" bestFit="1" customWidth="1"/>
    <col min="7" max="7" width="3.125" style="10"/>
    <col min="8" max="8" width="7.625" style="10" bestFit="1" customWidth="1"/>
    <col min="9" max="9" width="6" style="10" bestFit="1" customWidth="1"/>
    <col min="10" max="10" width="7.25" style="10" bestFit="1" customWidth="1"/>
    <col min="11" max="11" width="9.875" style="10" bestFit="1" customWidth="1"/>
    <col min="12" max="12" width="7.5" style="10" bestFit="1" customWidth="1"/>
    <col min="13" max="13" width="4.25" style="10" bestFit="1" customWidth="1"/>
    <col min="14" max="14" width="19.125" style="10" bestFit="1" customWidth="1"/>
    <col min="15" max="15" width="7.875" style="10" bestFit="1" customWidth="1"/>
    <col min="16" max="17" width="7.5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2</v>
      </c>
      <c r="B3" s="27"/>
      <c r="C3" s="27" t="s">
        <v>23</v>
      </c>
      <c r="D3" s="28">
        <v>0</v>
      </c>
      <c r="E3" s="28">
        <f>SUMIF(表1_3561118544510[In],Table611[[#This Row],[Name]],表1_3561118544510[Flow])-SUMIF(表1_3561118544510[Out],Table611[[#This Row],[Name]],表1_3561118544510[Flow])</f>
        <v>4545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IF(表1_3561118544510[[#This Row],[Out]]=$C$3,-表1_3561118544510[[#This Row],[Flow]],0)+IF(表1_3561118544510[[#This Row],[In]]=$C$3,表1_3561118544510[[#This Row],[Flow]],0)</f>
        <v>0</v>
      </c>
      <c r="Q3" s="5">
        <f>表1_3561118544510[[#This Row],[流]]</f>
        <v>0</v>
      </c>
    </row>
    <row r="4" spans="1:17" x14ac:dyDescent="0.2">
      <c r="A4" s="29" t="s">
        <v>20</v>
      </c>
      <c r="B4" s="12"/>
      <c r="C4" s="12"/>
      <c r="D4" s="13">
        <f>SUBTOTAL(109,Table611[Balance])</f>
        <v>0</v>
      </c>
      <c r="E4" s="13">
        <f>SUBTOTAL(109,Table611[Flowing])</f>
        <v>4545</v>
      </c>
      <c r="F4" s="13">
        <f>SUBTOTAL(109,Table611[Current])</f>
        <v>0</v>
      </c>
      <c r="H4" s="18">
        <v>2201005</v>
      </c>
      <c r="I4" s="3" t="s">
        <v>24</v>
      </c>
      <c r="J4" s="7">
        <v>44569</v>
      </c>
      <c r="K4" s="3" t="s">
        <v>25</v>
      </c>
      <c r="L4" s="8">
        <v>68</v>
      </c>
      <c r="M4" s="3" t="s">
        <v>23</v>
      </c>
      <c r="N4" s="2" t="s">
        <v>26</v>
      </c>
      <c r="O4" s="3"/>
      <c r="P4" s="5">
        <f>IF(表1_3561118544510[[#This Row],[Out]]=$C$3,-表1_3561118544510[[#This Row],[Flow]],0)+IF(表1_3561118544510[[#This Row],[In]]=$C$3,表1_3561118544510[[#This Row],[Flow]],0)</f>
        <v>68</v>
      </c>
      <c r="Q4" s="5">
        <f>Q3+P4</f>
        <v>68</v>
      </c>
    </row>
    <row r="5" spans="1:17" x14ac:dyDescent="0.2">
      <c r="H5" s="18">
        <v>2201006</v>
      </c>
      <c r="I5" s="16" t="s">
        <v>27</v>
      </c>
      <c r="J5" s="7">
        <v>44580</v>
      </c>
      <c r="K5" s="16" t="s">
        <v>28</v>
      </c>
      <c r="L5" s="8">
        <v>180</v>
      </c>
      <c r="M5" s="16" t="s">
        <v>23</v>
      </c>
      <c r="N5" s="17" t="s">
        <v>29</v>
      </c>
      <c r="O5" s="16"/>
      <c r="P5" s="5">
        <f>IF(表1_3561118544510[[#This Row],[Out]]=$C$3,-表1_3561118544510[[#This Row],[Flow]],0)+IF(表1_3561118544510[[#This Row],[In]]=$C$3,表1_3561118544510[[#This Row],[Flow]],0)</f>
        <v>180</v>
      </c>
      <c r="Q5" s="5">
        <f t="shared" ref="Q5:Q21" si="0">Q4+P5</f>
        <v>248</v>
      </c>
    </row>
    <row r="6" spans="1:17" x14ac:dyDescent="0.2">
      <c r="H6" s="18">
        <v>2201007</v>
      </c>
      <c r="I6" s="16" t="s">
        <v>30</v>
      </c>
      <c r="J6" s="7">
        <v>44592</v>
      </c>
      <c r="K6" s="16" t="s">
        <v>28</v>
      </c>
      <c r="L6" s="8">
        <v>165</v>
      </c>
      <c r="M6" s="16" t="s">
        <v>23</v>
      </c>
      <c r="N6" s="17" t="s">
        <v>31</v>
      </c>
      <c r="O6" s="16"/>
      <c r="P6" s="5">
        <f>IF(表1_3561118544510[[#This Row],[Out]]=$C$3,-表1_3561118544510[[#This Row],[Flow]],0)+IF(表1_3561118544510[[#This Row],[In]]=$C$3,表1_3561118544510[[#This Row],[Flow]],0)</f>
        <v>165</v>
      </c>
      <c r="Q6" s="5">
        <f t="shared" si="0"/>
        <v>413</v>
      </c>
    </row>
    <row r="7" spans="1:17" x14ac:dyDescent="0.2">
      <c r="H7" s="18">
        <v>2201008</v>
      </c>
      <c r="I7" s="16" t="s">
        <v>32</v>
      </c>
      <c r="J7" s="7">
        <v>44592</v>
      </c>
      <c r="K7" s="16" t="s">
        <v>33</v>
      </c>
      <c r="L7" s="8">
        <v>1000</v>
      </c>
      <c r="M7" s="16" t="s">
        <v>23</v>
      </c>
      <c r="N7" s="17" t="s">
        <v>32</v>
      </c>
      <c r="O7" s="16"/>
      <c r="P7" s="5">
        <f>IF(表1_3561118544510[[#This Row],[Out]]=$C$3,-表1_3561118544510[[#This Row],[Flow]],0)+IF(表1_3561118544510[[#This Row],[In]]=$C$3,表1_3561118544510[[#This Row],[Flow]],0)</f>
        <v>1000</v>
      </c>
      <c r="Q7" s="5">
        <f t="shared" si="0"/>
        <v>1413</v>
      </c>
    </row>
    <row r="8" spans="1:17" x14ac:dyDescent="0.2">
      <c r="H8" s="18">
        <v>2202005</v>
      </c>
      <c r="I8" s="16" t="s">
        <v>34</v>
      </c>
      <c r="J8" s="7">
        <v>44597</v>
      </c>
      <c r="K8" s="16" t="s">
        <v>35</v>
      </c>
      <c r="L8" s="8">
        <v>89</v>
      </c>
      <c r="M8" s="16" t="s">
        <v>23</v>
      </c>
      <c r="N8" s="17" t="s">
        <v>36</v>
      </c>
      <c r="O8" s="16"/>
      <c r="P8" s="5">
        <f>IF(表1_3561118544510[[#This Row],[Out]]=$C$3,-表1_3561118544510[[#This Row],[Flow]],0)+IF(表1_3561118544510[[#This Row],[In]]=$C$3,表1_3561118544510[[#This Row],[Flow]],0)</f>
        <v>89</v>
      </c>
      <c r="Q8" s="5">
        <f t="shared" si="0"/>
        <v>1502</v>
      </c>
    </row>
    <row r="9" spans="1:17" x14ac:dyDescent="0.2">
      <c r="H9" s="18">
        <v>2202006</v>
      </c>
      <c r="I9" s="16" t="s">
        <v>24</v>
      </c>
      <c r="J9" s="7">
        <v>44600</v>
      </c>
      <c r="K9" s="16" t="s">
        <v>25</v>
      </c>
      <c r="L9" s="8">
        <v>76</v>
      </c>
      <c r="M9" s="16" t="s">
        <v>23</v>
      </c>
      <c r="N9" s="17" t="s">
        <v>26</v>
      </c>
      <c r="O9" s="16"/>
      <c r="P9" s="5">
        <f>IF(表1_3561118544510[[#This Row],[Out]]=$C$3,-表1_3561118544510[[#This Row],[Flow]],0)+IF(表1_3561118544510[[#This Row],[In]]=$C$3,表1_3561118544510[[#This Row],[Flow]],0)</f>
        <v>76</v>
      </c>
      <c r="Q9" s="5">
        <f t="shared" si="0"/>
        <v>1578</v>
      </c>
    </row>
    <row r="10" spans="1:17" x14ac:dyDescent="0.2">
      <c r="H10" s="18">
        <v>2202007</v>
      </c>
      <c r="I10" s="16" t="s">
        <v>37</v>
      </c>
      <c r="J10" s="7">
        <v>44607</v>
      </c>
      <c r="K10" s="16" t="s">
        <v>25</v>
      </c>
      <c r="L10" s="8">
        <v>172</v>
      </c>
      <c r="M10" s="16" t="s">
        <v>23</v>
      </c>
      <c r="N10" s="17" t="s">
        <v>37</v>
      </c>
      <c r="O10" s="16"/>
      <c r="P10" s="5">
        <f>IF(表1_3561118544510[[#This Row],[Out]]=$C$3,-表1_3561118544510[[#This Row],[Flow]],0)+IF(表1_3561118544510[[#This Row],[In]]=$C$3,表1_3561118544510[[#This Row],[Flow]],0)</f>
        <v>172</v>
      </c>
      <c r="Q10" s="5">
        <f t="shared" si="0"/>
        <v>1750</v>
      </c>
    </row>
    <row r="11" spans="1:17" x14ac:dyDescent="0.2">
      <c r="H11" s="18">
        <v>2202008</v>
      </c>
      <c r="I11" s="16" t="s">
        <v>38</v>
      </c>
      <c r="J11" s="7">
        <v>44611</v>
      </c>
      <c r="K11" s="16" t="s">
        <v>35</v>
      </c>
      <c r="L11" s="8">
        <v>350</v>
      </c>
      <c r="M11" s="16" t="s">
        <v>23</v>
      </c>
      <c r="N11" s="17" t="s">
        <v>38</v>
      </c>
      <c r="O11" s="16"/>
      <c r="P11" s="5">
        <f>IF(表1_3561118544510[[#This Row],[Out]]=$C$3,-表1_3561118544510[[#This Row],[Flow]],0)+IF(表1_3561118544510[[#This Row],[In]]=$C$3,表1_3561118544510[[#This Row],[Flow]],0)</f>
        <v>350</v>
      </c>
      <c r="Q11" s="5">
        <f t="shared" si="0"/>
        <v>2100</v>
      </c>
    </row>
    <row r="12" spans="1:17" x14ac:dyDescent="0.2">
      <c r="H12" s="18">
        <v>2202011</v>
      </c>
      <c r="I12" s="16" t="s">
        <v>32</v>
      </c>
      <c r="J12" s="7">
        <v>44620</v>
      </c>
      <c r="K12" s="16" t="s">
        <v>33</v>
      </c>
      <c r="L12" s="8">
        <v>1000</v>
      </c>
      <c r="M12" s="16" t="s">
        <v>23</v>
      </c>
      <c r="N12" s="17" t="s">
        <v>32</v>
      </c>
      <c r="O12" s="16"/>
      <c r="P12" s="5">
        <f>IF(表1_3561118544510[[#This Row],[Out]]=$C$3,-表1_3561118544510[[#This Row],[Flow]],0)+IF(表1_3561118544510[[#This Row],[In]]=$C$3,表1_3561118544510[[#This Row],[Flow]],0)</f>
        <v>1000</v>
      </c>
      <c r="Q12" s="5">
        <f t="shared" si="0"/>
        <v>3100</v>
      </c>
    </row>
    <row r="13" spans="1:17" x14ac:dyDescent="0.2">
      <c r="H13" s="18">
        <v>2203004</v>
      </c>
      <c r="I13" s="16" t="s">
        <v>24</v>
      </c>
      <c r="J13" s="7">
        <v>44628</v>
      </c>
      <c r="K13" s="16" t="s">
        <v>25</v>
      </c>
      <c r="L13" s="8">
        <v>63</v>
      </c>
      <c r="M13" s="16" t="s">
        <v>23</v>
      </c>
      <c r="N13" s="17" t="s">
        <v>26</v>
      </c>
      <c r="O13" s="16"/>
      <c r="P13" s="5">
        <f>IF(表1_3561118544510[[#This Row],[Out]]=$C$3,-表1_3561118544510[[#This Row],[Flow]],0)+IF(表1_3561118544510[[#This Row],[In]]=$C$3,表1_3561118544510[[#This Row],[Flow]],0)</f>
        <v>63</v>
      </c>
      <c r="Q13" s="5">
        <f t="shared" si="0"/>
        <v>3163</v>
      </c>
    </row>
    <row r="14" spans="1:17" x14ac:dyDescent="0.2">
      <c r="H14" s="18">
        <v>2203005</v>
      </c>
      <c r="I14" s="16" t="s">
        <v>39</v>
      </c>
      <c r="J14" s="7">
        <v>44635</v>
      </c>
      <c r="K14" s="16" t="s">
        <v>25</v>
      </c>
      <c r="L14" s="8">
        <v>382</v>
      </c>
      <c r="M14" s="16" t="s">
        <v>23</v>
      </c>
      <c r="N14" s="17" t="s">
        <v>39</v>
      </c>
      <c r="O14" s="16"/>
      <c r="P14" s="5">
        <f>IF(表1_3561118544510[[#This Row],[Out]]=$C$3,-表1_3561118544510[[#This Row],[Flow]],0)+IF(表1_3561118544510[[#This Row],[In]]=$C$3,表1_3561118544510[[#This Row],[Flow]],0)</f>
        <v>382</v>
      </c>
      <c r="Q14" s="5">
        <f t="shared" si="0"/>
        <v>3545</v>
      </c>
    </row>
    <row r="15" spans="1:17" x14ac:dyDescent="0.2">
      <c r="H15" s="18">
        <v>2203007</v>
      </c>
      <c r="I15" s="16" t="s">
        <v>32</v>
      </c>
      <c r="J15" s="7">
        <v>44651</v>
      </c>
      <c r="K15" s="16" t="s">
        <v>33</v>
      </c>
      <c r="L15" s="8">
        <v>1000</v>
      </c>
      <c r="M15" s="16" t="s">
        <v>23</v>
      </c>
      <c r="N15" s="17" t="s">
        <v>32</v>
      </c>
      <c r="O15" s="16"/>
      <c r="P15" s="5">
        <f>IF(表1_3561118544510[[#This Row],[Out]]=$C$3,-表1_3561118544510[[#This Row],[Flow]],0)+IF(表1_3561118544510[[#This Row],[In]]=$C$3,表1_3561118544510[[#This Row],[Flow]],0)</f>
        <v>1000</v>
      </c>
      <c r="Q15" s="5">
        <f t="shared" si="0"/>
        <v>4545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IF(表1_3561118544510[[#This Row],[Out]]=$C$3,-表1_3561118544510[[#This Row],[Flow]],0)+IF(表1_3561118544510[[#This Row],[In]]=$C$3,表1_3561118544510[[#This Row],[Flow]],0)</f>
        <v>0</v>
      </c>
      <c r="Q16" s="5">
        <f t="shared" si="0"/>
        <v>4545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IF(表1_3561118544510[[#This Row],[Out]]=$C$3,-表1_3561118544510[[#This Row],[Flow]],0)+IF(表1_3561118544510[[#This Row],[In]]=$C$3,表1_3561118544510[[#This Row],[Flow]],0)</f>
        <v>0</v>
      </c>
      <c r="Q17" s="5">
        <f t="shared" si="0"/>
        <v>4545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IF(表1_3561118544510[[#This Row],[Out]]=$C$3,-表1_3561118544510[[#This Row],[Flow]],0)+IF(表1_3561118544510[[#This Row],[In]]=$C$3,表1_3561118544510[[#This Row],[Flow]],0)</f>
        <v>0</v>
      </c>
      <c r="Q18" s="5">
        <f t="shared" si="0"/>
        <v>4545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IF(表1_3561118544510[[#This Row],[Out]]=$C$3,-表1_3561118544510[[#This Row],[Flow]],0)+IF(表1_3561118544510[[#This Row],[In]]=$C$3,表1_3561118544510[[#This Row],[Flow]],0)</f>
        <v>0</v>
      </c>
      <c r="Q19" s="5">
        <f t="shared" si="0"/>
        <v>4545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IF(表1_3561118544510[[#This Row],[Out]]=$C$3,-表1_3561118544510[[#This Row],[Flow]],0)+IF(表1_3561118544510[[#This Row],[In]]=$C$3,表1_3561118544510[[#This Row],[Flow]],0)</f>
        <v>0</v>
      </c>
      <c r="Q20" s="5">
        <f t="shared" si="0"/>
        <v>4545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IF(表1_3561118544510[[#This Row],[Out]]=$C$3,-表1_3561118544510[[#This Row],[Flow]],0)+IF(表1_3561118544510[[#This Row],[In]]=$C$3,表1_3561118544510[[#This Row],[Flow]],0)</f>
        <v>0</v>
      </c>
      <c r="Q21" s="5">
        <f t="shared" si="0"/>
        <v>4545</v>
      </c>
    </row>
    <row r="22" spans="8:17" x14ac:dyDescent="0.2">
      <c r="H22" s="30" t="s">
        <v>20</v>
      </c>
      <c r="I22" s="31"/>
      <c r="J22" s="30"/>
      <c r="K22" s="32"/>
      <c r="L22" s="33">
        <f>SUBTOTAL(109,表1_3561118544510[Flow])</f>
        <v>4545</v>
      </c>
      <c r="M22" s="32"/>
      <c r="N22" s="34"/>
      <c r="O22" s="31"/>
      <c r="P22" s="35">
        <f>SUBTOTAL(109,表1_3561118544510[流])</f>
        <v>4545</v>
      </c>
      <c r="Q22" s="3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01A1-5E57-409E-975A-040445C8352E}">
  <dimension ref="A1:Q22"/>
  <sheetViews>
    <sheetView showGridLines="0" workbookViewId="0">
      <selection activeCell="A3" sqref="A3:C3"/>
    </sheetView>
  </sheetViews>
  <sheetFormatPr defaultColWidth="3.125" defaultRowHeight="14.25" x14ac:dyDescent="0.2"/>
  <cols>
    <col min="1" max="1" width="5.875" style="10" bestFit="1" customWidth="1"/>
    <col min="2" max="2" width="6.625" style="10" customWidth="1"/>
    <col min="3" max="3" width="7.25" style="10" bestFit="1" customWidth="1"/>
    <col min="4" max="4" width="8.375" style="10" customWidth="1"/>
    <col min="5" max="5" width="8.25" style="10" customWidth="1"/>
    <col min="6" max="6" width="8.125" style="10" customWidth="1"/>
    <col min="7" max="7" width="3.125" style="10"/>
    <col min="8" max="8" width="7.625" style="10" bestFit="1" customWidth="1"/>
    <col min="9" max="9" width="5" style="10" bestFit="1" customWidth="1"/>
    <col min="10" max="10" width="4.5" style="10" bestFit="1" customWidth="1"/>
    <col min="11" max="11" width="4" style="10" bestFit="1" customWidth="1"/>
    <col min="12" max="12" width="4.625" style="10" bestFit="1" customWidth="1"/>
    <col min="13" max="13" width="2.75" style="10" bestFit="1" customWidth="1"/>
    <col min="14" max="14" width="4.75" style="10" bestFit="1" customWidth="1"/>
    <col min="15" max="15" width="7.875" style="10" bestFit="1" customWidth="1"/>
    <col min="16" max="16" width="4.375" style="10" bestFit="1" customWidth="1"/>
    <col min="17" max="17" width="7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3</v>
      </c>
      <c r="B3" s="27"/>
      <c r="C3" s="27" t="s">
        <v>40</v>
      </c>
      <c r="D3" s="28">
        <v>0</v>
      </c>
      <c r="E3" s="28">
        <f>SUMIF(表1_3561118544512[In],Table613[[#This Row],[Name]],表1_3561118544512[Flow])-SUMIF(表1_3561118544512[Out],Table613[[#This Row],[Name]],表1_3561118544512[Flow])</f>
        <v>0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IF(表1_3561118544512[[#This Row],[Out]]=$C$3,-表1_3561118544512[[#This Row],[Flow]],0)+IF(表1_3561118544512[[#This Row],[In]]=$C$3,表1_3561118544512[[#This Row],[Flow]],0)</f>
        <v>0</v>
      </c>
      <c r="Q3" s="5">
        <f>表1_3561118544512[[#This Row],[流]]</f>
        <v>0</v>
      </c>
    </row>
    <row r="4" spans="1:17" x14ac:dyDescent="0.2">
      <c r="A4" s="29" t="s">
        <v>20</v>
      </c>
      <c r="B4" s="12"/>
      <c r="C4" s="12"/>
      <c r="D4" s="13">
        <f>SUBTOTAL(109,Table613[Balance])</f>
        <v>0</v>
      </c>
      <c r="E4" s="13">
        <f>SUBTOTAL(109,Table613[Flowing])</f>
        <v>0</v>
      </c>
      <c r="F4" s="13">
        <f>SUBTOTAL(109,Table613[Current])</f>
        <v>0</v>
      </c>
      <c r="H4" s="18"/>
      <c r="I4" s="3"/>
      <c r="J4" s="7"/>
      <c r="K4" s="3"/>
      <c r="L4" s="8"/>
      <c r="M4" s="3"/>
      <c r="N4" s="2"/>
      <c r="O4" s="3"/>
      <c r="P4" s="5">
        <f>IF(表1_3561118544512[[#This Row],[Out]]=$C$3,-表1_3561118544512[[#This Row],[Flow]],0)+IF(表1_3561118544512[[#This Row],[In]]=$C$3,表1_3561118544512[[#This Row],[Flow]],0)</f>
        <v>0</v>
      </c>
      <c r="Q4" s="5">
        <f>Q3+P4</f>
        <v>0</v>
      </c>
    </row>
    <row r="5" spans="1:17" x14ac:dyDescent="0.2">
      <c r="H5" s="18"/>
      <c r="I5" s="16"/>
      <c r="J5" s="7"/>
      <c r="K5" s="16"/>
      <c r="L5" s="8"/>
      <c r="M5" s="16"/>
      <c r="N5" s="17"/>
      <c r="O5" s="16"/>
      <c r="P5" s="5">
        <f>IF(表1_3561118544512[[#This Row],[Out]]=$C$3,-表1_3561118544512[[#This Row],[Flow]],0)+IF(表1_3561118544512[[#This Row],[In]]=$C$3,表1_3561118544512[[#This Row],[Flow]],0)</f>
        <v>0</v>
      </c>
      <c r="Q5" s="5">
        <f t="shared" ref="Q5:Q21" si="0">Q4+P5</f>
        <v>0</v>
      </c>
    </row>
    <row r="6" spans="1:17" x14ac:dyDescent="0.2">
      <c r="H6" s="18"/>
      <c r="I6" s="16"/>
      <c r="J6" s="7"/>
      <c r="K6" s="16"/>
      <c r="L6" s="8"/>
      <c r="M6" s="16"/>
      <c r="N6" s="17"/>
      <c r="O6" s="16"/>
      <c r="P6" s="5">
        <f>IF(表1_3561118544512[[#This Row],[Out]]=$C$3,-表1_3561118544512[[#This Row],[Flow]],0)+IF(表1_3561118544512[[#This Row],[In]]=$C$3,表1_3561118544512[[#This Row],[Flow]],0)</f>
        <v>0</v>
      </c>
      <c r="Q6" s="5">
        <f t="shared" si="0"/>
        <v>0</v>
      </c>
    </row>
    <row r="7" spans="1:17" x14ac:dyDescent="0.2">
      <c r="H7" s="18"/>
      <c r="I7" s="16"/>
      <c r="J7" s="7"/>
      <c r="K7" s="16"/>
      <c r="L7" s="8"/>
      <c r="M7" s="16"/>
      <c r="N7" s="17"/>
      <c r="O7" s="16"/>
      <c r="P7" s="5">
        <f>IF(表1_3561118544512[[#This Row],[Out]]=$C$3,-表1_3561118544512[[#This Row],[Flow]],0)+IF(表1_3561118544512[[#This Row],[In]]=$C$3,表1_3561118544512[[#This Row],[Flow]],0)</f>
        <v>0</v>
      </c>
      <c r="Q7" s="5">
        <f t="shared" si="0"/>
        <v>0</v>
      </c>
    </row>
    <row r="8" spans="1:17" x14ac:dyDescent="0.2">
      <c r="H8" s="18"/>
      <c r="I8" s="16"/>
      <c r="J8" s="7"/>
      <c r="K8" s="16"/>
      <c r="L8" s="8"/>
      <c r="M8" s="16"/>
      <c r="N8" s="17"/>
      <c r="O8" s="16"/>
      <c r="P8" s="5">
        <f>IF(表1_3561118544512[[#This Row],[Out]]=$C$3,-表1_3561118544512[[#This Row],[Flow]],0)+IF(表1_3561118544512[[#This Row],[In]]=$C$3,表1_3561118544512[[#This Row],[Flow]],0)</f>
        <v>0</v>
      </c>
      <c r="Q8" s="5">
        <f t="shared" si="0"/>
        <v>0</v>
      </c>
    </row>
    <row r="9" spans="1:17" x14ac:dyDescent="0.2">
      <c r="H9" s="18"/>
      <c r="I9" s="16"/>
      <c r="J9" s="7"/>
      <c r="K9" s="16"/>
      <c r="L9" s="8"/>
      <c r="M9" s="16"/>
      <c r="N9" s="17"/>
      <c r="O9" s="16"/>
      <c r="P9" s="5">
        <f>IF(表1_3561118544512[[#This Row],[Out]]=$C$3,-表1_3561118544512[[#This Row],[Flow]],0)+IF(表1_3561118544512[[#This Row],[In]]=$C$3,表1_3561118544512[[#This Row],[Flow]],0)</f>
        <v>0</v>
      </c>
      <c r="Q9" s="5">
        <f t="shared" si="0"/>
        <v>0</v>
      </c>
    </row>
    <row r="10" spans="1:17" x14ac:dyDescent="0.2">
      <c r="H10" s="18"/>
      <c r="I10" s="16"/>
      <c r="J10" s="7"/>
      <c r="K10" s="16"/>
      <c r="L10" s="8"/>
      <c r="M10" s="16"/>
      <c r="N10" s="17"/>
      <c r="O10" s="16"/>
      <c r="P10" s="5">
        <f>IF(表1_3561118544512[[#This Row],[Out]]=$C$3,-表1_3561118544512[[#This Row],[Flow]],0)+IF(表1_3561118544512[[#This Row],[In]]=$C$3,表1_3561118544512[[#This Row],[Flow]],0)</f>
        <v>0</v>
      </c>
      <c r="Q10" s="5">
        <f t="shared" si="0"/>
        <v>0</v>
      </c>
    </row>
    <row r="11" spans="1:17" x14ac:dyDescent="0.2">
      <c r="H11" s="18"/>
      <c r="I11" s="16"/>
      <c r="J11" s="7"/>
      <c r="K11" s="16"/>
      <c r="L11" s="8"/>
      <c r="M11" s="16"/>
      <c r="N11" s="17"/>
      <c r="O11" s="16"/>
      <c r="P11" s="5">
        <f>IF(表1_3561118544512[[#This Row],[Out]]=$C$3,-表1_3561118544512[[#This Row],[Flow]],0)+IF(表1_3561118544512[[#This Row],[In]]=$C$3,表1_3561118544512[[#This Row],[Flow]],0)</f>
        <v>0</v>
      </c>
      <c r="Q11" s="5">
        <f t="shared" si="0"/>
        <v>0</v>
      </c>
    </row>
    <row r="12" spans="1:17" x14ac:dyDescent="0.2">
      <c r="H12" s="18"/>
      <c r="I12" s="16"/>
      <c r="J12" s="7"/>
      <c r="K12" s="16"/>
      <c r="L12" s="8"/>
      <c r="M12" s="16"/>
      <c r="N12" s="17"/>
      <c r="O12" s="16"/>
      <c r="P12" s="5">
        <f>IF(表1_3561118544512[[#This Row],[Out]]=$C$3,-表1_3561118544512[[#This Row],[Flow]],0)+IF(表1_3561118544512[[#This Row],[In]]=$C$3,表1_3561118544512[[#This Row],[Flow]],0)</f>
        <v>0</v>
      </c>
      <c r="Q12" s="5">
        <f t="shared" si="0"/>
        <v>0</v>
      </c>
    </row>
    <row r="13" spans="1:17" x14ac:dyDescent="0.2">
      <c r="H13" s="18"/>
      <c r="I13" s="16"/>
      <c r="J13" s="7"/>
      <c r="K13" s="16"/>
      <c r="L13" s="8"/>
      <c r="M13" s="16"/>
      <c r="N13" s="17"/>
      <c r="O13" s="16"/>
      <c r="P13" s="5">
        <f>IF(表1_3561118544512[[#This Row],[Out]]=$C$3,-表1_3561118544512[[#This Row],[Flow]],0)+IF(表1_3561118544512[[#This Row],[In]]=$C$3,表1_3561118544512[[#This Row],[Flow]],0)</f>
        <v>0</v>
      </c>
      <c r="Q13" s="5">
        <f t="shared" si="0"/>
        <v>0</v>
      </c>
    </row>
    <row r="14" spans="1:17" x14ac:dyDescent="0.2">
      <c r="H14" s="18"/>
      <c r="I14" s="16"/>
      <c r="J14" s="7"/>
      <c r="K14" s="16"/>
      <c r="L14" s="8"/>
      <c r="M14" s="16"/>
      <c r="N14" s="17"/>
      <c r="O14" s="16"/>
      <c r="P14" s="5">
        <f>IF(表1_3561118544512[[#This Row],[Out]]=$C$3,-表1_3561118544512[[#This Row],[Flow]],0)+IF(表1_3561118544512[[#This Row],[In]]=$C$3,表1_3561118544512[[#This Row],[Flow]],0)</f>
        <v>0</v>
      </c>
      <c r="Q14" s="5">
        <f t="shared" si="0"/>
        <v>0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IF(表1_3561118544512[[#This Row],[Out]]=$C$3,-表1_3561118544512[[#This Row],[Flow]],0)+IF(表1_3561118544512[[#This Row],[In]]=$C$3,表1_3561118544512[[#This Row],[Flow]],0)</f>
        <v>0</v>
      </c>
      <c r="Q15" s="5">
        <f t="shared" si="0"/>
        <v>0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IF(表1_3561118544512[[#This Row],[Out]]=$C$3,-表1_3561118544512[[#This Row],[Flow]],0)+IF(表1_3561118544512[[#This Row],[In]]=$C$3,表1_3561118544512[[#This Row],[Flow]],0)</f>
        <v>0</v>
      </c>
      <c r="Q16" s="5">
        <f t="shared" si="0"/>
        <v>0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IF(表1_3561118544512[[#This Row],[Out]]=$C$3,-表1_3561118544512[[#This Row],[Flow]],0)+IF(表1_3561118544512[[#This Row],[In]]=$C$3,表1_3561118544512[[#This Row],[Flow]],0)</f>
        <v>0</v>
      </c>
      <c r="Q17" s="5">
        <f t="shared" si="0"/>
        <v>0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IF(表1_3561118544512[[#This Row],[Out]]=$C$3,-表1_3561118544512[[#This Row],[Flow]],0)+IF(表1_3561118544512[[#This Row],[In]]=$C$3,表1_3561118544512[[#This Row],[Flow]],0)</f>
        <v>0</v>
      </c>
      <c r="Q18" s="5">
        <f t="shared" si="0"/>
        <v>0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IF(表1_3561118544512[[#This Row],[Out]]=$C$3,-表1_3561118544512[[#This Row],[Flow]],0)+IF(表1_3561118544512[[#This Row],[In]]=$C$3,表1_3561118544512[[#This Row],[Flow]],0)</f>
        <v>0</v>
      </c>
      <c r="Q19" s="5">
        <f t="shared" si="0"/>
        <v>0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IF(表1_3561118544512[[#This Row],[Out]]=$C$3,-表1_3561118544512[[#This Row],[Flow]],0)+IF(表1_3561118544512[[#This Row],[In]]=$C$3,表1_3561118544512[[#This Row],[Flow]],0)</f>
        <v>0</v>
      </c>
      <c r="Q20" s="5">
        <f t="shared" si="0"/>
        <v>0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IF(表1_3561118544512[[#This Row],[Out]]=$C$3,-表1_3561118544512[[#This Row],[Flow]],0)+IF(表1_3561118544512[[#This Row],[In]]=$C$3,表1_3561118544512[[#This Row],[Flow]],0)</f>
        <v>0</v>
      </c>
      <c r="Q21" s="5">
        <f t="shared" si="0"/>
        <v>0</v>
      </c>
    </row>
    <row r="22" spans="8:17" x14ac:dyDescent="0.2">
      <c r="H22" s="20" t="s">
        <v>20</v>
      </c>
      <c r="I22" s="21"/>
      <c r="J22" s="20"/>
      <c r="K22" s="22"/>
      <c r="L22" s="23">
        <f>SUBTOTAL(109,表1_3561118544512[Flow])</f>
        <v>0</v>
      </c>
      <c r="M22" s="22"/>
      <c r="N22" s="24"/>
      <c r="O22" s="21"/>
      <c r="P22" s="25">
        <f>SUBTOTAL(109,表1_3561118544512[流])</f>
        <v>0</v>
      </c>
      <c r="Q22" s="2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18AE-E17C-4166-8DEA-6B73A5711DDA}">
  <dimension ref="A1:Q22"/>
  <sheetViews>
    <sheetView showGridLines="0" workbookViewId="0">
      <selection activeCell="A2" sqref="A1:Q1048576"/>
    </sheetView>
  </sheetViews>
  <sheetFormatPr defaultColWidth="3.125" defaultRowHeight="14.25" x14ac:dyDescent="0.2"/>
  <cols>
    <col min="1" max="1" width="7" style="10" bestFit="1" customWidth="1"/>
    <col min="2" max="2" width="8" style="10" bestFit="1" customWidth="1"/>
    <col min="3" max="3" width="7.875" style="10" bestFit="1" customWidth="1"/>
    <col min="4" max="4" width="7.125" style="10" bestFit="1" customWidth="1"/>
    <col min="5" max="5" width="7.25" style="10" bestFit="1" customWidth="1"/>
    <col min="6" max="6" width="6.875" style="10" bestFit="1" customWidth="1"/>
    <col min="7" max="7" width="3.125" style="10"/>
    <col min="8" max="8" width="7.625" style="10" bestFit="1" customWidth="1"/>
    <col min="9" max="9" width="10.125" style="10" bestFit="1" customWidth="1"/>
    <col min="10" max="10" width="7.25" style="10" bestFit="1" customWidth="1"/>
    <col min="11" max="11" width="7" style="10" bestFit="1" customWidth="1"/>
    <col min="12" max="12" width="8.25" style="10" bestFit="1" customWidth="1"/>
    <col min="13" max="13" width="8.5" style="10" bestFit="1" customWidth="1"/>
    <col min="14" max="14" width="10.125" style="10" bestFit="1" customWidth="1"/>
    <col min="15" max="15" width="7.875" style="10" bestFit="1" customWidth="1"/>
    <col min="16" max="16" width="8.125" style="10" bestFit="1" customWidth="1"/>
    <col min="17" max="17" width="7.5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4</v>
      </c>
      <c r="B3" s="27" t="s">
        <v>41</v>
      </c>
      <c r="C3" s="27" t="s">
        <v>22</v>
      </c>
      <c r="D3" s="28">
        <v>0</v>
      </c>
      <c r="E3" s="28">
        <f>SUMIF(表1_3561118544512141618[In],Table613151719[[#This Row],[Name]],表1_3561118544512141618[Flow])-SUMIF(表1_3561118544512141618[Out],Table613151719[[#This Row],[Name]],表1_3561118544512141618[Flow])</f>
        <v>500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IF(表1_3561118544512141618[[#This Row],[Out]]=$C$3,-表1_3561118544512141618[[#This Row],[Flow]],0)+IF(表1_3561118544512141618[[#This Row],[In]]=$C$3,表1_3561118544512141618[[#This Row],[Flow]],0)</f>
        <v>0</v>
      </c>
      <c r="Q3" s="5">
        <f>表1_3561118544512141618[[#This Row],[流]]</f>
        <v>0</v>
      </c>
    </row>
    <row r="4" spans="1:17" x14ac:dyDescent="0.2">
      <c r="A4" s="29" t="s">
        <v>20</v>
      </c>
      <c r="B4" s="12"/>
      <c r="C4" s="12"/>
      <c r="D4" s="13">
        <f>SUBTOTAL(109,Table613151719[Balance])</f>
        <v>0</v>
      </c>
      <c r="E4" s="13">
        <f>SUBTOTAL(109,Table613151719[Flowing])</f>
        <v>500</v>
      </c>
      <c r="F4" s="13">
        <f>SUBTOTAL(109,Table613151719[Current])</f>
        <v>0</v>
      </c>
      <c r="H4" s="18">
        <v>2201001</v>
      </c>
      <c r="I4" s="3" t="s">
        <v>21</v>
      </c>
      <c r="J4" s="7">
        <v>44562</v>
      </c>
      <c r="K4" s="3" t="s">
        <v>10</v>
      </c>
      <c r="L4" s="8">
        <v>3000</v>
      </c>
      <c r="M4" s="3" t="s">
        <v>22</v>
      </c>
      <c r="N4" s="2" t="s">
        <v>21</v>
      </c>
      <c r="O4" s="3"/>
      <c r="P4" s="5">
        <f>IF(表1_3561118544512141618[[#This Row],[Out]]=$C$3,-表1_3561118544512141618[[#This Row],[Flow]],0)+IF(表1_3561118544512141618[[#This Row],[In]]=$C$3,表1_3561118544512141618[[#This Row],[Flow]],0)</f>
        <v>3000</v>
      </c>
      <c r="Q4" s="5">
        <f>Q3+P4</f>
        <v>3000</v>
      </c>
    </row>
    <row r="5" spans="1:17" x14ac:dyDescent="0.2">
      <c r="H5" s="18">
        <v>2201002</v>
      </c>
      <c r="I5" s="16" t="s">
        <v>42</v>
      </c>
      <c r="J5" s="7">
        <v>44563</v>
      </c>
      <c r="K5" s="16" t="s">
        <v>22</v>
      </c>
      <c r="L5" s="8">
        <v>1000</v>
      </c>
      <c r="M5" s="16" t="s">
        <v>33</v>
      </c>
      <c r="N5" s="17" t="s">
        <v>43</v>
      </c>
      <c r="O5" s="16"/>
      <c r="P5" s="5">
        <f>IF(表1_3561118544512141618[[#This Row],[Out]]=$C$3,-表1_3561118544512141618[[#This Row],[Flow]],0)+IF(表1_3561118544512141618[[#This Row],[In]]=$C$3,表1_3561118544512141618[[#This Row],[Flow]],0)</f>
        <v>-1000</v>
      </c>
      <c r="Q5" s="5">
        <f t="shared" ref="Q5:Q21" si="0">Q4+P5</f>
        <v>2000</v>
      </c>
    </row>
    <row r="6" spans="1:17" x14ac:dyDescent="0.2">
      <c r="H6" s="18">
        <v>2201003</v>
      </c>
      <c r="I6" s="16" t="s">
        <v>44</v>
      </c>
      <c r="J6" s="7">
        <v>44563</v>
      </c>
      <c r="K6" s="16" t="s">
        <v>22</v>
      </c>
      <c r="L6" s="8">
        <v>1000</v>
      </c>
      <c r="M6" s="16" t="s">
        <v>45</v>
      </c>
      <c r="N6" s="17" t="s">
        <v>46</v>
      </c>
      <c r="O6" s="16"/>
      <c r="P6" s="5">
        <f>IF(表1_3561118544512141618[[#This Row],[Out]]=$C$3,-表1_3561118544512141618[[#This Row],[Flow]],0)+IF(表1_3561118544512141618[[#This Row],[In]]=$C$3,表1_3561118544512141618[[#This Row],[Flow]],0)</f>
        <v>-1000</v>
      </c>
      <c r="Q6" s="5">
        <f t="shared" si="0"/>
        <v>1000</v>
      </c>
    </row>
    <row r="7" spans="1:17" x14ac:dyDescent="0.2">
      <c r="H7" s="18">
        <v>2201004</v>
      </c>
      <c r="I7" s="16" t="s">
        <v>47</v>
      </c>
      <c r="J7" s="7">
        <v>44564</v>
      </c>
      <c r="K7" s="16" t="s">
        <v>22</v>
      </c>
      <c r="L7" s="8">
        <v>300</v>
      </c>
      <c r="M7" s="16" t="s">
        <v>35</v>
      </c>
      <c r="N7" s="17" t="s">
        <v>48</v>
      </c>
      <c r="O7" s="16"/>
      <c r="P7" s="5">
        <f>IF(表1_3561118544512141618[[#This Row],[Out]]=$C$3,-表1_3561118544512141618[[#This Row],[Flow]],0)+IF(表1_3561118544512141618[[#This Row],[In]]=$C$3,表1_3561118544512141618[[#This Row],[Flow]],0)</f>
        <v>-300</v>
      </c>
      <c r="Q7" s="5">
        <f t="shared" si="0"/>
        <v>700</v>
      </c>
    </row>
    <row r="8" spans="1:17" x14ac:dyDescent="0.2">
      <c r="H8" s="18">
        <v>2202001</v>
      </c>
      <c r="I8" s="16" t="s">
        <v>21</v>
      </c>
      <c r="J8" s="7">
        <v>44593</v>
      </c>
      <c r="K8" s="16" t="s">
        <v>10</v>
      </c>
      <c r="L8" s="8">
        <v>3000</v>
      </c>
      <c r="M8" s="16" t="s">
        <v>22</v>
      </c>
      <c r="N8" s="17" t="s">
        <v>21</v>
      </c>
      <c r="O8" s="16"/>
      <c r="P8" s="5">
        <f>IF(表1_3561118544512141618[[#This Row],[Out]]=$C$3,-表1_3561118544512141618[[#This Row],[Flow]],0)+IF(表1_3561118544512141618[[#This Row],[In]]=$C$3,表1_3561118544512141618[[#This Row],[Flow]],0)</f>
        <v>3000</v>
      </c>
      <c r="Q8" s="5">
        <f t="shared" si="0"/>
        <v>3700</v>
      </c>
    </row>
    <row r="9" spans="1:17" x14ac:dyDescent="0.2">
      <c r="H9" s="18">
        <v>2202002</v>
      </c>
      <c r="I9" s="16" t="s">
        <v>42</v>
      </c>
      <c r="J9" s="7">
        <v>44593</v>
      </c>
      <c r="K9" s="16" t="s">
        <v>22</v>
      </c>
      <c r="L9" s="8">
        <v>1000</v>
      </c>
      <c r="M9" s="16" t="s">
        <v>33</v>
      </c>
      <c r="N9" s="17" t="s">
        <v>43</v>
      </c>
      <c r="O9" s="16"/>
      <c r="P9" s="5">
        <f>IF(表1_3561118544512141618[[#This Row],[Out]]=$C$3,-表1_3561118544512141618[[#This Row],[Flow]],0)+IF(表1_3561118544512141618[[#This Row],[In]]=$C$3,表1_3561118544512141618[[#This Row],[Flow]],0)</f>
        <v>-1000</v>
      </c>
      <c r="Q9" s="5">
        <f t="shared" si="0"/>
        <v>2700</v>
      </c>
    </row>
    <row r="10" spans="1:17" x14ac:dyDescent="0.2">
      <c r="H10" s="18">
        <v>2202003</v>
      </c>
      <c r="I10" s="16" t="s">
        <v>44</v>
      </c>
      <c r="J10" s="7">
        <v>44593</v>
      </c>
      <c r="K10" s="16" t="s">
        <v>22</v>
      </c>
      <c r="L10" s="8">
        <v>2000</v>
      </c>
      <c r="M10" s="16" t="s">
        <v>45</v>
      </c>
      <c r="N10" s="17" t="s">
        <v>46</v>
      </c>
      <c r="O10" s="16"/>
      <c r="P10" s="5">
        <f>IF(表1_3561118544512141618[[#This Row],[Out]]=$C$3,-表1_3561118544512141618[[#This Row],[Flow]],0)+IF(表1_3561118544512141618[[#This Row],[In]]=$C$3,表1_3561118544512141618[[#This Row],[Flow]],0)</f>
        <v>-2000</v>
      </c>
      <c r="Q10" s="5">
        <f t="shared" si="0"/>
        <v>700</v>
      </c>
    </row>
    <row r="11" spans="1:17" x14ac:dyDescent="0.2">
      <c r="H11" s="18">
        <v>2202004</v>
      </c>
      <c r="I11" s="16" t="s">
        <v>47</v>
      </c>
      <c r="J11" s="7">
        <v>44593</v>
      </c>
      <c r="K11" s="16" t="s">
        <v>22</v>
      </c>
      <c r="L11" s="8">
        <v>200</v>
      </c>
      <c r="M11" s="16" t="s">
        <v>35</v>
      </c>
      <c r="N11" s="17" t="s">
        <v>48</v>
      </c>
      <c r="O11" s="16"/>
      <c r="P11" s="5">
        <f>IF(表1_3561118544512141618[[#This Row],[Out]]=$C$3,-表1_3561118544512141618[[#This Row],[Flow]],0)+IF(表1_3561118544512141618[[#This Row],[In]]=$C$3,表1_3561118544512141618[[#This Row],[Flow]],0)</f>
        <v>-200</v>
      </c>
      <c r="Q11" s="5">
        <f t="shared" si="0"/>
        <v>500</v>
      </c>
    </row>
    <row r="12" spans="1:17" x14ac:dyDescent="0.2">
      <c r="H12" s="18">
        <v>2203001</v>
      </c>
      <c r="I12" s="16" t="s">
        <v>21</v>
      </c>
      <c r="J12" s="7">
        <v>44621</v>
      </c>
      <c r="K12" s="16" t="s">
        <v>10</v>
      </c>
      <c r="L12" s="8">
        <v>3000</v>
      </c>
      <c r="M12" s="16" t="s">
        <v>22</v>
      </c>
      <c r="N12" s="17" t="s">
        <v>21</v>
      </c>
      <c r="O12" s="16"/>
      <c r="P12" s="5">
        <f>IF(表1_3561118544512141618[[#This Row],[Out]]=$C$3,-表1_3561118544512141618[[#This Row],[Flow]],0)+IF(表1_3561118544512141618[[#This Row],[In]]=$C$3,表1_3561118544512141618[[#This Row],[Flow]],0)</f>
        <v>3000</v>
      </c>
      <c r="Q12" s="5">
        <f t="shared" si="0"/>
        <v>3500</v>
      </c>
    </row>
    <row r="13" spans="1:17" x14ac:dyDescent="0.2">
      <c r="H13" s="18">
        <v>2203002</v>
      </c>
      <c r="I13" s="16" t="s">
        <v>42</v>
      </c>
      <c r="J13" s="7">
        <v>44623</v>
      </c>
      <c r="K13" s="16" t="s">
        <v>22</v>
      </c>
      <c r="L13" s="8">
        <v>1000</v>
      </c>
      <c r="M13" s="16" t="s">
        <v>33</v>
      </c>
      <c r="N13" s="17" t="s">
        <v>43</v>
      </c>
      <c r="O13" s="16"/>
      <c r="P13" s="5">
        <f>IF(表1_3561118544512141618[[#This Row],[Out]]=$C$3,-表1_3561118544512141618[[#This Row],[Flow]],0)+IF(表1_3561118544512141618[[#This Row],[In]]=$C$3,表1_3561118544512141618[[#This Row],[Flow]],0)</f>
        <v>-1000</v>
      </c>
      <c r="Q13" s="5">
        <f t="shared" si="0"/>
        <v>2500</v>
      </c>
    </row>
    <row r="14" spans="1:17" x14ac:dyDescent="0.2">
      <c r="H14" s="18">
        <v>2203003</v>
      </c>
      <c r="I14" s="16" t="s">
        <v>44</v>
      </c>
      <c r="J14" s="7">
        <v>44623</v>
      </c>
      <c r="K14" s="16" t="s">
        <v>22</v>
      </c>
      <c r="L14" s="8">
        <v>2000</v>
      </c>
      <c r="M14" s="16" t="s">
        <v>45</v>
      </c>
      <c r="N14" s="17" t="s">
        <v>46</v>
      </c>
      <c r="O14" s="16"/>
      <c r="P14" s="5">
        <f>IF(表1_3561118544512141618[[#This Row],[Out]]=$C$3,-表1_3561118544512141618[[#This Row],[Flow]],0)+IF(表1_3561118544512141618[[#This Row],[In]]=$C$3,表1_3561118544512141618[[#This Row],[Flow]],0)</f>
        <v>-2000</v>
      </c>
      <c r="Q14" s="5">
        <f t="shared" si="0"/>
        <v>500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IF(表1_3561118544512141618[[#This Row],[Out]]=$C$3,-表1_3561118544512141618[[#This Row],[Flow]],0)+IF(表1_3561118544512141618[[#This Row],[In]]=$C$3,表1_3561118544512141618[[#This Row],[Flow]],0)</f>
        <v>0</v>
      </c>
      <c r="Q15" s="5">
        <f t="shared" si="0"/>
        <v>500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IF(表1_3561118544512141618[[#This Row],[Out]]=$C$3,-表1_3561118544512141618[[#This Row],[Flow]],0)+IF(表1_3561118544512141618[[#This Row],[In]]=$C$3,表1_3561118544512141618[[#This Row],[Flow]],0)</f>
        <v>0</v>
      </c>
      <c r="Q16" s="5">
        <f t="shared" si="0"/>
        <v>500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IF(表1_3561118544512141618[[#This Row],[Out]]=$C$3,-表1_3561118544512141618[[#This Row],[Flow]],0)+IF(表1_3561118544512141618[[#This Row],[In]]=$C$3,表1_3561118544512141618[[#This Row],[Flow]],0)</f>
        <v>0</v>
      </c>
      <c r="Q17" s="5">
        <f t="shared" si="0"/>
        <v>500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IF(表1_3561118544512141618[[#This Row],[Out]]=$C$3,-表1_3561118544512141618[[#This Row],[Flow]],0)+IF(表1_3561118544512141618[[#This Row],[In]]=$C$3,表1_3561118544512141618[[#This Row],[Flow]],0)</f>
        <v>0</v>
      </c>
      <c r="Q18" s="5">
        <f t="shared" si="0"/>
        <v>500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IF(表1_3561118544512141618[[#This Row],[Out]]=$C$3,-表1_3561118544512141618[[#This Row],[Flow]],0)+IF(表1_3561118544512141618[[#This Row],[In]]=$C$3,表1_3561118544512141618[[#This Row],[Flow]],0)</f>
        <v>0</v>
      </c>
      <c r="Q19" s="5">
        <f t="shared" si="0"/>
        <v>500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IF(表1_3561118544512141618[[#This Row],[Out]]=$C$3,-表1_3561118544512141618[[#This Row],[Flow]],0)+IF(表1_3561118544512141618[[#This Row],[In]]=$C$3,表1_3561118544512141618[[#This Row],[Flow]],0)</f>
        <v>0</v>
      </c>
      <c r="Q20" s="5">
        <f t="shared" si="0"/>
        <v>500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IF(表1_3561118544512141618[[#This Row],[Out]]=$C$3,-表1_3561118544512141618[[#This Row],[Flow]],0)+IF(表1_3561118544512141618[[#This Row],[In]]=$C$3,表1_3561118544512141618[[#This Row],[Flow]],0)</f>
        <v>0</v>
      </c>
      <c r="Q21" s="5">
        <f t="shared" si="0"/>
        <v>500</v>
      </c>
    </row>
    <row r="22" spans="8:17" x14ac:dyDescent="0.2">
      <c r="H22" s="30" t="s">
        <v>20</v>
      </c>
      <c r="I22" s="31"/>
      <c r="J22" s="30"/>
      <c r="K22" s="32"/>
      <c r="L22" s="33">
        <f>SUBTOTAL(109,表1_3561118544512141618[Flow])</f>
        <v>17500</v>
      </c>
      <c r="M22" s="32"/>
      <c r="N22" s="34"/>
      <c r="O22" s="31"/>
      <c r="P22" s="35">
        <f>SUBTOTAL(109,表1_3561118544512141618[流])</f>
        <v>500</v>
      </c>
      <c r="Q22" s="3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3915-FD8D-48F4-A47F-3E4EF66D468D}">
  <dimension ref="A1:Q22"/>
  <sheetViews>
    <sheetView showGridLines="0" workbookViewId="0">
      <selection activeCell="A3" sqref="A3:C3"/>
    </sheetView>
  </sheetViews>
  <sheetFormatPr defaultColWidth="3.125" defaultRowHeight="14.25" x14ac:dyDescent="0.2"/>
  <cols>
    <col min="1" max="1" width="5.875" style="10" bestFit="1" customWidth="1"/>
    <col min="2" max="2" width="6.625" style="10" customWidth="1"/>
    <col min="3" max="3" width="7.25" style="10" bestFit="1" customWidth="1"/>
    <col min="4" max="4" width="8.375" style="10" customWidth="1"/>
    <col min="5" max="5" width="8.25" style="10" customWidth="1"/>
    <col min="6" max="6" width="8.125" style="10" customWidth="1"/>
    <col min="7" max="7" width="3.125" style="10"/>
    <col min="8" max="8" width="7.625" style="10" bestFit="1" customWidth="1"/>
    <col min="9" max="9" width="5" style="10" bestFit="1" customWidth="1"/>
    <col min="10" max="10" width="4.5" style="10" bestFit="1" customWidth="1"/>
    <col min="11" max="11" width="4" style="10" bestFit="1" customWidth="1"/>
    <col min="12" max="12" width="4.625" style="10" bestFit="1" customWidth="1"/>
    <col min="13" max="13" width="2.75" style="10" bestFit="1" customWidth="1"/>
    <col min="14" max="14" width="4.75" style="10" bestFit="1" customWidth="1"/>
    <col min="15" max="15" width="7.875" style="10" bestFit="1" customWidth="1"/>
    <col min="16" max="16" width="4.375" style="10" bestFit="1" customWidth="1"/>
    <col min="17" max="17" width="7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5</v>
      </c>
      <c r="B3" s="27" t="s">
        <v>49</v>
      </c>
      <c r="C3" s="27" t="s">
        <v>50</v>
      </c>
      <c r="D3" s="28">
        <v>0</v>
      </c>
      <c r="E3" s="28">
        <f>SUMIF(表1_35611185445121416[In],Table6131517[[#This Row],[Name]],表1_35611185445121416[Flow])-SUMIF(表1_35611185445121416[Out],Table6131517[[#This Row],[Name]],表1_35611185445121416[Flow])</f>
        <v>0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IF(表1_35611185445121416[[#This Row],[Out]]=$C$3,-表1_35611185445121416[[#This Row],[Flow]],0)+IF(表1_35611185445121416[[#This Row],[In]]=$C$3,表1_35611185445121416[[#This Row],[Flow]],0)</f>
        <v>0</v>
      </c>
      <c r="Q3" s="5">
        <f>表1_35611185445121416[[#This Row],[流]]</f>
        <v>0</v>
      </c>
    </row>
    <row r="4" spans="1:17" x14ac:dyDescent="0.2">
      <c r="A4" s="29" t="s">
        <v>20</v>
      </c>
      <c r="B4" s="12"/>
      <c r="C4" s="12"/>
      <c r="D4" s="13">
        <f>SUBTOTAL(109,Table6131517[Balance])</f>
        <v>0</v>
      </c>
      <c r="E4" s="13">
        <f>SUBTOTAL(109,Table6131517[Flowing])</f>
        <v>0</v>
      </c>
      <c r="F4" s="13">
        <f>SUBTOTAL(109,Table6131517[Current])</f>
        <v>0</v>
      </c>
      <c r="H4" s="18"/>
      <c r="I4" s="3"/>
      <c r="J4" s="7"/>
      <c r="K4" s="3"/>
      <c r="L4" s="8"/>
      <c r="M4" s="3"/>
      <c r="N4" s="2"/>
      <c r="O4" s="3"/>
      <c r="P4" s="5">
        <f>IF(表1_35611185445121416[[#This Row],[Out]]=$C$3,-表1_35611185445121416[[#This Row],[Flow]],0)+IF(表1_35611185445121416[[#This Row],[In]]=$C$3,表1_35611185445121416[[#This Row],[Flow]],0)</f>
        <v>0</v>
      </c>
      <c r="Q4" s="5">
        <f>Q3+P4</f>
        <v>0</v>
      </c>
    </row>
    <row r="5" spans="1:17" x14ac:dyDescent="0.2">
      <c r="H5" s="18"/>
      <c r="I5" s="16"/>
      <c r="J5" s="7"/>
      <c r="K5" s="16"/>
      <c r="L5" s="8"/>
      <c r="M5" s="16"/>
      <c r="N5" s="17"/>
      <c r="O5" s="16"/>
      <c r="P5" s="5">
        <f>IF(表1_35611185445121416[[#This Row],[Out]]=$C$3,-表1_35611185445121416[[#This Row],[Flow]],0)+IF(表1_35611185445121416[[#This Row],[In]]=$C$3,表1_35611185445121416[[#This Row],[Flow]],0)</f>
        <v>0</v>
      </c>
      <c r="Q5" s="5">
        <f t="shared" ref="Q5:Q21" si="0">Q4+P5</f>
        <v>0</v>
      </c>
    </row>
    <row r="6" spans="1:17" x14ac:dyDescent="0.2">
      <c r="H6" s="18"/>
      <c r="I6" s="16"/>
      <c r="J6" s="7"/>
      <c r="K6" s="16"/>
      <c r="L6" s="8"/>
      <c r="M6" s="16"/>
      <c r="N6" s="17"/>
      <c r="O6" s="16"/>
      <c r="P6" s="5">
        <f>IF(表1_35611185445121416[[#This Row],[Out]]=$C$3,-表1_35611185445121416[[#This Row],[Flow]],0)+IF(表1_35611185445121416[[#This Row],[In]]=$C$3,表1_35611185445121416[[#This Row],[Flow]],0)</f>
        <v>0</v>
      </c>
      <c r="Q6" s="5">
        <f t="shared" si="0"/>
        <v>0</v>
      </c>
    </row>
    <row r="7" spans="1:17" x14ac:dyDescent="0.2">
      <c r="H7" s="18"/>
      <c r="I7" s="16"/>
      <c r="J7" s="7"/>
      <c r="K7" s="16"/>
      <c r="L7" s="8"/>
      <c r="M7" s="16"/>
      <c r="N7" s="17"/>
      <c r="O7" s="16"/>
      <c r="P7" s="5">
        <f>IF(表1_35611185445121416[[#This Row],[Out]]=$C$3,-表1_35611185445121416[[#This Row],[Flow]],0)+IF(表1_35611185445121416[[#This Row],[In]]=$C$3,表1_35611185445121416[[#This Row],[Flow]],0)</f>
        <v>0</v>
      </c>
      <c r="Q7" s="5">
        <f t="shared" si="0"/>
        <v>0</v>
      </c>
    </row>
    <row r="8" spans="1:17" x14ac:dyDescent="0.2">
      <c r="H8" s="18"/>
      <c r="I8" s="16"/>
      <c r="J8" s="7"/>
      <c r="K8" s="16"/>
      <c r="L8" s="8"/>
      <c r="M8" s="16"/>
      <c r="N8" s="17"/>
      <c r="O8" s="16"/>
      <c r="P8" s="5">
        <f>IF(表1_35611185445121416[[#This Row],[Out]]=$C$3,-表1_35611185445121416[[#This Row],[Flow]],0)+IF(表1_35611185445121416[[#This Row],[In]]=$C$3,表1_35611185445121416[[#This Row],[Flow]],0)</f>
        <v>0</v>
      </c>
      <c r="Q8" s="5">
        <f t="shared" si="0"/>
        <v>0</v>
      </c>
    </row>
    <row r="9" spans="1:17" x14ac:dyDescent="0.2">
      <c r="H9" s="18"/>
      <c r="I9" s="16"/>
      <c r="J9" s="7"/>
      <c r="K9" s="16"/>
      <c r="L9" s="8"/>
      <c r="M9" s="16"/>
      <c r="N9" s="17"/>
      <c r="O9" s="16"/>
      <c r="P9" s="5">
        <f>IF(表1_35611185445121416[[#This Row],[Out]]=$C$3,-表1_35611185445121416[[#This Row],[Flow]],0)+IF(表1_35611185445121416[[#This Row],[In]]=$C$3,表1_35611185445121416[[#This Row],[Flow]],0)</f>
        <v>0</v>
      </c>
      <c r="Q9" s="5">
        <f t="shared" si="0"/>
        <v>0</v>
      </c>
    </row>
    <row r="10" spans="1:17" x14ac:dyDescent="0.2">
      <c r="H10" s="18"/>
      <c r="I10" s="16"/>
      <c r="J10" s="7"/>
      <c r="K10" s="16"/>
      <c r="L10" s="8"/>
      <c r="M10" s="16"/>
      <c r="N10" s="17"/>
      <c r="O10" s="16"/>
      <c r="P10" s="5">
        <f>IF(表1_35611185445121416[[#This Row],[Out]]=$C$3,-表1_35611185445121416[[#This Row],[Flow]],0)+IF(表1_35611185445121416[[#This Row],[In]]=$C$3,表1_35611185445121416[[#This Row],[Flow]],0)</f>
        <v>0</v>
      </c>
      <c r="Q10" s="5">
        <f t="shared" si="0"/>
        <v>0</v>
      </c>
    </row>
    <row r="11" spans="1:17" x14ac:dyDescent="0.2">
      <c r="H11" s="18"/>
      <c r="I11" s="16"/>
      <c r="J11" s="7"/>
      <c r="K11" s="16"/>
      <c r="L11" s="8"/>
      <c r="M11" s="16"/>
      <c r="N11" s="17"/>
      <c r="O11" s="16"/>
      <c r="P11" s="5">
        <f>IF(表1_35611185445121416[[#This Row],[Out]]=$C$3,-表1_35611185445121416[[#This Row],[Flow]],0)+IF(表1_35611185445121416[[#This Row],[In]]=$C$3,表1_35611185445121416[[#This Row],[Flow]],0)</f>
        <v>0</v>
      </c>
      <c r="Q11" s="5">
        <f t="shared" si="0"/>
        <v>0</v>
      </c>
    </row>
    <row r="12" spans="1:17" x14ac:dyDescent="0.2">
      <c r="H12" s="18"/>
      <c r="I12" s="16"/>
      <c r="J12" s="7"/>
      <c r="K12" s="16"/>
      <c r="L12" s="8"/>
      <c r="M12" s="16"/>
      <c r="N12" s="17"/>
      <c r="O12" s="16"/>
      <c r="P12" s="5">
        <f>IF(表1_35611185445121416[[#This Row],[Out]]=$C$3,-表1_35611185445121416[[#This Row],[Flow]],0)+IF(表1_35611185445121416[[#This Row],[In]]=$C$3,表1_35611185445121416[[#This Row],[Flow]],0)</f>
        <v>0</v>
      </c>
      <c r="Q12" s="5">
        <f t="shared" si="0"/>
        <v>0</v>
      </c>
    </row>
    <row r="13" spans="1:17" x14ac:dyDescent="0.2">
      <c r="H13" s="18"/>
      <c r="I13" s="16"/>
      <c r="J13" s="7"/>
      <c r="K13" s="16"/>
      <c r="L13" s="8"/>
      <c r="M13" s="16"/>
      <c r="N13" s="17"/>
      <c r="O13" s="16"/>
      <c r="P13" s="5">
        <f>IF(表1_35611185445121416[[#This Row],[Out]]=$C$3,-表1_35611185445121416[[#This Row],[Flow]],0)+IF(表1_35611185445121416[[#This Row],[In]]=$C$3,表1_35611185445121416[[#This Row],[Flow]],0)</f>
        <v>0</v>
      </c>
      <c r="Q13" s="5">
        <f t="shared" si="0"/>
        <v>0</v>
      </c>
    </row>
    <row r="14" spans="1:17" x14ac:dyDescent="0.2">
      <c r="H14" s="18"/>
      <c r="I14" s="16"/>
      <c r="J14" s="7"/>
      <c r="K14" s="16"/>
      <c r="L14" s="8"/>
      <c r="M14" s="16"/>
      <c r="N14" s="17"/>
      <c r="O14" s="16"/>
      <c r="P14" s="5">
        <f>IF(表1_35611185445121416[[#This Row],[Out]]=$C$3,-表1_35611185445121416[[#This Row],[Flow]],0)+IF(表1_35611185445121416[[#This Row],[In]]=$C$3,表1_35611185445121416[[#This Row],[Flow]],0)</f>
        <v>0</v>
      </c>
      <c r="Q14" s="5">
        <f t="shared" si="0"/>
        <v>0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IF(表1_35611185445121416[[#This Row],[Out]]=$C$3,-表1_35611185445121416[[#This Row],[Flow]],0)+IF(表1_35611185445121416[[#This Row],[In]]=$C$3,表1_35611185445121416[[#This Row],[Flow]],0)</f>
        <v>0</v>
      </c>
      <c r="Q15" s="5">
        <f t="shared" si="0"/>
        <v>0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IF(表1_35611185445121416[[#This Row],[Out]]=$C$3,-表1_35611185445121416[[#This Row],[Flow]],0)+IF(表1_35611185445121416[[#This Row],[In]]=$C$3,表1_35611185445121416[[#This Row],[Flow]],0)</f>
        <v>0</v>
      </c>
      <c r="Q16" s="5">
        <f t="shared" si="0"/>
        <v>0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IF(表1_35611185445121416[[#This Row],[Out]]=$C$3,-表1_35611185445121416[[#This Row],[Flow]],0)+IF(表1_35611185445121416[[#This Row],[In]]=$C$3,表1_35611185445121416[[#This Row],[Flow]],0)</f>
        <v>0</v>
      </c>
      <c r="Q17" s="5">
        <f t="shared" si="0"/>
        <v>0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IF(表1_35611185445121416[[#This Row],[Out]]=$C$3,-表1_35611185445121416[[#This Row],[Flow]],0)+IF(表1_35611185445121416[[#This Row],[In]]=$C$3,表1_35611185445121416[[#This Row],[Flow]],0)</f>
        <v>0</v>
      </c>
      <c r="Q18" s="5">
        <f t="shared" si="0"/>
        <v>0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IF(表1_35611185445121416[[#This Row],[Out]]=$C$3,-表1_35611185445121416[[#This Row],[Flow]],0)+IF(表1_35611185445121416[[#This Row],[In]]=$C$3,表1_35611185445121416[[#This Row],[Flow]],0)</f>
        <v>0</v>
      </c>
      <c r="Q19" s="5">
        <f t="shared" si="0"/>
        <v>0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IF(表1_35611185445121416[[#This Row],[Out]]=$C$3,-表1_35611185445121416[[#This Row],[Flow]],0)+IF(表1_35611185445121416[[#This Row],[In]]=$C$3,表1_35611185445121416[[#This Row],[Flow]],0)</f>
        <v>0</v>
      </c>
      <c r="Q20" s="5">
        <f t="shared" si="0"/>
        <v>0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IF(表1_35611185445121416[[#This Row],[Out]]=$C$3,-表1_35611185445121416[[#This Row],[Flow]],0)+IF(表1_35611185445121416[[#This Row],[In]]=$C$3,表1_35611185445121416[[#This Row],[Flow]],0)</f>
        <v>0</v>
      </c>
      <c r="Q21" s="5">
        <f t="shared" si="0"/>
        <v>0</v>
      </c>
    </row>
    <row r="22" spans="8:17" x14ac:dyDescent="0.2">
      <c r="H22" s="20" t="s">
        <v>20</v>
      </c>
      <c r="I22" s="21"/>
      <c r="J22" s="20"/>
      <c r="K22" s="22"/>
      <c r="L22" s="23">
        <f>SUBTOTAL(109,表1_35611185445121416[Flow])</f>
        <v>0</v>
      </c>
      <c r="M22" s="22"/>
      <c r="N22" s="24"/>
      <c r="O22" s="21"/>
      <c r="P22" s="25">
        <f>SUBTOTAL(109,表1_35611185445121416[流])</f>
        <v>0</v>
      </c>
      <c r="Q22" s="2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70CD-BE2C-40FE-80E0-8354F3585543}">
  <dimension ref="A1:Q22"/>
  <sheetViews>
    <sheetView showGridLines="0" workbookViewId="0">
      <selection activeCell="A2" sqref="A1:Q1048576"/>
    </sheetView>
  </sheetViews>
  <sheetFormatPr defaultColWidth="3.125" defaultRowHeight="14.25" x14ac:dyDescent="0.2"/>
  <cols>
    <col min="1" max="1" width="7" style="10" bestFit="1" customWidth="1"/>
    <col min="2" max="2" width="9.5" style="10" bestFit="1" customWidth="1"/>
    <col min="3" max="3" width="8.625" style="10" bestFit="1" customWidth="1"/>
    <col min="4" max="4" width="7.125" style="10" bestFit="1" customWidth="1"/>
    <col min="5" max="5" width="7.75" style="10" bestFit="1" customWidth="1"/>
    <col min="6" max="6" width="6.875" style="10" bestFit="1" customWidth="1"/>
    <col min="7" max="7" width="3.125" style="10"/>
    <col min="8" max="8" width="7.625" style="10" bestFit="1" customWidth="1"/>
    <col min="9" max="9" width="5" style="10" bestFit="1" customWidth="1"/>
    <col min="10" max="10" width="7.25" style="10" bestFit="1" customWidth="1"/>
    <col min="11" max="11" width="7.875" style="10" bestFit="1" customWidth="1"/>
    <col min="12" max="12" width="7.5" style="10" bestFit="1" customWidth="1"/>
    <col min="13" max="13" width="9.875" style="10" bestFit="1" customWidth="1"/>
    <col min="14" max="14" width="4.75" style="10" bestFit="1" customWidth="1"/>
    <col min="15" max="15" width="7.875" style="10" bestFit="1" customWidth="1"/>
    <col min="16" max="17" width="8.125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6</v>
      </c>
      <c r="B3" s="27" t="s">
        <v>51</v>
      </c>
      <c r="C3" s="27" t="s">
        <v>33</v>
      </c>
      <c r="D3" s="28">
        <v>0</v>
      </c>
      <c r="E3" s="28">
        <f>SUMIF(表1_356111854451214[In],Table61315[[#This Row],[Name]],表1_356111854451214[Flow])-SUMIF(表1_356111854451214[Out],Table61315[[#This Row],[Name]],表1_356111854451214[Flow])</f>
        <v>-661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IF(表1_356111854451214[[#This Row],[Out]]=$C$3,-表1_356111854451214[[#This Row],[Flow]],0)+IF(表1_356111854451214[[#This Row],[In]]=$C$3,表1_356111854451214[[#This Row],[Flow]],0)</f>
        <v>0</v>
      </c>
      <c r="Q3" s="5">
        <f>表1_356111854451214[[#This Row],[流]]</f>
        <v>0</v>
      </c>
    </row>
    <row r="4" spans="1:17" x14ac:dyDescent="0.2">
      <c r="A4" s="29" t="s">
        <v>20</v>
      </c>
      <c r="B4" s="12"/>
      <c r="C4" s="12"/>
      <c r="D4" s="13">
        <f>SUBTOTAL(109,Table61315[Balance])</f>
        <v>0</v>
      </c>
      <c r="E4" s="13">
        <f>SUBTOTAL(109,Table61315[Flowing])</f>
        <v>-661</v>
      </c>
      <c r="F4" s="13">
        <f>SUBTOTAL(109,Table61315[Current])</f>
        <v>0</v>
      </c>
      <c r="H4" s="18">
        <v>2201002</v>
      </c>
      <c r="I4" s="3" t="s">
        <v>42</v>
      </c>
      <c r="J4" s="7">
        <v>44563</v>
      </c>
      <c r="K4" s="3" t="s">
        <v>22</v>
      </c>
      <c r="L4" s="8">
        <v>1000</v>
      </c>
      <c r="M4" s="3" t="s">
        <v>33</v>
      </c>
      <c r="N4" s="2" t="s">
        <v>43</v>
      </c>
      <c r="O4" s="3"/>
      <c r="P4" s="5">
        <f>IF(表1_356111854451214[[#This Row],[Out]]=$C$3,-表1_356111854451214[[#This Row],[Flow]],0)+IF(表1_356111854451214[[#This Row],[In]]=$C$3,表1_356111854451214[[#This Row],[Flow]],0)</f>
        <v>1000</v>
      </c>
      <c r="Q4" s="5">
        <f>Q3+P4</f>
        <v>1000</v>
      </c>
    </row>
    <row r="5" spans="1:17" x14ac:dyDescent="0.2">
      <c r="H5" s="18">
        <v>2201008</v>
      </c>
      <c r="I5" s="16" t="s">
        <v>32</v>
      </c>
      <c r="J5" s="7">
        <v>44592</v>
      </c>
      <c r="K5" s="16" t="s">
        <v>33</v>
      </c>
      <c r="L5" s="8">
        <v>1000</v>
      </c>
      <c r="M5" s="16" t="s">
        <v>23</v>
      </c>
      <c r="N5" s="17" t="s">
        <v>32</v>
      </c>
      <c r="O5" s="16"/>
      <c r="P5" s="5">
        <f>IF(表1_356111854451214[[#This Row],[Out]]=$C$3,-表1_356111854451214[[#This Row],[Flow]],0)+IF(表1_356111854451214[[#This Row],[In]]=$C$3,表1_356111854451214[[#This Row],[Flow]],0)</f>
        <v>-1000</v>
      </c>
      <c r="Q5" s="5">
        <f t="shared" ref="Q5:Q21" si="0">Q4+P5</f>
        <v>0</v>
      </c>
    </row>
    <row r="6" spans="1:17" x14ac:dyDescent="0.2">
      <c r="H6" s="18">
        <v>2202002</v>
      </c>
      <c r="I6" s="16" t="s">
        <v>42</v>
      </c>
      <c r="J6" s="7">
        <v>44593</v>
      </c>
      <c r="K6" s="16" t="s">
        <v>22</v>
      </c>
      <c r="L6" s="8">
        <v>1000</v>
      </c>
      <c r="M6" s="16" t="s">
        <v>33</v>
      </c>
      <c r="N6" s="17" t="s">
        <v>43</v>
      </c>
      <c r="O6" s="16"/>
      <c r="P6" s="5">
        <f>IF(表1_356111854451214[[#This Row],[Out]]=$C$3,-表1_356111854451214[[#This Row],[Flow]],0)+IF(表1_356111854451214[[#This Row],[In]]=$C$3,表1_356111854451214[[#This Row],[Flow]],0)</f>
        <v>1000</v>
      </c>
      <c r="Q6" s="5">
        <f t="shared" si="0"/>
        <v>1000</v>
      </c>
    </row>
    <row r="7" spans="1:17" x14ac:dyDescent="0.2">
      <c r="H7" s="18">
        <v>2202009</v>
      </c>
      <c r="I7" s="16" t="s">
        <v>52</v>
      </c>
      <c r="J7" s="7">
        <v>44612</v>
      </c>
      <c r="K7" s="16" t="s">
        <v>33</v>
      </c>
      <c r="L7" s="8">
        <v>345</v>
      </c>
      <c r="M7" s="16" t="s">
        <v>28</v>
      </c>
      <c r="N7" s="17" t="s">
        <v>52</v>
      </c>
      <c r="O7" s="16"/>
      <c r="P7" s="5">
        <f>IF(表1_356111854451214[[#This Row],[Out]]=$C$3,-表1_356111854451214[[#This Row],[Flow]],0)+IF(表1_356111854451214[[#This Row],[In]]=$C$3,表1_356111854451214[[#This Row],[Flow]],0)</f>
        <v>-345</v>
      </c>
      <c r="Q7" s="5">
        <f t="shared" si="0"/>
        <v>655</v>
      </c>
    </row>
    <row r="8" spans="1:17" x14ac:dyDescent="0.2">
      <c r="H8" s="18">
        <v>2202010</v>
      </c>
      <c r="I8" s="16" t="s">
        <v>52</v>
      </c>
      <c r="J8" s="7">
        <v>44617</v>
      </c>
      <c r="K8" s="16" t="s">
        <v>33</v>
      </c>
      <c r="L8" s="8">
        <v>68</v>
      </c>
      <c r="M8" s="16" t="s">
        <v>25</v>
      </c>
      <c r="N8" s="17" t="s">
        <v>52</v>
      </c>
      <c r="O8" s="16"/>
      <c r="P8" s="5">
        <f>IF(表1_356111854451214[[#This Row],[Out]]=$C$3,-表1_356111854451214[[#This Row],[Flow]],0)+IF(表1_356111854451214[[#This Row],[In]]=$C$3,表1_356111854451214[[#This Row],[Flow]],0)</f>
        <v>-68</v>
      </c>
      <c r="Q8" s="5">
        <f t="shared" si="0"/>
        <v>587</v>
      </c>
    </row>
    <row r="9" spans="1:17" x14ac:dyDescent="0.2">
      <c r="H9" s="18">
        <v>2202011</v>
      </c>
      <c r="I9" s="16" t="s">
        <v>32</v>
      </c>
      <c r="J9" s="7">
        <v>44620</v>
      </c>
      <c r="K9" s="16" t="s">
        <v>33</v>
      </c>
      <c r="L9" s="8">
        <v>1000</v>
      </c>
      <c r="M9" s="16" t="s">
        <v>23</v>
      </c>
      <c r="N9" s="17" t="s">
        <v>32</v>
      </c>
      <c r="O9" s="16"/>
      <c r="P9" s="5">
        <f>IF(表1_356111854451214[[#This Row],[Out]]=$C$3,-表1_356111854451214[[#This Row],[Flow]],0)+IF(表1_356111854451214[[#This Row],[In]]=$C$3,表1_356111854451214[[#This Row],[Flow]],0)</f>
        <v>-1000</v>
      </c>
      <c r="Q9" s="5">
        <f t="shared" si="0"/>
        <v>-413</v>
      </c>
    </row>
    <row r="10" spans="1:17" x14ac:dyDescent="0.2">
      <c r="H10" s="18">
        <v>2203006</v>
      </c>
      <c r="I10" s="16" t="s">
        <v>52</v>
      </c>
      <c r="J10" s="7">
        <v>44645</v>
      </c>
      <c r="K10" s="16" t="s">
        <v>33</v>
      </c>
      <c r="L10" s="8">
        <v>248</v>
      </c>
      <c r="M10" s="16" t="s">
        <v>25</v>
      </c>
      <c r="N10" s="17" t="s">
        <v>52</v>
      </c>
      <c r="O10" s="16"/>
      <c r="P10" s="5">
        <f>IF(表1_356111854451214[[#This Row],[Out]]=$C$3,-表1_356111854451214[[#This Row],[Flow]],0)+IF(表1_356111854451214[[#This Row],[In]]=$C$3,表1_356111854451214[[#This Row],[Flow]],0)</f>
        <v>-248</v>
      </c>
      <c r="Q10" s="5">
        <f t="shared" si="0"/>
        <v>-661</v>
      </c>
    </row>
    <row r="11" spans="1:17" x14ac:dyDescent="0.2">
      <c r="H11" s="18">
        <v>2203007</v>
      </c>
      <c r="I11" s="16" t="s">
        <v>32</v>
      </c>
      <c r="J11" s="7">
        <v>44651</v>
      </c>
      <c r="K11" s="16" t="s">
        <v>33</v>
      </c>
      <c r="L11" s="8">
        <v>1000</v>
      </c>
      <c r="M11" s="16" t="s">
        <v>23</v>
      </c>
      <c r="N11" s="17" t="s">
        <v>32</v>
      </c>
      <c r="O11" s="16"/>
      <c r="P11" s="5">
        <f>IF(表1_356111854451214[[#This Row],[Out]]=$C$3,-表1_356111854451214[[#This Row],[Flow]],0)+IF(表1_356111854451214[[#This Row],[In]]=$C$3,表1_356111854451214[[#This Row],[Flow]],0)</f>
        <v>-1000</v>
      </c>
      <c r="Q11" s="5">
        <f t="shared" si="0"/>
        <v>-1661</v>
      </c>
    </row>
    <row r="12" spans="1:17" x14ac:dyDescent="0.2">
      <c r="H12" s="18">
        <v>2203002</v>
      </c>
      <c r="I12" s="16" t="s">
        <v>42</v>
      </c>
      <c r="J12" s="7">
        <v>44623</v>
      </c>
      <c r="K12" s="16" t="s">
        <v>22</v>
      </c>
      <c r="L12" s="8">
        <v>1000</v>
      </c>
      <c r="M12" s="16" t="s">
        <v>33</v>
      </c>
      <c r="N12" s="17" t="s">
        <v>43</v>
      </c>
      <c r="O12" s="16"/>
      <c r="P12" s="5">
        <f>IF(表1_356111854451214[[#This Row],[Out]]=$C$3,-表1_356111854451214[[#This Row],[Flow]],0)+IF(表1_356111854451214[[#This Row],[In]]=$C$3,表1_356111854451214[[#This Row],[Flow]],0)</f>
        <v>1000</v>
      </c>
      <c r="Q12" s="5">
        <f t="shared" si="0"/>
        <v>-661</v>
      </c>
    </row>
    <row r="13" spans="1:17" x14ac:dyDescent="0.2">
      <c r="H13" s="18"/>
      <c r="I13" s="16"/>
      <c r="J13" s="7"/>
      <c r="K13" s="16"/>
      <c r="L13" s="8"/>
      <c r="M13" s="16"/>
      <c r="N13" s="17"/>
      <c r="O13" s="16"/>
      <c r="P13" s="5">
        <f>IF(表1_356111854451214[[#This Row],[Out]]=$C$3,-表1_356111854451214[[#This Row],[Flow]],0)+IF(表1_356111854451214[[#This Row],[In]]=$C$3,表1_356111854451214[[#This Row],[Flow]],0)</f>
        <v>0</v>
      </c>
      <c r="Q13" s="5">
        <f t="shared" si="0"/>
        <v>-661</v>
      </c>
    </row>
    <row r="14" spans="1:17" x14ac:dyDescent="0.2">
      <c r="H14" s="18"/>
      <c r="I14" s="16"/>
      <c r="J14" s="7"/>
      <c r="K14" s="16"/>
      <c r="L14" s="8"/>
      <c r="M14" s="16"/>
      <c r="N14" s="17"/>
      <c r="O14" s="16"/>
      <c r="P14" s="5">
        <f>IF(表1_356111854451214[[#This Row],[Out]]=$C$3,-表1_356111854451214[[#This Row],[Flow]],0)+IF(表1_356111854451214[[#This Row],[In]]=$C$3,表1_356111854451214[[#This Row],[Flow]],0)</f>
        <v>0</v>
      </c>
      <c r="Q14" s="5">
        <f t="shared" si="0"/>
        <v>-661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IF(表1_356111854451214[[#This Row],[Out]]=$C$3,-表1_356111854451214[[#This Row],[Flow]],0)+IF(表1_356111854451214[[#This Row],[In]]=$C$3,表1_356111854451214[[#This Row],[Flow]],0)</f>
        <v>0</v>
      </c>
      <c r="Q15" s="5">
        <f t="shared" si="0"/>
        <v>-661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IF(表1_356111854451214[[#This Row],[Out]]=$C$3,-表1_356111854451214[[#This Row],[Flow]],0)+IF(表1_356111854451214[[#This Row],[In]]=$C$3,表1_356111854451214[[#This Row],[Flow]],0)</f>
        <v>0</v>
      </c>
      <c r="Q16" s="5">
        <f t="shared" si="0"/>
        <v>-661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IF(表1_356111854451214[[#This Row],[Out]]=$C$3,-表1_356111854451214[[#This Row],[Flow]],0)+IF(表1_356111854451214[[#This Row],[In]]=$C$3,表1_356111854451214[[#This Row],[Flow]],0)</f>
        <v>0</v>
      </c>
      <c r="Q17" s="5">
        <f t="shared" si="0"/>
        <v>-661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IF(表1_356111854451214[[#This Row],[Out]]=$C$3,-表1_356111854451214[[#This Row],[Flow]],0)+IF(表1_356111854451214[[#This Row],[In]]=$C$3,表1_356111854451214[[#This Row],[Flow]],0)</f>
        <v>0</v>
      </c>
      <c r="Q18" s="5">
        <f t="shared" si="0"/>
        <v>-661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IF(表1_356111854451214[[#This Row],[Out]]=$C$3,-表1_356111854451214[[#This Row],[Flow]],0)+IF(表1_356111854451214[[#This Row],[In]]=$C$3,表1_356111854451214[[#This Row],[Flow]],0)</f>
        <v>0</v>
      </c>
      <c r="Q19" s="5">
        <f t="shared" si="0"/>
        <v>-661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IF(表1_356111854451214[[#This Row],[Out]]=$C$3,-表1_356111854451214[[#This Row],[Flow]],0)+IF(表1_356111854451214[[#This Row],[In]]=$C$3,表1_356111854451214[[#This Row],[Flow]],0)</f>
        <v>0</v>
      </c>
      <c r="Q20" s="5">
        <f t="shared" si="0"/>
        <v>-661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IF(表1_356111854451214[[#This Row],[Out]]=$C$3,-表1_356111854451214[[#This Row],[Flow]],0)+IF(表1_356111854451214[[#This Row],[In]]=$C$3,表1_356111854451214[[#This Row],[Flow]],0)</f>
        <v>0</v>
      </c>
      <c r="Q21" s="5">
        <f t="shared" si="0"/>
        <v>-661</v>
      </c>
    </row>
    <row r="22" spans="8:17" x14ac:dyDescent="0.2">
      <c r="H22" s="30" t="s">
        <v>20</v>
      </c>
      <c r="I22" s="31"/>
      <c r="J22" s="30"/>
      <c r="K22" s="32"/>
      <c r="L22" s="33">
        <f>SUBTOTAL(109,表1_356111854451214[Flow])</f>
        <v>6661</v>
      </c>
      <c r="M22" s="32"/>
      <c r="N22" s="34"/>
      <c r="O22" s="31"/>
      <c r="P22" s="35">
        <f>SUBTOTAL(109,表1_356111854451214[流])</f>
        <v>-661</v>
      </c>
      <c r="Q22" s="3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F95A-5D00-46BC-969D-32D29AC2A80F}">
  <dimension ref="A1:Q22"/>
  <sheetViews>
    <sheetView showGridLines="0" workbookViewId="0">
      <selection activeCell="A2" sqref="A1:R1048576"/>
    </sheetView>
  </sheetViews>
  <sheetFormatPr defaultColWidth="3.125" defaultRowHeight="14.25" x14ac:dyDescent="0.2"/>
  <cols>
    <col min="1" max="1" width="7" style="10" bestFit="1" customWidth="1"/>
    <col min="2" max="2" width="9.5" style="10" bestFit="1" customWidth="1"/>
    <col min="3" max="3" width="8.625" style="10" bestFit="1" customWidth="1"/>
    <col min="4" max="4" width="7.125" style="10" bestFit="1" customWidth="1"/>
    <col min="5" max="5" width="8.5" style="10" bestFit="1" customWidth="1"/>
    <col min="6" max="6" width="6.875" style="10" bestFit="1" customWidth="1"/>
    <col min="7" max="7" width="3.125" style="10"/>
    <col min="8" max="8" width="7.625" style="10" bestFit="1" customWidth="1"/>
    <col min="9" max="9" width="10.125" style="10" bestFit="1" customWidth="1"/>
    <col min="10" max="10" width="7.25" style="10" bestFit="1" customWidth="1"/>
    <col min="11" max="11" width="7" style="10" bestFit="1" customWidth="1"/>
    <col min="12" max="12" width="7.5" style="10" bestFit="1" customWidth="1"/>
    <col min="13" max="13" width="7.875" style="10" bestFit="1" customWidth="1"/>
    <col min="14" max="14" width="10.125" style="10" bestFit="1" customWidth="1"/>
    <col min="15" max="15" width="7.875" style="10" bestFit="1" customWidth="1"/>
    <col min="16" max="17" width="7.5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7</v>
      </c>
      <c r="B3" s="27" t="s">
        <v>53</v>
      </c>
      <c r="C3" s="27" t="s">
        <v>45</v>
      </c>
      <c r="D3" s="28">
        <v>0</v>
      </c>
      <c r="E3" s="28">
        <f>SUMIF(表1_35611185445121420[In],Table6131521[[#This Row],[Name]],表1_35611185445121420[Flow])-SUMIF(表1_35611185445121420[Out],Table6131521[[#This Row],[Name]],表1_35611185445121420[Flow])</f>
        <v>5000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IF(表1_35611185445121420[[#This Row],[Out]]=$C$3,-表1_35611185445121420[[#This Row],[Flow]],0)+IF(表1_35611185445121420[[#This Row],[In]]=$C$3,表1_35611185445121420[[#This Row],[Flow]],0)</f>
        <v>0</v>
      </c>
      <c r="Q3" s="5">
        <f>表1_35611185445121420[[#This Row],[流]]</f>
        <v>0</v>
      </c>
    </row>
    <row r="4" spans="1:17" x14ac:dyDescent="0.2">
      <c r="A4" s="29" t="s">
        <v>20</v>
      </c>
      <c r="B4" s="12"/>
      <c r="C4" s="12"/>
      <c r="D4" s="13">
        <f>SUBTOTAL(109,Table6131521[Balance])</f>
        <v>0</v>
      </c>
      <c r="E4" s="13">
        <f>SUBTOTAL(109,Table6131521[Flowing])</f>
        <v>5000</v>
      </c>
      <c r="F4" s="13">
        <f>SUBTOTAL(109,Table6131521[Current])</f>
        <v>0</v>
      </c>
      <c r="H4" s="18">
        <v>2201003</v>
      </c>
      <c r="I4" s="3" t="s">
        <v>44</v>
      </c>
      <c r="J4" s="7">
        <v>44563</v>
      </c>
      <c r="K4" s="3" t="s">
        <v>22</v>
      </c>
      <c r="L4" s="8">
        <v>1000</v>
      </c>
      <c r="M4" s="3" t="s">
        <v>45</v>
      </c>
      <c r="N4" s="2" t="s">
        <v>46</v>
      </c>
      <c r="O4" s="3"/>
      <c r="P4" s="5">
        <f>IF(表1_35611185445121420[[#This Row],[Out]]=$C$3,-表1_35611185445121420[[#This Row],[Flow]],0)+IF(表1_35611185445121420[[#This Row],[In]]=$C$3,表1_35611185445121420[[#This Row],[Flow]],0)</f>
        <v>1000</v>
      </c>
      <c r="Q4" s="5">
        <f>Q3+P4</f>
        <v>1000</v>
      </c>
    </row>
    <row r="5" spans="1:17" x14ac:dyDescent="0.2">
      <c r="H5" s="18">
        <v>2202003</v>
      </c>
      <c r="I5" s="16" t="s">
        <v>44</v>
      </c>
      <c r="J5" s="7">
        <v>44593</v>
      </c>
      <c r="K5" s="16" t="s">
        <v>22</v>
      </c>
      <c r="L5" s="8">
        <v>2000</v>
      </c>
      <c r="M5" s="16" t="s">
        <v>45</v>
      </c>
      <c r="N5" s="17" t="s">
        <v>46</v>
      </c>
      <c r="O5" s="16"/>
      <c r="P5" s="5">
        <f>IF(表1_35611185445121420[[#This Row],[Out]]=$C$3,-表1_35611185445121420[[#This Row],[Flow]],0)+IF(表1_35611185445121420[[#This Row],[In]]=$C$3,表1_35611185445121420[[#This Row],[Flow]],0)</f>
        <v>2000</v>
      </c>
      <c r="Q5" s="5">
        <f t="shared" ref="Q5:Q21" si="0">Q4+P5</f>
        <v>3000</v>
      </c>
    </row>
    <row r="6" spans="1:17" x14ac:dyDescent="0.2">
      <c r="H6" s="18">
        <v>2203003</v>
      </c>
      <c r="I6" s="16" t="s">
        <v>44</v>
      </c>
      <c r="J6" s="7">
        <v>44623</v>
      </c>
      <c r="K6" s="16" t="s">
        <v>22</v>
      </c>
      <c r="L6" s="8">
        <v>2000</v>
      </c>
      <c r="M6" s="16" t="s">
        <v>45</v>
      </c>
      <c r="N6" s="17" t="s">
        <v>46</v>
      </c>
      <c r="O6" s="16"/>
      <c r="P6" s="5">
        <f>IF(表1_35611185445121420[[#This Row],[Out]]=$C$3,-表1_35611185445121420[[#This Row],[Flow]],0)+IF(表1_35611185445121420[[#This Row],[In]]=$C$3,表1_35611185445121420[[#This Row],[Flow]],0)</f>
        <v>2000</v>
      </c>
      <c r="Q6" s="5">
        <f t="shared" si="0"/>
        <v>5000</v>
      </c>
    </row>
    <row r="7" spans="1:17" x14ac:dyDescent="0.2">
      <c r="H7" s="18"/>
      <c r="I7" s="16"/>
      <c r="J7" s="7"/>
      <c r="K7" s="16"/>
      <c r="L7" s="8"/>
      <c r="M7" s="16"/>
      <c r="N7" s="17"/>
      <c r="O7" s="16"/>
      <c r="P7" s="5">
        <f>IF(表1_35611185445121420[[#This Row],[Out]]=$C$3,-表1_35611185445121420[[#This Row],[Flow]],0)+IF(表1_35611185445121420[[#This Row],[In]]=$C$3,表1_35611185445121420[[#This Row],[Flow]],0)</f>
        <v>0</v>
      </c>
      <c r="Q7" s="5">
        <f t="shared" si="0"/>
        <v>5000</v>
      </c>
    </row>
    <row r="8" spans="1:17" x14ac:dyDescent="0.2">
      <c r="H8" s="18"/>
      <c r="I8" s="16"/>
      <c r="J8" s="7"/>
      <c r="K8" s="16"/>
      <c r="L8" s="8"/>
      <c r="M8" s="16"/>
      <c r="N8" s="17"/>
      <c r="O8" s="16"/>
      <c r="P8" s="5">
        <f>IF(表1_35611185445121420[[#This Row],[Out]]=$C$3,-表1_35611185445121420[[#This Row],[Flow]],0)+IF(表1_35611185445121420[[#This Row],[In]]=$C$3,表1_35611185445121420[[#This Row],[Flow]],0)</f>
        <v>0</v>
      </c>
      <c r="Q8" s="5">
        <f t="shared" si="0"/>
        <v>5000</v>
      </c>
    </row>
    <row r="9" spans="1:17" x14ac:dyDescent="0.2">
      <c r="H9" s="18"/>
      <c r="I9" s="16"/>
      <c r="J9" s="7"/>
      <c r="K9" s="16"/>
      <c r="L9" s="8"/>
      <c r="M9" s="16"/>
      <c r="N9" s="17"/>
      <c r="O9" s="16"/>
      <c r="P9" s="5">
        <f>IF(表1_35611185445121420[[#This Row],[Out]]=$C$3,-表1_35611185445121420[[#This Row],[Flow]],0)+IF(表1_35611185445121420[[#This Row],[In]]=$C$3,表1_35611185445121420[[#This Row],[Flow]],0)</f>
        <v>0</v>
      </c>
      <c r="Q9" s="5">
        <f t="shared" si="0"/>
        <v>5000</v>
      </c>
    </row>
    <row r="10" spans="1:17" x14ac:dyDescent="0.2">
      <c r="H10" s="18"/>
      <c r="I10" s="16"/>
      <c r="J10" s="7"/>
      <c r="K10" s="16"/>
      <c r="L10" s="8"/>
      <c r="M10" s="16"/>
      <c r="N10" s="17"/>
      <c r="O10" s="16"/>
      <c r="P10" s="5">
        <f>IF(表1_35611185445121420[[#This Row],[Out]]=$C$3,-表1_35611185445121420[[#This Row],[Flow]],0)+IF(表1_35611185445121420[[#This Row],[In]]=$C$3,表1_35611185445121420[[#This Row],[Flow]],0)</f>
        <v>0</v>
      </c>
      <c r="Q10" s="5">
        <f t="shared" si="0"/>
        <v>5000</v>
      </c>
    </row>
    <row r="11" spans="1:17" x14ac:dyDescent="0.2">
      <c r="H11" s="18"/>
      <c r="I11" s="16"/>
      <c r="J11" s="7"/>
      <c r="K11" s="16"/>
      <c r="L11" s="8"/>
      <c r="M11" s="16"/>
      <c r="N11" s="17"/>
      <c r="O11" s="16"/>
      <c r="P11" s="5">
        <f>IF(表1_35611185445121420[[#This Row],[Out]]=$C$3,-表1_35611185445121420[[#This Row],[Flow]],0)+IF(表1_35611185445121420[[#This Row],[In]]=$C$3,表1_35611185445121420[[#This Row],[Flow]],0)</f>
        <v>0</v>
      </c>
      <c r="Q11" s="5">
        <f t="shared" si="0"/>
        <v>5000</v>
      </c>
    </row>
    <row r="12" spans="1:17" x14ac:dyDescent="0.2">
      <c r="H12" s="18"/>
      <c r="I12" s="16"/>
      <c r="J12" s="7"/>
      <c r="K12" s="16"/>
      <c r="L12" s="8"/>
      <c r="M12" s="16"/>
      <c r="N12" s="17"/>
      <c r="O12" s="16"/>
      <c r="P12" s="5">
        <f>IF(表1_35611185445121420[[#This Row],[Out]]=$C$3,-表1_35611185445121420[[#This Row],[Flow]],0)+IF(表1_35611185445121420[[#This Row],[In]]=$C$3,表1_35611185445121420[[#This Row],[Flow]],0)</f>
        <v>0</v>
      </c>
      <c r="Q12" s="5">
        <f t="shared" si="0"/>
        <v>5000</v>
      </c>
    </row>
    <row r="13" spans="1:17" x14ac:dyDescent="0.2">
      <c r="H13" s="18"/>
      <c r="I13" s="16"/>
      <c r="J13" s="7"/>
      <c r="K13" s="16"/>
      <c r="L13" s="8"/>
      <c r="M13" s="16"/>
      <c r="N13" s="17"/>
      <c r="O13" s="16"/>
      <c r="P13" s="5">
        <f>IF(表1_35611185445121420[[#This Row],[Out]]=$C$3,-表1_35611185445121420[[#This Row],[Flow]],0)+IF(表1_35611185445121420[[#This Row],[In]]=$C$3,表1_35611185445121420[[#This Row],[Flow]],0)</f>
        <v>0</v>
      </c>
      <c r="Q13" s="5">
        <f t="shared" si="0"/>
        <v>5000</v>
      </c>
    </row>
    <row r="14" spans="1:17" x14ac:dyDescent="0.2">
      <c r="H14" s="18"/>
      <c r="I14" s="16"/>
      <c r="J14" s="7"/>
      <c r="K14" s="16"/>
      <c r="L14" s="8"/>
      <c r="M14" s="16"/>
      <c r="N14" s="17"/>
      <c r="O14" s="16"/>
      <c r="P14" s="5">
        <f>IF(表1_35611185445121420[[#This Row],[Out]]=$C$3,-表1_35611185445121420[[#This Row],[Flow]],0)+IF(表1_35611185445121420[[#This Row],[In]]=$C$3,表1_35611185445121420[[#This Row],[Flow]],0)</f>
        <v>0</v>
      </c>
      <c r="Q14" s="5">
        <f t="shared" si="0"/>
        <v>5000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IF(表1_35611185445121420[[#This Row],[Out]]=$C$3,-表1_35611185445121420[[#This Row],[Flow]],0)+IF(表1_35611185445121420[[#This Row],[In]]=$C$3,表1_35611185445121420[[#This Row],[Flow]],0)</f>
        <v>0</v>
      </c>
      <c r="Q15" s="5">
        <f t="shared" si="0"/>
        <v>5000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IF(表1_35611185445121420[[#This Row],[Out]]=$C$3,-表1_35611185445121420[[#This Row],[Flow]],0)+IF(表1_35611185445121420[[#This Row],[In]]=$C$3,表1_35611185445121420[[#This Row],[Flow]],0)</f>
        <v>0</v>
      </c>
      <c r="Q16" s="5">
        <f t="shared" si="0"/>
        <v>5000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IF(表1_35611185445121420[[#This Row],[Out]]=$C$3,-表1_35611185445121420[[#This Row],[Flow]],0)+IF(表1_35611185445121420[[#This Row],[In]]=$C$3,表1_35611185445121420[[#This Row],[Flow]],0)</f>
        <v>0</v>
      </c>
      <c r="Q17" s="5">
        <f t="shared" si="0"/>
        <v>5000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IF(表1_35611185445121420[[#This Row],[Out]]=$C$3,-表1_35611185445121420[[#This Row],[Flow]],0)+IF(表1_35611185445121420[[#This Row],[In]]=$C$3,表1_35611185445121420[[#This Row],[Flow]],0)</f>
        <v>0</v>
      </c>
      <c r="Q18" s="5">
        <f t="shared" si="0"/>
        <v>5000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IF(表1_35611185445121420[[#This Row],[Out]]=$C$3,-表1_35611185445121420[[#This Row],[Flow]],0)+IF(表1_35611185445121420[[#This Row],[In]]=$C$3,表1_35611185445121420[[#This Row],[Flow]],0)</f>
        <v>0</v>
      </c>
      <c r="Q19" s="5">
        <f t="shared" si="0"/>
        <v>5000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IF(表1_35611185445121420[[#This Row],[Out]]=$C$3,-表1_35611185445121420[[#This Row],[Flow]],0)+IF(表1_35611185445121420[[#This Row],[In]]=$C$3,表1_35611185445121420[[#This Row],[Flow]],0)</f>
        <v>0</v>
      </c>
      <c r="Q20" s="5">
        <f t="shared" si="0"/>
        <v>5000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IF(表1_35611185445121420[[#This Row],[Out]]=$C$3,-表1_35611185445121420[[#This Row],[Flow]],0)+IF(表1_35611185445121420[[#This Row],[In]]=$C$3,表1_35611185445121420[[#This Row],[Flow]],0)</f>
        <v>0</v>
      </c>
      <c r="Q21" s="5">
        <f t="shared" si="0"/>
        <v>5000</v>
      </c>
    </row>
    <row r="22" spans="8:17" x14ac:dyDescent="0.2">
      <c r="H22" s="30" t="s">
        <v>20</v>
      </c>
      <c r="I22" s="31"/>
      <c r="J22" s="30"/>
      <c r="K22" s="32"/>
      <c r="L22" s="33">
        <f>SUBTOTAL(109,表1_35611185445121420[Flow])</f>
        <v>5000</v>
      </c>
      <c r="M22" s="32"/>
      <c r="N22" s="34"/>
      <c r="O22" s="31"/>
      <c r="P22" s="35">
        <f>SUBTOTAL(109,表1_35611185445121420[流])</f>
        <v>5000</v>
      </c>
      <c r="Q22" s="3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FED9-3E7F-4861-8902-4BBF00AF56DE}">
  <dimension ref="A1:Q22"/>
  <sheetViews>
    <sheetView showGridLines="0" workbookViewId="0">
      <selection activeCell="C3" sqref="C3"/>
    </sheetView>
  </sheetViews>
  <sheetFormatPr defaultColWidth="3.125" defaultRowHeight="14.25" x14ac:dyDescent="0.2"/>
  <cols>
    <col min="1" max="1" width="7" style="10" bestFit="1" customWidth="1"/>
    <col min="2" max="2" width="8" style="10" bestFit="1" customWidth="1"/>
    <col min="3" max="3" width="10.125" style="10" bestFit="1" customWidth="1"/>
    <col min="4" max="4" width="7.125" style="10" bestFit="1" customWidth="1"/>
    <col min="5" max="5" width="7.75" style="10" bestFit="1" customWidth="1"/>
    <col min="6" max="6" width="6.875" style="10" bestFit="1" customWidth="1"/>
    <col min="7" max="7" width="3.125" style="10"/>
    <col min="8" max="8" width="7.625" style="10" bestFit="1" customWidth="1"/>
    <col min="9" max="9" width="6" style="10" bestFit="1" customWidth="1"/>
    <col min="10" max="10" width="7.25" style="10" bestFit="1" customWidth="1"/>
    <col min="11" max="11" width="9.25" style="10" bestFit="1" customWidth="1"/>
    <col min="12" max="12" width="7.5" style="10" bestFit="1" customWidth="1"/>
    <col min="13" max="13" width="9.25" style="10" bestFit="1" customWidth="1"/>
    <col min="14" max="14" width="4.75" style="10" bestFit="1" customWidth="1"/>
    <col min="15" max="15" width="7.875" style="10" bestFit="1" customWidth="1"/>
    <col min="16" max="17" width="7" style="10" bestFit="1" customWidth="1"/>
    <col min="18" max="16384" width="3.125" style="10"/>
  </cols>
  <sheetData>
    <row r="1" spans="1:17" x14ac:dyDescent="0.2">
      <c r="A1" s="9" t="s">
        <v>11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4" t="s">
        <v>12</v>
      </c>
      <c r="B2" s="11" t="s">
        <v>0</v>
      </c>
      <c r="C2" s="11" t="s">
        <v>13</v>
      </c>
      <c r="D2" s="15" t="s">
        <v>14</v>
      </c>
      <c r="E2" s="15" t="s">
        <v>15</v>
      </c>
      <c r="F2" s="15" t="s">
        <v>16</v>
      </c>
      <c r="H2" s="1" t="s">
        <v>18</v>
      </c>
      <c r="I2" s="3" t="s">
        <v>0</v>
      </c>
      <c r="J2" s="1" t="s">
        <v>1</v>
      </c>
      <c r="K2" s="3" t="s">
        <v>2</v>
      </c>
      <c r="L2" s="6" t="s">
        <v>3</v>
      </c>
      <c r="M2" s="3" t="s">
        <v>4</v>
      </c>
      <c r="N2" s="2" t="s">
        <v>5</v>
      </c>
      <c r="O2" s="3" t="s">
        <v>6</v>
      </c>
      <c r="P2" s="4" t="s">
        <v>7</v>
      </c>
      <c r="Q2" s="4" t="s">
        <v>8</v>
      </c>
    </row>
    <row r="3" spans="1:17" x14ac:dyDescent="0.2">
      <c r="A3" s="26">
        <v>8</v>
      </c>
      <c r="B3" s="27" t="s">
        <v>54</v>
      </c>
      <c r="C3" s="27" t="s">
        <v>25</v>
      </c>
      <c r="D3" s="28">
        <v>0</v>
      </c>
      <c r="E3" s="28">
        <f>SUMIF(表1_3561118544512142022[In],Table613152123[[#This Row],[Name]],表1_3561118544512142022[Flow])-SUMIF(表1_3561118544512142022[Out],Table613152123[[#This Row],[Name]],表1_3561118544512142022[Flow])</f>
        <v>-445</v>
      </c>
      <c r="F3" s="28">
        <v>0</v>
      </c>
      <c r="H3" s="18">
        <v>0</v>
      </c>
      <c r="I3" s="3"/>
      <c r="J3" s="7"/>
      <c r="K3" s="3"/>
      <c r="L3" s="8"/>
      <c r="M3" s="3"/>
      <c r="N3" s="2"/>
      <c r="O3" s="3"/>
      <c r="P3" s="5">
        <f>IF(表1_3561118544512142022[[#This Row],[Out]]=$C$3,-表1_3561118544512142022[[#This Row],[Flow]],0)+IF(表1_3561118544512142022[[#This Row],[In]]=$C$3,表1_3561118544512142022[[#This Row],[Flow]],0)</f>
        <v>0</v>
      </c>
      <c r="Q3" s="5">
        <f>表1_3561118544512142022[[#This Row],[流]]</f>
        <v>0</v>
      </c>
    </row>
    <row r="4" spans="1:17" x14ac:dyDescent="0.2">
      <c r="A4" s="29" t="s">
        <v>20</v>
      </c>
      <c r="B4" s="12"/>
      <c r="C4" s="12"/>
      <c r="D4" s="13">
        <f>SUBTOTAL(109,Table613152123[Balance])</f>
        <v>0</v>
      </c>
      <c r="E4" s="13">
        <f>SUBTOTAL(109,Table613152123[Flowing])</f>
        <v>-445</v>
      </c>
      <c r="F4" s="13">
        <f>SUBTOTAL(109,Table613152123[Current])</f>
        <v>0</v>
      </c>
      <c r="H4" s="18">
        <v>2201005</v>
      </c>
      <c r="I4" s="3" t="s">
        <v>24</v>
      </c>
      <c r="J4" s="7">
        <v>44569</v>
      </c>
      <c r="K4" s="3" t="s">
        <v>25</v>
      </c>
      <c r="L4" s="8">
        <v>68</v>
      </c>
      <c r="M4" s="3" t="s">
        <v>23</v>
      </c>
      <c r="N4" s="2" t="s">
        <v>26</v>
      </c>
      <c r="O4" s="3"/>
      <c r="P4" s="5">
        <f>IF(表1_3561118544512142022[[#This Row],[Out]]=$C$3,-表1_3561118544512142022[[#This Row],[Flow]],0)+IF(表1_3561118544512142022[[#This Row],[In]]=$C$3,表1_3561118544512142022[[#This Row],[Flow]],0)</f>
        <v>-68</v>
      </c>
      <c r="Q4" s="5">
        <f>Q3+P4</f>
        <v>-68</v>
      </c>
    </row>
    <row r="5" spans="1:17" x14ac:dyDescent="0.2">
      <c r="H5" s="18">
        <v>2202006</v>
      </c>
      <c r="I5" s="16" t="s">
        <v>24</v>
      </c>
      <c r="J5" s="7">
        <v>44600</v>
      </c>
      <c r="K5" s="16" t="s">
        <v>25</v>
      </c>
      <c r="L5" s="8">
        <v>76</v>
      </c>
      <c r="M5" s="16" t="s">
        <v>23</v>
      </c>
      <c r="N5" s="17" t="s">
        <v>26</v>
      </c>
      <c r="O5" s="16"/>
      <c r="P5" s="5">
        <f>IF(表1_3561118544512142022[[#This Row],[Out]]=$C$3,-表1_3561118544512142022[[#This Row],[Flow]],0)+IF(表1_3561118544512142022[[#This Row],[In]]=$C$3,表1_3561118544512142022[[#This Row],[Flow]],0)</f>
        <v>-76</v>
      </c>
      <c r="Q5" s="5">
        <f t="shared" ref="Q5:Q21" si="0">Q4+P5</f>
        <v>-144</v>
      </c>
    </row>
    <row r="6" spans="1:17" x14ac:dyDescent="0.2">
      <c r="H6" s="18">
        <v>2202007</v>
      </c>
      <c r="I6" s="16" t="s">
        <v>37</v>
      </c>
      <c r="J6" s="7">
        <v>44607</v>
      </c>
      <c r="K6" s="16" t="s">
        <v>25</v>
      </c>
      <c r="L6" s="8">
        <v>172</v>
      </c>
      <c r="M6" s="16" t="s">
        <v>23</v>
      </c>
      <c r="N6" s="17" t="s">
        <v>37</v>
      </c>
      <c r="O6" s="16"/>
      <c r="P6" s="5">
        <f>IF(表1_3561118544512142022[[#This Row],[Out]]=$C$3,-表1_3561118544512142022[[#This Row],[Flow]],0)+IF(表1_3561118544512142022[[#This Row],[In]]=$C$3,表1_3561118544512142022[[#This Row],[Flow]],0)</f>
        <v>-172</v>
      </c>
      <c r="Q6" s="5">
        <f t="shared" si="0"/>
        <v>-316</v>
      </c>
    </row>
    <row r="7" spans="1:17" x14ac:dyDescent="0.2">
      <c r="H7" s="18">
        <v>2202010</v>
      </c>
      <c r="I7" s="16" t="s">
        <v>52</v>
      </c>
      <c r="J7" s="7">
        <v>44617</v>
      </c>
      <c r="K7" s="16" t="s">
        <v>33</v>
      </c>
      <c r="L7" s="8">
        <v>68</v>
      </c>
      <c r="M7" s="16" t="s">
        <v>25</v>
      </c>
      <c r="N7" s="17" t="s">
        <v>52</v>
      </c>
      <c r="O7" s="16"/>
      <c r="P7" s="5">
        <f>IF(表1_3561118544512142022[[#This Row],[Out]]=$C$3,-表1_3561118544512142022[[#This Row],[Flow]],0)+IF(表1_3561118544512142022[[#This Row],[In]]=$C$3,表1_3561118544512142022[[#This Row],[Flow]],0)</f>
        <v>68</v>
      </c>
      <c r="Q7" s="5">
        <f t="shared" si="0"/>
        <v>-248</v>
      </c>
    </row>
    <row r="8" spans="1:17" x14ac:dyDescent="0.2">
      <c r="H8" s="18">
        <v>2203004</v>
      </c>
      <c r="I8" s="16" t="s">
        <v>24</v>
      </c>
      <c r="J8" s="7">
        <v>44628</v>
      </c>
      <c r="K8" s="16" t="s">
        <v>25</v>
      </c>
      <c r="L8" s="8">
        <v>63</v>
      </c>
      <c r="M8" s="16" t="s">
        <v>23</v>
      </c>
      <c r="N8" s="17" t="s">
        <v>26</v>
      </c>
      <c r="O8" s="16"/>
      <c r="P8" s="5">
        <f>IF(表1_3561118544512142022[[#This Row],[Out]]=$C$3,-表1_3561118544512142022[[#This Row],[Flow]],0)+IF(表1_3561118544512142022[[#This Row],[In]]=$C$3,表1_3561118544512142022[[#This Row],[Flow]],0)</f>
        <v>-63</v>
      </c>
      <c r="Q8" s="5">
        <f t="shared" si="0"/>
        <v>-311</v>
      </c>
    </row>
    <row r="9" spans="1:17" x14ac:dyDescent="0.2">
      <c r="H9" s="18">
        <v>2203005</v>
      </c>
      <c r="I9" s="16" t="s">
        <v>39</v>
      </c>
      <c r="J9" s="7">
        <v>44635</v>
      </c>
      <c r="K9" s="16" t="s">
        <v>25</v>
      </c>
      <c r="L9" s="8">
        <v>382</v>
      </c>
      <c r="M9" s="16" t="s">
        <v>23</v>
      </c>
      <c r="N9" s="17" t="s">
        <v>39</v>
      </c>
      <c r="O9" s="16"/>
      <c r="P9" s="5">
        <f>IF(表1_3561118544512142022[[#This Row],[Out]]=$C$3,-表1_3561118544512142022[[#This Row],[Flow]],0)+IF(表1_3561118544512142022[[#This Row],[In]]=$C$3,表1_3561118544512142022[[#This Row],[Flow]],0)</f>
        <v>-382</v>
      </c>
      <c r="Q9" s="5">
        <f t="shared" si="0"/>
        <v>-693</v>
      </c>
    </row>
    <row r="10" spans="1:17" x14ac:dyDescent="0.2">
      <c r="H10" s="18">
        <v>2203006</v>
      </c>
      <c r="I10" s="16" t="s">
        <v>52</v>
      </c>
      <c r="J10" s="7">
        <v>44645</v>
      </c>
      <c r="K10" s="16" t="s">
        <v>33</v>
      </c>
      <c r="L10" s="8">
        <v>248</v>
      </c>
      <c r="M10" s="16" t="s">
        <v>25</v>
      </c>
      <c r="N10" s="17" t="s">
        <v>52</v>
      </c>
      <c r="O10" s="16"/>
      <c r="P10" s="5">
        <f>IF(表1_3561118544512142022[[#This Row],[Out]]=$C$3,-表1_3561118544512142022[[#This Row],[Flow]],0)+IF(表1_3561118544512142022[[#This Row],[In]]=$C$3,表1_3561118544512142022[[#This Row],[Flow]],0)</f>
        <v>248</v>
      </c>
      <c r="Q10" s="5">
        <f t="shared" si="0"/>
        <v>-445</v>
      </c>
    </row>
    <row r="11" spans="1:17" x14ac:dyDescent="0.2">
      <c r="H11" s="18"/>
      <c r="I11" s="16"/>
      <c r="J11" s="7"/>
      <c r="K11" s="16"/>
      <c r="L11" s="8"/>
      <c r="M11" s="16"/>
      <c r="N11" s="17"/>
      <c r="O11" s="16"/>
      <c r="P11" s="5">
        <f>IF(表1_3561118544512142022[[#This Row],[Out]]=$C$3,-表1_3561118544512142022[[#This Row],[Flow]],0)+IF(表1_3561118544512142022[[#This Row],[In]]=$C$3,表1_3561118544512142022[[#This Row],[Flow]],0)</f>
        <v>0</v>
      </c>
      <c r="Q11" s="5">
        <f t="shared" si="0"/>
        <v>-445</v>
      </c>
    </row>
    <row r="12" spans="1:17" x14ac:dyDescent="0.2">
      <c r="H12" s="18"/>
      <c r="I12" s="16"/>
      <c r="J12" s="7"/>
      <c r="K12" s="16"/>
      <c r="L12" s="8"/>
      <c r="M12" s="16"/>
      <c r="N12" s="17"/>
      <c r="O12" s="16"/>
      <c r="P12" s="5">
        <f>IF(表1_3561118544512142022[[#This Row],[Out]]=$C$3,-表1_3561118544512142022[[#This Row],[Flow]],0)+IF(表1_3561118544512142022[[#This Row],[In]]=$C$3,表1_3561118544512142022[[#This Row],[Flow]],0)</f>
        <v>0</v>
      </c>
      <c r="Q12" s="5">
        <f t="shared" si="0"/>
        <v>-445</v>
      </c>
    </row>
    <row r="13" spans="1:17" x14ac:dyDescent="0.2">
      <c r="H13" s="18"/>
      <c r="I13" s="16"/>
      <c r="J13" s="7"/>
      <c r="K13" s="16"/>
      <c r="L13" s="8"/>
      <c r="M13" s="16"/>
      <c r="N13" s="17"/>
      <c r="O13" s="16"/>
      <c r="P13" s="5">
        <f>IF(表1_3561118544512142022[[#This Row],[Out]]=$C$3,-表1_3561118544512142022[[#This Row],[Flow]],0)+IF(表1_3561118544512142022[[#This Row],[In]]=$C$3,表1_3561118544512142022[[#This Row],[Flow]],0)</f>
        <v>0</v>
      </c>
      <c r="Q13" s="5">
        <f t="shared" si="0"/>
        <v>-445</v>
      </c>
    </row>
    <row r="14" spans="1:17" x14ac:dyDescent="0.2">
      <c r="H14" s="18"/>
      <c r="I14" s="16"/>
      <c r="J14" s="7"/>
      <c r="K14" s="16"/>
      <c r="L14" s="8"/>
      <c r="M14" s="16"/>
      <c r="N14" s="17"/>
      <c r="O14" s="16"/>
      <c r="P14" s="5">
        <f>IF(表1_3561118544512142022[[#This Row],[Out]]=$C$3,-表1_3561118544512142022[[#This Row],[Flow]],0)+IF(表1_3561118544512142022[[#This Row],[In]]=$C$3,表1_3561118544512142022[[#This Row],[Flow]],0)</f>
        <v>0</v>
      </c>
      <c r="Q14" s="5">
        <f t="shared" si="0"/>
        <v>-445</v>
      </c>
    </row>
    <row r="15" spans="1:17" x14ac:dyDescent="0.2">
      <c r="H15" s="18"/>
      <c r="I15" s="16"/>
      <c r="J15" s="7"/>
      <c r="K15" s="16"/>
      <c r="L15" s="8"/>
      <c r="M15" s="16"/>
      <c r="N15" s="17"/>
      <c r="O15" s="16"/>
      <c r="P15" s="5">
        <f>IF(表1_3561118544512142022[[#This Row],[Out]]=$C$3,-表1_3561118544512142022[[#This Row],[Flow]],0)+IF(表1_3561118544512142022[[#This Row],[In]]=$C$3,表1_3561118544512142022[[#This Row],[Flow]],0)</f>
        <v>0</v>
      </c>
      <c r="Q15" s="5">
        <f t="shared" si="0"/>
        <v>-445</v>
      </c>
    </row>
    <row r="16" spans="1:17" x14ac:dyDescent="0.2">
      <c r="H16" s="18"/>
      <c r="I16" s="16"/>
      <c r="J16" s="7"/>
      <c r="K16" s="16"/>
      <c r="L16" s="8"/>
      <c r="M16" s="16"/>
      <c r="N16" s="17"/>
      <c r="O16" s="16"/>
      <c r="P16" s="5">
        <f>IF(表1_3561118544512142022[[#This Row],[Out]]=$C$3,-表1_3561118544512142022[[#This Row],[Flow]],0)+IF(表1_3561118544512142022[[#This Row],[In]]=$C$3,表1_3561118544512142022[[#This Row],[Flow]],0)</f>
        <v>0</v>
      </c>
      <c r="Q16" s="5">
        <f t="shared" si="0"/>
        <v>-445</v>
      </c>
    </row>
    <row r="17" spans="8:17" x14ac:dyDescent="0.2">
      <c r="H17" s="18"/>
      <c r="I17" s="16"/>
      <c r="J17" s="7"/>
      <c r="K17" s="16"/>
      <c r="L17" s="8"/>
      <c r="M17" s="16"/>
      <c r="N17" s="17"/>
      <c r="O17" s="16"/>
      <c r="P17" s="5">
        <f>IF(表1_3561118544512142022[[#This Row],[Out]]=$C$3,-表1_3561118544512142022[[#This Row],[Flow]],0)+IF(表1_3561118544512142022[[#This Row],[In]]=$C$3,表1_3561118544512142022[[#This Row],[Flow]],0)</f>
        <v>0</v>
      </c>
      <c r="Q17" s="5">
        <f t="shared" si="0"/>
        <v>-445</v>
      </c>
    </row>
    <row r="18" spans="8:17" x14ac:dyDescent="0.2">
      <c r="H18" s="18"/>
      <c r="I18" s="16"/>
      <c r="J18" s="7"/>
      <c r="K18" s="16"/>
      <c r="L18" s="8"/>
      <c r="M18" s="16"/>
      <c r="N18" s="17"/>
      <c r="O18" s="16"/>
      <c r="P18" s="5">
        <f>IF(表1_3561118544512142022[[#This Row],[Out]]=$C$3,-表1_3561118544512142022[[#This Row],[Flow]],0)+IF(表1_3561118544512142022[[#This Row],[In]]=$C$3,表1_3561118544512142022[[#This Row],[Flow]],0)</f>
        <v>0</v>
      </c>
      <c r="Q18" s="5">
        <f t="shared" si="0"/>
        <v>-445</v>
      </c>
    </row>
    <row r="19" spans="8:17" x14ac:dyDescent="0.2">
      <c r="H19" s="18"/>
      <c r="I19" s="16"/>
      <c r="J19" s="7"/>
      <c r="K19" s="16"/>
      <c r="L19" s="8"/>
      <c r="M19" s="16"/>
      <c r="N19" s="17"/>
      <c r="O19" s="16"/>
      <c r="P19" s="5">
        <f>IF(表1_3561118544512142022[[#This Row],[Out]]=$C$3,-表1_3561118544512142022[[#This Row],[Flow]],0)+IF(表1_3561118544512142022[[#This Row],[In]]=$C$3,表1_3561118544512142022[[#This Row],[Flow]],0)</f>
        <v>0</v>
      </c>
      <c r="Q19" s="5">
        <f t="shared" si="0"/>
        <v>-445</v>
      </c>
    </row>
    <row r="20" spans="8:17" x14ac:dyDescent="0.2">
      <c r="H20" s="18"/>
      <c r="I20" s="16"/>
      <c r="J20" s="7"/>
      <c r="K20" s="16"/>
      <c r="L20" s="8"/>
      <c r="M20" s="16"/>
      <c r="N20" s="17"/>
      <c r="O20" s="16"/>
      <c r="P20" s="5">
        <f>IF(表1_3561118544512142022[[#This Row],[Out]]=$C$3,-表1_3561118544512142022[[#This Row],[Flow]],0)+IF(表1_3561118544512142022[[#This Row],[In]]=$C$3,表1_3561118544512142022[[#This Row],[Flow]],0)</f>
        <v>0</v>
      </c>
      <c r="Q20" s="5">
        <f t="shared" si="0"/>
        <v>-445</v>
      </c>
    </row>
    <row r="21" spans="8:17" x14ac:dyDescent="0.2">
      <c r="H21" s="19"/>
      <c r="I21" s="16"/>
      <c r="J21" s="7"/>
      <c r="K21" s="16"/>
      <c r="L21" s="8"/>
      <c r="M21" s="16"/>
      <c r="N21" s="17"/>
      <c r="O21" s="16"/>
      <c r="P21" s="5">
        <f>IF(表1_3561118544512142022[[#This Row],[Out]]=$C$3,-表1_3561118544512142022[[#This Row],[Flow]],0)+IF(表1_3561118544512142022[[#This Row],[In]]=$C$3,表1_3561118544512142022[[#This Row],[Flow]],0)</f>
        <v>0</v>
      </c>
      <c r="Q21" s="5">
        <f t="shared" si="0"/>
        <v>-445</v>
      </c>
    </row>
    <row r="22" spans="8:17" x14ac:dyDescent="0.2">
      <c r="H22" s="30" t="s">
        <v>20</v>
      </c>
      <c r="I22" s="31"/>
      <c r="J22" s="30"/>
      <c r="K22" s="32"/>
      <c r="L22" s="33">
        <f>SUBTOTAL(109,表1_3561118544512142022[Flow])</f>
        <v>1077</v>
      </c>
      <c r="M22" s="32"/>
      <c r="N22" s="34"/>
      <c r="O22" s="31"/>
      <c r="P22" s="35">
        <f>SUBTOTAL(109,表1_3561118544512142022[流])</f>
        <v>-445</v>
      </c>
      <c r="Q22" s="35"/>
    </row>
  </sheetData>
  <mergeCells count="2">
    <mergeCell ref="A1:F1"/>
    <mergeCell ref="H1:Q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分发交易</vt:lpstr>
      <vt:lpstr>收入</vt:lpstr>
      <vt:lpstr>支出</vt:lpstr>
      <vt:lpstr>损益</vt:lpstr>
      <vt:lpstr>现金钱包</vt:lpstr>
      <vt:lpstr>储备金</vt:lpstr>
      <vt:lpstr>银行-1234</vt:lpstr>
      <vt:lpstr>银行-7890</vt:lpstr>
      <vt:lpstr>信用卡-6666</vt:lpstr>
      <vt:lpstr>信用账户-555</vt:lpstr>
      <vt:lpstr>电子账户-X</vt:lpstr>
      <vt:lpstr>应收</vt:lpstr>
      <vt:lpstr>应付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xt3</dc:creator>
  <cp:lastModifiedBy>xt3</cp:lastModifiedBy>
  <dcterms:created xsi:type="dcterms:W3CDTF">2022-08-25T12:03:47Z</dcterms:created>
  <dcterms:modified xsi:type="dcterms:W3CDTF">2022-08-25T12:30:47Z</dcterms:modified>
</cp:coreProperties>
</file>