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t3\Documents\"/>
    </mc:Choice>
  </mc:AlternateContent>
  <xr:revisionPtr revIDLastSave="0" documentId="13_ncr:1_{33E26C29-6429-4E79-A555-577CF8988CC4}" xr6:coauthVersionLast="47" xr6:coauthVersionMax="47" xr10:uidLastSave="{00000000-0000-0000-0000-000000000000}"/>
  <bookViews>
    <workbookView xWindow="10740" yWindow="1140" windowWidth="24870" windowHeight="19080" activeTab="3" xr2:uid="{6DB4FE55-ACB9-4860-8FD9-058DE5DBE287}"/>
  </bookViews>
  <sheets>
    <sheet name="账户状态" sheetId="1" r:id="rId1"/>
    <sheet name="交易记录 1月" sheetId="3" r:id="rId2"/>
    <sheet name="交易记录 2月" sheetId="4" r:id="rId3"/>
    <sheet name="交易记录 3月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5" l="1"/>
  <c r="C15" i="5"/>
  <c r="B15" i="5"/>
  <c r="O14" i="5"/>
  <c r="N14" i="5"/>
  <c r="M14" i="5"/>
  <c r="L14" i="5"/>
  <c r="K14" i="5"/>
  <c r="J14" i="5"/>
  <c r="I14" i="5"/>
  <c r="E14" i="5"/>
  <c r="F14" i="5" s="1"/>
  <c r="S10" i="5" s="1"/>
  <c r="E13" i="5"/>
  <c r="F13" i="5" s="1"/>
  <c r="E12" i="5"/>
  <c r="F12" i="5" s="1"/>
  <c r="S7" i="5" s="1"/>
  <c r="E11" i="5"/>
  <c r="F11" i="5" s="1"/>
  <c r="S8" i="5" s="1"/>
  <c r="E10" i="5"/>
  <c r="F10" i="5" s="1"/>
  <c r="S9" i="5" s="1"/>
  <c r="E9" i="5"/>
  <c r="F9" i="5" s="1"/>
  <c r="S6" i="5" s="1"/>
  <c r="E8" i="5"/>
  <c r="F8" i="5" s="1"/>
  <c r="S5" i="5" s="1"/>
  <c r="E7" i="5"/>
  <c r="F7" i="5" s="1"/>
  <c r="S4" i="5" s="1"/>
  <c r="E6" i="5"/>
  <c r="F6" i="5" s="1"/>
  <c r="S3" i="5" s="1"/>
  <c r="E5" i="5"/>
  <c r="F5" i="5" s="1"/>
  <c r="E4" i="5"/>
  <c r="F4" i="5" s="1"/>
  <c r="E3" i="5"/>
  <c r="D15" i="4"/>
  <c r="C15" i="4"/>
  <c r="B15" i="4"/>
  <c r="E14" i="4"/>
  <c r="F14" i="4" s="1"/>
  <c r="S10" i="4" s="1"/>
  <c r="O14" i="4"/>
  <c r="N14" i="4"/>
  <c r="M14" i="4"/>
  <c r="L14" i="4"/>
  <c r="K14" i="4"/>
  <c r="J14" i="4"/>
  <c r="I14" i="4"/>
  <c r="E13" i="4"/>
  <c r="F13" i="4" s="1"/>
  <c r="E12" i="4"/>
  <c r="F12" i="4" s="1"/>
  <c r="S7" i="4" s="1"/>
  <c r="E11" i="4"/>
  <c r="F11" i="4" s="1"/>
  <c r="S8" i="4" s="1"/>
  <c r="E10" i="4"/>
  <c r="F10" i="4" s="1"/>
  <c r="S9" i="4" s="1"/>
  <c r="E9" i="4"/>
  <c r="F9" i="4" s="1"/>
  <c r="S6" i="4" s="1"/>
  <c r="E8" i="4"/>
  <c r="F8" i="4" s="1"/>
  <c r="S5" i="4" s="1"/>
  <c r="F7" i="4"/>
  <c r="E7" i="4"/>
  <c r="E6" i="4"/>
  <c r="F6" i="4" s="1"/>
  <c r="S3" i="4" s="1"/>
  <c r="E5" i="4"/>
  <c r="F5" i="4" s="1"/>
  <c r="S4" i="4"/>
  <c r="E4" i="4"/>
  <c r="F4" i="4" s="1"/>
  <c r="E3" i="4"/>
  <c r="E4" i="3"/>
  <c r="F4" i="3" s="1"/>
  <c r="E5" i="3"/>
  <c r="F5" i="3" s="1"/>
  <c r="E6" i="3"/>
  <c r="F6" i="3" s="1"/>
  <c r="S3" i="3" s="1"/>
  <c r="E7" i="3"/>
  <c r="F7" i="3" s="1"/>
  <c r="S4" i="3" s="1"/>
  <c r="E8" i="3"/>
  <c r="F8" i="3" s="1"/>
  <c r="S5" i="3" s="1"/>
  <c r="E9" i="3"/>
  <c r="F9" i="3" s="1"/>
  <c r="S6" i="3" s="1"/>
  <c r="E10" i="3"/>
  <c r="F10" i="3" s="1"/>
  <c r="S9" i="3" s="1"/>
  <c r="E11" i="3"/>
  <c r="F11" i="3" s="1"/>
  <c r="S8" i="3" s="1"/>
  <c r="E12" i="3"/>
  <c r="F12" i="3" s="1"/>
  <c r="S7" i="3" s="1"/>
  <c r="E13" i="3"/>
  <c r="F13" i="3" s="1"/>
  <c r="E14" i="3"/>
  <c r="F14" i="3" s="1"/>
  <c r="S10" i="3" s="1"/>
  <c r="E3" i="3"/>
  <c r="F3" i="3" s="1"/>
  <c r="O13" i="3"/>
  <c r="N13" i="3"/>
  <c r="M13" i="3"/>
  <c r="L13" i="3"/>
  <c r="K13" i="3"/>
  <c r="J13" i="3"/>
  <c r="I13" i="3"/>
  <c r="D15" i="3"/>
  <c r="C15" i="3"/>
  <c r="B15" i="3"/>
  <c r="D15" i="1"/>
  <c r="C15" i="1"/>
  <c r="B15" i="1"/>
  <c r="E15" i="5" l="1"/>
  <c r="F3" i="5"/>
  <c r="F15" i="5"/>
  <c r="S11" i="5"/>
  <c r="E15" i="4"/>
  <c r="F3" i="4"/>
  <c r="F15" i="4"/>
  <c r="S11" i="4"/>
  <c r="S11" i="3"/>
  <c r="F15" i="3"/>
  <c r="E15" i="3"/>
</calcChain>
</file>

<file path=xl/sharedStrings.xml><?xml version="1.0" encoding="utf-8"?>
<sst xmlns="http://schemas.openxmlformats.org/spreadsheetml/2006/main" count="304" uniqueCount="64">
  <si>
    <t>收入</t>
  </si>
  <si>
    <t>现金</t>
  </si>
  <si>
    <t>汇总</t>
  </si>
  <si>
    <t>id</t>
    <phoneticPr fontId="2" type="noConversion"/>
  </si>
  <si>
    <t>应收</t>
  </si>
  <si>
    <t>汇总</t>
    <phoneticPr fontId="2" type="noConversion"/>
  </si>
  <si>
    <t>支出</t>
  </si>
  <si>
    <t>损益</t>
  </si>
  <si>
    <t>现金 钱包</t>
  </si>
  <si>
    <t>现金钱包</t>
  </si>
  <si>
    <t>储备金</t>
  </si>
  <si>
    <t>存款 银行 A</t>
  </si>
  <si>
    <t>银行-1234</t>
  </si>
  <si>
    <t>存款 银行 B</t>
  </si>
  <si>
    <t>银行-7890</t>
  </si>
  <si>
    <t>信用 银行</t>
  </si>
  <si>
    <t>信用卡-6666</t>
  </si>
  <si>
    <t>信用 某金融机构</t>
  </si>
  <si>
    <t>信用账户-555</t>
  </si>
  <si>
    <t>现金 某某金融机构 电子钱包</t>
  </si>
  <si>
    <t>电子账户-X</t>
  </si>
  <si>
    <t>应付</t>
  </si>
  <si>
    <t>Id</t>
  </si>
  <si>
    <t>Label</t>
  </si>
  <si>
    <t>Name</t>
  </si>
  <si>
    <t>Balance</t>
  </si>
  <si>
    <t>Note</t>
  </si>
  <si>
    <t>Comment</t>
  </si>
  <si>
    <t>Id</t>
    <phoneticPr fontId="2" type="noConversion"/>
  </si>
  <si>
    <t>Flowing</t>
  </si>
  <si>
    <t>Current</t>
  </si>
  <si>
    <t>Date</t>
  </si>
  <si>
    <t>Out</t>
  </si>
  <si>
    <t>Flow</t>
  </si>
  <si>
    <t>In</t>
  </si>
  <si>
    <t>工资</t>
  </si>
  <si>
    <t>流转</t>
  </si>
  <si>
    <t>存现</t>
  </si>
  <si>
    <t>流转 长期存款</t>
  </si>
  <si>
    <t>存现 长期存款</t>
  </si>
  <si>
    <t>流转 充值</t>
  </si>
  <si>
    <t>充值</t>
  </si>
  <si>
    <t>电费 家</t>
  </si>
  <si>
    <t xml:space="preserve">电费 </t>
  </si>
  <si>
    <t>加油</t>
  </si>
  <si>
    <t>加油 车号: 数量: 单价: 里程:</t>
  </si>
  <si>
    <t>停车</t>
  </si>
  <si>
    <t>停车费</t>
  </si>
  <si>
    <t>房租</t>
  </si>
  <si>
    <t>账户状态</t>
    <phoneticPr fontId="2" type="noConversion"/>
  </si>
  <si>
    <t>交易</t>
    <phoneticPr fontId="2" type="noConversion"/>
  </si>
  <si>
    <t>资产负债</t>
  </si>
  <si>
    <t>类型</t>
  </si>
  <si>
    <t>账户</t>
  </si>
  <si>
    <t>金额</t>
  </si>
  <si>
    <t>资产</t>
  </si>
  <si>
    <t>负债</t>
  </si>
  <si>
    <t>汇总</t>
    <phoneticPr fontId="2" type="noConversion"/>
  </si>
  <si>
    <t>电子书</t>
  </si>
  <si>
    <t>电子书店 书名:</t>
  </si>
  <si>
    <t>餐饮</t>
  </si>
  <si>
    <t>游戏</t>
  </si>
  <si>
    <t>还款</t>
  </si>
  <si>
    <t>食品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</si>
</sst>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76" formatCode="_ * #,##0.00_ ;_ * \-#,##0.00_ ;_ * &quot;-&quot;??_ ;_ @_ "/>
    <numFmt numFmtId="177" formatCode="00000"/>
    <numFmt numFmtId="178" formatCode="0000000"/>
    <numFmt numFmtId="179" formatCode="yy/mm/dd"/>
  </numFmts>
  <fonts count="4" x14ac:knownFonts="1">
    <font>
      <sz val="11"/>
      <color theme="1"/>
      <name val="等线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8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17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right" vertical="center"/>
    </xf>
    <xf numFmtId="176" fontId="1" fillId="0" borderId="3" xfId="0" applyNumberFormat="1" applyFont="1" applyBorder="1" applyAlignment="1">
      <alignment horizontal="right" vertical="center"/>
    </xf>
    <xf numFmtId="177" fontId="3" fillId="0" borderId="3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176" fontId="1" fillId="0" borderId="4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horizontal="right" vertical="center"/>
    </xf>
    <xf numFmtId="178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center" vertical="center"/>
    </xf>
    <xf numFmtId="0" fontId="3" fillId="0" borderId="4" xfId="0" applyFont="1" applyBorder="1">
      <alignment vertical="center"/>
    </xf>
    <xf numFmtId="0" fontId="1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>
      <alignment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43" fontId="3" fillId="0" borderId="4" xfId="0" applyNumberFormat="1" applyFont="1" applyBorder="1">
      <alignment vertical="center"/>
    </xf>
    <xf numFmtId="178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179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4" xfId="0" applyFont="1" applyBorder="1">
      <alignment vertical="center"/>
    </xf>
    <xf numFmtId="43" fontId="1" fillId="0" borderId="1" xfId="0" applyNumberFormat="1" applyFont="1" applyBorder="1">
      <alignment vertical="center"/>
    </xf>
    <xf numFmtId="43" fontId="1" fillId="0" borderId="0" xfId="0" applyNumberFormat="1" applyFont="1" applyBorder="1">
      <alignment vertical="center"/>
    </xf>
    <xf numFmtId="43" fontId="1" fillId="0" borderId="4" xfId="0" applyNumberFormat="1" applyFont="1" applyBorder="1">
      <alignment vertical="center"/>
    </xf>
  </cellXfs>
  <cellStyles count="1">
    <cellStyle name="Normal" xfId="0" builtinId="0"/>
  </cellStyles>
  <dxfs count="1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7" formatCode="000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9" formatCode="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8" formatCode="00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35" formatCode="_(* #,##0.00_);_(* \(#,##0.00\);_(* &quot;-&quot;??_);_(@_)"/>
      <alignment horizontal="right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7" formatCode="00000"/>
      <alignment horizontal="general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numFmt numFmtId="177" formatCode="00000"/>
      <alignment horizontal="center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/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auto="1"/>
        </top>
        <bottom/>
      </border>
    </dxf>
    <dxf>
      <border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fill>
        <patternFill patternType="none">
          <fgColor rgb="FF000000"/>
          <bgColor auto="1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7" formatCode="0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35" formatCode="_(* #,##0.00_);_(* \(#,##0.00\);_(* &quot;-&quot;??_);_(@_)"/>
      <alignment horizontal="right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7" formatCode="00000"/>
      <alignment horizontal="general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numFmt numFmtId="177" formatCode="00000"/>
      <alignment horizontal="center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/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auto="1"/>
        </top>
        <bottom/>
      </border>
    </dxf>
    <dxf>
      <border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9" formatCode="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8" formatCode="00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fill>
        <patternFill patternType="none">
          <fgColor rgb="FF000000"/>
          <bgColor auto="1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/>
        <bottom style="hair">
          <color auto="1"/>
        </bottom>
        <vertical/>
        <horizontal/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numFmt numFmtId="35" formatCode="_(* #,##0.00_);_(* \(#,##0.00\);_(* &quot;-&quot;??_);_(@_)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35" formatCode="_(* #,##0.00_);_(* \(#,##0.00\);_(* &quot;-&quot;??_);_(@_)"/>
      <alignment horizontal="right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7" formatCode="00000"/>
      <alignment horizontal="general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numFmt numFmtId="177" formatCode="00000"/>
      <alignment horizontal="center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border diagonalUp="0" diagonalDown="0">
        <left/>
        <right/>
        <top style="hair">
          <color auto="1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9" formatCode="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7" formatCode="0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8" formatCode="00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6" formatCode="_ * #,##0.00_ ;_ * \-#,##0.0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35" formatCode="_(* #,##0.00_);_(* \(#,##0.00\);_(* &quot;-&quot;??_);_(@_)"/>
      <alignment horizontal="right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numFmt numFmtId="177" formatCode="00000"/>
      <alignment horizontal="general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  <numFmt numFmtId="177" formatCode="00000"/>
      <alignment horizontal="center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8"/>
        <color rgb="FF000000"/>
        <name val="微软雅黑"/>
        <family val="2"/>
        <charset val="134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/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 style="thin">
          <color auto="1"/>
        </top>
        <bottom/>
        <vertical/>
        <horizontal style="hair">
          <color auto="1"/>
        </horizontal>
      </border>
    </dxf>
  </dxfs>
  <tableStyles count="1" defaultTableStyle="TableStyleMedium2" defaultPivotStyle="PivotStyleLight16">
    <tableStyle name="打印-简约" pivot="0" count="3" xr9:uid="{7205ED57-E3ED-4718-97D6-0B87D304DC8B}">
      <tableStyleElement type="wholeTable" dxfId="154"/>
      <tableStyleElement type="headerRow" dxfId="153"/>
      <tableStyleElement type="totalRow" dxfId="1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BB2C3-6655-4B25-9D27-8D95D3E9F3FC}" name="表1_4" displayName="表1_4" ref="A2:F15" totalsRowCount="1" headerRowDxfId="151" dataDxfId="149" totalsRowDxfId="148" headerRowBorderDxfId="150" totalsRowBorderDxfId="147">
  <tableColumns count="6">
    <tableColumn id="8" xr3:uid="{2B35A54C-6119-4010-ACE1-2A1338CD4C2C}" name="Id" totalsRowLabel="汇总" dataDxfId="146" totalsRowDxfId="145"/>
    <tableColumn id="7" xr3:uid="{E6E80F2D-8EF0-449A-B476-FB56FF0605A5}" name="Label" totalsRowFunction="count" dataDxfId="144" totalsRowDxfId="143"/>
    <tableColumn id="2" xr3:uid="{2520D7E8-85B3-4B62-BE54-574A6BAA8E91}" name="Name" totalsRowFunction="count" dataDxfId="142" totalsRowDxfId="141"/>
    <tableColumn id="6" xr3:uid="{FE7616D5-ADE9-4867-8568-E868D549E6FA}" name="Balance" totalsRowFunction="sum" dataDxfId="140" totalsRowDxfId="139"/>
    <tableColumn id="1" xr3:uid="{8FB0F0E6-06A9-45A2-85A7-EEA9B46965EC}" name="Note" dataDxfId="138" totalsRowDxfId="137"/>
    <tableColumn id="3" xr3:uid="{8FEC8785-CC44-4001-88E4-8F5CD1347FBE}" name="Comment" dataDxfId="136" totalsRowDxfId="135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5EC14E-50A9-42DE-AEAB-30992A3A39A6}" name="Table2811" displayName="Table2811" ref="Q2:S11" totalsRowCount="1" headerRowDxfId="36" headerRowBorderDxfId="35" totalsRowBorderDxfId="34">
  <autoFilter ref="Q2:S10" xr:uid="{F3C8C71F-26F3-487D-875D-15D248937A82}"/>
  <tableColumns count="3">
    <tableColumn id="1" xr3:uid="{38B04E5B-4FBC-4F31-9347-75795ED11331}" name="类型" totalsRowLabel="汇总" dataDxfId="32" totalsRowDxfId="33"/>
    <tableColumn id="2" xr3:uid="{F4B43A3D-D51C-4D2E-A48A-2C2176984BCE}" name="账户" dataDxfId="30" totalsRowDxfId="31"/>
    <tableColumn id="3" xr3:uid="{9154E416-9DFE-4C2E-8758-27C94D11533A}" name="金额" totalsRowFunction="sum" dataDxfId="28" totalsRowDxfId="29">
      <calculatedColumnFormula>SUMIF(表1_4469[Name],R3,表1_4469[Current])</calculatedColumnFormula>
    </tableColumn>
  </tableColumns>
  <tableStyleInfo name="打印-简约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CD4836-D000-44BA-BEEF-C212993CC3A5}" name="表1_44" displayName="表1_44" ref="A2:F15" totalsRowCount="1" headerRowDxfId="111" dataDxfId="110" totalsRowDxfId="109" headerRowBorderDxfId="108" totalsRowBorderDxfId="107">
  <tableColumns count="6">
    <tableColumn id="8" xr3:uid="{D912E650-EE62-47B4-B345-6C8D2DF8A1DF}" name="Id" totalsRowLabel="汇总" dataDxfId="105" totalsRowDxfId="106"/>
    <tableColumn id="7" xr3:uid="{4CFDA84D-1213-4F99-8B95-8F0CE1E605FC}" name="Label" totalsRowFunction="count" dataDxfId="103" totalsRowDxfId="104"/>
    <tableColumn id="2" xr3:uid="{B5751200-50D1-4D72-97E7-A431538733B4}" name="Name" totalsRowFunction="count" dataDxfId="101" totalsRowDxfId="102"/>
    <tableColumn id="6" xr3:uid="{0DE11E97-C1E4-448F-9335-59BFEF26C110}" name="Balance" totalsRowFunction="sum" dataDxfId="99" totalsRowDxfId="100"/>
    <tableColumn id="1" xr3:uid="{26ECDD6F-84D4-4CCC-B814-FCAE70949870}" name="Flowing" totalsRowFunction="sum" dataDxfId="97" totalsRowDxfId="98">
      <calculatedColumnFormula>SUMIF(表1_355[In],表1_44[[#This Row],[Name]],表1_355[Flow])-SUMIF(表1_355[Out],表1_44[[#This Row],[Name]],表1_355[Flow])</calculatedColumnFormula>
    </tableColumn>
    <tableColumn id="3" xr3:uid="{57C3F3CB-CE62-469E-8C7E-223D41556085}" name="Current" totalsRowFunction="sum" dataDxfId="95" totalsRowDxfId="96">
      <calculatedColumnFormula>表1_44[[#This Row],[Balance]]+E3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E27D93-9A6C-40AC-A165-F4F455DEC962}" name="表1_355" displayName="表1_355" ref="H2:O13" totalsRowCount="1" headerRowDxfId="134" dataDxfId="133" totalsRowDxfId="132">
  <sortState xmlns:xlrd2="http://schemas.microsoft.com/office/spreadsheetml/2017/richdata2" ref="H3:O4">
    <sortCondition ref="J2:J4"/>
  </sortState>
  <tableColumns count="8">
    <tableColumn id="1" xr3:uid="{FBF96975-6E3C-4277-B63C-EDAD5F0D2C4E}" name="id" totalsRowLabel="汇总" dataDxfId="131" totalsRowDxfId="130"/>
    <tableColumn id="13" xr3:uid="{51ADE919-E4F9-4C42-B5A1-9A3D36FDA418}" name="Label" totalsRowFunction="count" dataDxfId="129" totalsRowDxfId="128"/>
    <tableColumn id="7" xr3:uid="{D6ABB23D-3E58-4344-A01A-304738B63299}" name="Date" totalsRowFunction="count" dataDxfId="127" totalsRowDxfId="126"/>
    <tableColumn id="5" xr3:uid="{C18A481D-5EF7-4429-A314-58A7CAF6D736}" name="Out" totalsRowFunction="count" dataDxfId="125" totalsRowDxfId="124"/>
    <tableColumn id="4" xr3:uid="{F5181DE1-705F-4306-8316-017EE8C072CA}" name="Flow" totalsRowFunction="sum" dataDxfId="123" totalsRowDxfId="122"/>
    <tableColumn id="2" xr3:uid="{E289AA70-A637-4AA3-B904-89896F1DAA88}" name="In" totalsRowFunction="count" dataDxfId="121" totalsRowDxfId="120"/>
    <tableColumn id="3" xr3:uid="{880A5629-9B95-4ECB-8D12-AB17629B822F}" name="Note" totalsRowFunction="count" dataDxfId="119" totalsRowDxfId="118"/>
    <tableColumn id="6" xr3:uid="{D2113153-0340-406A-8F24-3440D6FCEE0A}" name="Comment" totalsRowFunction="count" dataDxfId="117" totalsRowDxfId="116"/>
  </tableColumns>
  <tableStyleInfo name="打印-简约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C8C71F-26F3-487D-875D-15D248937A82}" name="Table2" displayName="Table2" ref="Q2:S11" totalsRowCount="1" headerRowDxfId="112" headerRowBorderDxfId="115" totalsRowBorderDxfId="94">
  <autoFilter ref="Q2:S10" xr:uid="{F3C8C71F-26F3-487D-875D-15D248937A82}"/>
  <tableColumns count="3">
    <tableColumn id="1" xr3:uid="{5FC5D571-4E1A-45D6-8A79-29A58564F998}" name="类型" totalsRowLabel="汇总" dataDxfId="114" totalsRowDxfId="92"/>
    <tableColumn id="2" xr3:uid="{4519501F-3CF5-43B4-9B43-26D58E9F3848}" name="账户" dataDxfId="113" totalsRowDxfId="91"/>
    <tableColumn id="3" xr3:uid="{1BAA2FEE-215F-426F-9D7B-736DB87C929D}" name="金额" totalsRowFunction="sum" dataDxfId="93" totalsRowDxfId="90">
      <calculatedColumnFormula>SUMIF(表1_44[Name],R3,表1_44[Current])</calculatedColumnFormula>
    </tableColumn>
  </tableColumns>
  <tableStyleInfo name="打印-简约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C024CA-D905-44AB-885C-DA595EED5BA5}" name="表1_446" displayName="表1_446" ref="A2:F15" totalsRowCount="1" headerRowDxfId="89" dataDxfId="88" totalsRowDxfId="87" headerRowBorderDxfId="86" totalsRowBorderDxfId="85">
  <tableColumns count="6">
    <tableColumn id="8" xr3:uid="{DB0C7209-F184-449B-B8D7-544D64A6F7DF}" name="Id" totalsRowLabel="汇总" dataDxfId="64" totalsRowDxfId="58"/>
    <tableColumn id="7" xr3:uid="{A08B0C7F-734F-4499-8143-54F5FF0BBB46}" name="Label" totalsRowFunction="count" dataDxfId="63" totalsRowDxfId="57"/>
    <tableColumn id="2" xr3:uid="{EF8C577A-188E-4EC1-A63F-2AFE705B5971}" name="Name" totalsRowFunction="count" dataDxfId="62" totalsRowDxfId="56"/>
    <tableColumn id="6" xr3:uid="{60BA1FE8-A49C-481C-AED1-6D6DB32E3ACA}" name="Balance" totalsRowFunction="sum" dataDxfId="61" totalsRowDxfId="55"/>
    <tableColumn id="1" xr3:uid="{A82B2B56-190F-4B53-B26D-1A75E26217B4}" name="Flowing" totalsRowFunction="sum" dataDxfId="60" totalsRowDxfId="54">
      <calculatedColumnFormula>SUMIF(表1_3557[In],表1_446[[#This Row],[Name]],表1_3557[Flow])-SUMIF(表1_3557[Out],表1_446[[#This Row],[Name]],表1_3557[Flow])</calculatedColumnFormula>
    </tableColumn>
    <tableColumn id="3" xr3:uid="{0B113CC1-2AAE-42A8-A14D-17D9890126DC}" name="Current" totalsRowFunction="sum" dataDxfId="59" totalsRowDxfId="53">
      <calculatedColumnFormula>表1_446[[#This Row],[Balance]]+E3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9D29C9-1F48-4CCC-85A1-232931F83C1C}" name="表1_3557" displayName="表1_3557" ref="H2:O14" totalsRowCount="1" headerRowDxfId="84" dataDxfId="83" totalsRowDxfId="82">
  <sortState xmlns:xlrd2="http://schemas.microsoft.com/office/spreadsheetml/2017/richdata2" ref="H3:O4">
    <sortCondition ref="J2:J4"/>
  </sortState>
  <tableColumns count="8">
    <tableColumn id="1" xr3:uid="{1F4D8955-D31B-4FDD-B743-71FE6FFD508D}" name="id" totalsRowLabel="汇总" dataDxfId="81" totalsRowDxfId="52"/>
    <tableColumn id="13" xr3:uid="{138F0719-5516-4168-9C69-1F8C675C5315}" name="Label" totalsRowFunction="count" dataDxfId="80" totalsRowDxfId="51"/>
    <tableColumn id="7" xr3:uid="{38E046C1-AD67-4F57-ACDB-EE0729BBEBCA}" name="Date" totalsRowFunction="count" dataDxfId="79" totalsRowDxfId="50"/>
    <tableColumn id="5" xr3:uid="{3F169C00-7537-4B5A-8459-CA719BEEEF9B}" name="Out" totalsRowFunction="count" dataDxfId="78" totalsRowDxfId="49"/>
    <tableColumn id="4" xr3:uid="{C28F58AB-78CD-43D5-ADCC-D8B3E97AF6A6}" name="Flow" totalsRowFunction="sum" dataDxfId="77" totalsRowDxfId="48"/>
    <tableColumn id="2" xr3:uid="{9521767F-3883-4BD4-B14A-ACAA7748D99D}" name="In" totalsRowFunction="count" dataDxfId="76" totalsRowDxfId="47"/>
    <tableColumn id="3" xr3:uid="{4889D48B-16AB-484C-B654-31995BCD549C}" name="Note" totalsRowFunction="count" dataDxfId="75" totalsRowDxfId="46"/>
    <tableColumn id="6" xr3:uid="{170009B6-5A2F-43D1-9189-5D1D5C4BA3AA}" name="Comment" totalsRowFunction="count" dataDxfId="74" totalsRowDxfId="45"/>
  </tableColumns>
  <tableStyleInfo name="打印-简约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FDC587-94AC-4CD1-B72E-CF428AEE0278}" name="Table28" displayName="Table28" ref="Q2:S11" totalsRowCount="1" headerRowDxfId="73" headerRowBorderDxfId="72" totalsRowBorderDxfId="71">
  <autoFilter ref="Q2:S10" xr:uid="{F3C8C71F-26F3-487D-875D-15D248937A82}"/>
  <tableColumns count="3">
    <tableColumn id="1" xr3:uid="{16B85ADA-9D08-446F-A79A-A00129DAA1A3}" name="类型" totalsRowLabel="汇总" dataDxfId="69" totalsRowDxfId="70"/>
    <tableColumn id="2" xr3:uid="{5DB2B7F5-0BE4-462A-8CF3-1A9526CA1EA8}" name="账户" dataDxfId="67" totalsRowDxfId="68"/>
    <tableColumn id="3" xr3:uid="{1843C2AB-73E8-4149-9D8E-9A2E7B396EC2}" name="金额" totalsRowFunction="sum" dataDxfId="65" totalsRowDxfId="66">
      <calculatedColumnFormula>SUMIF(表1_446[Name],R3,表1_446[Current])</calculatedColumnFormula>
    </tableColumn>
  </tableColumns>
  <tableStyleInfo name="打印-简约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886D7A-E845-4317-B38A-647BC7B60A7A}" name="表1_4469" displayName="表1_4469" ref="A2:F15" totalsRowCount="1" headerRowDxfId="44" dataDxfId="43" totalsRowDxfId="42" headerRowBorderDxfId="41" totalsRowBorderDxfId="40">
  <tableColumns count="6">
    <tableColumn id="8" xr3:uid="{36A24199-7A80-4E0C-872F-739911AF2863}" name="Id" totalsRowLabel="汇总" dataDxfId="27" totalsRowDxfId="21"/>
    <tableColumn id="7" xr3:uid="{BC93B1CA-5890-436E-9F74-544158531DB5}" name="Label" totalsRowFunction="count" dataDxfId="26" totalsRowDxfId="20"/>
    <tableColumn id="2" xr3:uid="{5D469DCF-FA77-470E-8D2C-6EFD4A9E9B0B}" name="Name" totalsRowFunction="count" dataDxfId="25" totalsRowDxfId="19"/>
    <tableColumn id="6" xr3:uid="{882F6B21-709A-463F-9843-C393F6145A4A}" name="Balance" totalsRowFunction="sum" dataDxfId="24" totalsRowDxfId="18"/>
    <tableColumn id="1" xr3:uid="{192B5E4E-460E-4E09-9126-ED6EABBB6DC3}" name="Flowing" totalsRowFunction="sum" dataDxfId="23" totalsRowDxfId="17">
      <calculatedColumnFormula>SUMIF(表1_355710[In],表1_4469[[#This Row],[Name]],表1_355710[Flow])-SUMIF(表1_355710[Out],表1_4469[[#This Row],[Name]],表1_355710[Flow])</calculatedColumnFormula>
    </tableColumn>
    <tableColumn id="3" xr3:uid="{E43A4178-CAEC-439A-9AAE-E714C3DDC133}" name="Current" totalsRowFunction="sum" dataDxfId="22" totalsRowDxfId="16">
      <calculatedColumnFormula>表1_4469[[#This Row],[Balance]]+E3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5A3D587-FB0C-4022-A2FC-3C2790ABA094}" name="表1_355710" displayName="表1_355710" ref="H2:O14" totalsRowCount="1" headerRowDxfId="39" dataDxfId="38" totalsRowDxfId="37">
  <sortState xmlns:xlrd2="http://schemas.microsoft.com/office/spreadsheetml/2017/richdata2" ref="H3:O4">
    <sortCondition ref="J2:J4"/>
  </sortState>
  <tableColumns count="8">
    <tableColumn id="1" xr3:uid="{EC70FF59-375F-48FD-82FA-9546E9638246}" name="id" totalsRowLabel="汇总" dataDxfId="15" totalsRowDxfId="7"/>
    <tableColumn id="13" xr3:uid="{A7B3C9F7-E642-476E-8493-FA1C27735E4E}" name="Label" totalsRowFunction="count" dataDxfId="14" totalsRowDxfId="6"/>
    <tableColumn id="7" xr3:uid="{FC5CAF59-E830-4301-B0DB-8AC49414334B}" name="Date" totalsRowFunction="count" dataDxfId="13" totalsRowDxfId="5"/>
    <tableColumn id="5" xr3:uid="{E0BC7BED-D70A-4965-8DDA-C09A2F0F294A}" name="Out" totalsRowFunction="count" dataDxfId="12" totalsRowDxfId="4"/>
    <tableColumn id="4" xr3:uid="{6180A62D-C57E-4FDC-A13D-EC2233693D1E}" name="Flow" totalsRowFunction="sum" dataDxfId="11" totalsRowDxfId="3"/>
    <tableColumn id="2" xr3:uid="{9F1F6BDA-735B-4E40-846C-72273AF7DDC5}" name="In" totalsRowFunction="count" dataDxfId="10" totalsRowDxfId="2"/>
    <tableColumn id="3" xr3:uid="{58F26B47-F4C9-4773-B3C1-86D70DACC408}" name="Note" totalsRowFunction="count" dataDxfId="9" totalsRowDxfId="1"/>
    <tableColumn id="6" xr3:uid="{94FD91CE-F19B-4764-BADB-E09F9ED416F2}" name="Comment" totalsRowFunction="count" dataDxfId="8" totalsRowDxfId="0"/>
  </tableColumns>
  <tableStyleInfo name="打印-简约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362B-9A56-4354-B19B-14AB092F11AE}">
  <dimension ref="A1:F15"/>
  <sheetViews>
    <sheetView showGridLines="0" workbookViewId="0">
      <selection sqref="A1:XFD1048576"/>
    </sheetView>
  </sheetViews>
  <sheetFormatPr defaultRowHeight="13.5" x14ac:dyDescent="0.2"/>
  <cols>
    <col min="1" max="1" width="5.25" style="1" bestFit="1" customWidth="1"/>
    <col min="2" max="2" width="19.75" style="1" bestFit="1" customWidth="1"/>
    <col min="3" max="3" width="9.875" style="2" bestFit="1" customWidth="1"/>
    <col min="4" max="4" width="6.625" style="1" bestFit="1" customWidth="1"/>
    <col min="5" max="5" width="4.75" style="1" bestFit="1" customWidth="1"/>
    <col min="6" max="6" width="7.875" style="1" bestFit="1" customWidth="1"/>
    <col min="7" max="16384" width="9" style="1"/>
  </cols>
  <sheetData>
    <row r="1" spans="1:6" x14ac:dyDescent="0.2">
      <c r="D1" s="3"/>
    </row>
    <row r="2" spans="1:6" s="25" customFormat="1" x14ac:dyDescent="0.2">
      <c r="A2" s="17" t="s">
        <v>28</v>
      </c>
      <c r="B2" s="18" t="s">
        <v>23</v>
      </c>
      <c r="C2" s="18" t="s">
        <v>24</v>
      </c>
      <c r="D2" s="19" t="s">
        <v>25</v>
      </c>
      <c r="E2" s="17" t="s">
        <v>26</v>
      </c>
      <c r="F2" s="17" t="s">
        <v>27</v>
      </c>
    </row>
    <row r="3" spans="1:6" x14ac:dyDescent="0.2">
      <c r="A3" s="5">
        <v>1</v>
      </c>
      <c r="B3" s="6"/>
      <c r="C3" s="6" t="s">
        <v>0</v>
      </c>
      <c r="D3" s="16">
        <v>0</v>
      </c>
      <c r="E3" s="26"/>
      <c r="F3" s="26"/>
    </row>
    <row r="4" spans="1:6" x14ac:dyDescent="0.2">
      <c r="A4" s="9">
        <v>2</v>
      </c>
      <c r="B4" s="10"/>
      <c r="C4" s="10" t="s">
        <v>6</v>
      </c>
      <c r="D4" s="8">
        <v>0</v>
      </c>
      <c r="E4" s="27"/>
      <c r="F4" s="27"/>
    </row>
    <row r="5" spans="1:6" x14ac:dyDescent="0.2">
      <c r="A5" s="9">
        <v>3</v>
      </c>
      <c r="B5" s="10"/>
      <c r="C5" s="10" t="s">
        <v>7</v>
      </c>
      <c r="D5" s="8">
        <v>0</v>
      </c>
      <c r="E5" s="27"/>
      <c r="F5" s="27"/>
    </row>
    <row r="6" spans="1:6" x14ac:dyDescent="0.2">
      <c r="A6" s="9">
        <v>4</v>
      </c>
      <c r="B6" s="10" t="s">
        <v>8</v>
      </c>
      <c r="C6" s="10" t="s">
        <v>9</v>
      </c>
      <c r="D6" s="8">
        <v>0</v>
      </c>
      <c r="E6" s="27"/>
      <c r="F6" s="27"/>
    </row>
    <row r="7" spans="1:6" x14ac:dyDescent="0.2">
      <c r="A7" s="9">
        <v>5</v>
      </c>
      <c r="B7" s="10" t="s">
        <v>1</v>
      </c>
      <c r="C7" s="10" t="s">
        <v>10</v>
      </c>
      <c r="D7" s="8">
        <v>0</v>
      </c>
      <c r="E7" s="27"/>
      <c r="F7" s="27"/>
    </row>
    <row r="8" spans="1:6" x14ac:dyDescent="0.2">
      <c r="A8" s="9">
        <v>6</v>
      </c>
      <c r="B8" s="10" t="s">
        <v>11</v>
      </c>
      <c r="C8" s="10" t="s">
        <v>12</v>
      </c>
      <c r="D8" s="8">
        <v>0</v>
      </c>
      <c r="E8" s="27"/>
      <c r="F8" s="27"/>
    </row>
    <row r="9" spans="1:6" x14ac:dyDescent="0.2">
      <c r="A9" s="9">
        <v>7</v>
      </c>
      <c r="B9" s="10" t="s">
        <v>13</v>
      </c>
      <c r="C9" s="10" t="s">
        <v>14</v>
      </c>
      <c r="D9" s="8">
        <v>0</v>
      </c>
      <c r="E9" s="27"/>
      <c r="F9" s="27"/>
    </row>
    <row r="10" spans="1:6" x14ac:dyDescent="0.2">
      <c r="A10" s="9">
        <v>8</v>
      </c>
      <c r="B10" s="10" t="s">
        <v>15</v>
      </c>
      <c r="C10" s="10" t="s">
        <v>16</v>
      </c>
      <c r="D10" s="8">
        <v>0</v>
      </c>
      <c r="E10" s="27"/>
      <c r="F10" s="27"/>
    </row>
    <row r="11" spans="1:6" x14ac:dyDescent="0.2">
      <c r="A11" s="9">
        <v>9</v>
      </c>
      <c r="B11" s="10" t="s">
        <v>17</v>
      </c>
      <c r="C11" s="10" t="s">
        <v>18</v>
      </c>
      <c r="D11" s="8">
        <v>0</v>
      </c>
      <c r="E11" s="27"/>
      <c r="F11" s="27"/>
    </row>
    <row r="12" spans="1:6" x14ac:dyDescent="0.2">
      <c r="A12" s="9">
        <v>10</v>
      </c>
      <c r="B12" s="10" t="s">
        <v>19</v>
      </c>
      <c r="C12" s="10" t="s">
        <v>20</v>
      </c>
      <c r="D12" s="8">
        <v>0</v>
      </c>
      <c r="E12" s="27"/>
      <c r="F12" s="27"/>
    </row>
    <row r="13" spans="1:6" x14ac:dyDescent="0.2">
      <c r="A13" s="9">
        <v>11</v>
      </c>
      <c r="B13" s="10"/>
      <c r="C13" s="10" t="s">
        <v>4</v>
      </c>
      <c r="D13" s="8">
        <v>0</v>
      </c>
      <c r="E13" s="27"/>
      <c r="F13" s="27"/>
    </row>
    <row r="14" spans="1:6" x14ac:dyDescent="0.2">
      <c r="A14" s="28">
        <v>12</v>
      </c>
      <c r="B14" s="11"/>
      <c r="C14" s="11" t="s">
        <v>21</v>
      </c>
      <c r="D14" s="7">
        <v>0</v>
      </c>
      <c r="E14" s="29"/>
      <c r="F14" s="29"/>
    </row>
    <row r="15" spans="1:6" x14ac:dyDescent="0.2">
      <c r="A15" s="13" t="s">
        <v>2</v>
      </c>
      <c r="B15" s="14">
        <f>SUBTOTAL(103,表1_4[Label])</f>
        <v>7</v>
      </c>
      <c r="C15" s="14">
        <f>SUBTOTAL(103,表1_4[Name])</f>
        <v>12</v>
      </c>
      <c r="D15" s="15">
        <f>SUBTOTAL(109,表1_4[Balance])</f>
        <v>0</v>
      </c>
      <c r="E15" s="24"/>
      <c r="F15" s="24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B88C-87A3-4B30-B592-3BCA6A42383A}">
  <dimension ref="A1:S15"/>
  <sheetViews>
    <sheetView showGridLines="0" workbookViewId="0">
      <selection activeCell="H29" sqref="H29"/>
    </sheetView>
  </sheetViews>
  <sheetFormatPr defaultRowHeight="13.5" x14ac:dyDescent="0.2"/>
  <cols>
    <col min="1" max="1" width="5.25" style="1" bestFit="1" customWidth="1"/>
    <col min="2" max="2" width="19.75" style="1" bestFit="1" customWidth="1"/>
    <col min="3" max="3" width="9.875" style="2" bestFit="1" customWidth="1"/>
    <col min="4" max="4" width="6.625" style="1" bestFit="1" customWidth="1"/>
    <col min="5" max="6" width="8.125" style="1" bestFit="1" customWidth="1"/>
    <col min="7" max="7" width="3" style="1" customWidth="1"/>
    <col min="8" max="8" width="6.75" style="1" bestFit="1" customWidth="1"/>
    <col min="9" max="9" width="10.125" style="1" bestFit="1" customWidth="1"/>
    <col min="10" max="10" width="7.25" style="1" bestFit="1" customWidth="1"/>
    <col min="11" max="11" width="9.875" style="1" bestFit="1" customWidth="1"/>
    <col min="12" max="12" width="7.5" style="1" bestFit="1" customWidth="1"/>
    <col min="13" max="13" width="8.5" style="1" bestFit="1" customWidth="1"/>
    <col min="14" max="14" width="19.125" style="1" bestFit="1" customWidth="1"/>
    <col min="15" max="15" width="7.875" style="1" bestFit="1" customWidth="1"/>
    <col min="16" max="16" width="2.875" style="1" customWidth="1"/>
    <col min="17" max="17" width="6.25" style="1" bestFit="1" customWidth="1"/>
    <col min="18" max="18" width="9.875" style="1" bestFit="1" customWidth="1"/>
    <col min="19" max="19" width="7.75" style="1" bestFit="1" customWidth="1"/>
    <col min="20" max="16384" width="9" style="1"/>
  </cols>
  <sheetData>
    <row r="1" spans="1:19" x14ac:dyDescent="0.2">
      <c r="A1" s="36" t="s">
        <v>49</v>
      </c>
      <c r="B1" s="36"/>
      <c r="C1" s="36"/>
      <c r="D1" s="36"/>
      <c r="E1" s="36"/>
      <c r="F1" s="36"/>
      <c r="H1" s="36" t="s">
        <v>50</v>
      </c>
      <c r="I1" s="36"/>
      <c r="J1" s="36"/>
      <c r="K1" s="36"/>
      <c r="L1" s="36"/>
      <c r="M1" s="36"/>
      <c r="N1" s="36"/>
      <c r="O1" s="36"/>
      <c r="Q1" s="36" t="s">
        <v>51</v>
      </c>
      <c r="R1" s="36"/>
      <c r="S1" s="36"/>
    </row>
    <row r="2" spans="1:19" s="25" customFormat="1" ht="13.5" customHeight="1" x14ac:dyDescent="0.2">
      <c r="A2" s="17" t="s">
        <v>22</v>
      </c>
      <c r="B2" s="18" t="s">
        <v>23</v>
      </c>
      <c r="C2" s="18" t="s">
        <v>24</v>
      </c>
      <c r="D2" s="19" t="s">
        <v>25</v>
      </c>
      <c r="E2" s="17" t="s">
        <v>29</v>
      </c>
      <c r="F2" s="17" t="s">
        <v>30</v>
      </c>
      <c r="H2" s="20" t="s">
        <v>3</v>
      </c>
      <c r="I2" s="12" t="s">
        <v>23</v>
      </c>
      <c r="J2" s="4" t="s">
        <v>31</v>
      </c>
      <c r="K2" s="12" t="s">
        <v>32</v>
      </c>
      <c r="L2" s="2" t="s">
        <v>33</v>
      </c>
      <c r="M2" s="12" t="s">
        <v>34</v>
      </c>
      <c r="N2" s="1" t="s">
        <v>26</v>
      </c>
      <c r="O2" s="12" t="s">
        <v>27</v>
      </c>
      <c r="Q2" s="18" t="s">
        <v>52</v>
      </c>
      <c r="R2" s="18" t="s">
        <v>53</v>
      </c>
      <c r="S2" s="19" t="s">
        <v>54</v>
      </c>
    </row>
    <row r="3" spans="1:19" x14ac:dyDescent="0.2">
      <c r="A3" s="5">
        <v>1</v>
      </c>
      <c r="B3" s="6"/>
      <c r="C3" s="6" t="s">
        <v>0</v>
      </c>
      <c r="D3" s="16">
        <v>0</v>
      </c>
      <c r="E3" s="16">
        <f>SUMIF(表1_355[In],表1_44[[#This Row],[Name]],表1_355[Flow])-SUMIF(表1_355[Out],表1_44[[#This Row],[Name]],表1_355[Flow])</f>
        <v>-3000</v>
      </c>
      <c r="F3" s="16">
        <f>表1_44[[#This Row],[Balance]]+E3</f>
        <v>-3000</v>
      </c>
      <c r="H3" s="20">
        <v>2201001</v>
      </c>
      <c r="I3" s="12" t="s">
        <v>35</v>
      </c>
      <c r="J3" s="21">
        <v>44562</v>
      </c>
      <c r="K3" s="12" t="s">
        <v>0</v>
      </c>
      <c r="L3" s="3">
        <v>3000</v>
      </c>
      <c r="M3" s="12" t="s">
        <v>9</v>
      </c>
      <c r="N3" s="1" t="s">
        <v>35</v>
      </c>
      <c r="O3" s="12"/>
      <c r="Q3" s="37" t="s">
        <v>55</v>
      </c>
      <c r="R3" s="37" t="s">
        <v>9</v>
      </c>
      <c r="S3" s="39">
        <f>SUMIF(表1_44[Name],R3,表1_44[Current])</f>
        <v>700</v>
      </c>
    </row>
    <row r="4" spans="1:19" ht="13.5" customHeight="1" x14ac:dyDescent="0.2">
      <c r="A4" s="9">
        <v>2</v>
      </c>
      <c r="B4" s="10"/>
      <c r="C4" s="10" t="s">
        <v>6</v>
      </c>
      <c r="D4" s="16">
        <v>0</v>
      </c>
      <c r="E4" s="16">
        <f>SUMIF(表1_355[In],表1_44[[#This Row],[Name]],表1_355[Flow])-SUMIF(表1_355[Out],表1_44[[#This Row],[Name]],表1_355[Flow])</f>
        <v>1413</v>
      </c>
      <c r="F4" s="16">
        <f>表1_44[[#This Row],[Balance]]+E4</f>
        <v>1413</v>
      </c>
      <c r="H4" s="20">
        <v>2201002</v>
      </c>
      <c r="I4" s="12" t="s">
        <v>36</v>
      </c>
      <c r="J4" s="21">
        <v>44563</v>
      </c>
      <c r="K4" s="12" t="s">
        <v>9</v>
      </c>
      <c r="L4" s="3">
        <v>1000</v>
      </c>
      <c r="M4" s="12" t="s">
        <v>12</v>
      </c>
      <c r="N4" s="1" t="s">
        <v>37</v>
      </c>
      <c r="O4" s="12"/>
      <c r="Q4" s="10" t="s">
        <v>55</v>
      </c>
      <c r="R4" s="10" t="s">
        <v>10</v>
      </c>
      <c r="S4" s="39">
        <f>SUMIF(表1_44[Name],R4,表1_44[Current])</f>
        <v>0</v>
      </c>
    </row>
    <row r="5" spans="1:19" x14ac:dyDescent="0.2">
      <c r="A5" s="9">
        <v>3</v>
      </c>
      <c r="B5" s="10"/>
      <c r="C5" s="10" t="s">
        <v>7</v>
      </c>
      <c r="D5" s="16">
        <v>0</v>
      </c>
      <c r="E5" s="16">
        <f>SUMIF(表1_355[In],表1_44[[#This Row],[Name]],表1_355[Flow])-SUMIF(表1_355[Out],表1_44[[#This Row],[Name]],表1_355[Flow])</f>
        <v>0</v>
      </c>
      <c r="F5" s="16">
        <f>表1_44[[#This Row],[Balance]]+E5</f>
        <v>0</v>
      </c>
      <c r="H5" s="31">
        <v>2201003</v>
      </c>
      <c r="I5" s="32" t="s">
        <v>38</v>
      </c>
      <c r="J5" s="33">
        <v>44563</v>
      </c>
      <c r="K5" s="32" t="s">
        <v>9</v>
      </c>
      <c r="L5" s="34">
        <v>1000</v>
      </c>
      <c r="M5" s="32" t="s">
        <v>14</v>
      </c>
      <c r="N5" s="35" t="s">
        <v>39</v>
      </c>
      <c r="O5" s="32"/>
      <c r="Q5" s="10" t="s">
        <v>55</v>
      </c>
      <c r="R5" s="10" t="s">
        <v>12</v>
      </c>
      <c r="S5" s="39">
        <f>SUMIF(表1_44[Name],R5,表1_44[Current])</f>
        <v>0</v>
      </c>
    </row>
    <row r="6" spans="1:19" x14ac:dyDescent="0.2">
      <c r="A6" s="9">
        <v>4</v>
      </c>
      <c r="B6" s="10" t="s">
        <v>8</v>
      </c>
      <c r="C6" s="10" t="s">
        <v>9</v>
      </c>
      <c r="D6" s="16">
        <v>0</v>
      </c>
      <c r="E6" s="16">
        <f>SUMIF(表1_355[In],表1_44[[#This Row],[Name]],表1_355[Flow])-SUMIF(表1_355[Out],表1_44[[#This Row],[Name]],表1_355[Flow])</f>
        <v>700</v>
      </c>
      <c r="F6" s="16">
        <f>表1_44[[#This Row],[Balance]]+E6</f>
        <v>700</v>
      </c>
      <c r="H6" s="31">
        <v>2201004</v>
      </c>
      <c r="I6" s="32" t="s">
        <v>40</v>
      </c>
      <c r="J6" s="33">
        <v>44564</v>
      </c>
      <c r="K6" s="32" t="s">
        <v>9</v>
      </c>
      <c r="L6" s="34">
        <v>300</v>
      </c>
      <c r="M6" s="32" t="s">
        <v>20</v>
      </c>
      <c r="N6" s="35" t="s">
        <v>41</v>
      </c>
      <c r="O6" s="32"/>
      <c r="Q6" s="10" t="s">
        <v>55</v>
      </c>
      <c r="R6" s="10" t="s">
        <v>14</v>
      </c>
      <c r="S6" s="39">
        <f>SUMIF(表1_44[Name],R6,表1_44[Current])</f>
        <v>1000</v>
      </c>
    </row>
    <row r="7" spans="1:19" x14ac:dyDescent="0.2">
      <c r="A7" s="9">
        <v>5</v>
      </c>
      <c r="B7" s="10" t="s">
        <v>1</v>
      </c>
      <c r="C7" s="10" t="s">
        <v>10</v>
      </c>
      <c r="D7" s="16">
        <v>0</v>
      </c>
      <c r="E7" s="16">
        <f>SUMIF(表1_355[In],表1_44[[#This Row],[Name]],表1_355[Flow])-SUMIF(表1_355[Out],表1_44[[#This Row],[Name]],表1_355[Flow])</f>
        <v>0</v>
      </c>
      <c r="F7" s="16">
        <f>表1_44[[#This Row],[Balance]]+E7</f>
        <v>0</v>
      </c>
      <c r="H7" s="31">
        <v>2201005</v>
      </c>
      <c r="I7" s="32" t="s">
        <v>42</v>
      </c>
      <c r="J7" s="33">
        <v>44569</v>
      </c>
      <c r="K7" s="32" t="s">
        <v>16</v>
      </c>
      <c r="L7" s="34">
        <v>68</v>
      </c>
      <c r="M7" s="32" t="s">
        <v>6</v>
      </c>
      <c r="N7" s="35" t="s">
        <v>43</v>
      </c>
      <c r="O7" s="32"/>
      <c r="Q7" s="10" t="s">
        <v>55</v>
      </c>
      <c r="R7" s="10" t="s">
        <v>20</v>
      </c>
      <c r="S7" s="39">
        <f>SUMIF(表1_44[Name],R7,表1_44[Current])</f>
        <v>300</v>
      </c>
    </row>
    <row r="8" spans="1:19" x14ac:dyDescent="0.2">
      <c r="A8" s="9">
        <v>6</v>
      </c>
      <c r="B8" s="10" t="s">
        <v>11</v>
      </c>
      <c r="C8" s="10" t="s">
        <v>12</v>
      </c>
      <c r="D8" s="16">
        <v>0</v>
      </c>
      <c r="E8" s="16">
        <f>SUMIF(表1_355[In],表1_44[[#This Row],[Name]],表1_355[Flow])-SUMIF(表1_355[Out],表1_44[[#This Row],[Name]],表1_355[Flow])</f>
        <v>0</v>
      </c>
      <c r="F8" s="16">
        <f>表1_44[[#This Row],[Balance]]+E8</f>
        <v>0</v>
      </c>
      <c r="H8" s="31">
        <v>2201006</v>
      </c>
      <c r="I8" s="32" t="s">
        <v>44</v>
      </c>
      <c r="J8" s="33">
        <v>44580</v>
      </c>
      <c r="K8" s="32" t="s">
        <v>18</v>
      </c>
      <c r="L8" s="34">
        <v>180</v>
      </c>
      <c r="M8" s="32" t="s">
        <v>6</v>
      </c>
      <c r="N8" s="35" t="s">
        <v>45</v>
      </c>
      <c r="O8" s="32"/>
      <c r="Q8" s="10" t="s">
        <v>56</v>
      </c>
      <c r="R8" s="10" t="s">
        <v>18</v>
      </c>
      <c r="S8" s="39">
        <f>SUMIF(表1_44[Name],R8,表1_44[Current])</f>
        <v>-345</v>
      </c>
    </row>
    <row r="9" spans="1:19" x14ac:dyDescent="0.2">
      <c r="A9" s="9">
        <v>7</v>
      </c>
      <c r="B9" s="10" t="s">
        <v>13</v>
      </c>
      <c r="C9" s="10" t="s">
        <v>14</v>
      </c>
      <c r="D9" s="16">
        <v>0</v>
      </c>
      <c r="E9" s="16">
        <f>SUMIF(表1_355[In],表1_44[[#This Row],[Name]],表1_355[Flow])-SUMIF(表1_355[Out],表1_44[[#This Row],[Name]],表1_355[Flow])</f>
        <v>1000</v>
      </c>
      <c r="F9" s="16">
        <f>表1_44[[#This Row],[Balance]]+E9</f>
        <v>1000</v>
      </c>
      <c r="H9" s="31">
        <v>2201007</v>
      </c>
      <c r="I9" s="32" t="s">
        <v>46</v>
      </c>
      <c r="J9" s="33">
        <v>44592</v>
      </c>
      <c r="K9" s="32" t="s">
        <v>18</v>
      </c>
      <c r="L9" s="34">
        <v>165</v>
      </c>
      <c r="M9" s="32" t="s">
        <v>6</v>
      </c>
      <c r="N9" s="35" t="s">
        <v>47</v>
      </c>
      <c r="O9" s="32"/>
      <c r="Q9" s="10" t="s">
        <v>56</v>
      </c>
      <c r="R9" s="10" t="s">
        <v>16</v>
      </c>
      <c r="S9" s="39">
        <f>SUMIF(表1_44[Name],R9,表1_44[Current])</f>
        <v>-68</v>
      </c>
    </row>
    <row r="10" spans="1:19" x14ac:dyDescent="0.2">
      <c r="A10" s="9">
        <v>8</v>
      </c>
      <c r="B10" s="10" t="s">
        <v>15</v>
      </c>
      <c r="C10" s="10" t="s">
        <v>16</v>
      </c>
      <c r="D10" s="16">
        <v>0</v>
      </c>
      <c r="E10" s="16">
        <f>SUMIF(表1_355[In],表1_44[[#This Row],[Name]],表1_355[Flow])-SUMIF(表1_355[Out],表1_44[[#This Row],[Name]],表1_355[Flow])</f>
        <v>-68</v>
      </c>
      <c r="F10" s="16">
        <f>表1_44[[#This Row],[Balance]]+E10</f>
        <v>-68</v>
      </c>
      <c r="H10" s="31">
        <v>2201008</v>
      </c>
      <c r="I10" s="32" t="s">
        <v>48</v>
      </c>
      <c r="J10" s="33">
        <v>44592</v>
      </c>
      <c r="K10" s="32" t="s">
        <v>12</v>
      </c>
      <c r="L10" s="34">
        <v>1000</v>
      </c>
      <c r="M10" s="32" t="s">
        <v>6</v>
      </c>
      <c r="N10" s="35" t="s">
        <v>48</v>
      </c>
      <c r="O10" s="32"/>
      <c r="Q10" s="11" t="s">
        <v>56</v>
      </c>
      <c r="R10" s="11" t="s">
        <v>21</v>
      </c>
      <c r="S10" s="40">
        <f>SUMIF(表1_44[Name],R10,表1_44[Current])</f>
        <v>0</v>
      </c>
    </row>
    <row r="11" spans="1:19" x14ac:dyDescent="0.2">
      <c r="A11" s="9">
        <v>9</v>
      </c>
      <c r="B11" s="10" t="s">
        <v>17</v>
      </c>
      <c r="C11" s="10" t="s">
        <v>18</v>
      </c>
      <c r="D11" s="16">
        <v>0</v>
      </c>
      <c r="E11" s="16">
        <f>SUMIF(表1_355[In],表1_44[[#This Row],[Name]],表1_355[Flow])-SUMIF(表1_355[Out],表1_44[[#This Row],[Name]],表1_355[Flow])</f>
        <v>-345</v>
      </c>
      <c r="F11" s="16">
        <f>表1_44[[#This Row],[Balance]]+E11</f>
        <v>-345</v>
      </c>
      <c r="H11" s="31"/>
      <c r="I11" s="32"/>
      <c r="J11" s="33"/>
      <c r="K11" s="32"/>
      <c r="L11" s="34"/>
      <c r="M11" s="32"/>
      <c r="N11" s="35"/>
      <c r="O11" s="32"/>
      <c r="Q11" s="38" t="s">
        <v>57</v>
      </c>
      <c r="R11" s="38"/>
      <c r="S11" s="41">
        <f>SUBTOTAL(109,Table2[金额])</f>
        <v>1587</v>
      </c>
    </row>
    <row r="12" spans="1:19" x14ac:dyDescent="0.2">
      <c r="A12" s="9">
        <v>10</v>
      </c>
      <c r="B12" s="10" t="s">
        <v>19</v>
      </c>
      <c r="C12" s="10" t="s">
        <v>20</v>
      </c>
      <c r="D12" s="16">
        <v>0</v>
      </c>
      <c r="E12" s="16">
        <f>SUMIF(表1_355[In],表1_44[[#This Row],[Name]],表1_355[Flow])-SUMIF(表1_355[Out],表1_44[[#This Row],[Name]],表1_355[Flow])</f>
        <v>300</v>
      </c>
      <c r="F12" s="16">
        <f>表1_44[[#This Row],[Balance]]+E12</f>
        <v>300</v>
      </c>
      <c r="H12" s="31"/>
      <c r="I12" s="32"/>
      <c r="J12" s="33"/>
      <c r="K12" s="32"/>
      <c r="L12" s="34"/>
      <c r="M12" s="32"/>
      <c r="N12" s="35"/>
      <c r="O12" s="32"/>
      <c r="Q12" s="25"/>
      <c r="R12" s="25"/>
      <c r="S12" s="40"/>
    </row>
    <row r="13" spans="1:19" x14ac:dyDescent="0.2">
      <c r="A13" s="9">
        <v>11</v>
      </c>
      <c r="B13" s="10"/>
      <c r="C13" s="10" t="s">
        <v>4</v>
      </c>
      <c r="D13" s="16">
        <v>0</v>
      </c>
      <c r="E13" s="16">
        <f>SUMIF(表1_355[In],表1_44[[#This Row],[Name]],表1_355[Flow])-SUMIF(表1_355[Out],表1_44[[#This Row],[Name]],表1_355[Flow])</f>
        <v>0</v>
      </c>
      <c r="F13" s="16">
        <f>表1_44[[#This Row],[Balance]]+E13</f>
        <v>0</v>
      </c>
      <c r="H13" s="22" t="s">
        <v>5</v>
      </c>
      <c r="I13" s="12">
        <f>SUBTOTAL(103,表1_355[Label])</f>
        <v>8</v>
      </c>
      <c r="J13" s="4">
        <f>SUBTOTAL(103,表1_355[Date])</f>
        <v>8</v>
      </c>
      <c r="K13" s="12">
        <f>SUBTOTAL(103,表1_355[Out])</f>
        <v>8</v>
      </c>
      <c r="L13" s="23">
        <f>SUBTOTAL(109,表1_355[Flow])</f>
        <v>6713</v>
      </c>
      <c r="M13" s="12">
        <f>SUBTOTAL(103,表1_355[In])</f>
        <v>8</v>
      </c>
      <c r="N13" s="12">
        <f>SUBTOTAL(103,表1_355[Note])</f>
        <v>8</v>
      </c>
      <c r="O13" s="12">
        <f>SUBTOTAL(103,表1_355[Comment])</f>
        <v>0</v>
      </c>
      <c r="Q13" s="25"/>
      <c r="R13" s="25"/>
    </row>
    <row r="14" spans="1:19" x14ac:dyDescent="0.2">
      <c r="A14" s="28">
        <v>12</v>
      </c>
      <c r="B14" s="11"/>
      <c r="C14" s="11" t="s">
        <v>21</v>
      </c>
      <c r="D14" s="16">
        <v>0</v>
      </c>
      <c r="E14" s="16">
        <f>SUMIF(表1_355[In],表1_44[[#This Row],[Name]],表1_355[Flow])-SUMIF(表1_355[Out],表1_44[[#This Row],[Name]],表1_355[Flow])</f>
        <v>0</v>
      </c>
      <c r="F14" s="16">
        <f>表1_44[[#This Row],[Balance]]+E14</f>
        <v>0</v>
      </c>
      <c r="Q14" s="25"/>
      <c r="R14" s="25"/>
    </row>
    <row r="15" spans="1:19" x14ac:dyDescent="0.2">
      <c r="A15" s="13" t="s">
        <v>2</v>
      </c>
      <c r="B15" s="14">
        <f>SUBTOTAL(103,表1_44[Label])</f>
        <v>7</v>
      </c>
      <c r="C15" s="14">
        <f>SUBTOTAL(103,表1_44[Name])</f>
        <v>12</v>
      </c>
      <c r="D15" s="15">
        <f>SUBTOTAL(109,表1_44[Balance])</f>
        <v>0</v>
      </c>
      <c r="E15" s="30">
        <f>SUBTOTAL(109,表1_44[Flowing])</f>
        <v>0</v>
      </c>
      <c r="F15" s="30">
        <f>SUBTOTAL(109,表1_44[Current])</f>
        <v>0</v>
      </c>
      <c r="Q15" s="25"/>
      <c r="R15" s="25"/>
    </row>
  </sheetData>
  <mergeCells count="3">
    <mergeCell ref="A1:F1"/>
    <mergeCell ref="H1:O1"/>
    <mergeCell ref="Q1:S1"/>
  </mergeCells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92A6-DE4C-4E4B-8117-0B0AACB1E063}">
  <dimension ref="A1:S15"/>
  <sheetViews>
    <sheetView showGridLines="0" workbookViewId="0">
      <selection activeCell="F3" sqref="F3:F14"/>
    </sheetView>
  </sheetViews>
  <sheetFormatPr defaultRowHeight="13.5" x14ac:dyDescent="0.2"/>
  <cols>
    <col min="1" max="1" width="5.25" style="1" bestFit="1" customWidth="1"/>
    <col min="2" max="2" width="19.75" style="1" bestFit="1" customWidth="1"/>
    <col min="3" max="3" width="9.875" style="2" bestFit="1" customWidth="1"/>
    <col min="4" max="6" width="8.125" style="1" bestFit="1" customWidth="1"/>
    <col min="7" max="7" width="3" style="1" customWidth="1"/>
    <col min="8" max="8" width="6.75" style="1" bestFit="1" customWidth="1"/>
    <col min="9" max="9" width="10.125" style="1" bestFit="1" customWidth="1"/>
    <col min="10" max="10" width="7.25" style="1" bestFit="1" customWidth="1"/>
    <col min="11" max="11" width="9.25" style="1" bestFit="1" customWidth="1"/>
    <col min="12" max="12" width="7.5" style="1" bestFit="1" customWidth="1"/>
    <col min="13" max="13" width="9.875" style="1" bestFit="1" customWidth="1"/>
    <col min="14" max="14" width="10.5" style="1" bestFit="1" customWidth="1"/>
    <col min="15" max="15" width="7.875" style="1" bestFit="1" customWidth="1"/>
    <col min="16" max="16" width="2.875" style="1" customWidth="1"/>
    <col min="17" max="17" width="6.25" style="1" bestFit="1" customWidth="1"/>
    <col min="18" max="18" width="9.875" style="1" bestFit="1" customWidth="1"/>
    <col min="19" max="19" width="7.75" style="1" bestFit="1" customWidth="1"/>
    <col min="20" max="16384" width="9" style="1"/>
  </cols>
  <sheetData>
    <row r="1" spans="1:19" x14ac:dyDescent="0.2">
      <c r="A1" s="36" t="s">
        <v>49</v>
      </c>
      <c r="B1" s="36"/>
      <c r="C1" s="36"/>
      <c r="D1" s="36"/>
      <c r="E1" s="36"/>
      <c r="F1" s="36"/>
      <c r="H1" s="36" t="s">
        <v>50</v>
      </c>
      <c r="I1" s="36"/>
      <c r="J1" s="36"/>
      <c r="K1" s="36"/>
      <c r="L1" s="36"/>
      <c r="M1" s="36"/>
      <c r="N1" s="36"/>
      <c r="O1" s="36"/>
      <c r="Q1" s="36" t="s">
        <v>51</v>
      </c>
      <c r="R1" s="36"/>
      <c r="S1" s="36"/>
    </row>
    <row r="2" spans="1:19" s="25" customFormat="1" ht="13.5" customHeight="1" x14ac:dyDescent="0.2">
      <c r="A2" s="17" t="s">
        <v>22</v>
      </c>
      <c r="B2" s="18" t="s">
        <v>23</v>
      </c>
      <c r="C2" s="18" t="s">
        <v>24</v>
      </c>
      <c r="D2" s="19" t="s">
        <v>25</v>
      </c>
      <c r="E2" s="17" t="s">
        <v>29</v>
      </c>
      <c r="F2" s="17" t="s">
        <v>30</v>
      </c>
      <c r="H2" s="20" t="s">
        <v>3</v>
      </c>
      <c r="I2" s="12" t="s">
        <v>23</v>
      </c>
      <c r="J2" s="4" t="s">
        <v>31</v>
      </c>
      <c r="K2" s="12" t="s">
        <v>32</v>
      </c>
      <c r="L2" s="2" t="s">
        <v>33</v>
      </c>
      <c r="M2" s="12" t="s">
        <v>34</v>
      </c>
      <c r="N2" s="1" t="s">
        <v>26</v>
      </c>
      <c r="O2" s="12" t="s">
        <v>27</v>
      </c>
      <c r="Q2" s="18" t="s">
        <v>52</v>
      </c>
      <c r="R2" s="18" t="s">
        <v>53</v>
      </c>
      <c r="S2" s="19" t="s">
        <v>54</v>
      </c>
    </row>
    <row r="3" spans="1:19" x14ac:dyDescent="0.2">
      <c r="A3" s="5">
        <v>1</v>
      </c>
      <c r="B3" s="6"/>
      <c r="C3" s="6" t="s">
        <v>0</v>
      </c>
      <c r="D3" s="16">
        <v>-3000</v>
      </c>
      <c r="E3" s="16">
        <f>SUMIF(表1_3557[In],表1_446[[#This Row],[Name]],表1_3557[Flow])-SUMIF(表1_3557[Out],表1_446[[#This Row],[Name]],表1_3557[Flow])</f>
        <v>-3000</v>
      </c>
      <c r="F3" s="16">
        <f>表1_446[[#This Row],[Balance]]+E3</f>
        <v>-6000</v>
      </c>
      <c r="H3" s="20">
        <v>2202001</v>
      </c>
      <c r="I3" s="12" t="s">
        <v>35</v>
      </c>
      <c r="J3" s="21">
        <v>44593</v>
      </c>
      <c r="K3" s="12" t="s">
        <v>0</v>
      </c>
      <c r="L3" s="3">
        <v>3000</v>
      </c>
      <c r="M3" s="12" t="s">
        <v>9</v>
      </c>
      <c r="N3" s="1" t="s">
        <v>35</v>
      </c>
      <c r="O3" s="12"/>
      <c r="Q3" s="37" t="s">
        <v>55</v>
      </c>
      <c r="R3" s="37" t="s">
        <v>9</v>
      </c>
      <c r="S3" s="39">
        <f>SUMIF(表1_446[Name],R3,表1_446[Current])</f>
        <v>500</v>
      </c>
    </row>
    <row r="4" spans="1:19" ht="13.5" customHeight="1" x14ac:dyDescent="0.2">
      <c r="A4" s="9">
        <v>2</v>
      </c>
      <c r="B4" s="10"/>
      <c r="C4" s="10" t="s">
        <v>6</v>
      </c>
      <c r="D4" s="16">
        <v>1413</v>
      </c>
      <c r="E4" s="16">
        <f>SUMIF(表1_3557[In],表1_446[[#This Row],[Name]],表1_3557[Flow])-SUMIF(表1_3557[Out],表1_446[[#This Row],[Name]],表1_3557[Flow])</f>
        <v>1687</v>
      </c>
      <c r="F4" s="16">
        <f>表1_446[[#This Row],[Balance]]+E4</f>
        <v>3100</v>
      </c>
      <c r="H4" s="20">
        <v>2202002</v>
      </c>
      <c r="I4" s="12" t="s">
        <v>36</v>
      </c>
      <c r="J4" s="21">
        <v>44593</v>
      </c>
      <c r="K4" s="12" t="s">
        <v>9</v>
      </c>
      <c r="L4" s="3">
        <v>1000</v>
      </c>
      <c r="M4" s="12" t="s">
        <v>12</v>
      </c>
      <c r="N4" s="1" t="s">
        <v>37</v>
      </c>
      <c r="O4" s="12"/>
      <c r="Q4" s="10" t="s">
        <v>55</v>
      </c>
      <c r="R4" s="10" t="s">
        <v>10</v>
      </c>
      <c r="S4" s="39">
        <f>SUMIF(表1_446[Name],R4,表1_446[Current])</f>
        <v>0</v>
      </c>
    </row>
    <row r="5" spans="1:19" x14ac:dyDescent="0.2">
      <c r="A5" s="9">
        <v>3</v>
      </c>
      <c r="B5" s="10"/>
      <c r="C5" s="10" t="s">
        <v>7</v>
      </c>
      <c r="D5" s="16">
        <v>0</v>
      </c>
      <c r="E5" s="16">
        <f>SUMIF(表1_3557[In],表1_446[[#This Row],[Name]],表1_3557[Flow])-SUMIF(表1_3557[Out],表1_446[[#This Row],[Name]],表1_3557[Flow])</f>
        <v>0</v>
      </c>
      <c r="F5" s="16">
        <f>表1_446[[#This Row],[Balance]]+E5</f>
        <v>0</v>
      </c>
      <c r="H5" s="31">
        <v>2202003</v>
      </c>
      <c r="I5" s="32" t="s">
        <v>38</v>
      </c>
      <c r="J5" s="33">
        <v>44593</v>
      </c>
      <c r="K5" s="32" t="s">
        <v>9</v>
      </c>
      <c r="L5" s="34">
        <v>2000</v>
      </c>
      <c r="M5" s="32" t="s">
        <v>14</v>
      </c>
      <c r="N5" s="35" t="s">
        <v>39</v>
      </c>
      <c r="O5" s="32"/>
      <c r="Q5" s="10" t="s">
        <v>55</v>
      </c>
      <c r="R5" s="10" t="s">
        <v>12</v>
      </c>
      <c r="S5" s="39">
        <f>SUMIF(表1_446[Name],R5,表1_446[Current])</f>
        <v>-413</v>
      </c>
    </row>
    <row r="6" spans="1:19" x14ac:dyDescent="0.2">
      <c r="A6" s="9">
        <v>4</v>
      </c>
      <c r="B6" s="10" t="s">
        <v>8</v>
      </c>
      <c r="C6" s="10" t="s">
        <v>9</v>
      </c>
      <c r="D6" s="16">
        <v>700</v>
      </c>
      <c r="E6" s="16">
        <f>SUMIF(表1_3557[In],表1_446[[#This Row],[Name]],表1_3557[Flow])-SUMIF(表1_3557[Out],表1_446[[#This Row],[Name]],表1_3557[Flow])</f>
        <v>-200</v>
      </c>
      <c r="F6" s="16">
        <f>表1_446[[#This Row],[Balance]]+E6</f>
        <v>500</v>
      </c>
      <c r="H6" s="31">
        <v>2202004</v>
      </c>
      <c r="I6" s="32" t="s">
        <v>40</v>
      </c>
      <c r="J6" s="33">
        <v>44593</v>
      </c>
      <c r="K6" s="32" t="s">
        <v>9</v>
      </c>
      <c r="L6" s="34">
        <v>200</v>
      </c>
      <c r="M6" s="32" t="s">
        <v>20</v>
      </c>
      <c r="N6" s="35" t="s">
        <v>41</v>
      </c>
      <c r="O6" s="32"/>
      <c r="Q6" s="10" t="s">
        <v>55</v>
      </c>
      <c r="R6" s="10" t="s">
        <v>14</v>
      </c>
      <c r="S6" s="39">
        <f>SUMIF(表1_446[Name],R6,表1_446[Current])</f>
        <v>3000</v>
      </c>
    </row>
    <row r="7" spans="1:19" x14ac:dyDescent="0.2">
      <c r="A7" s="9">
        <v>5</v>
      </c>
      <c r="B7" s="10" t="s">
        <v>1</v>
      </c>
      <c r="C7" s="10" t="s">
        <v>10</v>
      </c>
      <c r="D7" s="16">
        <v>0</v>
      </c>
      <c r="E7" s="16">
        <f>SUMIF(表1_3557[In],表1_446[[#This Row],[Name]],表1_3557[Flow])-SUMIF(表1_3557[Out],表1_446[[#This Row],[Name]],表1_3557[Flow])</f>
        <v>0</v>
      </c>
      <c r="F7" s="16">
        <f>表1_446[[#This Row],[Balance]]+E7</f>
        <v>0</v>
      </c>
      <c r="H7" s="31">
        <v>2202005</v>
      </c>
      <c r="I7" s="32" t="s">
        <v>58</v>
      </c>
      <c r="J7" s="33">
        <v>44597</v>
      </c>
      <c r="K7" s="32" t="s">
        <v>20</v>
      </c>
      <c r="L7" s="34">
        <v>89</v>
      </c>
      <c r="M7" s="32" t="s">
        <v>6</v>
      </c>
      <c r="N7" s="35" t="s">
        <v>59</v>
      </c>
      <c r="O7" s="32"/>
      <c r="Q7" s="10" t="s">
        <v>55</v>
      </c>
      <c r="R7" s="10" t="s">
        <v>20</v>
      </c>
      <c r="S7" s="39">
        <f>SUMIF(表1_446[Name],R7,表1_446[Current])</f>
        <v>61</v>
      </c>
    </row>
    <row r="8" spans="1:19" x14ac:dyDescent="0.2">
      <c r="A8" s="9">
        <v>6</v>
      </c>
      <c r="B8" s="10" t="s">
        <v>11</v>
      </c>
      <c r="C8" s="10" t="s">
        <v>12</v>
      </c>
      <c r="D8" s="16">
        <v>0</v>
      </c>
      <c r="E8" s="16">
        <f>SUMIF(表1_3557[In],表1_446[[#This Row],[Name]],表1_3557[Flow])-SUMIF(表1_3557[Out],表1_446[[#This Row],[Name]],表1_3557[Flow])</f>
        <v>-413</v>
      </c>
      <c r="F8" s="16">
        <f>表1_446[[#This Row],[Balance]]+E8</f>
        <v>-413</v>
      </c>
      <c r="H8" s="31">
        <v>2202006</v>
      </c>
      <c r="I8" s="32" t="s">
        <v>42</v>
      </c>
      <c r="J8" s="33">
        <v>44600</v>
      </c>
      <c r="K8" s="32" t="s">
        <v>16</v>
      </c>
      <c r="L8" s="34">
        <v>76</v>
      </c>
      <c r="M8" s="32" t="s">
        <v>6</v>
      </c>
      <c r="N8" s="35" t="s">
        <v>43</v>
      </c>
      <c r="O8" s="32"/>
      <c r="Q8" s="10" t="s">
        <v>56</v>
      </c>
      <c r="R8" s="10" t="s">
        <v>18</v>
      </c>
      <c r="S8" s="39">
        <f>SUMIF(表1_446[Name],R8,表1_446[Current])</f>
        <v>0</v>
      </c>
    </row>
    <row r="9" spans="1:19" x14ac:dyDescent="0.2">
      <c r="A9" s="9">
        <v>7</v>
      </c>
      <c r="B9" s="10" t="s">
        <v>13</v>
      </c>
      <c r="C9" s="10" t="s">
        <v>14</v>
      </c>
      <c r="D9" s="16">
        <v>1000</v>
      </c>
      <c r="E9" s="16">
        <f>SUMIF(表1_3557[In],表1_446[[#This Row],[Name]],表1_3557[Flow])-SUMIF(表1_3557[Out],表1_446[[#This Row],[Name]],表1_3557[Flow])</f>
        <v>2000</v>
      </c>
      <c r="F9" s="16">
        <f>表1_446[[#This Row],[Balance]]+E9</f>
        <v>3000</v>
      </c>
      <c r="H9" s="31">
        <v>2202007</v>
      </c>
      <c r="I9" s="32" t="s">
        <v>60</v>
      </c>
      <c r="J9" s="33">
        <v>44607</v>
      </c>
      <c r="K9" s="32" t="s">
        <v>16</v>
      </c>
      <c r="L9" s="34">
        <v>172</v>
      </c>
      <c r="M9" s="32" t="s">
        <v>6</v>
      </c>
      <c r="N9" s="35" t="s">
        <v>60</v>
      </c>
      <c r="O9" s="32"/>
      <c r="Q9" s="10" t="s">
        <v>56</v>
      </c>
      <c r="R9" s="10" t="s">
        <v>16</v>
      </c>
      <c r="S9" s="39">
        <f>SUMIF(表1_446[Name],R9,表1_446[Current])</f>
        <v>-248</v>
      </c>
    </row>
    <row r="10" spans="1:19" x14ac:dyDescent="0.2">
      <c r="A10" s="9">
        <v>8</v>
      </c>
      <c r="B10" s="10" t="s">
        <v>15</v>
      </c>
      <c r="C10" s="10" t="s">
        <v>16</v>
      </c>
      <c r="D10" s="16">
        <v>-68</v>
      </c>
      <c r="E10" s="16">
        <f>SUMIF(表1_3557[In],表1_446[[#This Row],[Name]],表1_3557[Flow])-SUMIF(表1_3557[Out],表1_446[[#This Row],[Name]],表1_3557[Flow])</f>
        <v>-180</v>
      </c>
      <c r="F10" s="16">
        <f>表1_446[[#This Row],[Balance]]+E10</f>
        <v>-248</v>
      </c>
      <c r="H10" s="31">
        <v>2202008</v>
      </c>
      <c r="I10" s="32" t="s">
        <v>61</v>
      </c>
      <c r="J10" s="33">
        <v>44611</v>
      </c>
      <c r="K10" s="32" t="s">
        <v>20</v>
      </c>
      <c r="L10" s="34">
        <v>350</v>
      </c>
      <c r="M10" s="32" t="s">
        <v>6</v>
      </c>
      <c r="N10" s="35" t="s">
        <v>61</v>
      </c>
      <c r="O10" s="32"/>
      <c r="Q10" s="11" t="s">
        <v>56</v>
      </c>
      <c r="R10" s="11" t="s">
        <v>21</v>
      </c>
      <c r="S10" s="40">
        <f>SUMIF(表1_446[Name],R10,表1_446[Current])</f>
        <v>0</v>
      </c>
    </row>
    <row r="11" spans="1:19" x14ac:dyDescent="0.2">
      <c r="A11" s="9">
        <v>9</v>
      </c>
      <c r="B11" s="10" t="s">
        <v>17</v>
      </c>
      <c r="C11" s="10" t="s">
        <v>18</v>
      </c>
      <c r="D11" s="16">
        <v>-345</v>
      </c>
      <c r="E11" s="16">
        <f>SUMIF(表1_3557[In],表1_446[[#This Row],[Name]],表1_3557[Flow])-SUMIF(表1_3557[Out],表1_446[[#This Row],[Name]],表1_3557[Flow])</f>
        <v>345</v>
      </c>
      <c r="F11" s="16">
        <f>表1_446[[#This Row],[Balance]]+E11</f>
        <v>0</v>
      </c>
      <c r="H11" s="31">
        <v>2202009</v>
      </c>
      <c r="I11" s="32" t="s">
        <v>62</v>
      </c>
      <c r="J11" s="33">
        <v>44612</v>
      </c>
      <c r="K11" s="32" t="s">
        <v>12</v>
      </c>
      <c r="L11" s="34">
        <v>345</v>
      </c>
      <c r="M11" s="32" t="s">
        <v>18</v>
      </c>
      <c r="N11" s="35" t="s">
        <v>62</v>
      </c>
      <c r="O11" s="32"/>
      <c r="Q11" s="38" t="s">
        <v>57</v>
      </c>
      <c r="R11" s="38"/>
      <c r="S11" s="41">
        <f>SUBTOTAL(109,Table28[金额])</f>
        <v>2900</v>
      </c>
    </row>
    <row r="12" spans="1:19" x14ac:dyDescent="0.2">
      <c r="A12" s="9">
        <v>10</v>
      </c>
      <c r="B12" s="10" t="s">
        <v>19</v>
      </c>
      <c r="C12" s="10" t="s">
        <v>20</v>
      </c>
      <c r="D12" s="16">
        <v>300</v>
      </c>
      <c r="E12" s="16">
        <f>SUMIF(表1_3557[In],表1_446[[#This Row],[Name]],表1_3557[Flow])-SUMIF(表1_3557[Out],表1_446[[#This Row],[Name]],表1_3557[Flow])</f>
        <v>-239</v>
      </c>
      <c r="F12" s="16">
        <f>表1_446[[#This Row],[Balance]]+E12</f>
        <v>61</v>
      </c>
      <c r="H12" s="31">
        <v>2202010</v>
      </c>
      <c r="I12" s="32" t="s">
        <v>62</v>
      </c>
      <c r="J12" s="33">
        <v>44617</v>
      </c>
      <c r="K12" s="32" t="s">
        <v>12</v>
      </c>
      <c r="L12" s="34">
        <v>68</v>
      </c>
      <c r="M12" s="32" t="s">
        <v>16</v>
      </c>
      <c r="N12" s="35" t="s">
        <v>62</v>
      </c>
      <c r="O12" s="32"/>
      <c r="Q12" s="25"/>
      <c r="R12" s="25"/>
      <c r="S12" s="40"/>
    </row>
    <row r="13" spans="1:19" x14ac:dyDescent="0.2">
      <c r="A13" s="9">
        <v>11</v>
      </c>
      <c r="B13" s="10"/>
      <c r="C13" s="10" t="s">
        <v>4</v>
      </c>
      <c r="D13" s="16">
        <v>0</v>
      </c>
      <c r="E13" s="16">
        <f>SUMIF(表1_3557[In],表1_446[[#This Row],[Name]],表1_3557[Flow])-SUMIF(表1_3557[Out],表1_446[[#This Row],[Name]],表1_3557[Flow])</f>
        <v>0</v>
      </c>
      <c r="F13" s="16">
        <f>表1_446[[#This Row],[Balance]]+E13</f>
        <v>0</v>
      </c>
      <c r="H13" s="31">
        <v>2202011</v>
      </c>
      <c r="I13" s="32" t="s">
        <v>48</v>
      </c>
      <c r="J13" s="33">
        <v>44620</v>
      </c>
      <c r="K13" s="32" t="s">
        <v>12</v>
      </c>
      <c r="L13" s="34">
        <v>1000</v>
      </c>
      <c r="M13" s="32" t="s">
        <v>6</v>
      </c>
      <c r="N13" s="35" t="s">
        <v>48</v>
      </c>
      <c r="O13" s="32"/>
      <c r="Q13" s="25"/>
      <c r="R13" s="25"/>
    </row>
    <row r="14" spans="1:19" x14ac:dyDescent="0.2">
      <c r="A14" s="28">
        <v>12</v>
      </c>
      <c r="B14" s="11"/>
      <c r="C14" s="11" t="s">
        <v>21</v>
      </c>
      <c r="D14" s="16">
        <v>0</v>
      </c>
      <c r="E14" s="16">
        <f>SUMIF(表1_3557[In],表1_446[[#This Row],[Name]],表1_3557[Flow])-SUMIF(表1_3557[Out],表1_446[[#This Row],[Name]],表1_3557[Flow])</f>
        <v>0</v>
      </c>
      <c r="F14" s="16">
        <f>表1_446[[#This Row],[Balance]]+E14</f>
        <v>0</v>
      </c>
      <c r="H14" s="22" t="s">
        <v>5</v>
      </c>
      <c r="I14" s="12">
        <f>SUBTOTAL(103,表1_3557[Label])</f>
        <v>11</v>
      </c>
      <c r="J14" s="4">
        <f>SUBTOTAL(103,表1_3557[Date])</f>
        <v>11</v>
      </c>
      <c r="K14" s="12">
        <f>SUBTOTAL(103,表1_3557[Out])</f>
        <v>11</v>
      </c>
      <c r="L14" s="23">
        <f>SUBTOTAL(109,表1_3557[Flow])</f>
        <v>8300</v>
      </c>
      <c r="M14" s="12">
        <f>SUBTOTAL(103,表1_3557[In])</f>
        <v>11</v>
      </c>
      <c r="N14" s="12">
        <f>SUBTOTAL(103,表1_3557[Note])</f>
        <v>11</v>
      </c>
      <c r="O14" s="12">
        <f>SUBTOTAL(103,表1_3557[Comment])</f>
        <v>0</v>
      </c>
      <c r="Q14" s="25"/>
      <c r="R14" s="25"/>
    </row>
    <row r="15" spans="1:19" x14ac:dyDescent="0.2">
      <c r="A15" s="13" t="s">
        <v>2</v>
      </c>
      <c r="B15" s="14">
        <f>SUBTOTAL(103,表1_446[Label])</f>
        <v>7</v>
      </c>
      <c r="C15" s="14">
        <f>SUBTOTAL(103,表1_446[Name])</f>
        <v>12</v>
      </c>
      <c r="D15" s="15">
        <f>SUBTOTAL(109,表1_446[Balance])</f>
        <v>0</v>
      </c>
      <c r="E15" s="30">
        <f>SUBTOTAL(109,表1_446[Flowing])</f>
        <v>0</v>
      </c>
      <c r="F15" s="30">
        <f>SUBTOTAL(109,表1_446[Current])</f>
        <v>0</v>
      </c>
      <c r="Q15" s="25"/>
      <c r="R15" s="25"/>
    </row>
  </sheetData>
  <mergeCells count="3">
    <mergeCell ref="A1:F1"/>
    <mergeCell ref="H1:O1"/>
    <mergeCell ref="Q1:S1"/>
  </mergeCells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203A-2D10-4FED-91EC-E8C3CFA2926C}">
  <dimension ref="A1:S15"/>
  <sheetViews>
    <sheetView showGridLines="0" tabSelected="1" workbookViewId="0">
      <selection activeCell="D19" sqref="D19"/>
    </sheetView>
  </sheetViews>
  <sheetFormatPr defaultRowHeight="13.5" x14ac:dyDescent="0.2"/>
  <cols>
    <col min="1" max="1" width="5.25" style="1" bestFit="1" customWidth="1"/>
    <col min="2" max="2" width="19.75" style="1" bestFit="1" customWidth="1"/>
    <col min="3" max="3" width="9.875" style="2" bestFit="1" customWidth="1"/>
    <col min="4" max="6" width="8.125" style="1" bestFit="1" customWidth="1"/>
    <col min="7" max="7" width="3" style="1" customWidth="1"/>
    <col min="8" max="8" width="6.75" style="1" bestFit="1" customWidth="1"/>
    <col min="9" max="9" width="10.125" style="1" bestFit="1" customWidth="1"/>
    <col min="10" max="10" width="7.25" style="1" bestFit="1" customWidth="1"/>
    <col min="11" max="11" width="9.25" style="1" bestFit="1" customWidth="1"/>
    <col min="12" max="12" width="7.5" style="1" bestFit="1" customWidth="1"/>
    <col min="13" max="13" width="9.875" style="1" bestFit="1" customWidth="1"/>
    <col min="14" max="14" width="10.5" style="1" bestFit="1" customWidth="1"/>
    <col min="15" max="15" width="7.875" style="1" bestFit="1" customWidth="1"/>
    <col min="16" max="16" width="2.875" style="1" customWidth="1"/>
    <col min="17" max="17" width="6.25" style="1" bestFit="1" customWidth="1"/>
    <col min="18" max="18" width="9.875" style="1" bestFit="1" customWidth="1"/>
    <col min="19" max="19" width="7.75" style="1" bestFit="1" customWidth="1"/>
    <col min="20" max="16384" width="9" style="1"/>
  </cols>
  <sheetData>
    <row r="1" spans="1:19" x14ac:dyDescent="0.2">
      <c r="A1" s="36" t="s">
        <v>49</v>
      </c>
      <c r="B1" s="36"/>
      <c r="C1" s="36"/>
      <c r="D1" s="36"/>
      <c r="E1" s="36"/>
      <c r="F1" s="36"/>
      <c r="H1" s="36" t="s">
        <v>50</v>
      </c>
      <c r="I1" s="36"/>
      <c r="J1" s="36"/>
      <c r="K1" s="36"/>
      <c r="L1" s="36"/>
      <c r="M1" s="36"/>
      <c r="N1" s="36"/>
      <c r="O1" s="36"/>
      <c r="Q1" s="36" t="s">
        <v>51</v>
      </c>
      <c r="R1" s="36"/>
      <c r="S1" s="36"/>
    </row>
    <row r="2" spans="1:19" s="25" customFormat="1" ht="13.5" customHeight="1" x14ac:dyDescent="0.2">
      <c r="A2" s="17" t="s">
        <v>22</v>
      </c>
      <c r="B2" s="18" t="s">
        <v>23</v>
      </c>
      <c r="C2" s="18" t="s">
        <v>24</v>
      </c>
      <c r="D2" s="19" t="s">
        <v>25</v>
      </c>
      <c r="E2" s="17" t="s">
        <v>29</v>
      </c>
      <c r="F2" s="17" t="s">
        <v>30</v>
      </c>
      <c r="H2" s="20" t="s">
        <v>3</v>
      </c>
      <c r="I2" s="12" t="s">
        <v>23</v>
      </c>
      <c r="J2" s="4" t="s">
        <v>31</v>
      </c>
      <c r="K2" s="12" t="s">
        <v>32</v>
      </c>
      <c r="L2" s="2" t="s">
        <v>33</v>
      </c>
      <c r="M2" s="12" t="s">
        <v>34</v>
      </c>
      <c r="N2" s="1" t="s">
        <v>26</v>
      </c>
      <c r="O2" s="12" t="s">
        <v>27</v>
      </c>
      <c r="Q2" s="18" t="s">
        <v>52</v>
      </c>
      <c r="R2" s="18" t="s">
        <v>53</v>
      </c>
      <c r="S2" s="19" t="s">
        <v>54</v>
      </c>
    </row>
    <row r="3" spans="1:19" x14ac:dyDescent="0.2">
      <c r="A3" s="5">
        <v>1</v>
      </c>
      <c r="B3" s="6"/>
      <c r="C3" s="6" t="s">
        <v>0</v>
      </c>
      <c r="D3" s="16">
        <v>-6000</v>
      </c>
      <c r="E3" s="16">
        <f>SUMIF(表1_355710[In],表1_4469[[#This Row],[Name]],表1_355710[Flow])-SUMIF(表1_355710[Out],表1_4469[[#This Row],[Name]],表1_355710[Flow])</f>
        <v>-3000</v>
      </c>
      <c r="F3" s="16">
        <f>表1_4469[[#This Row],[Balance]]+E3</f>
        <v>-9000</v>
      </c>
      <c r="H3" s="20">
        <v>2203001</v>
      </c>
      <c r="I3" s="12" t="s">
        <v>35</v>
      </c>
      <c r="J3" s="21">
        <v>44621</v>
      </c>
      <c r="K3" s="12" t="s">
        <v>0</v>
      </c>
      <c r="L3" s="3">
        <v>3000</v>
      </c>
      <c r="M3" s="12" t="s">
        <v>9</v>
      </c>
      <c r="N3" s="1" t="s">
        <v>35</v>
      </c>
      <c r="O3" s="12"/>
      <c r="Q3" s="37" t="s">
        <v>55</v>
      </c>
      <c r="R3" s="37" t="s">
        <v>9</v>
      </c>
      <c r="S3" s="39">
        <f>SUMIF(表1_4469[Name],R3,表1_4469[Current])</f>
        <v>500</v>
      </c>
    </row>
    <row r="4" spans="1:19" ht="13.5" customHeight="1" x14ac:dyDescent="0.2">
      <c r="A4" s="9">
        <v>2</v>
      </c>
      <c r="B4" s="10"/>
      <c r="C4" s="10" t="s">
        <v>6</v>
      </c>
      <c r="D4" s="16">
        <v>3100</v>
      </c>
      <c r="E4" s="16">
        <f>SUMIF(表1_355710[In],表1_4469[[#This Row],[Name]],表1_355710[Flow])-SUMIF(表1_355710[Out],表1_4469[[#This Row],[Name]],表1_355710[Flow])</f>
        <v>1445</v>
      </c>
      <c r="F4" s="16">
        <f>表1_4469[[#This Row],[Balance]]+E4</f>
        <v>4545</v>
      </c>
      <c r="H4" s="20">
        <v>2203002</v>
      </c>
      <c r="I4" s="12" t="s">
        <v>36</v>
      </c>
      <c r="J4" s="21">
        <v>44623</v>
      </c>
      <c r="K4" s="12" t="s">
        <v>9</v>
      </c>
      <c r="L4" s="3">
        <v>1000</v>
      </c>
      <c r="M4" s="12" t="s">
        <v>12</v>
      </c>
      <c r="N4" s="1" t="s">
        <v>37</v>
      </c>
      <c r="O4" s="12"/>
      <c r="Q4" s="10" t="s">
        <v>55</v>
      </c>
      <c r="R4" s="10" t="s">
        <v>10</v>
      </c>
      <c r="S4" s="39">
        <f>SUMIF(表1_4469[Name],R4,表1_4469[Current])</f>
        <v>0</v>
      </c>
    </row>
    <row r="5" spans="1:19" x14ac:dyDescent="0.2">
      <c r="A5" s="9">
        <v>3</v>
      </c>
      <c r="B5" s="10"/>
      <c r="C5" s="10" t="s">
        <v>7</v>
      </c>
      <c r="D5" s="16">
        <v>0</v>
      </c>
      <c r="E5" s="16">
        <f>SUMIF(表1_355710[In],表1_4469[[#This Row],[Name]],表1_355710[Flow])-SUMIF(表1_355710[Out],表1_4469[[#This Row],[Name]],表1_355710[Flow])</f>
        <v>0</v>
      </c>
      <c r="F5" s="16">
        <f>表1_4469[[#This Row],[Balance]]+E5</f>
        <v>0</v>
      </c>
      <c r="H5" s="31">
        <v>2203003</v>
      </c>
      <c r="I5" s="32" t="s">
        <v>38</v>
      </c>
      <c r="J5" s="33">
        <v>44623</v>
      </c>
      <c r="K5" s="32" t="s">
        <v>9</v>
      </c>
      <c r="L5" s="34">
        <v>2000</v>
      </c>
      <c r="M5" s="32" t="s">
        <v>14</v>
      </c>
      <c r="N5" s="35" t="s">
        <v>39</v>
      </c>
      <c r="O5" s="32"/>
      <c r="Q5" s="10" t="s">
        <v>55</v>
      </c>
      <c r="R5" s="10" t="s">
        <v>12</v>
      </c>
      <c r="S5" s="39">
        <f>SUMIF(表1_4469[Name],R5,表1_4469[Current])</f>
        <v>-661</v>
      </c>
    </row>
    <row r="6" spans="1:19" x14ac:dyDescent="0.2">
      <c r="A6" s="9">
        <v>4</v>
      </c>
      <c r="B6" s="10" t="s">
        <v>8</v>
      </c>
      <c r="C6" s="10" t="s">
        <v>9</v>
      </c>
      <c r="D6" s="16">
        <v>500</v>
      </c>
      <c r="E6" s="16">
        <f>SUMIF(表1_355710[In],表1_4469[[#This Row],[Name]],表1_355710[Flow])-SUMIF(表1_355710[Out],表1_4469[[#This Row],[Name]],表1_355710[Flow])</f>
        <v>0</v>
      </c>
      <c r="F6" s="16">
        <f>表1_4469[[#This Row],[Balance]]+E6</f>
        <v>500</v>
      </c>
      <c r="H6" s="31">
        <v>2203004</v>
      </c>
      <c r="I6" s="32" t="s">
        <v>42</v>
      </c>
      <c r="J6" s="33">
        <v>44628</v>
      </c>
      <c r="K6" s="32" t="s">
        <v>16</v>
      </c>
      <c r="L6" s="34">
        <v>63</v>
      </c>
      <c r="M6" s="32" t="s">
        <v>6</v>
      </c>
      <c r="N6" s="35" t="s">
        <v>43</v>
      </c>
      <c r="O6" s="32"/>
      <c r="Q6" s="10" t="s">
        <v>55</v>
      </c>
      <c r="R6" s="10" t="s">
        <v>14</v>
      </c>
      <c r="S6" s="39">
        <f>SUMIF(表1_4469[Name],R6,表1_4469[Current])</f>
        <v>5000</v>
      </c>
    </row>
    <row r="7" spans="1:19" x14ac:dyDescent="0.2">
      <c r="A7" s="9">
        <v>5</v>
      </c>
      <c r="B7" s="10" t="s">
        <v>1</v>
      </c>
      <c r="C7" s="10" t="s">
        <v>10</v>
      </c>
      <c r="D7" s="16">
        <v>0</v>
      </c>
      <c r="E7" s="16">
        <f>SUMIF(表1_355710[In],表1_4469[[#This Row],[Name]],表1_355710[Flow])-SUMIF(表1_355710[Out],表1_4469[[#This Row],[Name]],表1_355710[Flow])</f>
        <v>0</v>
      </c>
      <c r="F7" s="16">
        <f>表1_4469[[#This Row],[Balance]]+E7</f>
        <v>0</v>
      </c>
      <c r="H7" s="31">
        <v>2203005</v>
      </c>
      <c r="I7" s="32" t="s">
        <v>63</v>
      </c>
      <c r="J7" s="33">
        <v>44635</v>
      </c>
      <c r="K7" s="32" t="s">
        <v>16</v>
      </c>
      <c r="L7" s="34">
        <v>382</v>
      </c>
      <c r="M7" s="32" t="s">
        <v>6</v>
      </c>
      <c r="N7" s="35" t="s">
        <v>63</v>
      </c>
      <c r="O7" s="32"/>
      <c r="Q7" s="10" t="s">
        <v>55</v>
      </c>
      <c r="R7" s="10" t="s">
        <v>20</v>
      </c>
      <c r="S7" s="39">
        <f>SUMIF(表1_4469[Name],R7,表1_4469[Current])</f>
        <v>61</v>
      </c>
    </row>
    <row r="8" spans="1:19" x14ac:dyDescent="0.2">
      <c r="A8" s="9">
        <v>6</v>
      </c>
      <c r="B8" s="10" t="s">
        <v>11</v>
      </c>
      <c r="C8" s="10" t="s">
        <v>12</v>
      </c>
      <c r="D8" s="16">
        <v>-413</v>
      </c>
      <c r="E8" s="16">
        <f>SUMIF(表1_355710[In],表1_4469[[#This Row],[Name]],表1_355710[Flow])-SUMIF(表1_355710[Out],表1_4469[[#This Row],[Name]],表1_355710[Flow])</f>
        <v>-248</v>
      </c>
      <c r="F8" s="16">
        <f>表1_4469[[#This Row],[Balance]]+E8</f>
        <v>-661</v>
      </c>
      <c r="H8" s="31">
        <v>2203006</v>
      </c>
      <c r="I8" s="32" t="s">
        <v>62</v>
      </c>
      <c r="J8" s="33">
        <v>44645</v>
      </c>
      <c r="K8" s="32" t="s">
        <v>12</v>
      </c>
      <c r="L8" s="34">
        <v>248</v>
      </c>
      <c r="M8" s="32" t="s">
        <v>16</v>
      </c>
      <c r="N8" s="35" t="s">
        <v>62</v>
      </c>
      <c r="O8" s="32"/>
      <c r="Q8" s="10" t="s">
        <v>56</v>
      </c>
      <c r="R8" s="10" t="s">
        <v>18</v>
      </c>
      <c r="S8" s="39">
        <f>SUMIF(表1_4469[Name],R8,表1_4469[Current])</f>
        <v>0</v>
      </c>
    </row>
    <row r="9" spans="1:19" x14ac:dyDescent="0.2">
      <c r="A9" s="9">
        <v>7</v>
      </c>
      <c r="B9" s="10" t="s">
        <v>13</v>
      </c>
      <c r="C9" s="10" t="s">
        <v>14</v>
      </c>
      <c r="D9" s="16">
        <v>3000</v>
      </c>
      <c r="E9" s="16">
        <f>SUMIF(表1_355710[In],表1_4469[[#This Row],[Name]],表1_355710[Flow])-SUMIF(表1_355710[Out],表1_4469[[#This Row],[Name]],表1_355710[Flow])</f>
        <v>2000</v>
      </c>
      <c r="F9" s="16">
        <f>表1_4469[[#This Row],[Balance]]+E9</f>
        <v>5000</v>
      </c>
      <c r="H9" s="31">
        <v>2203007</v>
      </c>
      <c r="I9" s="32" t="s">
        <v>48</v>
      </c>
      <c r="J9" s="33">
        <v>44651</v>
      </c>
      <c r="K9" s="32" t="s">
        <v>12</v>
      </c>
      <c r="L9" s="34">
        <v>1000</v>
      </c>
      <c r="M9" s="32" t="s">
        <v>6</v>
      </c>
      <c r="N9" s="35" t="s">
        <v>48</v>
      </c>
      <c r="O9" s="32"/>
      <c r="Q9" s="10" t="s">
        <v>56</v>
      </c>
      <c r="R9" s="10" t="s">
        <v>16</v>
      </c>
      <c r="S9" s="39">
        <f>SUMIF(表1_4469[Name],R9,表1_4469[Current])</f>
        <v>-445</v>
      </c>
    </row>
    <row r="10" spans="1:19" x14ac:dyDescent="0.2">
      <c r="A10" s="9">
        <v>8</v>
      </c>
      <c r="B10" s="10" t="s">
        <v>15</v>
      </c>
      <c r="C10" s="10" t="s">
        <v>16</v>
      </c>
      <c r="D10" s="16">
        <v>-248</v>
      </c>
      <c r="E10" s="16">
        <f>SUMIF(表1_355710[In],表1_4469[[#This Row],[Name]],表1_355710[Flow])-SUMIF(表1_355710[Out],表1_4469[[#This Row],[Name]],表1_355710[Flow])</f>
        <v>-197</v>
      </c>
      <c r="F10" s="16">
        <f>表1_4469[[#This Row],[Balance]]+E10</f>
        <v>-445</v>
      </c>
      <c r="H10" s="31"/>
      <c r="I10" s="32"/>
      <c r="J10" s="33"/>
      <c r="K10" s="32"/>
      <c r="L10" s="34"/>
      <c r="M10" s="32"/>
      <c r="N10" s="35"/>
      <c r="O10" s="32"/>
      <c r="Q10" s="11" t="s">
        <v>56</v>
      </c>
      <c r="R10" s="11" t="s">
        <v>21</v>
      </c>
      <c r="S10" s="40">
        <f>SUMIF(表1_4469[Name],R10,表1_4469[Current])</f>
        <v>0</v>
      </c>
    </row>
    <row r="11" spans="1:19" x14ac:dyDescent="0.2">
      <c r="A11" s="9">
        <v>9</v>
      </c>
      <c r="B11" s="10" t="s">
        <v>17</v>
      </c>
      <c r="C11" s="10" t="s">
        <v>18</v>
      </c>
      <c r="D11" s="16">
        <v>0</v>
      </c>
      <c r="E11" s="16">
        <f>SUMIF(表1_355710[In],表1_4469[[#This Row],[Name]],表1_355710[Flow])-SUMIF(表1_355710[Out],表1_4469[[#This Row],[Name]],表1_355710[Flow])</f>
        <v>0</v>
      </c>
      <c r="F11" s="16">
        <f>表1_4469[[#This Row],[Balance]]+E11</f>
        <v>0</v>
      </c>
      <c r="H11" s="31"/>
      <c r="I11" s="32"/>
      <c r="J11" s="33"/>
      <c r="K11" s="32"/>
      <c r="L11" s="34"/>
      <c r="M11" s="32"/>
      <c r="N11" s="35"/>
      <c r="O11" s="32"/>
      <c r="Q11" s="38" t="s">
        <v>57</v>
      </c>
      <c r="R11" s="38"/>
      <c r="S11" s="41">
        <f>SUBTOTAL(109,Table2811[金额])</f>
        <v>4455</v>
      </c>
    </row>
    <row r="12" spans="1:19" x14ac:dyDescent="0.2">
      <c r="A12" s="9">
        <v>10</v>
      </c>
      <c r="B12" s="10" t="s">
        <v>19</v>
      </c>
      <c r="C12" s="10" t="s">
        <v>20</v>
      </c>
      <c r="D12" s="16">
        <v>61</v>
      </c>
      <c r="E12" s="16">
        <f>SUMIF(表1_355710[In],表1_4469[[#This Row],[Name]],表1_355710[Flow])-SUMIF(表1_355710[Out],表1_4469[[#This Row],[Name]],表1_355710[Flow])</f>
        <v>0</v>
      </c>
      <c r="F12" s="16">
        <f>表1_4469[[#This Row],[Balance]]+E12</f>
        <v>61</v>
      </c>
      <c r="H12" s="31"/>
      <c r="I12" s="32"/>
      <c r="J12" s="33"/>
      <c r="K12" s="32"/>
      <c r="L12" s="34"/>
      <c r="M12" s="32"/>
      <c r="N12" s="35"/>
      <c r="O12" s="32"/>
      <c r="Q12" s="25"/>
      <c r="R12" s="25"/>
      <c r="S12" s="40"/>
    </row>
    <row r="13" spans="1:19" x14ac:dyDescent="0.2">
      <c r="A13" s="9">
        <v>11</v>
      </c>
      <c r="B13" s="10"/>
      <c r="C13" s="10" t="s">
        <v>4</v>
      </c>
      <c r="D13" s="16">
        <v>0</v>
      </c>
      <c r="E13" s="16">
        <f>SUMIF(表1_355710[In],表1_4469[[#This Row],[Name]],表1_355710[Flow])-SUMIF(表1_355710[Out],表1_4469[[#This Row],[Name]],表1_355710[Flow])</f>
        <v>0</v>
      </c>
      <c r="F13" s="16">
        <f>表1_4469[[#This Row],[Balance]]+E13</f>
        <v>0</v>
      </c>
      <c r="H13" s="31"/>
      <c r="I13" s="32"/>
      <c r="J13" s="33"/>
      <c r="K13" s="32"/>
      <c r="L13" s="34"/>
      <c r="M13" s="32"/>
      <c r="N13" s="35"/>
      <c r="O13" s="32"/>
      <c r="Q13" s="25"/>
      <c r="R13" s="25"/>
    </row>
    <row r="14" spans="1:19" x14ac:dyDescent="0.2">
      <c r="A14" s="28">
        <v>12</v>
      </c>
      <c r="B14" s="11"/>
      <c r="C14" s="11" t="s">
        <v>21</v>
      </c>
      <c r="D14" s="16">
        <v>0</v>
      </c>
      <c r="E14" s="16">
        <f>SUMIF(表1_355710[In],表1_4469[[#This Row],[Name]],表1_355710[Flow])-SUMIF(表1_355710[Out],表1_4469[[#This Row],[Name]],表1_355710[Flow])</f>
        <v>0</v>
      </c>
      <c r="F14" s="16">
        <f>表1_4469[[#This Row],[Balance]]+E14</f>
        <v>0</v>
      </c>
      <c r="H14" s="22" t="s">
        <v>5</v>
      </c>
      <c r="I14" s="12">
        <f>SUBTOTAL(103,表1_355710[Label])</f>
        <v>7</v>
      </c>
      <c r="J14" s="4">
        <f>SUBTOTAL(103,表1_355710[Date])</f>
        <v>7</v>
      </c>
      <c r="K14" s="12">
        <f>SUBTOTAL(103,表1_355710[Out])</f>
        <v>7</v>
      </c>
      <c r="L14" s="23">
        <f>SUBTOTAL(109,表1_355710[Flow])</f>
        <v>7693</v>
      </c>
      <c r="M14" s="12">
        <f>SUBTOTAL(103,表1_355710[In])</f>
        <v>7</v>
      </c>
      <c r="N14" s="12">
        <f>SUBTOTAL(103,表1_355710[Note])</f>
        <v>7</v>
      </c>
      <c r="O14" s="12">
        <f>SUBTOTAL(103,表1_355710[Comment])</f>
        <v>0</v>
      </c>
      <c r="Q14" s="25"/>
      <c r="R14" s="25"/>
    </row>
    <row r="15" spans="1:19" x14ac:dyDescent="0.2">
      <c r="A15" s="13" t="s">
        <v>2</v>
      </c>
      <c r="B15" s="14">
        <f>SUBTOTAL(103,表1_4469[Label])</f>
        <v>7</v>
      </c>
      <c r="C15" s="14">
        <f>SUBTOTAL(103,表1_4469[Name])</f>
        <v>12</v>
      </c>
      <c r="D15" s="15">
        <f>SUBTOTAL(109,表1_4469[Balance])</f>
        <v>0</v>
      </c>
      <c r="E15" s="30">
        <f>SUBTOTAL(109,表1_4469[Flowing])</f>
        <v>0</v>
      </c>
      <c r="F15" s="30">
        <f>SUBTOTAL(109,表1_4469[Current])</f>
        <v>0</v>
      </c>
      <c r="Q15" s="25"/>
      <c r="R15" s="25"/>
    </row>
  </sheetData>
  <mergeCells count="3">
    <mergeCell ref="A1:F1"/>
    <mergeCell ref="H1:O1"/>
    <mergeCell ref="Q1:S1"/>
  </mergeCells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账户状态</vt:lpstr>
      <vt:lpstr>交易记录 1月</vt:lpstr>
      <vt:lpstr>交易记录 2月</vt:lpstr>
      <vt:lpstr>交易记录 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xt3</dc:creator>
  <cp:lastModifiedBy>xt3</cp:lastModifiedBy>
  <dcterms:created xsi:type="dcterms:W3CDTF">2022-08-25T11:20:08Z</dcterms:created>
  <dcterms:modified xsi:type="dcterms:W3CDTF">2022-08-25T12:03:33Z</dcterms:modified>
</cp:coreProperties>
</file>