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ABE281C-C4AB-4B5A-9156-B4391AB2DCE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8" i="1" l="1"/>
  <c r="E18" i="1"/>
  <c r="F18" i="1" s="1"/>
  <c r="K18" i="1"/>
  <c r="I18" i="1"/>
  <c r="K14" i="1"/>
  <c r="O14" i="1"/>
  <c r="W13" i="1"/>
  <c r="O13" i="1"/>
  <c r="K13" i="1"/>
  <c r="I13" i="1"/>
  <c r="AD18" i="1"/>
  <c r="AC18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W9" i="1"/>
  <c r="K9" i="1"/>
  <c r="I9" i="1"/>
  <c r="O9" i="1"/>
  <c r="W8" i="1"/>
  <c r="W7" i="1"/>
  <c r="O8" i="1"/>
  <c r="O7" i="1"/>
  <c r="K8" i="1"/>
  <c r="I8" i="1"/>
  <c r="T12" i="1"/>
  <c r="S12" i="1"/>
  <c r="V12" i="1" s="1"/>
  <c r="W12" i="1" s="1"/>
  <c r="W5" i="1"/>
  <c r="O5" i="1"/>
  <c r="R4" i="1"/>
  <c r="V3" i="1"/>
  <c r="F4" i="1"/>
  <c r="O12" i="1"/>
  <c r="O11" i="1"/>
  <c r="O10" i="1"/>
  <c r="O6" i="1"/>
  <c r="P1" i="1"/>
  <c r="P3" i="1" s="1"/>
  <c r="O3" i="1"/>
  <c r="I7" i="1"/>
  <c r="I5" i="1"/>
  <c r="I4" i="1"/>
  <c r="I3" i="1"/>
  <c r="F3" i="1"/>
  <c r="F12" i="1"/>
  <c r="K12" i="1"/>
  <c r="H12" i="1"/>
  <c r="I12" i="1" s="1"/>
  <c r="K11" i="1"/>
  <c r="I11" i="1"/>
  <c r="F11" i="1"/>
  <c r="K3" i="1"/>
  <c r="K4" i="1"/>
  <c r="K5" i="1"/>
  <c r="K10" i="1"/>
  <c r="K7" i="1"/>
  <c r="I10" i="1"/>
  <c r="F6" i="1"/>
  <c r="F10" i="1"/>
  <c r="K6" i="1"/>
  <c r="I6" i="1"/>
  <c r="P14" i="1" l="1"/>
  <c r="P13" i="1"/>
  <c r="P9" i="1"/>
  <c r="P8" i="1"/>
  <c r="P7" i="1"/>
  <c r="P6" i="1"/>
  <c r="P10" i="1"/>
  <c r="P11" i="1"/>
  <c r="P5" i="1"/>
  <c r="P4" i="1"/>
  <c r="P12" i="1"/>
</calcChain>
</file>

<file path=xl/sharedStrings.xml><?xml version="1.0" encoding="utf-8"?>
<sst xmlns="http://schemas.openxmlformats.org/spreadsheetml/2006/main" count="55" uniqueCount="53">
  <si>
    <t>Name</t>
  </si>
  <si>
    <t>Dash</t>
  </si>
  <si>
    <t>Zcoin</t>
  </si>
  <si>
    <t>Pivx</t>
  </si>
  <si>
    <t>Lux</t>
  </si>
  <si>
    <t>Paid Rewards</t>
  </si>
  <si>
    <t>Active Nodes</t>
  </si>
  <si>
    <t>Reward Frequency</t>
  </si>
  <si>
    <t>Coin Locked</t>
  </si>
  <si>
    <t>Required</t>
  </si>
  <si>
    <t>Required % Of Suppy</t>
  </si>
  <si>
    <t>Worth</t>
  </si>
  <si>
    <t>ROI %</t>
  </si>
  <si>
    <t>ROI DAYS</t>
  </si>
  <si>
    <t>Locked %</t>
  </si>
  <si>
    <t>Supply</t>
  </si>
  <si>
    <t>Reward POS</t>
  </si>
  <si>
    <t>Reward MN</t>
  </si>
  <si>
    <t>Reward POW</t>
  </si>
  <si>
    <t>Note</t>
  </si>
  <si>
    <t>Block time</t>
  </si>
  <si>
    <t>Block is one of 3 types of rewards 0.2 of POS goes to MN</t>
  </si>
  <si>
    <t>ABS</t>
  </si>
  <si>
    <t>Old required was 1250</t>
  </si>
  <si>
    <t>Smartcash</t>
  </si>
  <si>
    <t>Interest is on untouched accounts</t>
  </si>
  <si>
    <t>Hempcoin</t>
  </si>
  <si>
    <t>Blockheight</t>
  </si>
  <si>
    <t>Calc Chain Age</t>
  </si>
  <si>
    <t>Approx Age</t>
  </si>
  <si>
    <t>POW Gets tx fees rewards decrease sliding</t>
  </si>
  <si>
    <t>Founder</t>
  </si>
  <si>
    <t>Block Reward</t>
  </si>
  <si>
    <t>Calc</t>
  </si>
  <si>
    <t>5000 * 143,500/BlockHeight (max of 5,000 block reward in any block)</t>
  </si>
  <si>
    <t>5 Dash, then gets reduced by ~7%/year, then 10% is set asside for treasury, then 50/50 cut for miners/MNs</t>
  </si>
  <si>
    <t>Genesis</t>
  </si>
  <si>
    <t>10 -&gt; 5</t>
  </si>
  <si>
    <t>0.95% /month</t>
  </si>
  <si>
    <t>Block time halved and rewards halved recently</t>
  </si>
  <si>
    <t>POW=MTP</t>
  </si>
  <si>
    <t>2 or 3</t>
  </si>
  <si>
    <t>zPIV stakes 3</t>
  </si>
  <si>
    <t>60K ununsed premine + 250 early blocks</t>
  </si>
  <si>
    <t>Zero</t>
  </si>
  <si>
    <t>Max. 36 THC per block (Always less due to burnt fees &amp; unused treasury)</t>
  </si>
  <si>
    <t>Decreasing</t>
  </si>
  <si>
    <t>Snowgem</t>
  </si>
  <si>
    <t>Zencash-42</t>
  </si>
  <si>
    <t>Zencash-500</t>
  </si>
  <si>
    <t>BTC</t>
  </si>
  <si>
    <t>Kalkulus</t>
  </si>
  <si>
    <t>Commercium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</si>
</sst>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6" formatCode="0.0000%"/>
    <numFmt numFmtId="168" formatCode="0.0"/>
    <numFmt numFmtId="171" formatCode="[$-409]mmmm\ d\,\ 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10" fontId="0" fillId="0" borderId="0" xfId="2" applyNumberFormat="1" applyFont="1"/>
    <xf numFmtId="166" fontId="0" fillId="0" borderId="0" xfId="2" applyNumberFormat="1" applyFont="1"/>
    <xf numFmtId="43" fontId="0" fillId="0" borderId="0" xfId="1" applyFont="1"/>
    <xf numFmtId="3" fontId="0" fillId="0" borderId="0" xfId="0" applyNumberFormat="1"/>
    <xf numFmtId="4" fontId="0" fillId="0" borderId="0" xfId="0" applyNumberFormat="1"/>
    <xf numFmtId="168" fontId="0" fillId="0" borderId="0" xfId="0" applyNumberFormat="1"/>
    <xf numFmtId="171" fontId="0" fillId="0" borderId="0" xfId="0" applyNumberFormat="1"/>
    <xf numFmtId="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"/>
  <sheetViews>
    <sheetView tabSelected="1" workbookViewId="0">
      <selection activeCell="M18" sqref="M18"/>
    </sheetView>
  </sheetViews>
  <sheetFormatPr defaultRowHeight="14.4" x14ac:dyDescent="0.3"/>
  <cols>
    <col min="2" max="2" width="11.5546875" customWidth="1"/>
    <col min="3" max="3" width="14.33203125" customWidth="1"/>
    <col min="4" max="4" width="13.6640625" bestFit="1" customWidth="1"/>
    <col min="5" max="5" width="11.6640625" bestFit="1" customWidth="1"/>
    <col min="6" max="6" width="16.109375" bestFit="1" customWidth="1"/>
    <col min="7" max="7" width="16.109375" customWidth="1"/>
    <col min="8" max="8" width="12.5546875" bestFit="1" customWidth="1"/>
    <col min="9" max="9" width="10.88671875" customWidth="1"/>
    <col min="11" max="11" width="9.77734375" customWidth="1"/>
    <col min="14" max="14" width="9.5546875" bestFit="1" customWidth="1"/>
    <col min="15" max="15" width="9.5546875" customWidth="1"/>
    <col min="16" max="16" width="15.88671875" bestFit="1" customWidth="1"/>
    <col min="17" max="17" width="17.33203125" bestFit="1" customWidth="1"/>
    <col min="18" max="18" width="15.88671875" customWidth="1"/>
    <col min="19" max="19" width="10.109375" customWidth="1"/>
    <col min="20" max="20" width="10.6640625" bestFit="1" customWidth="1"/>
    <col min="21" max="21" width="11.77734375" bestFit="1" customWidth="1"/>
    <col min="22" max="24" width="11.77734375" customWidth="1"/>
    <col min="26" max="26" width="12.5546875" bestFit="1" customWidth="1"/>
    <col min="27" max="28" width="11" bestFit="1" customWidth="1"/>
  </cols>
  <sheetData>
    <row r="1" spans="1:30" x14ac:dyDescent="0.3">
      <c r="P1" s="8">
        <f ca="1">TODAY()</f>
        <v>43489</v>
      </c>
    </row>
    <row r="2" spans="1:30" x14ac:dyDescent="0.3">
      <c r="A2" t="s">
        <v>0</v>
      </c>
      <c r="B2" t="s">
        <v>12</v>
      </c>
      <c r="C2" t="s">
        <v>13</v>
      </c>
      <c r="D2" t="s">
        <v>5</v>
      </c>
      <c r="E2" t="s">
        <v>6</v>
      </c>
      <c r="F2" t="s">
        <v>7</v>
      </c>
      <c r="G2" t="s">
        <v>15</v>
      </c>
      <c r="H2" t="s">
        <v>8</v>
      </c>
      <c r="I2" t="s">
        <v>14</v>
      </c>
      <c r="J2" t="s">
        <v>9</v>
      </c>
      <c r="K2" t="s">
        <v>10</v>
      </c>
      <c r="L2" t="s">
        <v>11</v>
      </c>
      <c r="M2" t="s">
        <v>27</v>
      </c>
      <c r="N2" t="s">
        <v>20</v>
      </c>
      <c r="O2" t="s">
        <v>28</v>
      </c>
      <c r="P2" t="s">
        <v>29</v>
      </c>
      <c r="Q2" t="s">
        <v>36</v>
      </c>
      <c r="R2" t="s">
        <v>32</v>
      </c>
      <c r="S2" t="s">
        <v>16</v>
      </c>
      <c r="T2" t="s">
        <v>17</v>
      </c>
      <c r="U2" t="s">
        <v>18</v>
      </c>
      <c r="V2" t="s">
        <v>31</v>
      </c>
      <c r="W2" t="s">
        <v>31</v>
      </c>
      <c r="X2" t="s">
        <v>33</v>
      </c>
      <c r="Y2" t="s">
        <v>19</v>
      </c>
      <c r="Z2" t="s">
        <v>50</v>
      </c>
      <c r="AA2">
        <v>-30</v>
      </c>
      <c r="AB2">
        <v>-90</v>
      </c>
    </row>
    <row r="3" spans="1:30" x14ac:dyDescent="0.3">
      <c r="A3" t="s">
        <v>1</v>
      </c>
      <c r="B3" s="2">
        <v>7.1300000000000002E-2</v>
      </c>
      <c r="C3">
        <v>5119</v>
      </c>
      <c r="D3" s="4">
        <v>913299.4</v>
      </c>
      <c r="E3">
        <v>4675</v>
      </c>
      <c r="F3" s="7">
        <f>8*24+23.5</f>
        <v>215.5</v>
      </c>
      <c r="G3" s="4">
        <v>8582856</v>
      </c>
      <c r="H3" s="4">
        <v>4675000</v>
      </c>
      <c r="I3" s="2">
        <f t="shared" ref="I3:I5" si="0">H3/G3</f>
        <v>0.54469048531164921</v>
      </c>
      <c r="J3" s="5">
        <v>1000</v>
      </c>
      <c r="K3" s="3">
        <f>J3/G3</f>
        <v>1.1651133375650249E-4</v>
      </c>
      <c r="L3">
        <v>19.73151</v>
      </c>
      <c r="M3" s="5">
        <v>1008808</v>
      </c>
      <c r="N3" s="6">
        <v>2.5</v>
      </c>
      <c r="O3" s="6">
        <f>M3*N3/(60*24)</f>
        <v>1751.4027777777778</v>
      </c>
      <c r="P3" s="6">
        <f ca="1">$P$1-Q3</f>
        <v>1831</v>
      </c>
      <c r="Q3" s="8">
        <v>41658</v>
      </c>
      <c r="R3" s="6">
        <v>3.71</v>
      </c>
      <c r="S3" s="6">
        <v>0</v>
      </c>
      <c r="T3" s="6">
        <v>1.6728720100000001</v>
      </c>
      <c r="U3" s="6">
        <v>1.6728720100000001</v>
      </c>
      <c r="V3" s="6">
        <f>R3*0.1</f>
        <v>0.371</v>
      </c>
      <c r="W3" s="1">
        <v>0.1</v>
      </c>
      <c r="X3" s="6" t="s">
        <v>35</v>
      </c>
      <c r="Y3" t="s">
        <v>30</v>
      </c>
      <c r="Z3">
        <v>2.0212419999999998E-2</v>
      </c>
      <c r="AA3">
        <v>2.2152999999999999E-2</v>
      </c>
      <c r="AB3">
        <v>2.37483E-2</v>
      </c>
      <c r="AC3" s="1">
        <f>($Z3-AA3)/$Z3</f>
        <v>-9.6009285379979284E-2</v>
      </c>
      <c r="AD3" s="1">
        <f>($Z3-AB3)/$Z3</f>
        <v>-0.17493600469414361</v>
      </c>
    </row>
    <row r="4" spans="1:30" x14ac:dyDescent="0.3">
      <c r="A4" t="s">
        <v>2</v>
      </c>
      <c r="B4" s="2">
        <v>0.1988</v>
      </c>
      <c r="C4">
        <v>1836</v>
      </c>
      <c r="D4" s="4">
        <v>2121250</v>
      </c>
      <c r="E4">
        <v>4062</v>
      </c>
      <c r="F4" s="7">
        <f>24*13+18.5</f>
        <v>330.5</v>
      </c>
      <c r="G4" s="4">
        <v>6151894</v>
      </c>
      <c r="H4" s="4">
        <v>4062000</v>
      </c>
      <c r="I4" s="2">
        <f t="shared" si="0"/>
        <v>0.66028445873742303</v>
      </c>
      <c r="J4" s="5">
        <v>1000</v>
      </c>
      <c r="K4" s="3">
        <f>J4/G4</f>
        <v>1.6255156542034047E-4</v>
      </c>
      <c r="L4">
        <v>1.4800500000000001</v>
      </c>
      <c r="M4" s="5">
        <v>129841</v>
      </c>
      <c r="N4" s="6" t="s">
        <v>37</v>
      </c>
      <c r="O4" s="6"/>
      <c r="P4" s="6">
        <f ca="1">$P$1-Q4</f>
        <v>849</v>
      </c>
      <c r="Q4" s="8">
        <v>42640</v>
      </c>
      <c r="R4" s="6">
        <f>7.5+14+1.5+0.5+0.5+0.5+0.5</f>
        <v>25</v>
      </c>
      <c r="S4" s="6"/>
      <c r="T4" s="6">
        <v>7.5</v>
      </c>
      <c r="U4" s="6">
        <v>14</v>
      </c>
      <c r="V4" s="6">
        <v>3.5</v>
      </c>
      <c r="W4" s="1">
        <v>0.14000000000000001</v>
      </c>
      <c r="X4" s="6" t="s">
        <v>40</v>
      </c>
      <c r="Y4" t="s">
        <v>39</v>
      </c>
      <c r="Z4">
        <v>1.48014E-3</v>
      </c>
      <c r="AA4">
        <v>1.38064E-3</v>
      </c>
      <c r="AB4">
        <v>1.5101800000000001E-3</v>
      </c>
      <c r="AC4" s="1">
        <f t="shared" ref="AC4:AC12" si="1">($Z4-AA4)/$Z4</f>
        <v>6.7223370762225176E-2</v>
      </c>
      <c r="AD4" s="1">
        <f t="shared" ref="AD4:AD12" si="2">($Z4-AB4)/$Z4</f>
        <v>-2.0295377464293957E-2</v>
      </c>
    </row>
    <row r="5" spans="1:30" x14ac:dyDescent="0.3">
      <c r="A5" t="s">
        <v>3</v>
      </c>
      <c r="B5" s="2">
        <v>0.12470000000000001</v>
      </c>
      <c r="C5">
        <v>2927</v>
      </c>
      <c r="D5" s="4">
        <v>600600</v>
      </c>
      <c r="E5">
        <v>1758</v>
      </c>
      <c r="F5" s="7">
        <v>20</v>
      </c>
      <c r="G5" s="4">
        <v>58759737</v>
      </c>
      <c r="H5">
        <v>17580000</v>
      </c>
      <c r="I5" s="2">
        <f t="shared" si="0"/>
        <v>0.29918445686712314</v>
      </c>
      <c r="J5" s="5">
        <v>10000</v>
      </c>
      <c r="K5" s="3">
        <f>J5/G5</f>
        <v>1.7018456022020658E-4</v>
      </c>
      <c r="L5">
        <v>2.06</v>
      </c>
      <c r="M5" s="5">
        <v>1602258</v>
      </c>
      <c r="N5" s="6">
        <v>1</v>
      </c>
      <c r="O5" s="6">
        <f>M5*N5/(60*24)</f>
        <v>1112.6791666666666</v>
      </c>
      <c r="P5" s="6">
        <f ca="1">$P$1-Q5</f>
        <v>1090</v>
      </c>
      <c r="Q5" s="8">
        <v>42399</v>
      </c>
      <c r="R5" s="6">
        <v>6</v>
      </c>
      <c r="S5" s="6" t="s">
        <v>41</v>
      </c>
      <c r="T5" s="6" t="s">
        <v>41</v>
      </c>
      <c r="U5" s="6">
        <v>0</v>
      </c>
      <c r="V5" s="6">
        <v>1</v>
      </c>
      <c r="W5" s="1">
        <f>V5/R5</f>
        <v>0.16666666666666666</v>
      </c>
      <c r="X5" s="6" t="s">
        <v>42</v>
      </c>
      <c r="Y5" t="s">
        <v>43</v>
      </c>
      <c r="Z5">
        <v>2.062E-4</v>
      </c>
      <c r="AA5">
        <v>1.5883E-4</v>
      </c>
      <c r="AB5">
        <v>2.1369999999999999E-4</v>
      </c>
      <c r="AC5" s="1">
        <f t="shared" si="1"/>
        <v>0.22972841901066926</v>
      </c>
      <c r="AD5" s="1">
        <f t="shared" si="2"/>
        <v>-3.6372453928224989E-2</v>
      </c>
    </row>
    <row r="6" spans="1:30" x14ac:dyDescent="0.3">
      <c r="A6" t="s">
        <v>4</v>
      </c>
      <c r="B6" s="2">
        <v>0.3075</v>
      </c>
      <c r="C6">
        <v>1187</v>
      </c>
      <c r="D6" s="4">
        <v>145320</v>
      </c>
      <c r="E6">
        <v>107</v>
      </c>
      <c r="F6" s="7">
        <f>24*0+2</f>
        <v>2</v>
      </c>
      <c r="G6" s="4">
        <v>6440902</v>
      </c>
      <c r="H6" s="4">
        <v>1724840</v>
      </c>
      <c r="I6" s="2">
        <f>H6/G6</f>
        <v>0.26779479023279656</v>
      </c>
      <c r="J6" s="5">
        <v>16120</v>
      </c>
      <c r="K6" s="3">
        <f>J6/G6</f>
        <v>2.5027550489046409E-3</v>
      </c>
      <c r="L6">
        <v>2.0935000000000001</v>
      </c>
      <c r="M6" s="5">
        <v>580112</v>
      </c>
      <c r="N6" s="6">
        <v>1</v>
      </c>
      <c r="O6" s="6">
        <f>M6*N6/(60*24)</f>
        <v>402.85555555555555</v>
      </c>
      <c r="P6" s="6">
        <f ca="1">$P$1-Q6</f>
        <v>471</v>
      </c>
      <c r="Q6" s="8">
        <v>43018</v>
      </c>
      <c r="R6" s="6"/>
      <c r="S6" s="6">
        <v>0.8</v>
      </c>
      <c r="T6" s="6">
        <v>2.2000000000000002</v>
      </c>
      <c r="U6" s="6">
        <v>8</v>
      </c>
      <c r="V6" s="6"/>
      <c r="W6" s="6"/>
      <c r="X6" s="6"/>
      <c r="Y6" t="s">
        <v>21</v>
      </c>
      <c r="Z6">
        <v>1.5302E-4</v>
      </c>
      <c r="AA6">
        <v>1.7003E-4</v>
      </c>
      <c r="AB6">
        <v>3.2671000000000002E-4</v>
      </c>
      <c r="AC6" s="1">
        <f t="shared" si="1"/>
        <v>-0.11116193961573652</v>
      </c>
      <c r="AD6" s="1">
        <f t="shared" si="2"/>
        <v>-1.1350803816494579</v>
      </c>
    </row>
    <row r="7" spans="1:30" x14ac:dyDescent="0.3">
      <c r="A7" t="s">
        <v>49</v>
      </c>
      <c r="B7" s="2">
        <v>0.19789999999999999</v>
      </c>
      <c r="C7">
        <v>1844</v>
      </c>
      <c r="D7" s="4">
        <v>727500</v>
      </c>
      <c r="E7">
        <v>2684</v>
      </c>
      <c r="F7" s="7">
        <v>24</v>
      </c>
      <c r="G7" s="4">
        <v>5647975</v>
      </c>
      <c r="H7" s="4">
        <v>1342000</v>
      </c>
      <c r="I7" s="2">
        <f t="shared" ref="I7:I9" si="3">H7/G7</f>
        <v>0.23760728402657591</v>
      </c>
      <c r="J7" s="5">
        <v>500</v>
      </c>
      <c r="K7" s="3">
        <f t="shared" ref="K7:K15" si="4">J7/G7</f>
        <v>8.8527304033746612E-5</v>
      </c>
      <c r="L7">
        <v>0.64575000000000005</v>
      </c>
      <c r="M7" s="5">
        <v>451839</v>
      </c>
      <c r="N7" s="6">
        <v>2.5</v>
      </c>
      <c r="O7" s="6">
        <f>M7*N7/(60*24)</f>
        <v>784.44270833333337</v>
      </c>
      <c r="P7" s="6">
        <f ca="1">$P$1-Q7</f>
        <v>809</v>
      </c>
      <c r="Q7" s="8">
        <v>42680</v>
      </c>
      <c r="R7" s="6">
        <v>12.5</v>
      </c>
      <c r="S7" s="6">
        <v>1.25</v>
      </c>
      <c r="T7" s="6">
        <v>1.25</v>
      </c>
      <c r="U7" s="6">
        <v>8.75</v>
      </c>
      <c r="V7" s="6">
        <v>1.25</v>
      </c>
      <c r="W7" s="1">
        <f>V7/R7</f>
        <v>0.1</v>
      </c>
      <c r="X7" s="6"/>
      <c r="Z7">
        <v>1.2682100000000001E-3</v>
      </c>
      <c r="AA7">
        <v>1.38532E-3</v>
      </c>
      <c r="AB7">
        <v>2.0998599999999998E-3</v>
      </c>
      <c r="AC7" s="1">
        <f t="shared" si="1"/>
        <v>-9.2342750806254412E-2</v>
      </c>
      <c r="AD7" s="1">
        <f t="shared" si="2"/>
        <v>-0.65576678941184796</v>
      </c>
    </row>
    <row r="8" spans="1:30" x14ac:dyDescent="0.3">
      <c r="A8" t="s">
        <v>48</v>
      </c>
      <c r="B8" s="2">
        <v>0.33910000000000001</v>
      </c>
      <c r="C8">
        <v>1076</v>
      </c>
      <c r="D8" s="4">
        <v>727500</v>
      </c>
      <c r="E8">
        <v>18642</v>
      </c>
      <c r="F8" s="7">
        <v>24</v>
      </c>
      <c r="G8" s="4">
        <v>5647975</v>
      </c>
      <c r="H8" s="4">
        <v>782964</v>
      </c>
      <c r="I8" s="2">
        <f t="shared" si="3"/>
        <v>0.13862738415095677</v>
      </c>
      <c r="J8" s="5">
        <v>42</v>
      </c>
      <c r="K8" s="3">
        <f t="shared" si="4"/>
        <v>7.4362935388347149E-6</v>
      </c>
      <c r="L8">
        <v>5.4239999999999997E-2</v>
      </c>
      <c r="M8" s="5">
        <v>451839</v>
      </c>
      <c r="N8" s="6">
        <v>2.5</v>
      </c>
      <c r="O8" s="6">
        <f>M8*N8/(60*24)</f>
        <v>784.44270833333337</v>
      </c>
      <c r="P8" s="6">
        <f ca="1">$P$1-Q8</f>
        <v>809</v>
      </c>
      <c r="Q8" s="8">
        <v>42680</v>
      </c>
      <c r="R8" s="6">
        <v>12.5</v>
      </c>
      <c r="S8" s="6">
        <v>1.25</v>
      </c>
      <c r="T8" s="6">
        <v>1.25</v>
      </c>
      <c r="U8" s="6">
        <v>8.75</v>
      </c>
      <c r="V8" s="6">
        <v>1.25</v>
      </c>
      <c r="W8" s="1">
        <f>V8/R8</f>
        <v>0.1</v>
      </c>
      <c r="X8" s="6"/>
      <c r="Z8">
        <v>1.2682100000000001E-3</v>
      </c>
      <c r="AA8">
        <v>1.38532E-3</v>
      </c>
      <c r="AB8">
        <v>2.0998599999999998E-3</v>
      </c>
      <c r="AC8" s="1">
        <f t="shared" si="1"/>
        <v>-9.2342750806254412E-2</v>
      </c>
      <c r="AD8" s="1">
        <f t="shared" si="2"/>
        <v>-0.65576678941184796</v>
      </c>
    </row>
    <row r="9" spans="1:30" x14ac:dyDescent="0.3">
      <c r="A9" t="s">
        <v>47</v>
      </c>
      <c r="B9" s="2">
        <v>0.71850000000000003</v>
      </c>
      <c r="C9">
        <v>506</v>
      </c>
      <c r="D9" s="4"/>
      <c r="E9">
        <v>652</v>
      </c>
      <c r="F9" s="7">
        <v>11</v>
      </c>
      <c r="G9" s="4">
        <v>11252611</v>
      </c>
      <c r="H9" s="4">
        <v>6520000</v>
      </c>
      <c r="I9" s="2">
        <f t="shared" si="3"/>
        <v>0.57942107836127987</v>
      </c>
      <c r="J9" s="5">
        <v>10000</v>
      </c>
      <c r="K9" s="3">
        <f t="shared" si="4"/>
        <v>8.8868263552343543E-4</v>
      </c>
      <c r="L9">
        <v>0.11</v>
      </c>
      <c r="M9" s="5">
        <v>565018</v>
      </c>
      <c r="N9" s="6">
        <v>1</v>
      </c>
      <c r="O9" s="6">
        <f>M9*N9/(60*24)</f>
        <v>392.37361111111113</v>
      </c>
      <c r="P9" s="6">
        <f ca="1">$P$1-Q9</f>
        <v>397</v>
      </c>
      <c r="Q9" s="8">
        <v>43092</v>
      </c>
      <c r="R9" s="6">
        <v>20</v>
      </c>
      <c r="S9" s="6">
        <v>0</v>
      </c>
      <c r="T9" s="6">
        <v>9</v>
      </c>
      <c r="U9" s="6">
        <v>9.4</v>
      </c>
      <c r="V9" s="6">
        <v>1.6</v>
      </c>
      <c r="W9" s="1">
        <f>V9/R9</f>
        <v>0.08</v>
      </c>
      <c r="X9" s="6"/>
      <c r="Z9">
        <v>1.1E-5</v>
      </c>
      <c r="AA9">
        <v>9.2299999999999997E-6</v>
      </c>
      <c r="AB9">
        <v>1.146E-5</v>
      </c>
      <c r="AC9" s="1">
        <f t="shared" si="1"/>
        <v>0.16090909090909092</v>
      </c>
      <c r="AD9" s="1">
        <f t="shared" si="2"/>
        <v>-4.1818181818181879E-2</v>
      </c>
    </row>
    <row r="10" spans="1:30" x14ac:dyDescent="0.3">
      <c r="A10" t="s">
        <v>22</v>
      </c>
      <c r="B10" s="2">
        <v>1.6043000000000001</v>
      </c>
      <c r="C10">
        <v>228</v>
      </c>
      <c r="D10" s="4">
        <v>2215200.2999999998</v>
      </c>
      <c r="E10">
        <v>2016</v>
      </c>
      <c r="F10" s="7">
        <f>24*2+4.5</f>
        <v>52.5</v>
      </c>
      <c r="G10" s="5">
        <v>9635114</v>
      </c>
      <c r="H10" s="5">
        <v>5040000</v>
      </c>
      <c r="I10" s="2">
        <f>H10/G10</f>
        <v>0.52308670141318514</v>
      </c>
      <c r="J10" s="5">
        <v>2500</v>
      </c>
      <c r="K10" s="3">
        <f t="shared" si="4"/>
        <v>2.5946760982796882E-4</v>
      </c>
      <c r="L10">
        <v>1.0500000000000001E-2</v>
      </c>
      <c r="M10" s="5">
        <v>312974</v>
      </c>
      <c r="N10" s="6">
        <v>2</v>
      </c>
      <c r="O10" s="6">
        <f>M10*N10/(60*24)</f>
        <v>434.68611111111113</v>
      </c>
      <c r="P10" s="6">
        <f ca="1">$P$1-Q10</f>
        <v>344</v>
      </c>
      <c r="Q10" s="8">
        <v>43145</v>
      </c>
      <c r="R10" s="6"/>
      <c r="S10" s="6">
        <v>0</v>
      </c>
      <c r="T10" s="6">
        <v>24</v>
      </c>
      <c r="U10" s="6">
        <v>6</v>
      </c>
      <c r="V10" s="6"/>
      <c r="W10" s="6"/>
      <c r="X10" s="6"/>
      <c r="Y10" t="s">
        <v>23</v>
      </c>
      <c r="Z10">
        <v>4.2200000000000003E-6</v>
      </c>
      <c r="AA10">
        <v>9.5400000000000001E-6</v>
      </c>
      <c r="AB10">
        <v>7.96E-6</v>
      </c>
      <c r="AC10" s="1">
        <f t="shared" si="1"/>
        <v>-1.2606635071090047</v>
      </c>
      <c r="AD10" s="1">
        <f t="shared" si="2"/>
        <v>-0.88625592417061605</v>
      </c>
    </row>
    <row r="11" spans="1:30" x14ac:dyDescent="0.3">
      <c r="A11" t="s">
        <v>24</v>
      </c>
      <c r="B11" s="2">
        <v>0.35489999999999999</v>
      </c>
      <c r="C11">
        <v>1028</v>
      </c>
      <c r="D11" s="4">
        <v>12532200</v>
      </c>
      <c r="E11">
        <v>12888</v>
      </c>
      <c r="F11" s="7">
        <f>1*24+17.4</f>
        <v>41.4</v>
      </c>
      <c r="G11" s="5">
        <v>2009886036</v>
      </c>
      <c r="H11" s="5">
        <v>1288800000</v>
      </c>
      <c r="I11" s="2">
        <f>H11/G11</f>
        <v>0.64123038665660947</v>
      </c>
      <c r="J11" s="5">
        <v>10000</v>
      </c>
      <c r="K11" s="3">
        <f t="shared" si="4"/>
        <v>4.9754064762306751E-6</v>
      </c>
      <c r="L11" s="5">
        <v>3.1800000000000002E-2</v>
      </c>
      <c r="M11" s="5">
        <v>857245</v>
      </c>
      <c r="N11" s="6">
        <v>1</v>
      </c>
      <c r="O11" s="6">
        <f>M11*N11/(60*24)</f>
        <v>595.30902777777783</v>
      </c>
      <c r="P11" s="6">
        <f ca="1">$P$1-Q11</f>
        <v>562</v>
      </c>
      <c r="Q11" s="8">
        <v>42927</v>
      </c>
      <c r="R11" s="6"/>
      <c r="S11" s="6" t="s">
        <v>38</v>
      </c>
      <c r="T11" s="6">
        <v>16.899999999999999</v>
      </c>
      <c r="U11" s="6">
        <v>41.85</v>
      </c>
      <c r="V11" s="6"/>
      <c r="W11" s="1"/>
      <c r="X11" s="6" t="s">
        <v>34</v>
      </c>
      <c r="Y11" t="s">
        <v>25</v>
      </c>
      <c r="Z11">
        <v>3.1099999999999999E-6</v>
      </c>
      <c r="AA11">
        <v>4.4399999999999998E-6</v>
      </c>
      <c r="AB11">
        <v>3.14E-6</v>
      </c>
      <c r="AC11" s="1">
        <f t="shared" si="1"/>
        <v>-0.42765273311897106</v>
      </c>
      <c r="AD11" s="1">
        <f t="shared" si="2"/>
        <v>-9.6463022508039026E-3</v>
      </c>
    </row>
    <row r="12" spans="1:30" x14ac:dyDescent="0.3">
      <c r="A12" t="s">
        <v>26</v>
      </c>
      <c r="B12" s="2">
        <v>0.18629999999999999</v>
      </c>
      <c r="C12">
        <v>1959</v>
      </c>
      <c r="D12" s="4">
        <v>11970504</v>
      </c>
      <c r="E12">
        <v>469</v>
      </c>
      <c r="F12" s="7">
        <f>0*24+8</f>
        <v>8</v>
      </c>
      <c r="G12" s="5">
        <v>247597654</v>
      </c>
      <c r="H12" s="5">
        <f>23450000</f>
        <v>23450000</v>
      </c>
      <c r="I12" s="2">
        <f>H12/G12</f>
        <v>9.47101057750733E-2</v>
      </c>
      <c r="J12" s="5">
        <v>50000</v>
      </c>
      <c r="K12" s="3">
        <f t="shared" si="4"/>
        <v>2.0194052404066802E-4</v>
      </c>
      <c r="L12">
        <v>0.14499999999999999</v>
      </c>
      <c r="M12" s="5">
        <v>309050</v>
      </c>
      <c r="N12" s="6">
        <v>1</v>
      </c>
      <c r="O12" s="6">
        <f>M12*N12/(60*24)</f>
        <v>214.61805555555554</v>
      </c>
      <c r="P12" s="6">
        <f ca="1">$P$1-Q12</f>
        <v>219</v>
      </c>
      <c r="Q12" s="8">
        <v>43270</v>
      </c>
      <c r="R12" s="6">
        <v>12.96</v>
      </c>
      <c r="S12" s="6">
        <f>R12*0.21</f>
        <v>2.7216</v>
      </c>
      <c r="T12" s="6">
        <f>R12*0.65</f>
        <v>8.4240000000000013</v>
      </c>
      <c r="U12" s="6">
        <v>0</v>
      </c>
      <c r="V12" s="6">
        <f>R12-S12-T12</f>
        <v>1.8143999999999991</v>
      </c>
      <c r="W12" s="1">
        <f>V12/R12</f>
        <v>0.13999999999999993</v>
      </c>
      <c r="X12" t="s">
        <v>46</v>
      </c>
      <c r="Y12" t="s">
        <v>45</v>
      </c>
      <c r="Z12">
        <v>2.9000000000000002E-6</v>
      </c>
      <c r="AA12">
        <v>2.92E-6</v>
      </c>
      <c r="AB12">
        <v>3.6100000000000002E-6</v>
      </c>
      <c r="AC12" s="1">
        <f t="shared" si="1"/>
        <v>-6.8965517241378642E-3</v>
      </c>
      <c r="AD12" s="1">
        <f t="shared" si="2"/>
        <v>-0.24482758620689654</v>
      </c>
    </row>
    <row r="13" spans="1:30" x14ac:dyDescent="0.3">
      <c r="A13" t="s">
        <v>51</v>
      </c>
      <c r="B13" s="2">
        <v>0.80049999999999999</v>
      </c>
      <c r="C13">
        <v>456</v>
      </c>
      <c r="D13" s="4">
        <v>11748000</v>
      </c>
      <c r="E13">
        <v>265</v>
      </c>
      <c r="F13">
        <v>4.5</v>
      </c>
      <c r="G13" s="5">
        <v>15219975</v>
      </c>
      <c r="H13" s="5">
        <v>5300000</v>
      </c>
      <c r="I13" s="2">
        <f>H13/G13</f>
        <v>0.34822659038533244</v>
      </c>
      <c r="J13" s="5">
        <v>20000</v>
      </c>
      <c r="K13" s="3">
        <f t="shared" si="4"/>
        <v>1.3140626052276696E-3</v>
      </c>
      <c r="L13">
        <v>0.13500000000000001</v>
      </c>
      <c r="M13" s="5">
        <v>418041</v>
      </c>
      <c r="N13" s="6">
        <v>1</v>
      </c>
      <c r="O13" s="6">
        <f>M13*N13/(60*24)</f>
        <v>290.30624999999998</v>
      </c>
      <c r="P13" s="6">
        <f ca="1">$P$1-Q13</f>
        <v>312</v>
      </c>
      <c r="Q13" s="8">
        <v>43177</v>
      </c>
      <c r="R13" s="6">
        <v>15</v>
      </c>
      <c r="S13" s="6">
        <v>5.4</v>
      </c>
      <c r="T13" s="6">
        <v>6.6</v>
      </c>
      <c r="U13" s="6">
        <v>0</v>
      </c>
      <c r="V13" s="6">
        <v>0</v>
      </c>
      <c r="W13" s="1">
        <f>V13/R13</f>
        <v>0</v>
      </c>
      <c r="X13" s="6"/>
    </row>
    <row r="14" spans="1:30" x14ac:dyDescent="0.3">
      <c r="A14" t="s">
        <v>52</v>
      </c>
      <c r="G14" s="5">
        <v>31272202</v>
      </c>
      <c r="I14" s="2"/>
      <c r="J14" s="5">
        <v>100000</v>
      </c>
      <c r="K14" s="3">
        <f t="shared" si="4"/>
        <v>3.1977281292823573E-3</v>
      </c>
      <c r="M14" s="5">
        <v>16712</v>
      </c>
      <c r="N14" s="6">
        <v>1</v>
      </c>
      <c r="O14" s="6">
        <f>M14*N14/(60*24)</f>
        <v>11.605555555555556</v>
      </c>
      <c r="P14" s="6">
        <f ca="1">$P$1-Q14</f>
        <v>13</v>
      </c>
      <c r="Q14" s="8">
        <v>43476</v>
      </c>
    </row>
    <row r="16" spans="1:30" x14ac:dyDescent="0.3">
      <c r="I16" s="2"/>
    </row>
    <row r="17" spans="1:30" x14ac:dyDescent="0.3">
      <c r="I17" s="2"/>
    </row>
    <row r="18" spans="1:30" x14ac:dyDescent="0.3">
      <c r="A18" t="s">
        <v>44</v>
      </c>
      <c r="E18">
        <f>H18/J18</f>
        <v>150</v>
      </c>
      <c r="F18">
        <f>((24*60)/N18)/E18</f>
        <v>4.8</v>
      </c>
      <c r="G18" s="5">
        <v>5500000</v>
      </c>
      <c r="H18" s="5">
        <v>1500000</v>
      </c>
      <c r="I18" s="2">
        <f>H18/G18</f>
        <v>0.27272727272727271</v>
      </c>
      <c r="J18" s="9">
        <v>10000</v>
      </c>
      <c r="K18" s="3">
        <f>J18/G18</f>
        <v>1.8181818181818182E-3</v>
      </c>
      <c r="L18">
        <f>0.0000195*J18</f>
        <v>0.19500000000000001</v>
      </c>
      <c r="N18">
        <v>2</v>
      </c>
      <c r="Z18">
        <v>2.5979999999999999E-5</v>
      </c>
      <c r="AA18">
        <v>3.8170000000000002E-5</v>
      </c>
      <c r="AB18">
        <v>4.6329999999999999E-5</v>
      </c>
      <c r="AC18" s="1">
        <f t="shared" ref="AC18" si="5">($Z18-AA18)/$Z18</f>
        <v>-0.4692070823710548</v>
      </c>
      <c r="AD18" s="1">
        <f t="shared" ref="AD18" si="6">($Z18-AB18)/$Z18</f>
        <v>-0.78329484218629719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2019-01-24T10:01:14Z</dcterms:modified>
</cp:coreProperties>
</file>