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2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e0c5fd22214792/Documents/Research/Comp Panel/"/>
    </mc:Choice>
  </mc:AlternateContent>
  <xr:revisionPtr revIDLastSave="355" documentId="8_{F76A986F-6EF1-462B-A9B5-29B4F63D0A5E}" xr6:coauthVersionLast="47" xr6:coauthVersionMax="47" xr10:uidLastSave="{5DEE139C-D861-48B9-88E7-A535362BB6F9}"/>
  <bookViews>
    <workbookView xWindow="-110" yWindow="-110" windowWidth="19420" windowHeight="10300" xr2:uid="{45D59DB8-A365-4102-8E2E-0BF6B1632013}"/>
  </bookViews>
  <sheets>
    <sheet name="WT and Mutant multipliers" sheetId="1" r:id="rId1"/>
    <sheet name="Parameter descriptions" sheetId="2" r:id="rId2"/>
  </sheets>
  <definedNames>
    <definedName name="m">'WT and Mutant multipliers'!$Q$5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L13" i="1"/>
  <c r="L10" i="1"/>
  <c r="L9" i="1"/>
  <c r="L8" i="1"/>
  <c r="L7" i="1"/>
  <c r="L4" i="1"/>
  <c r="L3" i="1"/>
  <c r="I18" i="1"/>
  <c r="I17" i="1"/>
  <c r="I16" i="1"/>
  <c r="I15" i="1"/>
  <c r="I14" i="1"/>
  <c r="I13" i="1"/>
  <c r="I10" i="1"/>
  <c r="I9" i="1"/>
  <c r="I8" i="1"/>
  <c r="I7" i="1"/>
  <c r="I4" i="1"/>
  <c r="I3" i="1"/>
  <c r="H18" i="1"/>
  <c r="H15" i="1"/>
  <c r="H14" i="1"/>
  <c r="H13" i="1"/>
  <c r="H17" i="1"/>
  <c r="H16" i="1"/>
  <c r="H10" i="1"/>
  <c r="H9" i="1"/>
  <c r="H8" i="1"/>
  <c r="H7" i="1"/>
  <c r="H4" i="1"/>
  <c r="H3" i="1"/>
  <c r="H24" i="1"/>
  <c r="E24" i="1"/>
  <c r="D24" i="1"/>
  <c r="C24" i="1"/>
  <c r="B24" i="1"/>
  <c r="H23" i="1"/>
  <c r="D23" i="1"/>
  <c r="C23" i="1"/>
  <c r="B23" i="1"/>
  <c r="G23" i="1" s="1"/>
  <c r="H22" i="1"/>
  <c r="E22" i="1"/>
  <c r="D22" i="1"/>
  <c r="C22" i="1"/>
  <c r="B22" i="1"/>
  <c r="G22" i="1" s="1"/>
  <c r="H21" i="1"/>
  <c r="E21" i="1"/>
  <c r="D21" i="1"/>
  <c r="C21" i="1"/>
  <c r="B21" i="1"/>
  <c r="H20" i="1"/>
  <c r="D20" i="1"/>
  <c r="C20" i="1"/>
  <c r="B20" i="1"/>
  <c r="H19" i="1"/>
  <c r="D19" i="1"/>
  <c r="C19" i="1"/>
  <c r="B19" i="1"/>
  <c r="G19" i="1" s="1"/>
  <c r="F14" i="1"/>
  <c r="E14" i="1"/>
  <c r="D12" i="1"/>
  <c r="C12" i="1"/>
  <c r="G11" i="1"/>
  <c r="D11" i="1"/>
  <c r="C11" i="1"/>
  <c r="B11" i="1"/>
  <c r="C7" i="1"/>
  <c r="F3" i="1"/>
  <c r="E3" i="1"/>
  <c r="B9" i="1"/>
  <c r="G9" i="1" s="1"/>
  <c r="Q5" i="1"/>
  <c r="G20" i="1" s="1"/>
  <c r="F9" i="1"/>
  <c r="E9" i="1"/>
  <c r="D5" i="1"/>
  <c r="C5" i="1"/>
  <c r="B5" i="1"/>
  <c r="G5" i="1" s="1"/>
  <c r="M21" i="1"/>
  <c r="M16" i="1"/>
  <c r="M14" i="1"/>
  <c r="M12" i="1"/>
  <c r="M9" i="1"/>
  <c r="M8" i="1"/>
  <c r="M7" i="1"/>
  <c r="M3" i="1"/>
  <c r="B12" i="1"/>
  <c r="G12" i="1" s="1"/>
  <c r="C18" i="1"/>
  <c r="C17" i="1"/>
  <c r="C16" i="1"/>
  <c r="C15" i="1"/>
  <c r="C14" i="1"/>
  <c r="C13" i="1"/>
  <c r="C10" i="1"/>
  <c r="C9" i="1"/>
  <c r="C8" i="1"/>
  <c r="D18" i="1"/>
  <c r="D17" i="1"/>
  <c r="D16" i="1"/>
  <c r="D15" i="1"/>
  <c r="D14" i="1"/>
  <c r="D13" i="1"/>
  <c r="D10" i="1"/>
  <c r="D9" i="1"/>
  <c r="D8" i="1"/>
  <c r="D7" i="1"/>
  <c r="B18" i="1"/>
  <c r="G18" i="1" s="1"/>
  <c r="B17" i="1"/>
  <c r="B16" i="1"/>
  <c r="G16" i="1" s="1"/>
  <c r="B15" i="1"/>
  <c r="G15" i="1" s="1"/>
  <c r="B14" i="1"/>
  <c r="G14" i="1" s="1"/>
  <c r="B13" i="1"/>
  <c r="G13" i="1" s="1"/>
  <c r="B10" i="1"/>
  <c r="G10" i="1" s="1"/>
  <c r="B8" i="1"/>
  <c r="G8" i="1" s="1"/>
  <c r="B7" i="1"/>
  <c r="B4" i="1"/>
  <c r="G4" i="1" s="1"/>
  <c r="C4" i="1"/>
  <c r="D4" i="1"/>
  <c r="D3" i="1"/>
  <c r="C3" i="1"/>
  <c r="B3" i="1"/>
  <c r="G3" i="1" s="1"/>
  <c r="G7" i="1" l="1"/>
  <c r="G17" i="1"/>
  <c r="G21" i="1"/>
  <c r="G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Allen</author>
  </authors>
  <commentList>
    <comment ref="Q11" authorId="0" shapeId="0" xr:uid="{318C824A-5567-4FE2-8943-5A7F745CD2F7}">
      <text>
        <r>
          <rPr>
            <b/>
            <sz val="9"/>
            <color indexed="81"/>
            <rFont val="Tahoma"/>
            <family val="2"/>
          </rPr>
          <t>Some of these could be from the papers above</t>
        </r>
      </text>
    </comment>
    <comment ref="H14" authorId="0" shapeId="0" xr:uid="{FFF5AD6E-5369-4ACC-B7CB-B7F7C33C33C0}">
      <text>
        <r>
          <rPr>
            <b/>
            <sz val="9"/>
            <color indexed="81"/>
            <rFont val="Tahoma"/>
            <charset val="1"/>
          </rPr>
          <t>Craig Allen:</t>
        </r>
        <r>
          <rPr>
            <sz val="9"/>
            <color indexed="81"/>
            <rFont val="Tahoma"/>
            <charset val="1"/>
          </rPr>
          <t xml:space="preserve">
&lt;100 ? Using 100 but is that right?</t>
        </r>
      </text>
    </comment>
  </commentList>
</comments>
</file>

<file path=xl/sharedStrings.xml><?xml version="1.0" encoding="utf-8"?>
<sst xmlns="http://schemas.openxmlformats.org/spreadsheetml/2006/main" count="62" uniqueCount="48">
  <si>
    <t>KRAS WT or Mutant</t>
  </si>
  <si>
    <r>
      <t>k</t>
    </r>
    <r>
      <rPr>
        <vertAlign val="subscript"/>
        <sz val="11"/>
        <color theme="1"/>
        <rFont val="Calibri"/>
        <family val="2"/>
        <scheme val="minor"/>
      </rPr>
      <t>int</t>
    </r>
  </si>
  <si>
    <r>
      <t>k</t>
    </r>
    <r>
      <rPr>
        <vertAlign val="subscript"/>
        <sz val="11"/>
        <color theme="1"/>
        <rFont val="Calibri"/>
        <family val="2"/>
        <scheme val="minor"/>
      </rPr>
      <t>d,GDP</t>
    </r>
  </si>
  <si>
    <r>
      <t>k</t>
    </r>
    <r>
      <rPr>
        <vertAlign val="subscript"/>
        <sz val="11"/>
        <color theme="1"/>
        <rFont val="Calibri"/>
        <family val="2"/>
        <scheme val="minor"/>
      </rPr>
      <t>d,GTP</t>
    </r>
  </si>
  <si>
    <r>
      <t>k</t>
    </r>
    <r>
      <rPr>
        <vertAlign val="subscript"/>
        <sz val="11"/>
        <color theme="1"/>
        <rFont val="Calibri"/>
        <family val="2"/>
        <scheme val="minor"/>
      </rPr>
      <t>a,GDP</t>
    </r>
  </si>
  <si>
    <r>
      <t>k</t>
    </r>
    <r>
      <rPr>
        <vertAlign val="subscript"/>
        <sz val="11"/>
        <color theme="1"/>
        <rFont val="Calibri"/>
        <family val="2"/>
        <scheme val="minor"/>
      </rPr>
      <t>a,GTP</t>
    </r>
  </si>
  <si>
    <r>
      <t>k</t>
    </r>
    <r>
      <rPr>
        <vertAlign val="subscript"/>
        <sz val="11"/>
        <color theme="1"/>
        <rFont val="Calibri"/>
        <family val="2"/>
        <scheme val="minor"/>
      </rPr>
      <t>cat</t>
    </r>
  </si>
  <si>
    <r>
      <t>K</t>
    </r>
    <r>
      <rPr>
        <vertAlign val="subscript"/>
        <sz val="11"/>
        <color theme="1"/>
        <rFont val="Calibri"/>
        <family val="2"/>
        <scheme val="minor"/>
      </rPr>
      <t>M</t>
    </r>
  </si>
  <si>
    <r>
      <t>K</t>
    </r>
    <r>
      <rPr>
        <vertAlign val="subscript"/>
        <sz val="11"/>
        <color theme="1"/>
        <rFont val="Calibri"/>
        <family val="2"/>
        <scheme val="minor"/>
      </rPr>
      <t>M,GDP</t>
    </r>
  </si>
  <si>
    <r>
      <t>k</t>
    </r>
    <r>
      <rPr>
        <vertAlign val="subscript"/>
        <sz val="11"/>
        <color theme="1"/>
        <rFont val="Calibri"/>
        <family val="2"/>
        <scheme val="minor"/>
      </rPr>
      <t>GDP</t>
    </r>
  </si>
  <si>
    <r>
      <t>K</t>
    </r>
    <r>
      <rPr>
        <vertAlign val="subscript"/>
        <sz val="11"/>
        <color theme="1"/>
        <rFont val="Calibri"/>
        <family val="2"/>
        <scheme val="minor"/>
      </rPr>
      <t>M,GTP</t>
    </r>
  </si>
  <si>
    <r>
      <t>k</t>
    </r>
    <r>
      <rPr>
        <vertAlign val="subscript"/>
        <sz val="11"/>
        <color theme="1"/>
        <rFont val="Calibri"/>
        <family val="2"/>
        <scheme val="minor"/>
      </rPr>
      <t>GTP</t>
    </r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</si>
  <si>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</si>
  <si>
    <r>
      <t>k</t>
    </r>
    <r>
      <rPr>
        <vertAlign val="subscript"/>
        <sz val="11"/>
        <color theme="1"/>
        <rFont val="Calibri"/>
        <family val="2"/>
        <scheme val="minor"/>
      </rPr>
      <t>a,Eff</t>
    </r>
  </si>
  <si>
    <t>WT</t>
  </si>
  <si>
    <t>A59T</t>
  </si>
  <si>
    <t>A146T</t>
  </si>
  <si>
    <t>G12C</t>
  </si>
  <si>
    <t>A146V</t>
  </si>
  <si>
    <t>G12D</t>
  </si>
  <si>
    <t>G12V</t>
  </si>
  <si>
    <t>F28L</t>
  </si>
  <si>
    <t>G12P</t>
  </si>
  <si>
    <t>G12R</t>
  </si>
  <si>
    <t>G13D</t>
  </si>
  <si>
    <t>G13S</t>
  </si>
  <si>
    <t>G13V</t>
  </si>
  <si>
    <t>Q61L</t>
  </si>
  <si>
    <t>Q61H</t>
  </si>
  <si>
    <t>Q61K</t>
  </si>
  <si>
    <t>Q61P</t>
  </si>
  <si>
    <t>Q61R</t>
  </si>
  <si>
    <t>Q61W</t>
  </si>
  <si>
    <t>G12A</t>
  </si>
  <si>
    <t>G12S</t>
  </si>
  <si>
    <t>G12E</t>
  </si>
  <si>
    <t>G13C</t>
  </si>
  <si>
    <t>Wey</t>
  </si>
  <si>
    <t>Hunter Westover</t>
  </si>
  <si>
    <t>Poulin</t>
  </si>
  <si>
    <t>key</t>
  </si>
  <si>
    <t>Unchanged from MATLAB</t>
  </si>
  <si>
    <r>
      <t>WT k</t>
    </r>
    <r>
      <rPr>
        <vertAlign val="subscript"/>
        <sz val="11"/>
        <color theme="1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/ k</t>
    </r>
    <r>
      <rPr>
        <vertAlign val="subscript"/>
        <sz val="11"/>
        <color theme="1"/>
        <rFont val="Calibri"/>
        <family val="2"/>
        <scheme val="minor"/>
      </rPr>
      <t xml:space="preserve">cat </t>
    </r>
    <r>
      <rPr>
        <sz val="11"/>
        <color theme="1"/>
        <rFont val="Calibri"/>
        <family val="2"/>
        <scheme val="minor"/>
      </rPr>
      <t/>
    </r>
  </si>
  <si>
    <r>
      <t>k</t>
    </r>
    <r>
      <rPr>
        <vertAlign val="subscript"/>
        <sz val="11"/>
        <color theme="1"/>
        <rFont val="Calibri"/>
        <family val="2"/>
        <scheme val="minor"/>
      </rPr>
      <t>d,Eff</t>
    </r>
  </si>
  <si>
    <t>New, no info, set to WT</t>
  </si>
  <si>
    <t>Parameter</t>
  </si>
  <si>
    <t>Units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</si>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</sst>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gradientFill degree="90">
        <stop position="0">
          <color theme="2"/>
        </stop>
        <stop position="1">
          <color theme="9" tint="0.80001220740379042"/>
        </stop>
      </gradientFill>
    </fill>
    <fill>
      <gradientFill>
        <stop position="0">
          <color theme="2"/>
        </stop>
        <stop position="1">
          <color theme="9" tint="0.80001220740379042"/>
        </stop>
      </gradient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6" borderId="0"/>
    <xf numFmtId="164" fontId="1" fillId="7" borderId="0"/>
  </cellStyleXfs>
  <cellXfs count="25">
    <xf numFmtId="0" fontId="0" fillId="0" borderId="0" xfId="0"/>
    <xf numFmtId="0" fontId="2" fillId="0" borderId="3" xfId="0" applyFont="1" applyBorder="1"/>
    <xf numFmtId="0" fontId="0" fillId="0" borderId="4" xfId="0" applyBorder="1"/>
    <xf numFmtId="164" fontId="0" fillId="0" borderId="0" xfId="0" applyNumberFormat="1"/>
    <xf numFmtId="164" fontId="0" fillId="0" borderId="5" xfId="0" applyNumberFormat="1" applyBorder="1"/>
    <xf numFmtId="164" fontId="0" fillId="3" borderId="0" xfId="0" applyNumberFormat="1" applyFill="1"/>
    <xf numFmtId="164" fontId="0" fillId="5" borderId="0" xfId="0" applyNumberFormat="1" applyFill="1"/>
    <xf numFmtId="164" fontId="0" fillId="4" borderId="0" xfId="0" applyNumberFormat="1" applyFill="1"/>
    <xf numFmtId="0" fontId="0" fillId="0" borderId="3" xfId="0" applyBorder="1"/>
    <xf numFmtId="0" fontId="0" fillId="4" borderId="7" xfId="0" applyFill="1" applyBorder="1"/>
    <xf numFmtId="0" fontId="0" fillId="5" borderId="7" xfId="0" applyFill="1" applyBorder="1"/>
    <xf numFmtId="0" fontId="0" fillId="0" borderId="8" xfId="0" applyBorder="1"/>
    <xf numFmtId="164" fontId="0" fillId="2" borderId="0" xfId="0" applyNumberFormat="1" applyFill="1"/>
    <xf numFmtId="164" fontId="0" fillId="8" borderId="0" xfId="0" applyNumberFormat="1" applyFill="1"/>
    <xf numFmtId="164" fontId="0" fillId="0" borderId="2" xfId="0" applyNumberFormat="1" applyBorder="1"/>
    <xf numFmtId="0" fontId="0" fillId="0" borderId="8" xfId="0" applyBorder="1" applyAlignment="1">
      <alignment vertical="center"/>
    </xf>
    <xf numFmtId="165" fontId="0" fillId="3" borderId="0" xfId="0" applyNumberFormat="1" applyFill="1"/>
    <xf numFmtId="165" fontId="0" fillId="8" borderId="0" xfId="0" applyNumberFormat="1" applyFill="1"/>
    <xf numFmtId="165" fontId="0" fillId="4" borderId="0" xfId="0" applyNumberFormat="1" applyFill="1"/>
    <xf numFmtId="164" fontId="0" fillId="8" borderId="5" xfId="0" applyNumberFormat="1" applyFill="1" applyBorder="1"/>
    <xf numFmtId="164" fontId="0" fillId="0" borderId="6" xfId="0" applyNumberFormat="1" applyBorder="1" applyAlignment="1">
      <alignment horizontal="center"/>
    </xf>
    <xf numFmtId="0" fontId="0" fillId="3" borderId="6" xfId="0" applyFill="1" applyBorder="1"/>
    <xf numFmtId="0" fontId="0" fillId="2" borderId="7" xfId="0" applyFill="1" applyBorder="1"/>
    <xf numFmtId="164" fontId="0" fillId="8" borderId="1" xfId="0" applyNumberFormat="1" applyFill="1" applyBorder="1"/>
    <xf numFmtId="165" fontId="0" fillId="8" borderId="1" xfId="0" applyNumberFormat="1" applyFill="1" applyBorder="1"/>
  </cellXfs>
  <cellStyles count="3">
    <cellStyle name="Normal" xfId="0" builtinId="0"/>
    <cellStyle name="Style 1" xfId="1" xr:uid="{4036E8EF-AD2E-46E1-9D64-F883863D3136}"/>
    <cellStyle name="Style 2" xfId="2" xr:uid="{9C08CCC9-079F-44F6-9F60-9E7767E802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C1F7-A67D-4D90-9AFC-AA81C2210726}">
  <dimension ref="A1:Q24"/>
  <sheetViews>
    <sheetView tabSelected="1" zoomScale="90" zoomScaleNormal="90" workbookViewId="0">
      <pane ySplit="2" topLeftCell="A5" activePane="bottomLeft" state="frozen"/>
      <selection pane="bottomLeft" activeCell="Q17" sqref="Q17"/>
    </sheetView>
  </sheetViews>
  <sheetFormatPr defaultRowHeight="14.5" x14ac:dyDescent="0.35"/>
  <cols>
    <col min="1" max="1" width="20.26953125" customWidth="1"/>
    <col min="7" max="7" width="9.36328125" bestFit="1" customWidth="1"/>
    <col min="16" max="16" width="9.453125" customWidth="1"/>
    <col min="17" max="17" width="26.26953125" customWidth="1"/>
  </cols>
  <sheetData>
    <row r="1" spans="1:17" ht="16.5" x14ac:dyDescent="0.4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  <c r="J1" s="3" t="s">
        <v>8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43</v>
      </c>
    </row>
    <row r="2" spans="1:17" x14ac:dyDescent="0.35">
      <c r="A2" s="2" t="s">
        <v>14</v>
      </c>
      <c r="B2" s="13">
        <v>1</v>
      </c>
      <c r="C2" s="13">
        <v>1</v>
      </c>
      <c r="D2" s="13">
        <v>1</v>
      </c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9">
        <v>1</v>
      </c>
    </row>
    <row r="3" spans="1:17" x14ac:dyDescent="0.35">
      <c r="A3" s="2" t="s">
        <v>16</v>
      </c>
      <c r="B3" s="5">
        <f>1.9/2.1</f>
        <v>0.90476190476190466</v>
      </c>
      <c r="C3" s="5">
        <f>9.7/1.2</f>
        <v>8.0833333333333339</v>
      </c>
      <c r="D3" s="5">
        <f>8.1/0.9</f>
        <v>9</v>
      </c>
      <c r="E3" s="13">
        <f>244.9/0.51*(0.00011)/(0.0000000093*2300000)</f>
        <v>2.469451548735436</v>
      </c>
      <c r="F3" s="13">
        <f>(244.9/0.51)*(0.00025)/(0.0000000069*2200000)</f>
        <v>7.9083675630990218</v>
      </c>
      <c r="G3" s="16">
        <f>B3*m</f>
        <v>5.277777777777777E-5</v>
      </c>
      <c r="H3" s="5">
        <f>10.7/8.9</f>
        <v>1.2022471910112358</v>
      </c>
      <c r="I3" s="5">
        <f>8.2/7.8</f>
        <v>1.0512820512820513</v>
      </c>
      <c r="J3" s="13">
        <v>1</v>
      </c>
      <c r="K3" s="13">
        <v>1</v>
      </c>
      <c r="L3" s="5">
        <f>8.1/7.2</f>
        <v>1.125</v>
      </c>
      <c r="M3" s="6">
        <f>12.9/17.3</f>
        <v>0.74566473988439308</v>
      </c>
      <c r="N3" s="13">
        <v>1</v>
      </c>
      <c r="O3" s="19">
        <v>1</v>
      </c>
    </row>
    <row r="4" spans="1:17" ht="16.5" x14ac:dyDescent="0.45">
      <c r="A4" s="2" t="s">
        <v>18</v>
      </c>
      <c r="B4" s="5">
        <f>0.81/0.33</f>
        <v>2.4545454545454546</v>
      </c>
      <c r="C4" s="5">
        <f>13.5/1.2</f>
        <v>11.25</v>
      </c>
      <c r="D4" s="5">
        <f>9.3/0.9</f>
        <v>10.333333333333334</v>
      </c>
      <c r="E4" s="3">
        <v>1</v>
      </c>
      <c r="F4" s="3">
        <v>1</v>
      </c>
      <c r="G4" s="16">
        <f>B4*m</f>
        <v>1.4318181818181818E-4</v>
      </c>
      <c r="H4" s="5">
        <f>13.8/8.9</f>
        <v>1.550561797752809</v>
      </c>
      <c r="I4" s="5">
        <f>8.8/7.8</f>
        <v>1.1282051282051284</v>
      </c>
      <c r="J4" s="3">
        <v>1</v>
      </c>
      <c r="K4" s="3">
        <v>1</v>
      </c>
      <c r="L4" s="5">
        <f>8.4/7.2</f>
        <v>1.1666666666666667</v>
      </c>
      <c r="M4" s="3">
        <v>1</v>
      </c>
      <c r="N4" s="3">
        <v>1</v>
      </c>
      <c r="O4" s="19">
        <v>1</v>
      </c>
      <c r="Q4" s="14" t="s">
        <v>42</v>
      </c>
    </row>
    <row r="5" spans="1:17" x14ac:dyDescent="0.35">
      <c r="A5" s="2" t="s">
        <v>15</v>
      </c>
      <c r="B5" s="12">
        <f>2.4/10.2</f>
        <v>0.23529411764705882</v>
      </c>
      <c r="C5" s="12">
        <f>4.4/0.79</f>
        <v>5.5696202531645573</v>
      </c>
      <c r="D5" s="12">
        <f>2.8/2.3</f>
        <v>1.2173913043478262</v>
      </c>
      <c r="E5" s="13">
        <v>1</v>
      </c>
      <c r="F5" s="13">
        <v>1</v>
      </c>
      <c r="G5" s="17">
        <f>B5*m</f>
        <v>1.3725490196078431E-5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9">
        <v>1</v>
      </c>
      <c r="Q5" s="15">
        <f>(0.000315)/5.4</f>
        <v>5.8333333333333333E-5</v>
      </c>
    </row>
    <row r="6" spans="1:17" x14ac:dyDescent="0.35">
      <c r="A6" s="2" t="s">
        <v>21</v>
      </c>
      <c r="B6" s="13">
        <v>1</v>
      </c>
      <c r="C6" s="13">
        <v>25</v>
      </c>
      <c r="D6" s="13">
        <v>25</v>
      </c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9">
        <v>1</v>
      </c>
    </row>
    <row r="7" spans="1:17" x14ac:dyDescent="0.35">
      <c r="A7" s="2" t="s">
        <v>33</v>
      </c>
      <c r="B7" s="5">
        <f>0.5/2.1</f>
        <v>0.23809523809523808</v>
      </c>
      <c r="C7" s="5">
        <f>0.5/1.3</f>
        <v>0.38461538461538458</v>
      </c>
      <c r="D7" s="5">
        <f>0.9/0.9</f>
        <v>1</v>
      </c>
      <c r="E7" s="3">
        <v>1</v>
      </c>
      <c r="F7" s="3">
        <v>1</v>
      </c>
      <c r="G7" s="16">
        <f>B7*m</f>
        <v>1.3888888888888888E-5</v>
      </c>
      <c r="H7" s="5">
        <f>46.8/8.9</f>
        <v>5.2584269662921344</v>
      </c>
      <c r="I7" s="5">
        <f>7.3/7.8</f>
        <v>0.9358974358974359</v>
      </c>
      <c r="J7" s="3">
        <v>1</v>
      </c>
      <c r="K7" s="3">
        <v>1</v>
      </c>
      <c r="L7" s="5">
        <f>7.5/7.2</f>
        <v>1.0416666666666667</v>
      </c>
      <c r="M7" s="7">
        <f>127/56</f>
        <v>2.2678571428571428</v>
      </c>
      <c r="N7" s="3">
        <v>1</v>
      </c>
      <c r="O7" s="19">
        <v>1</v>
      </c>
      <c r="Q7" s="20" t="s">
        <v>40</v>
      </c>
    </row>
    <row r="8" spans="1:17" x14ac:dyDescent="0.35">
      <c r="A8" s="2" t="s">
        <v>17</v>
      </c>
      <c r="B8" s="5">
        <f>1.8/2.1</f>
        <v>0.8571428571428571</v>
      </c>
      <c r="C8" s="5">
        <f>2.2/1.2</f>
        <v>1.8333333333333335</v>
      </c>
      <c r="D8" s="5">
        <f>0.6/0.9</f>
        <v>0.66666666666666663</v>
      </c>
      <c r="E8" s="13">
        <v>1</v>
      </c>
      <c r="F8" s="13">
        <v>1</v>
      </c>
      <c r="G8" s="16">
        <f>B8*m</f>
        <v>4.9999999999999996E-5</v>
      </c>
      <c r="H8" s="5">
        <f>12.3/8.9</f>
        <v>1.3820224719101124</v>
      </c>
      <c r="I8" s="5">
        <f>8.2/7.8</f>
        <v>1.0512820512820513</v>
      </c>
      <c r="J8" s="13">
        <v>1</v>
      </c>
      <c r="K8" s="13">
        <v>1</v>
      </c>
      <c r="L8" s="5">
        <f>7.4/7.2</f>
        <v>1.0277777777777779</v>
      </c>
      <c r="M8" s="7">
        <f>67/56</f>
        <v>1.1964285714285714</v>
      </c>
      <c r="N8" s="13">
        <v>1</v>
      </c>
      <c r="O8" s="19">
        <v>1</v>
      </c>
      <c r="Q8" s="21" t="s">
        <v>37</v>
      </c>
    </row>
    <row r="9" spans="1:17" x14ac:dyDescent="0.35">
      <c r="A9" s="2" t="s">
        <v>19</v>
      </c>
      <c r="B9" s="5">
        <f>1.4/2.1</f>
        <v>0.66666666666666663</v>
      </c>
      <c r="C9" s="5">
        <f>1.6/1.2</f>
        <v>1.3333333333333335</v>
      </c>
      <c r="D9" s="5">
        <f>9.5/0.9</f>
        <v>10.555555555555555</v>
      </c>
      <c r="E9" s="13">
        <f>0.7/0.51</f>
        <v>1.3725490196078429</v>
      </c>
      <c r="F9" s="13">
        <f>4.8/1.4</f>
        <v>3.4285714285714288</v>
      </c>
      <c r="G9" s="16">
        <f>B9*m</f>
        <v>3.8888888888888884E-5</v>
      </c>
      <c r="H9" s="5">
        <f>4.8/8.9</f>
        <v>0.5393258426966292</v>
      </c>
      <c r="I9" s="5">
        <f>7/7.8</f>
        <v>0.89743589743589747</v>
      </c>
      <c r="J9" s="13">
        <v>1</v>
      </c>
      <c r="K9" s="13">
        <v>1</v>
      </c>
      <c r="L9" s="5">
        <f>7.6/7.2</f>
        <v>1.0555555555555556</v>
      </c>
      <c r="M9" s="7">
        <f>270/56</f>
        <v>4.8214285714285712</v>
      </c>
      <c r="N9" s="13">
        <v>1</v>
      </c>
      <c r="O9" s="19">
        <v>1</v>
      </c>
      <c r="Q9" s="9" t="s">
        <v>38</v>
      </c>
    </row>
    <row r="10" spans="1:17" x14ac:dyDescent="0.35">
      <c r="A10" s="2" t="s">
        <v>35</v>
      </c>
      <c r="B10" s="5">
        <f>1.6/2.1</f>
        <v>0.76190476190476186</v>
      </c>
      <c r="C10" s="5">
        <f>1.5/1.2</f>
        <v>1.25</v>
      </c>
      <c r="D10" s="5">
        <f>4.9/0.9</f>
        <v>5.4444444444444446</v>
      </c>
      <c r="E10" s="3">
        <v>1</v>
      </c>
      <c r="F10" s="3">
        <v>1</v>
      </c>
      <c r="G10" s="16">
        <f>B10*m</f>
        <v>4.444444444444444E-5</v>
      </c>
      <c r="H10" s="5">
        <f>4.7/8.9</f>
        <v>0.5280898876404494</v>
      </c>
      <c r="I10" s="5">
        <f>7.5/7.8</f>
        <v>0.96153846153846156</v>
      </c>
      <c r="J10" s="3">
        <v>1</v>
      </c>
      <c r="K10" s="3">
        <v>1</v>
      </c>
      <c r="L10" s="5">
        <f>8/7.2</f>
        <v>1.1111111111111112</v>
      </c>
      <c r="M10" s="3">
        <v>1</v>
      </c>
      <c r="N10" s="3">
        <v>1</v>
      </c>
      <c r="O10" s="19">
        <v>1</v>
      </c>
      <c r="Q10" s="10" t="s">
        <v>39</v>
      </c>
    </row>
    <row r="11" spans="1:17" x14ac:dyDescent="0.35">
      <c r="A11" s="2" t="s">
        <v>22</v>
      </c>
      <c r="B11" s="13">
        <f>0.043/0.028</f>
        <v>1.5357142857142856</v>
      </c>
      <c r="C11" s="13">
        <f>1.4/2</f>
        <v>0.7</v>
      </c>
      <c r="D11" s="13">
        <f>13/11</f>
        <v>1.1818181818181819</v>
      </c>
      <c r="E11" s="13">
        <v>1</v>
      </c>
      <c r="F11" s="13">
        <v>1</v>
      </c>
      <c r="G11" s="17">
        <f>0.09/10</f>
        <v>8.9999999999999993E-3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3.1666666666666665</v>
      </c>
      <c r="N11" s="13">
        <v>1</v>
      </c>
      <c r="O11" s="19">
        <v>1</v>
      </c>
      <c r="Q11" s="22" t="s">
        <v>41</v>
      </c>
    </row>
    <row r="12" spans="1:17" x14ac:dyDescent="0.35">
      <c r="A12" s="2" t="s">
        <v>23</v>
      </c>
      <c r="B12" s="7">
        <f>1.8/68</f>
        <v>2.6470588235294117E-2</v>
      </c>
      <c r="C12" s="13">
        <f>0.37/0.79</f>
        <v>0.46835443037974683</v>
      </c>
      <c r="D12" s="13">
        <f>0.11/2.3</f>
        <v>4.7826086956521741E-2</v>
      </c>
      <c r="E12" s="13">
        <v>1</v>
      </c>
      <c r="F12" s="13">
        <v>1</v>
      </c>
      <c r="G12" s="18">
        <f t="shared" ref="G12:G24" si="0">B12*m</f>
        <v>1.5441176470588234E-6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7">
        <f>348/56</f>
        <v>6.2142857142857144</v>
      </c>
      <c r="N12" s="13">
        <v>1</v>
      </c>
      <c r="O12" s="19">
        <v>1</v>
      </c>
      <c r="Q12" s="11" t="s">
        <v>44</v>
      </c>
    </row>
    <row r="13" spans="1:17" x14ac:dyDescent="0.35">
      <c r="A13" s="2" t="s">
        <v>34</v>
      </c>
      <c r="B13" s="5">
        <f>1.2/2.1</f>
        <v>0.5714285714285714</v>
      </c>
      <c r="C13" s="5">
        <f>4.8/1.2</f>
        <v>4</v>
      </c>
      <c r="D13" s="5">
        <f>0.2/0.9</f>
        <v>0.22222222222222224</v>
      </c>
      <c r="E13" s="3">
        <v>1</v>
      </c>
      <c r="F13" s="3">
        <v>1</v>
      </c>
      <c r="G13" s="16">
        <f t="shared" si="0"/>
        <v>3.3333333333333328E-5</v>
      </c>
      <c r="H13" s="5">
        <f>15.8/8.9</f>
        <v>1.7752808988764046</v>
      </c>
      <c r="I13" s="5">
        <f>8/7.8</f>
        <v>1.0256410256410258</v>
      </c>
      <c r="J13" s="3">
        <v>1</v>
      </c>
      <c r="K13" s="3">
        <v>1</v>
      </c>
      <c r="L13" s="5">
        <f>7/7.2</f>
        <v>0.97222222222222221</v>
      </c>
      <c r="M13" s="3">
        <v>1</v>
      </c>
      <c r="N13" s="3">
        <v>1</v>
      </c>
      <c r="O13" s="19">
        <v>1</v>
      </c>
    </row>
    <row r="14" spans="1:17" x14ac:dyDescent="0.35">
      <c r="A14" s="2" t="s">
        <v>20</v>
      </c>
      <c r="B14" s="5">
        <f>0.05/2.1</f>
        <v>2.3809523809523808E-2</v>
      </c>
      <c r="C14" s="5">
        <f>0.2/1.2</f>
        <v>0.16666666666666669</v>
      </c>
      <c r="D14" s="5">
        <f>0.9/0.9</f>
        <v>1</v>
      </c>
      <c r="E14" s="13">
        <f>1.16/0.51</f>
        <v>2.2745098039215685</v>
      </c>
      <c r="F14" s="13">
        <f>5.8/1.4</f>
        <v>4.1428571428571432</v>
      </c>
      <c r="G14" s="16">
        <f t="shared" si="0"/>
        <v>1.3888888888888887E-6</v>
      </c>
      <c r="H14" s="5">
        <f>100/8.9</f>
        <v>11.235955056179774</v>
      </c>
      <c r="I14" s="5">
        <f>7.1/7.8</f>
        <v>0.91025641025641024</v>
      </c>
      <c r="J14" s="13">
        <v>1</v>
      </c>
      <c r="K14" s="13">
        <v>1</v>
      </c>
      <c r="L14" s="5">
        <f>7.5/7.2</f>
        <v>1.0416666666666667</v>
      </c>
      <c r="M14" s="7">
        <f>411/56</f>
        <v>7.3392857142857144</v>
      </c>
      <c r="N14" s="13">
        <v>1</v>
      </c>
      <c r="O14" s="19">
        <v>1</v>
      </c>
    </row>
    <row r="15" spans="1:17" x14ac:dyDescent="0.35">
      <c r="A15" s="2" t="s">
        <v>36</v>
      </c>
      <c r="B15" s="5">
        <f>1.1/2.1</f>
        <v>0.52380952380952384</v>
      </c>
      <c r="C15" s="5">
        <f>2.5/1.2</f>
        <v>2.0833333333333335</v>
      </c>
      <c r="D15" s="5">
        <f>0.8/0.9</f>
        <v>0.88888888888888895</v>
      </c>
      <c r="E15" s="3">
        <v>1</v>
      </c>
      <c r="F15" s="3">
        <v>1</v>
      </c>
      <c r="G15" s="16">
        <f t="shared" si="0"/>
        <v>3.0555555555555554E-5</v>
      </c>
      <c r="H15" s="5">
        <f>26.6/8.9</f>
        <v>2.9887640449438204</v>
      </c>
      <c r="I15" s="5">
        <f>8.2/7.8</f>
        <v>1.0512820512820513</v>
      </c>
      <c r="J15" s="3">
        <v>1</v>
      </c>
      <c r="K15" s="3">
        <v>1</v>
      </c>
      <c r="L15" s="5">
        <f>7.7/7.2</f>
        <v>1.0694444444444444</v>
      </c>
      <c r="M15" s="3">
        <v>1</v>
      </c>
      <c r="N15" s="3">
        <v>1</v>
      </c>
      <c r="O15" s="19">
        <v>1</v>
      </c>
    </row>
    <row r="16" spans="1:17" x14ac:dyDescent="0.35">
      <c r="A16" s="2" t="s">
        <v>24</v>
      </c>
      <c r="B16" s="5">
        <f>1.9/2.1</f>
        <v>0.90476190476190466</v>
      </c>
      <c r="C16" s="5">
        <f>1.6/1.2</f>
        <v>1.3333333333333335</v>
      </c>
      <c r="D16" s="5">
        <f>6.3/0.9</f>
        <v>7</v>
      </c>
      <c r="E16" s="13">
        <v>1</v>
      </c>
      <c r="F16" s="13">
        <v>1</v>
      </c>
      <c r="G16" s="16">
        <f t="shared" si="0"/>
        <v>5.277777777777777E-5</v>
      </c>
      <c r="H16" s="5">
        <f>5.2/8.9</f>
        <v>0.5842696629213483</v>
      </c>
      <c r="I16" s="5">
        <f>7/7.8</f>
        <v>0.89743589743589747</v>
      </c>
      <c r="J16" s="13">
        <v>1</v>
      </c>
      <c r="K16" s="13">
        <v>1</v>
      </c>
      <c r="L16" s="5">
        <f>7.4/7.2</f>
        <v>1.0277777777777779</v>
      </c>
      <c r="M16" s="7">
        <f>129/56</f>
        <v>2.3035714285714284</v>
      </c>
      <c r="N16" s="13">
        <v>1</v>
      </c>
      <c r="O16" s="19">
        <v>1</v>
      </c>
    </row>
    <row r="17" spans="1:15" x14ac:dyDescent="0.35">
      <c r="A17" s="2" t="s">
        <v>25</v>
      </c>
      <c r="B17" s="5">
        <f>3.2/2.1</f>
        <v>1.5238095238095237</v>
      </c>
      <c r="C17" s="5">
        <f>3.6/1.2</f>
        <v>3</v>
      </c>
      <c r="D17" s="5">
        <f>0.7/0.9</f>
        <v>0.77777777777777768</v>
      </c>
      <c r="E17" s="13">
        <v>1</v>
      </c>
      <c r="F17" s="13">
        <v>1</v>
      </c>
      <c r="G17" s="16">
        <f t="shared" si="0"/>
        <v>8.888888888888888E-5</v>
      </c>
      <c r="H17" s="5">
        <f>19.6/8.9</f>
        <v>2.202247191011236</v>
      </c>
      <c r="I17" s="5">
        <f>8.8/7.8</f>
        <v>1.1282051282051284</v>
      </c>
      <c r="J17" s="13">
        <v>1</v>
      </c>
      <c r="K17" s="13">
        <v>1</v>
      </c>
      <c r="L17" s="5">
        <f>8.2/7.2</f>
        <v>1.1388888888888888</v>
      </c>
      <c r="M17" s="13">
        <v>1</v>
      </c>
      <c r="N17" s="13">
        <v>1</v>
      </c>
      <c r="O17" s="19">
        <v>1</v>
      </c>
    </row>
    <row r="18" spans="1:15" x14ac:dyDescent="0.35">
      <c r="A18" s="2" t="s">
        <v>26</v>
      </c>
      <c r="B18" s="5">
        <f>2/2.1</f>
        <v>0.95238095238095233</v>
      </c>
      <c r="C18" s="5">
        <f>3.4/1.2</f>
        <v>2.8333333333333335</v>
      </c>
      <c r="D18" s="5">
        <f>1.2/0.9</f>
        <v>1.3333333333333333</v>
      </c>
      <c r="E18" s="13">
        <v>1</v>
      </c>
      <c r="F18" s="13">
        <v>1</v>
      </c>
      <c r="G18" s="16">
        <f t="shared" si="0"/>
        <v>5.5555555555555551E-5</v>
      </c>
      <c r="H18" s="5">
        <f>87/8.9</f>
        <v>9.7752808988764048</v>
      </c>
      <c r="I18" s="5">
        <f>7.9/7.8</f>
        <v>1.012820512820513</v>
      </c>
      <c r="J18" s="13">
        <v>1</v>
      </c>
      <c r="K18" s="13">
        <v>1</v>
      </c>
      <c r="L18" s="5">
        <f>7.4/7.2</f>
        <v>1.0277777777777779</v>
      </c>
      <c r="M18" s="13">
        <v>1</v>
      </c>
      <c r="N18" s="13">
        <v>1</v>
      </c>
      <c r="O18" s="19">
        <v>1</v>
      </c>
    </row>
    <row r="19" spans="1:15" x14ac:dyDescent="0.35">
      <c r="A19" s="2" t="s">
        <v>28</v>
      </c>
      <c r="B19" s="13">
        <f>1.83/20.93</f>
        <v>8.7434304825609183E-2</v>
      </c>
      <c r="C19" s="13">
        <f>9.6/6.5</f>
        <v>1.4769230769230768</v>
      </c>
      <c r="D19" s="13">
        <f>9.2/15</f>
        <v>0.61333333333333329</v>
      </c>
      <c r="E19" s="13">
        <v>1</v>
      </c>
      <c r="F19" s="13">
        <v>1</v>
      </c>
      <c r="G19" s="17">
        <f t="shared" si="0"/>
        <v>5.1003344481605353E-6</v>
      </c>
      <c r="H19" s="13">
        <f>25/35</f>
        <v>0.7142857142857143</v>
      </c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9">
        <v>1</v>
      </c>
    </row>
    <row r="20" spans="1:15" x14ac:dyDescent="0.35">
      <c r="A20" s="2" t="s">
        <v>29</v>
      </c>
      <c r="B20" s="13">
        <f>0.348/20.93</f>
        <v>1.6626851409460103E-2</v>
      </c>
      <c r="C20" s="13">
        <f>9.1/6.5</f>
        <v>1.4</v>
      </c>
      <c r="D20" s="13">
        <f>9/15</f>
        <v>0.6</v>
      </c>
      <c r="E20" s="13">
        <v>1</v>
      </c>
      <c r="F20" s="13">
        <v>1</v>
      </c>
      <c r="G20" s="17">
        <f t="shared" si="0"/>
        <v>9.698996655518394E-7</v>
      </c>
      <c r="H20" s="13">
        <f>2000/35</f>
        <v>57.142857142857146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9">
        <v>1</v>
      </c>
    </row>
    <row r="21" spans="1:15" x14ac:dyDescent="0.35">
      <c r="A21" s="2" t="s">
        <v>27</v>
      </c>
      <c r="B21" s="13">
        <f>0.455/20.93</f>
        <v>2.1739130434782608E-2</v>
      </c>
      <c r="C21" s="13">
        <f>16/6.5</f>
        <v>2.4615384615384617</v>
      </c>
      <c r="D21" s="13">
        <f>16/15</f>
        <v>1.0666666666666667</v>
      </c>
      <c r="E21" s="13">
        <f>1</f>
        <v>1</v>
      </c>
      <c r="F21" s="13">
        <v>1</v>
      </c>
      <c r="G21" s="17">
        <f t="shared" si="0"/>
        <v>1.2681159420289855E-6</v>
      </c>
      <c r="H21" s="13">
        <f>2/35</f>
        <v>5.7142857142857141E-2</v>
      </c>
      <c r="I21" s="13">
        <v>1</v>
      </c>
      <c r="J21" s="13">
        <v>1</v>
      </c>
      <c r="K21" s="13">
        <v>1</v>
      </c>
      <c r="L21" s="13">
        <v>1</v>
      </c>
      <c r="M21" s="7">
        <f>134/56</f>
        <v>2.3928571428571428</v>
      </c>
      <c r="N21" s="13">
        <v>1</v>
      </c>
      <c r="O21" s="19">
        <v>1</v>
      </c>
    </row>
    <row r="22" spans="1:15" x14ac:dyDescent="0.35">
      <c r="A22" s="2" t="s">
        <v>30</v>
      </c>
      <c r="B22" s="13">
        <f>1.63/20.93</f>
        <v>7.78786430960344E-2</v>
      </c>
      <c r="C22" s="13">
        <f>6.8/6.5</f>
        <v>1.0461538461538462</v>
      </c>
      <c r="D22" s="13">
        <f>19/15</f>
        <v>1.2666666666666666</v>
      </c>
      <c r="E22" s="13">
        <f>1</f>
        <v>1</v>
      </c>
      <c r="F22" s="13">
        <v>1</v>
      </c>
      <c r="G22" s="17">
        <f t="shared" si="0"/>
        <v>4.542920847268673E-6</v>
      </c>
      <c r="H22" s="13">
        <f>50/35</f>
        <v>1.4285714285714286</v>
      </c>
      <c r="I22" s="13">
        <v>1</v>
      </c>
      <c r="J22" s="13">
        <v>1</v>
      </c>
      <c r="K22" s="13">
        <v>1</v>
      </c>
      <c r="L22" s="13">
        <v>1</v>
      </c>
      <c r="M22" s="13">
        <v>1</v>
      </c>
      <c r="N22" s="13">
        <v>1</v>
      </c>
      <c r="O22" s="19">
        <v>1</v>
      </c>
    </row>
    <row r="23" spans="1:15" x14ac:dyDescent="0.35">
      <c r="A23" s="2" t="s">
        <v>31</v>
      </c>
      <c r="B23" s="13">
        <f>0.366/20.93</f>
        <v>1.7486860965121833E-2</v>
      </c>
      <c r="C23" s="13">
        <f>7.4/6.5</f>
        <v>1.1384615384615384</v>
      </c>
      <c r="D23" s="13">
        <f>6.7/15</f>
        <v>0.44666666666666666</v>
      </c>
      <c r="E23" s="13">
        <v>1</v>
      </c>
      <c r="F23" s="13">
        <v>1</v>
      </c>
      <c r="G23" s="17">
        <f t="shared" si="0"/>
        <v>1.0200668896321069E-6</v>
      </c>
      <c r="H23" s="13">
        <f>1500/35</f>
        <v>42.857142857142854</v>
      </c>
      <c r="I23" s="13">
        <v>1</v>
      </c>
      <c r="J23" s="13">
        <v>1</v>
      </c>
      <c r="K23" s="13">
        <v>1</v>
      </c>
      <c r="L23" s="13">
        <v>1</v>
      </c>
      <c r="M23" s="13">
        <v>1</v>
      </c>
      <c r="N23" s="13">
        <v>1</v>
      </c>
      <c r="O23" s="19">
        <v>1</v>
      </c>
    </row>
    <row r="24" spans="1:15" x14ac:dyDescent="0.35">
      <c r="A24" s="8" t="s">
        <v>32</v>
      </c>
      <c r="B24" s="23">
        <f>1.52/20.93</f>
        <v>7.2623029144768272E-2</v>
      </c>
      <c r="C24" s="23">
        <f>6.5/6.5</f>
        <v>1</v>
      </c>
      <c r="D24" s="23">
        <f>12/15</f>
        <v>0.8</v>
      </c>
      <c r="E24" s="23">
        <f>1</f>
        <v>1</v>
      </c>
      <c r="F24" s="23">
        <v>1</v>
      </c>
      <c r="G24" s="24">
        <f t="shared" si="0"/>
        <v>4.2363433667781492E-6</v>
      </c>
      <c r="H24" s="23">
        <f>100/35</f>
        <v>2.8571428571428572</v>
      </c>
      <c r="I24" s="23">
        <v>1</v>
      </c>
      <c r="J24" s="23">
        <v>1</v>
      </c>
      <c r="K24" s="23">
        <v>1</v>
      </c>
      <c r="L24" s="23">
        <v>1</v>
      </c>
      <c r="M24" s="23">
        <v>1</v>
      </c>
      <c r="N24" s="23">
        <v>1</v>
      </c>
      <c r="O24" s="19">
        <v>1</v>
      </c>
    </row>
  </sheetData>
  <sortState xmlns:xlrd2="http://schemas.microsoft.com/office/spreadsheetml/2017/richdata2" ref="A3:A24">
    <sortCondition ref="A3:A2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7C31-DD32-4037-B1CA-FBB3161ADAC8}">
  <dimension ref="A1:C15"/>
  <sheetViews>
    <sheetView workbookViewId="0">
      <selection activeCell="A2" sqref="A2"/>
    </sheetView>
  </sheetViews>
  <sheetFormatPr defaultRowHeight="14.5" x14ac:dyDescent="0.35"/>
  <cols>
    <col min="1" max="1" width="11.08984375" customWidth="1"/>
    <col min="2" max="2" width="9.453125" customWidth="1"/>
    <col min="3" max="3" width="11" customWidth="1"/>
  </cols>
  <sheetData>
    <row r="1" spans="1:3" x14ac:dyDescent="0.35">
      <c r="A1" t="s">
        <v>45</v>
      </c>
      <c r="B1" t="s">
        <v>46</v>
      </c>
      <c r="C1" t="s">
        <v>47</v>
      </c>
    </row>
    <row r="2" spans="1:3" ht="16.5" x14ac:dyDescent="0.45">
      <c r="A2" s="3" t="s">
        <v>1</v>
      </c>
    </row>
    <row r="3" spans="1:3" ht="16.5" x14ac:dyDescent="0.45">
      <c r="A3" s="3" t="s">
        <v>2</v>
      </c>
    </row>
    <row r="4" spans="1:3" ht="16.5" x14ac:dyDescent="0.45">
      <c r="A4" s="3" t="s">
        <v>3</v>
      </c>
    </row>
    <row r="5" spans="1:3" ht="16.5" x14ac:dyDescent="0.45">
      <c r="A5" s="3" t="s">
        <v>4</v>
      </c>
    </row>
    <row r="6" spans="1:3" ht="16.5" x14ac:dyDescent="0.45">
      <c r="A6" s="3" t="s">
        <v>5</v>
      </c>
    </row>
    <row r="7" spans="1:3" ht="16.5" x14ac:dyDescent="0.45">
      <c r="A7" s="3" t="s">
        <v>6</v>
      </c>
    </row>
    <row r="8" spans="1:3" ht="16.5" x14ac:dyDescent="0.45">
      <c r="A8" s="3" t="s">
        <v>7</v>
      </c>
    </row>
    <row r="9" spans="1:3" ht="16.5" x14ac:dyDescent="0.45">
      <c r="A9" s="3" t="s">
        <v>9</v>
      </c>
    </row>
    <row r="10" spans="1:3" ht="16.5" x14ac:dyDescent="0.45">
      <c r="A10" s="3" t="s">
        <v>8</v>
      </c>
    </row>
    <row r="11" spans="1:3" ht="16.5" x14ac:dyDescent="0.45">
      <c r="A11" s="3" t="s">
        <v>10</v>
      </c>
    </row>
    <row r="12" spans="1:3" ht="16.5" x14ac:dyDescent="0.45">
      <c r="A12" s="3" t="s">
        <v>11</v>
      </c>
    </row>
    <row r="13" spans="1:3" ht="16.5" x14ac:dyDescent="0.45">
      <c r="A13" s="3" t="s">
        <v>12</v>
      </c>
    </row>
    <row r="14" spans="1:3" ht="16.5" x14ac:dyDescent="0.45">
      <c r="A14" s="3" t="s">
        <v>13</v>
      </c>
    </row>
    <row r="15" spans="1:3" ht="16.5" x14ac:dyDescent="0.45">
      <c r="A15" s="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 and Mutant multipliers</vt:lpstr>
      <vt:lpstr>Parameter descriptions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Allen</dc:creator>
  <cp:lastModifiedBy>Craig Allen</cp:lastModifiedBy>
  <dcterms:created xsi:type="dcterms:W3CDTF">2024-03-20T17:30:49Z</dcterms:created>
  <dcterms:modified xsi:type="dcterms:W3CDTF">2024-03-28T16:02:55Z</dcterms:modified>
</cp:coreProperties>
</file>