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0" documentId="13_ncr:1_{B0DEF312-8AFC-4B53-8A2F-1187F7C1E347}" xr6:coauthVersionLast="47" xr6:coauthVersionMax="47" xr10:uidLastSave="{00000000-0000-0000-0000-000000000000}"/>
  <bookViews>
    <workbookView xWindow="-96" yWindow="228" windowWidth="21360" windowHeight="11556" tabRatio="798" activeTab="8"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<sst xmlns="http://schemas.openxmlformats.org/spreadsheetml/2006/main" count="814" uniqueCount="729">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</sst>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91">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9" fontId="1" fillId="0" borderId="0" xfId="0" applyNumberFormat="1" applyFont="1"/>
    <xf numFmtId="0" fontId="19" fillId="0" borderId="0" xfId="0" applyFont="1"/>
    <xf numFmtId="0" fontId="0" fillId="0" borderId="0" xfId="0"/>
    <xf numFmtId="0" fontId="1" fillId="3" borderId="1" xfId="0" applyFont="1" applyFill="1" applyBorder="1" applyAlignment="1">
      <alignment horizontal="center"/>
    </xf>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0.76923076923076927</c:v>
                </c:pt>
                <c:pt idx="1">
                  <c:v>1.5384615384615385</c:v>
                </c:pt>
                <c:pt idx="2">
                  <c:v>0.23076923076923078</c:v>
                </c:pt>
                <c:pt idx="3">
                  <c:v>1.0769230769230769</c:v>
                </c:pt>
                <c:pt idx="4">
                  <c:v>7.6923076923076927E-2</c:v>
                </c:pt>
                <c:pt idx="5">
                  <c:v>0.69230769230769229</c:v>
                </c:pt>
                <c:pt idx="6">
                  <c:v>0.84615384615384615</c:v>
                </c:pt>
                <c:pt idx="7">
                  <c:v>0.46153846153846156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0.90384615384615385</c:v>
                </c:pt>
                <c:pt idx="1">
                  <c:v>0.51923076923076927</c:v>
                </c:pt>
                <c:pt idx="2">
                  <c:v>0.71153846153846156</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0.90384615384615385</c:v>
                </c:pt>
                <c:pt idx="1">
                  <c:v>0.51923076923076927</c:v>
                </c:pt>
                <c:pt idx="2" formatCode="0.00">
                  <c:v>0.71153846153846156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0.40972478855810351</c:v>
                  </c:pt>
                  <c:pt idx="1">
                    <c:v>0.41688584775514226</c:v>
                  </c:pt>
                  <c:pt idx="2">
                    <c:v>0.34131209109401145</c:v>
                  </c:pt>
                </c:numCache>
              </c:numRef>
            </c:plus>
            <c:minus>
              <c:numRef>
                <c:f>Confidence_Intervals!$M$5:$M$7</c:f>
                <c:numCache>
                  <c:formatCode>General</c:formatCode>
                  <c:ptCount val="3"/>
                  <c:pt idx="0">
                    <c:v>0.40972478855810351</c:v>
                  </c:pt>
                  <c:pt idx="1">
                    <c:v>0.41688584775514226</c:v>
                  </c:pt>
                  <c:pt idx="2">
                    <c:v>0.34131209109401145</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0.90384615384615385</c:v>
                </c:pt>
                <c:pt idx="1">
                  <c:v>0.51923076923076927</c:v>
                </c:pt>
                <c:pt idx="2" formatCode="0.00">
                  <c:v>0.71153846153846156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66" t="s">
        <v>698</v>
      </c>
      <c r="B1" s="66"/>
      <c r="C1" s="66"/>
    </row>
    <row r="2" spans="1:3" ht="107.25" customHeight="1" x14ac:dyDescent="0.3">
      <c r="A2" s="67" t="s">
        <v>416</v>
      </c>
      <c r="B2" s="67"/>
      <c r="C2" s="67"/>
    </row>
    <row r="4" spans="1:3" ht="18" x14ac:dyDescent="0.35">
      <c r="A4" s="28" t="s">
        <v>256</v>
      </c>
      <c r="B4" s="29" t="s">
        <v>40</v>
      </c>
    </row>
    <row r="6" spans="1:3" ht="30.75" customHeight="1" x14ac:dyDescent="0.3">
      <c r="A6" s="68" t="s">
        <v>257</v>
      </c>
      <c r="B6" s="68"/>
      <c r="C6" s="68"/>
    </row>
    <row r="8" spans="1:3" ht="262.5" customHeight="1" x14ac:dyDescent="0.3">
      <c r="A8" s="69" t="s">
        <v>417</v>
      </c>
      <c r="B8" s="69"/>
      <c r="C8" s="69"/>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9" t="s">
        <v>267</v>
      </c>
      <c r="B1" s="89"/>
      <c r="C1" s="89"/>
      <c r="D1" s="89"/>
      <c r="E1" s="89"/>
      <c r="F1" s="89"/>
      <c r="G1" s="89"/>
    </row>
    <row r="2" spans="1:7" ht="197.25" customHeight="1" x14ac:dyDescent="0.3">
      <c r="A2" s="68" t="s">
        <v>268</v>
      </c>
      <c r="B2" s="68"/>
      <c r="C2" s="68"/>
      <c r="D2" s="68"/>
      <c r="E2" s="68"/>
      <c r="F2" s="68"/>
      <c r="G2" s="68"/>
    </row>
    <row r="3" spans="1:7" x14ac:dyDescent="0.3">
      <c r="A3" s="90"/>
      <c r="B3" s="90"/>
      <c r="C3" s="90"/>
      <c r="D3" s="90"/>
      <c r="E3" s="90"/>
      <c r="F3" s="90"/>
      <c r="G3" s="90"/>
    </row>
    <row r="4" spans="1:7" x14ac:dyDescent="0.3">
      <c r="A4" s="30" t="s">
        <v>25</v>
      </c>
      <c r="B4" s="30" t="s">
        <v>265</v>
      </c>
    </row>
    <row r="5" spans="1:7" x14ac:dyDescent="0.3">
      <c r="A5" s="27" t="str">
        <f>VLOOKUP(Read_First!B4,Items!A1:S50,18,FALSE)</f>
        <v>Pragmatic Quality</v>
      </c>
      <c r="B5" s="10">
        <f>SQRT(VAR(DT!K4:K1004))</f>
        <v>0.75373004076988626</v>
      </c>
    </row>
    <row r="6" spans="1:7" x14ac:dyDescent="0.3">
      <c r="A6" s="27" t="str">
        <f>VLOOKUP(Read_First!B4,Items!A1:S50,19,FALSE)</f>
        <v>Hedonic Quality</v>
      </c>
      <c r="B6" s="10">
        <f>SQRT(VAR(DT!L4:L1004))</f>
        <v>0.76690353085706009</v>
      </c>
    </row>
    <row r="9" spans="1:7" x14ac:dyDescent="0.3">
      <c r="A9" s="30" t="s">
        <v>266</v>
      </c>
      <c r="B9" s="41" t="str">
        <f>VLOOKUP(Read_First!B4,Items!A1:S50,18,FALSE)</f>
        <v>Pragmatic Quality</v>
      </c>
      <c r="C9" s="41" t="str">
        <f>VLOOKUP(Read_First!B4,Items!A1:S50,19,FALSE)</f>
        <v>Hedonic Quality</v>
      </c>
      <c r="D9" s="42"/>
      <c r="E9" s="42"/>
      <c r="F9" s="42"/>
      <c r="G9" s="42"/>
    </row>
    <row r="10" spans="1:7" x14ac:dyDescent="0.3">
      <c r="A10" s="30" t="s">
        <v>269</v>
      </c>
      <c r="B10" s="7">
        <f>POWER((1.65*B5)/0.5,2)</f>
        <v>6.1867067307692309</v>
      </c>
      <c r="C10" s="7">
        <f>POWER((1.65*B6)/0.5,2)</f>
        <v>6.4048557692307693</v>
      </c>
      <c r="D10" s="42"/>
      <c r="E10" s="42"/>
      <c r="F10" s="42"/>
      <c r="G10" s="42"/>
    </row>
    <row r="11" spans="1:7" x14ac:dyDescent="0.3">
      <c r="A11" s="30" t="s">
        <v>270</v>
      </c>
      <c r="B11" s="7">
        <f>POWER((1.96*B5)/0.5,2)</f>
        <v>8.7297897435897447</v>
      </c>
      <c r="C11" s="7">
        <f>POWER((1.96*B6)/0.5,2)</f>
        <v>9.0376102564102574</v>
      </c>
      <c r="D11" s="42"/>
      <c r="E11" s="42"/>
      <c r="F11" s="42"/>
      <c r="G11" s="42"/>
    </row>
    <row r="12" spans="1:7" x14ac:dyDescent="0.3">
      <c r="A12" s="30" t="s">
        <v>271</v>
      </c>
      <c r="B12" s="7">
        <f>POWER((2.58*B6)/0.5,2)</f>
        <v>15.659607692307695</v>
      </c>
      <c r="C12" s="7">
        <f>POWER((2.58*B6)/0.5,2)</f>
        <v>15.659607692307695</v>
      </c>
      <c r="D12" s="42"/>
      <c r="E12" s="42"/>
      <c r="F12" s="42"/>
      <c r="G12" s="42"/>
    </row>
    <row r="13" spans="1:7" x14ac:dyDescent="0.3">
      <c r="A13" s="30" t="s">
        <v>272</v>
      </c>
      <c r="B13" s="7">
        <f>POWER((1.65*B5)/0.25,2)</f>
        <v>24.746826923076924</v>
      </c>
      <c r="C13" s="7">
        <f>POWER((1.65*B6)/0.25,2)</f>
        <v>25.619423076923077</v>
      </c>
      <c r="D13" s="42"/>
      <c r="E13" s="42"/>
      <c r="F13" s="42"/>
      <c r="G13" s="42"/>
    </row>
    <row r="14" spans="1:7" x14ac:dyDescent="0.3">
      <c r="A14" s="30" t="s">
        <v>273</v>
      </c>
      <c r="B14" s="7">
        <f>POWER((1.96*B5)/0.25,2)</f>
        <v>34.919158974358979</v>
      </c>
      <c r="C14" s="7">
        <f>POWER((1.96*B6)/0.25,2)</f>
        <v>36.15044102564103</v>
      </c>
      <c r="D14" s="42"/>
      <c r="E14" s="42"/>
      <c r="F14" s="42"/>
      <c r="G14" s="42"/>
    </row>
    <row r="15" spans="1:7" x14ac:dyDescent="0.3">
      <c r="A15" s="30" t="s">
        <v>274</v>
      </c>
      <c r="B15" s="7">
        <f>POWER((2.58*B5)/0.25,2)</f>
        <v>60.504969230769234</v>
      </c>
      <c r="C15" s="7">
        <f>POWER((2.58*B6)/0.25,2)</f>
        <v>62.63843076923078</v>
      </c>
      <c r="D15" s="42"/>
      <c r="E15" s="42"/>
      <c r="F15" s="42"/>
      <c r="G15" s="42"/>
    </row>
    <row r="16" spans="1:7" x14ac:dyDescent="0.3">
      <c r="A16" s="30" t="s">
        <v>275</v>
      </c>
      <c r="B16" s="7">
        <f>POWER((1.65*B5)/0.1,2)</f>
        <v>154.66766826923075</v>
      </c>
      <c r="C16" s="7">
        <f>POWER((1.65*B6)/0.1,2)</f>
        <v>160.12139423076923</v>
      </c>
      <c r="D16" s="42"/>
      <c r="E16" s="42"/>
      <c r="F16" s="42"/>
      <c r="G16" s="42"/>
    </row>
    <row r="17" spans="1:7" x14ac:dyDescent="0.3">
      <c r="A17" s="30" t="s">
        <v>276</v>
      </c>
      <c r="B17" s="7">
        <f>POWER((1.96*B5)/0.1,2)</f>
        <v>218.24474358974362</v>
      </c>
      <c r="C17" s="7">
        <f>POWER((1.96*B6)/0.1,2)</f>
        <v>225.94025641025644</v>
      </c>
      <c r="D17" s="42"/>
      <c r="E17" s="42"/>
      <c r="F17" s="42"/>
      <c r="G17" s="42"/>
    </row>
    <row r="18" spans="1:7" x14ac:dyDescent="0.3">
      <c r="A18" s="30" t="s">
        <v>277</v>
      </c>
      <c r="B18" s="7">
        <f>POWER((2.58*B5)/0.1,2)</f>
        <v>378.15605769230763</v>
      </c>
      <c r="C18" s="7">
        <f>POWER((2.58*B6)/0.1,2)</f>
        <v>391.49019230769238</v>
      </c>
      <c r="D18" s="42"/>
      <c r="E18" s="42"/>
      <c r="F18" s="42"/>
      <c r="G18" s="42"/>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I16" sqref="I16"/>
    </sheetView>
  </sheetViews>
  <sheetFormatPr defaultColWidth="9.109375" defaultRowHeight="14.4" x14ac:dyDescent="0.3"/>
  <cols>
    <col min="1" max="8" width="8.77734375" style="2" customWidth="1"/>
  </cols>
  <sheetData>
    <row r="1" spans="1:8" ht="126" customHeight="1" x14ac:dyDescent="0.3">
      <c r="A1" s="70" t="s">
        <v>264</v>
      </c>
      <c r="B1" s="71"/>
      <c r="C1" s="71"/>
      <c r="D1" s="71"/>
      <c r="E1" s="71"/>
      <c r="F1" s="71"/>
      <c r="G1" s="71"/>
      <c r="H1" s="71"/>
    </row>
    <row r="2" spans="1:8" x14ac:dyDescent="0.3">
      <c r="A2" s="72" t="s">
        <v>0</v>
      </c>
      <c r="B2" s="72"/>
      <c r="C2" s="72"/>
      <c r="D2" s="72"/>
      <c r="E2" s="72"/>
      <c r="F2" s="72"/>
      <c r="G2" s="72"/>
      <c r="H2" s="72"/>
    </row>
    <row r="3" spans="1:8" x14ac:dyDescent="0.3">
      <c r="A3" s="1">
        <v>1</v>
      </c>
      <c r="B3" s="1">
        <v>2</v>
      </c>
      <c r="C3" s="1">
        <v>3</v>
      </c>
      <c r="D3" s="1">
        <v>4</v>
      </c>
      <c r="E3" s="1">
        <v>5</v>
      </c>
      <c r="F3" s="1">
        <v>6</v>
      </c>
      <c r="G3" s="1">
        <v>7</v>
      </c>
      <c r="H3" s="1">
        <v>8</v>
      </c>
    </row>
    <row r="4" spans="1:8" x14ac:dyDescent="0.3">
      <c r="A4" s="9">
        <v>1</v>
      </c>
      <c r="B4" s="9">
        <v>6</v>
      </c>
      <c r="C4" s="9">
        <v>4</v>
      </c>
      <c r="D4" s="9">
        <v>5</v>
      </c>
      <c r="E4" s="9">
        <v>3</v>
      </c>
      <c r="F4" s="9">
        <v>4</v>
      </c>
      <c r="G4" s="9">
        <v>3</v>
      </c>
      <c r="H4" s="9">
        <v>5</v>
      </c>
    </row>
    <row r="5" spans="1:8" x14ac:dyDescent="0.3">
      <c r="A5" s="9">
        <v>5</v>
      </c>
      <c r="B5" s="9">
        <v>5</v>
      </c>
      <c r="C5" s="9">
        <v>4</v>
      </c>
      <c r="D5" s="9">
        <v>5</v>
      </c>
      <c r="E5" s="9">
        <v>2</v>
      </c>
      <c r="F5" s="9">
        <v>3</v>
      </c>
      <c r="G5" s="9">
        <v>4</v>
      </c>
      <c r="H5" s="9">
        <v>5</v>
      </c>
    </row>
    <row r="6" spans="1:8" x14ac:dyDescent="0.3">
      <c r="A6" s="9">
        <v>6</v>
      </c>
      <c r="B6" s="9">
        <v>7</v>
      </c>
      <c r="C6" s="9">
        <v>2</v>
      </c>
      <c r="D6" s="9">
        <v>5</v>
      </c>
      <c r="E6" s="9">
        <v>5</v>
      </c>
      <c r="F6" s="9">
        <v>6</v>
      </c>
      <c r="G6" s="9">
        <v>5</v>
      </c>
      <c r="H6" s="9">
        <v>4</v>
      </c>
    </row>
    <row r="7" spans="1:8" x14ac:dyDescent="0.3">
      <c r="A7" s="9">
        <v>5</v>
      </c>
      <c r="B7" s="9">
        <v>6</v>
      </c>
      <c r="C7" s="9">
        <v>6</v>
      </c>
      <c r="D7" s="9">
        <v>4</v>
      </c>
      <c r="E7" s="9">
        <v>4</v>
      </c>
      <c r="F7" s="9">
        <v>6</v>
      </c>
      <c r="G7" s="9">
        <v>6</v>
      </c>
      <c r="H7" s="9">
        <v>4</v>
      </c>
    </row>
    <row r="8" spans="1:8" x14ac:dyDescent="0.3">
      <c r="A8" s="9">
        <v>4</v>
      </c>
      <c r="B8" s="9">
        <v>4</v>
      </c>
      <c r="C8" s="9">
        <v>4</v>
      </c>
      <c r="D8" s="9">
        <v>5</v>
      </c>
      <c r="E8" s="9">
        <v>5</v>
      </c>
      <c r="F8" s="9">
        <v>5</v>
      </c>
      <c r="G8" s="9">
        <v>4</v>
      </c>
      <c r="H8" s="9">
        <v>5</v>
      </c>
    </row>
    <row r="9" spans="1:8" x14ac:dyDescent="0.3">
      <c r="A9" s="9">
        <v>6</v>
      </c>
      <c r="B9" s="9">
        <v>4</v>
      </c>
      <c r="C9" s="9">
        <v>4</v>
      </c>
      <c r="D9" s="9">
        <v>5</v>
      </c>
      <c r="E9" s="9">
        <v>6</v>
      </c>
      <c r="F9" s="9">
        <v>6</v>
      </c>
      <c r="G9" s="9">
        <v>5</v>
      </c>
      <c r="H9" s="9">
        <v>5</v>
      </c>
    </row>
    <row r="10" spans="1:8" x14ac:dyDescent="0.3">
      <c r="A10" s="9">
        <v>5</v>
      </c>
      <c r="B10" s="9">
        <v>6</v>
      </c>
      <c r="C10" s="9">
        <v>6</v>
      </c>
      <c r="D10" s="9">
        <v>6</v>
      </c>
      <c r="E10" s="9">
        <v>3</v>
      </c>
      <c r="F10" s="9">
        <v>4</v>
      </c>
      <c r="G10" s="9">
        <v>4</v>
      </c>
      <c r="H10" s="9">
        <v>3</v>
      </c>
    </row>
    <row r="11" spans="1:8" x14ac:dyDescent="0.3">
      <c r="A11" s="9">
        <v>7</v>
      </c>
      <c r="B11" s="9">
        <v>6</v>
      </c>
      <c r="C11" s="9">
        <v>4</v>
      </c>
      <c r="D11" s="9">
        <v>5</v>
      </c>
      <c r="E11" s="9">
        <v>5</v>
      </c>
      <c r="F11" s="9">
        <v>3</v>
      </c>
      <c r="G11" s="9">
        <v>5</v>
      </c>
      <c r="H11" s="9">
        <v>4</v>
      </c>
    </row>
    <row r="12" spans="1:8" x14ac:dyDescent="0.3">
      <c r="A12" s="9">
        <v>7</v>
      </c>
      <c r="B12" s="9">
        <v>7</v>
      </c>
      <c r="C12" s="9">
        <v>6</v>
      </c>
      <c r="D12" s="9">
        <v>5</v>
      </c>
      <c r="E12" s="9">
        <v>4</v>
      </c>
      <c r="F12" s="9">
        <v>6</v>
      </c>
      <c r="G12" s="9">
        <v>5</v>
      </c>
      <c r="H12" s="9">
        <v>5</v>
      </c>
    </row>
    <row r="13" spans="1:8" x14ac:dyDescent="0.3">
      <c r="A13" s="9">
        <v>6</v>
      </c>
      <c r="B13" s="9">
        <v>6</v>
      </c>
      <c r="C13" s="9">
        <v>5</v>
      </c>
      <c r="D13" s="9">
        <v>5</v>
      </c>
      <c r="E13" s="9">
        <v>6</v>
      </c>
      <c r="F13" s="9">
        <v>5</v>
      </c>
      <c r="G13" s="9">
        <v>6</v>
      </c>
      <c r="H13" s="9">
        <v>6</v>
      </c>
    </row>
    <row r="14" spans="1:8" x14ac:dyDescent="0.3">
      <c r="A14" s="2">
        <v>4</v>
      </c>
      <c r="B14" s="2">
        <v>4</v>
      </c>
      <c r="C14" s="2">
        <v>4</v>
      </c>
      <c r="D14" s="2">
        <v>4</v>
      </c>
      <c r="E14" s="2">
        <v>4</v>
      </c>
      <c r="F14" s="2">
        <v>4</v>
      </c>
      <c r="G14" s="2">
        <v>4</v>
      </c>
      <c r="H14" s="2">
        <v>4</v>
      </c>
    </row>
    <row r="15" spans="1:8" x14ac:dyDescent="0.3">
      <c r="A15" s="2">
        <v>5</v>
      </c>
      <c r="B15" s="2">
        <v>5</v>
      </c>
      <c r="C15" s="2">
        <v>5</v>
      </c>
      <c r="D15" s="2">
        <v>5</v>
      </c>
      <c r="E15" s="2">
        <v>5</v>
      </c>
      <c r="F15" s="2">
        <v>5</v>
      </c>
      <c r="G15" s="2">
        <v>5</v>
      </c>
      <c r="H15" s="2">
        <v>5</v>
      </c>
    </row>
    <row r="16" spans="1:8" x14ac:dyDescent="0.3">
      <c r="A16" s="2">
        <v>1</v>
      </c>
      <c r="B16" s="2">
        <v>6</v>
      </c>
      <c r="C16" s="2">
        <v>1</v>
      </c>
      <c r="D16" s="2">
        <v>7</v>
      </c>
      <c r="E16" s="2">
        <v>1</v>
      </c>
      <c r="F16" s="2">
        <v>4</v>
      </c>
      <c r="G16" s="2">
        <v>7</v>
      </c>
      <c r="H16" s="2">
        <v>3</v>
      </c>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3" t="s">
        <v>418</v>
      </c>
      <c r="B1" s="71"/>
      <c r="C1" s="71"/>
      <c r="D1" s="71"/>
      <c r="E1" s="71"/>
      <c r="F1" s="71"/>
      <c r="G1" s="71"/>
      <c r="H1" s="71"/>
      <c r="K1" s="74"/>
      <c r="L1" s="75"/>
      <c r="M1" s="75"/>
    </row>
    <row r="2" spans="1:13" x14ac:dyDescent="0.3">
      <c r="A2" s="72" t="s">
        <v>0</v>
      </c>
      <c r="B2" s="72"/>
      <c r="C2" s="72"/>
      <c r="D2" s="72"/>
      <c r="E2" s="72"/>
      <c r="F2" s="72"/>
      <c r="G2" s="72"/>
      <c r="H2" s="72"/>
      <c r="K2" s="72" t="s">
        <v>4</v>
      </c>
      <c r="L2" s="72"/>
      <c r="M2" s="72"/>
    </row>
    <row r="3" spans="1:13" x14ac:dyDescent="0.3">
      <c r="A3" s="1">
        <v>1</v>
      </c>
      <c r="B3" s="1">
        <v>2</v>
      </c>
      <c r="C3" s="1">
        <v>3</v>
      </c>
      <c r="D3" s="1">
        <v>4</v>
      </c>
      <c r="E3" s="1">
        <v>5</v>
      </c>
      <c r="F3" s="1">
        <v>6</v>
      </c>
      <c r="G3" s="1">
        <v>7</v>
      </c>
      <c r="H3" s="1">
        <v>8</v>
      </c>
      <c r="K3" s="30" t="s">
        <v>74</v>
      </c>
      <c r="L3" s="30" t="s">
        <v>77</v>
      </c>
      <c r="M3" s="30" t="s">
        <v>411</v>
      </c>
    </row>
    <row r="4" spans="1:13" x14ac:dyDescent="0.3">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10">
        <f>IF(COUNT(A4,B4,C4,D4)&gt;0,AVERAGE(A4,B4,C4,D4),"")</f>
        <v>0</v>
      </c>
      <c r="L4" s="10">
        <f>IF(COUNT(E4,F4,G4,H4)&gt;0,AVERAGE(E4,F4,G4,H4),"")</f>
        <v>-0.25</v>
      </c>
      <c r="M4" s="10">
        <f>IF(COUNT(A4,B4,C4,D4,E4,F4,G4,H4)&gt;0,AVERAGE(A4,B4,C4,D4,E4,F4,G4,H4),"")</f>
        <v>-0.125</v>
      </c>
    </row>
    <row r="5" spans="1:13" x14ac:dyDescent="0.3">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10">
        <f t="shared" ref="K5:K68" si="0">IF(COUNT(A5,B5,C5,D5)&gt;0,AVERAGE(A5,B5,C5,D5),"")</f>
        <v>0.75</v>
      </c>
      <c r="L5" s="10">
        <f t="shared" ref="L5:L68" si="1">IF(COUNT(E5,F5,G5,H5)&gt;0,AVERAGE(E5,F5,G5,H5),"")</f>
        <v>-0.5</v>
      </c>
      <c r="M5" s="10">
        <f t="shared" ref="M5:M68" si="2">IF(COUNT(A5,B5,C5,D5,E5,F5,G5,H5)&gt;0,AVERAGE(A5,B5,C5,D5,E5,F5,G5,H5),"")</f>
        <v>0.125</v>
      </c>
    </row>
    <row r="6" spans="1:13" x14ac:dyDescent="0.3">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10">
        <f t="shared" si="0"/>
        <v>1</v>
      </c>
      <c r="L6" s="10">
        <f t="shared" si="1"/>
        <v>1</v>
      </c>
      <c r="M6" s="10">
        <f t="shared" si="2"/>
        <v>1</v>
      </c>
    </row>
    <row r="7" spans="1:13" x14ac:dyDescent="0.3">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10">
        <f t="shared" si="0"/>
        <v>1.25</v>
      </c>
      <c r="L7" s="10">
        <f t="shared" si="1"/>
        <v>1</v>
      </c>
      <c r="M7" s="10">
        <f t="shared" si="2"/>
        <v>1.125</v>
      </c>
    </row>
    <row r="8" spans="1:13" x14ac:dyDescent="0.3">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10">
        <f t="shared" si="0"/>
        <v>0.25</v>
      </c>
      <c r="L8" s="10">
        <f t="shared" si="1"/>
        <v>0.75</v>
      </c>
      <c r="M8" s="10">
        <f t="shared" si="2"/>
        <v>0.5</v>
      </c>
    </row>
    <row r="9" spans="1:13" x14ac:dyDescent="0.3">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10">
        <f t="shared" si="0"/>
        <v>0.75</v>
      </c>
      <c r="L9" s="10">
        <f t="shared" si="1"/>
        <v>1.5</v>
      </c>
      <c r="M9" s="10">
        <f t="shared" si="2"/>
        <v>1.125</v>
      </c>
    </row>
    <row r="10" spans="1:13" x14ac:dyDescent="0.3">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10">
        <f t="shared" si="0"/>
        <v>1.75</v>
      </c>
      <c r="L10" s="10">
        <f t="shared" si="1"/>
        <v>-0.5</v>
      </c>
      <c r="M10" s="10">
        <f t="shared" si="2"/>
        <v>0.625</v>
      </c>
    </row>
    <row r="11" spans="1:13" x14ac:dyDescent="0.3">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10">
        <f t="shared" si="0"/>
        <v>1.5</v>
      </c>
      <c r="L11" s="10">
        <f t="shared" si="1"/>
        <v>0.25</v>
      </c>
      <c r="M11" s="10">
        <f t="shared" si="2"/>
        <v>0.875</v>
      </c>
    </row>
    <row r="12" spans="1:13" x14ac:dyDescent="0.3">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10">
        <f t="shared" si="0"/>
        <v>2.25</v>
      </c>
      <c r="L12" s="10">
        <f t="shared" si="1"/>
        <v>1</v>
      </c>
      <c r="M12" s="10">
        <f t="shared" si="2"/>
        <v>1.625</v>
      </c>
    </row>
    <row r="13" spans="1:13" x14ac:dyDescent="0.3">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10">
        <f t="shared" si="0"/>
        <v>1.5</v>
      </c>
      <c r="L13" s="10">
        <f t="shared" si="1"/>
        <v>1.75</v>
      </c>
      <c r="M13" s="10">
        <f t="shared" si="2"/>
        <v>1.625</v>
      </c>
    </row>
    <row r="14" spans="1:13" x14ac:dyDescent="0.3">
      <c r="A14" s="2">
        <f>IF(Data!A14&gt;0,Data!A14-4,"")</f>
        <v>0</v>
      </c>
      <c r="B14" s="2">
        <f>IF(Data!B14&gt;0,Data!B14-4,"")</f>
        <v>0</v>
      </c>
      <c r="C14" s="2">
        <f>IF(Data!C14&gt;0,Data!C14-4,"")</f>
        <v>0</v>
      </c>
      <c r="D14" s="2">
        <f>IF(Data!D14&gt;0,Data!D14-4,"")</f>
        <v>0</v>
      </c>
      <c r="E14" s="2">
        <f>IF(Data!E14&gt;0,Data!E14-4,"")</f>
        <v>0</v>
      </c>
      <c r="F14" s="2">
        <f>IF(Data!F14&gt;0,Data!F14-4,"")</f>
        <v>0</v>
      </c>
      <c r="G14" s="2">
        <f>IF(Data!G14&gt;0,Data!G14-4,"")</f>
        <v>0</v>
      </c>
      <c r="H14" s="2">
        <f>IF(Data!H14&gt;0,Data!H14-4,"")</f>
        <v>0</v>
      </c>
      <c r="K14" s="10">
        <f t="shared" si="0"/>
        <v>0</v>
      </c>
      <c r="L14" s="10">
        <f t="shared" si="1"/>
        <v>0</v>
      </c>
      <c r="M14" s="10">
        <f t="shared" si="2"/>
        <v>0</v>
      </c>
    </row>
    <row r="15" spans="1:13" x14ac:dyDescent="0.3">
      <c r="A15" s="2">
        <f>IF(Data!A15&gt;0,Data!A15-4,"")</f>
        <v>1</v>
      </c>
      <c r="B15" s="2">
        <f>IF(Data!B15&gt;0,Data!B15-4,"")</f>
        <v>1</v>
      </c>
      <c r="C15" s="2">
        <f>IF(Data!C15&gt;0,Data!C15-4,"")</f>
        <v>1</v>
      </c>
      <c r="D15" s="2">
        <f>IF(Data!D15&gt;0,Data!D15-4,"")</f>
        <v>1</v>
      </c>
      <c r="E15" s="2">
        <f>IF(Data!E15&gt;0,Data!E15-4,"")</f>
        <v>1</v>
      </c>
      <c r="F15" s="2">
        <f>IF(Data!F15&gt;0,Data!F15-4,"")</f>
        <v>1</v>
      </c>
      <c r="G15" s="2">
        <f>IF(Data!G15&gt;0,Data!G15-4,"")</f>
        <v>1</v>
      </c>
      <c r="H15" s="2">
        <f>IF(Data!H15&gt;0,Data!H15-4,"")</f>
        <v>1</v>
      </c>
      <c r="K15" s="10">
        <f t="shared" si="0"/>
        <v>1</v>
      </c>
      <c r="L15" s="10">
        <f t="shared" si="1"/>
        <v>1</v>
      </c>
      <c r="M15" s="10">
        <f t="shared" si="2"/>
        <v>1</v>
      </c>
    </row>
    <row r="16" spans="1:13" x14ac:dyDescent="0.3">
      <c r="A16" s="2">
        <f>IF(Data!A16&gt;0,Data!A16-4,"")</f>
        <v>-3</v>
      </c>
      <c r="B16" s="2">
        <f>IF(Data!B16&gt;0,Data!B16-4,"")</f>
        <v>2</v>
      </c>
      <c r="C16" s="2">
        <f>IF(Data!C16&gt;0,Data!C16-4,"")</f>
        <v>-3</v>
      </c>
      <c r="D16" s="2">
        <f>IF(Data!D16&gt;0,Data!D16-4,"")</f>
        <v>3</v>
      </c>
      <c r="E16" s="2">
        <f>IF(Data!E16&gt;0,Data!E16-4,"")</f>
        <v>-3</v>
      </c>
      <c r="F16" s="2">
        <f>IF(Data!F16&gt;0,Data!F16-4,"")</f>
        <v>0</v>
      </c>
      <c r="G16" s="2">
        <f>IF(Data!G16&gt;0,Data!G16-4,"")</f>
        <v>3</v>
      </c>
      <c r="H16" s="2">
        <f>IF(Data!H16&gt;0,Data!H16-4,"")</f>
        <v>-1</v>
      </c>
      <c r="K16" s="10">
        <f t="shared" si="0"/>
        <v>-0.25</v>
      </c>
      <c r="L16" s="10">
        <f t="shared" si="1"/>
        <v>-0.25</v>
      </c>
      <c r="M16" s="10">
        <f t="shared" si="2"/>
        <v>-0.25</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10" t="str">
        <f t="shared" si="0"/>
        <v/>
      </c>
      <c r="L17" s="10" t="str">
        <f t="shared" si="1"/>
        <v/>
      </c>
      <c r="M17" s="10"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10" t="str">
        <f t="shared" si="0"/>
        <v/>
      </c>
      <c r="L18" s="10" t="str">
        <f t="shared" si="1"/>
        <v/>
      </c>
      <c r="M18" s="10"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10" t="str">
        <f t="shared" si="0"/>
        <v/>
      </c>
      <c r="L19" s="10" t="str">
        <f t="shared" si="1"/>
        <v/>
      </c>
      <c r="M19" s="10"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Q22" sqref="Q22"/>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6" t="s">
        <v>415</v>
      </c>
      <c r="B1" s="77"/>
      <c r="C1" s="77"/>
      <c r="D1" s="77"/>
      <c r="E1" s="77"/>
      <c r="F1" s="77"/>
      <c r="G1" s="77"/>
      <c r="H1" s="77"/>
      <c r="I1" s="77"/>
      <c r="J1" s="77"/>
      <c r="K1" s="77"/>
      <c r="L1" s="77"/>
      <c r="M1" s="77"/>
      <c r="N1" s="77"/>
    </row>
    <row r="3" spans="1:18" x14ac:dyDescent="0.3">
      <c r="A3" s="3" t="s">
        <v>1</v>
      </c>
      <c r="B3" s="5" t="s">
        <v>21</v>
      </c>
      <c r="C3" s="5" t="s">
        <v>22</v>
      </c>
      <c r="D3" s="5" t="s">
        <v>23</v>
      </c>
      <c r="E3" s="5" t="s">
        <v>24</v>
      </c>
      <c r="F3" s="3" t="s">
        <v>413</v>
      </c>
      <c r="G3" s="3" t="s">
        <v>414</v>
      </c>
      <c r="H3" s="5" t="s">
        <v>25</v>
      </c>
      <c r="I3" s="9"/>
      <c r="K3" s="78" t="s">
        <v>412</v>
      </c>
      <c r="L3" s="78"/>
    </row>
    <row r="4" spans="1:18" x14ac:dyDescent="0.3">
      <c r="A4" s="4">
        <v>1</v>
      </c>
      <c r="B4" s="6">
        <f>AVERAGE(DT!A4:A1004)</f>
        <v>0.76923076923076927</v>
      </c>
      <c r="C4" s="6">
        <f>VAR(DT!A4:A1004)</f>
        <v>3.6923076923076921</v>
      </c>
      <c r="D4" s="6">
        <f>SQRT(C4)</f>
        <v>1.9215378456610455</v>
      </c>
      <c r="E4" s="7">
        <f>COUNTA(Data!A4:A1000)</f>
        <v>13</v>
      </c>
      <c r="F4" s="22" t="str">
        <f>VLOOKUP(Read_First!B4,Items!A1:Q50,8,FALSE)</f>
        <v>obstructive</v>
      </c>
      <c r="G4" s="23" t="str">
        <f>VLOOKUP(Read_First!B4,Items!A1:Q50,9,FALSE)</f>
        <v>supportive</v>
      </c>
      <c r="H4" s="25" t="str">
        <f>VLOOKUP(Read_First!B4,Items!A1:S50,18,FALSE)</f>
        <v>Pragmatic Quality</v>
      </c>
      <c r="I4" s="51"/>
      <c r="K4" s="25" t="str">
        <f>VLOOKUP(Read_First!B4,Items!A1:S50,18,FALSE)</f>
        <v>Pragmatic Quality</v>
      </c>
      <c r="L4" s="13">
        <f>AVERAGE(DT!K4:K1004)</f>
        <v>0.90384615384615385</v>
      </c>
      <c r="R4" s="8"/>
    </row>
    <row r="5" spans="1:18" x14ac:dyDescent="0.3">
      <c r="A5" s="4">
        <v>2</v>
      </c>
      <c r="B5" s="6">
        <f>AVERAGE(DT!B4:B1004)</f>
        <v>1.5384615384615385</v>
      </c>
      <c r="C5" s="6">
        <f>VAR(DT!B4:B1004)</f>
        <v>1.1025641025641024</v>
      </c>
      <c r="D5" s="6">
        <f t="shared" ref="D5:D11" si="0">SQRT(C5)</f>
        <v>1.0500305245868342</v>
      </c>
      <c r="E5" s="7">
        <f>COUNTA(Data!B4:B1000)</f>
        <v>13</v>
      </c>
      <c r="F5" s="22" t="str">
        <f>VLOOKUP(Read_First!B4,Items!A1:Q50,10,FALSE)</f>
        <v>complicated</v>
      </c>
      <c r="G5" s="22" t="str">
        <f>VLOOKUP(Read_First!B4,Items!A1:Q50,11,FALSE)</f>
        <v>easy</v>
      </c>
      <c r="H5" s="25" t="str">
        <f>VLOOKUP(Read_First!B4,Items!A1:S50,18,FALSE)</f>
        <v>Pragmatic Quality</v>
      </c>
      <c r="I5" s="51"/>
      <c r="K5" s="25" t="str">
        <f>VLOOKUP(Read_First!B4,Items!A1:S50,19,FALSE)</f>
        <v>Hedonic Quality</v>
      </c>
      <c r="L5" s="13">
        <f>AVERAGE(DT!L4:L1004)</f>
        <v>0.51923076923076927</v>
      </c>
    </row>
    <row r="6" spans="1:18" x14ac:dyDescent="0.3">
      <c r="A6" s="4">
        <v>3</v>
      </c>
      <c r="B6" s="6">
        <f>AVERAGE(DT!C4:C1004)</f>
        <v>0.23076923076923078</v>
      </c>
      <c r="C6" s="6">
        <f>VAR(DT!C4:C1004)</f>
        <v>2.1923076923076921</v>
      </c>
      <c r="D6" s="6">
        <f t="shared" si="0"/>
        <v>1.4806443503784736</v>
      </c>
      <c r="E6" s="7">
        <f>COUNTA(Data!C4:C1000)</f>
        <v>13</v>
      </c>
      <c r="F6" s="22" t="str">
        <f>VLOOKUP(Read_First!B4,Items!A1:Q50,14,FALSE)</f>
        <v>inefficient</v>
      </c>
      <c r="G6" s="22" t="str">
        <f>VLOOKUP(Read_First!B4,Items!A1:Q50,15,FALSE)</f>
        <v>efficient</v>
      </c>
      <c r="H6" s="25" t="str">
        <f>VLOOKUP(Read_First!B4,Items!A1:S50,18,FALSE)</f>
        <v>Pragmatic Quality</v>
      </c>
      <c r="I6" s="51"/>
      <c r="K6" s="25" t="s">
        <v>411</v>
      </c>
      <c r="L6" s="13">
        <f>AVERAGE(DT!M4:M1004)</f>
        <v>0.71153846153846156</v>
      </c>
    </row>
    <row r="7" spans="1:18" x14ac:dyDescent="0.3">
      <c r="A7" s="4">
        <v>4</v>
      </c>
      <c r="B7" s="6">
        <f>AVERAGE(DT!D4:D1004)</f>
        <v>1.0769230769230769</v>
      </c>
      <c r="C7" s="6">
        <f>VAR(DT!D4:D1004)</f>
        <v>0.57692307692307698</v>
      </c>
      <c r="D7" s="6">
        <f t="shared" si="0"/>
        <v>0.75955452531275003</v>
      </c>
      <c r="E7" s="7">
        <f>COUNTA(Data!D4:D1000)</f>
        <v>13</v>
      </c>
      <c r="F7" s="22" t="str">
        <f>VLOOKUP(Read_First!B4,Items!A1:Q50,17,FALSE)</f>
        <v>confusing</v>
      </c>
      <c r="G7" s="23" t="str">
        <f>VLOOKUP(Read_First!B4,Items!A1:Q50,16,FALSE)</f>
        <v>clear</v>
      </c>
      <c r="H7" s="25" t="str">
        <f>VLOOKUP(Read_First!B4,Items!A1:S50,18,FALSE)</f>
        <v>Pragmatic Quality</v>
      </c>
      <c r="I7" s="51"/>
      <c r="K7" s="44"/>
      <c r="L7" s="45"/>
    </row>
    <row r="8" spans="1:18" x14ac:dyDescent="0.3">
      <c r="A8" s="4">
        <v>5</v>
      </c>
      <c r="B8" s="6">
        <f>AVERAGE(DT!E4:E1004)</f>
        <v>7.6923076923076927E-2</v>
      </c>
      <c r="C8" s="6">
        <f>VAR(DT!E4:E1004)</f>
        <v>2.2435897435897436</v>
      </c>
      <c r="D8" s="6">
        <f t="shared" si="0"/>
        <v>1.4978617237881953</v>
      </c>
      <c r="E8" s="7">
        <f>COUNTA(Data!E4:E1000)</f>
        <v>13</v>
      </c>
      <c r="F8" s="22" t="str">
        <f>VLOOKUP(Read_First!B4,Items!A1:Q50,2,FALSE)</f>
        <v>boring</v>
      </c>
      <c r="G8" s="23" t="str">
        <f>VLOOKUP(Read_First!B4,Items!A1:Q50,3,FALSE)</f>
        <v>exciting</v>
      </c>
      <c r="H8" s="26" t="str">
        <f>VLOOKUP(Read_First!B4,Items!A1:S50,19,FALSE)</f>
        <v>Hedonic Quality</v>
      </c>
      <c r="I8" s="52"/>
      <c r="K8" s="44"/>
      <c r="L8" s="45"/>
    </row>
    <row r="9" spans="1:18" x14ac:dyDescent="0.3">
      <c r="A9" s="4">
        <v>6</v>
      </c>
      <c r="B9" s="6">
        <f>AVERAGE(DT!F4:F1004)</f>
        <v>0.69230769230769229</v>
      </c>
      <c r="C9" s="6">
        <f>VAR(DT!F4:F1004)</f>
        <v>1.2307692307692308</v>
      </c>
      <c r="D9" s="6">
        <f t="shared" si="0"/>
        <v>1.1094003924504583</v>
      </c>
      <c r="E9" s="7">
        <f>COUNTA(Data!F4:F1000)</f>
        <v>13</v>
      </c>
      <c r="F9" s="22" t="str">
        <f>VLOOKUP(Read_First!B4,Items!A1:Q50,4,FALSE)</f>
        <v>not interesting</v>
      </c>
      <c r="G9" s="23" t="str">
        <f>VLOOKUP(Read_First!B4,Items!A1:Q50,5,FALSE)</f>
        <v>interesting</v>
      </c>
      <c r="H9" s="26" t="str">
        <f>VLOOKUP(Read_First!B4,Items!A1:S50,19,FALSE)</f>
        <v>Hedonic Quality</v>
      </c>
      <c r="I9" s="52"/>
      <c r="K9" s="46"/>
      <c r="L9" s="45"/>
    </row>
    <row r="10" spans="1:18" x14ac:dyDescent="0.3">
      <c r="A10" s="4">
        <v>7</v>
      </c>
      <c r="B10" s="6">
        <f>AVERAGE(DT!G4:G1004)</f>
        <v>0.84615384615384615</v>
      </c>
      <c r="C10" s="6">
        <f>VAR(DT!G4:G1004)</f>
        <v>1.141025641025641</v>
      </c>
      <c r="D10" s="6">
        <f t="shared" si="0"/>
        <v>1.0681880176381127</v>
      </c>
      <c r="E10" s="7">
        <f>COUNTA(Data!G4:G1000)</f>
        <v>13</v>
      </c>
      <c r="F10" s="22" t="str">
        <f>VLOOKUP(Read_First!B4,Items!A1:Q50,7,FALSE)</f>
        <v>conventional</v>
      </c>
      <c r="G10" s="23" t="str">
        <f>VLOOKUP(Read_First!B4,Items!A1:Q50,6,FALSE)</f>
        <v>inventive</v>
      </c>
      <c r="H10" s="26" t="str">
        <f>VLOOKUP(Read_First!B4,Items!A1:S50,19,FALSE)</f>
        <v>Hedonic Quality</v>
      </c>
      <c r="I10" s="52"/>
    </row>
    <row r="11" spans="1:18" x14ac:dyDescent="0.3">
      <c r="A11" s="4">
        <v>8</v>
      </c>
      <c r="B11" s="6">
        <f>AVERAGE(DT!H4:H1004)</f>
        <v>0.46153846153846156</v>
      </c>
      <c r="C11" s="6">
        <f>VAR(DT!H4:H1004)</f>
        <v>0.76923076923076916</v>
      </c>
      <c r="D11" s="6">
        <f t="shared" si="0"/>
        <v>0.8770580193070292</v>
      </c>
      <c r="E11" s="7">
        <f>COUNTA(Data!H4:H1000)</f>
        <v>13</v>
      </c>
      <c r="F11" s="22" t="str">
        <f>VLOOKUP(Read_First!B4,Items!A1:Q50,12,FALSE)</f>
        <v>usual</v>
      </c>
      <c r="G11" s="23" t="str">
        <f>VLOOKUP(Read_First!B4,Items!A1:Q50,13,FALSE)</f>
        <v>leading edge</v>
      </c>
      <c r="H11" s="25" t="str">
        <f>VLOOKUP(Read_First!B4,Items!A1:S50,19,FALSE)</f>
        <v>Hedonic Quality</v>
      </c>
      <c r="I11" s="52"/>
    </row>
    <row r="22" spans="11:15" x14ac:dyDescent="0.3">
      <c r="K22" s="50"/>
      <c r="L22" s="50"/>
    </row>
    <row r="23" spans="11:15" x14ac:dyDescent="0.3">
      <c r="K23" s="49"/>
      <c r="L23" s="49"/>
    </row>
    <row r="24" spans="11:15" x14ac:dyDescent="0.3">
      <c r="K24" s="15"/>
      <c r="L24" s="48"/>
    </row>
    <row r="25" spans="11:15" x14ac:dyDescent="0.3">
      <c r="K25" s="15"/>
      <c r="L25" s="48"/>
    </row>
    <row r="27" spans="11:15" ht="14.4" customHeight="1" x14ac:dyDescent="0.3">
      <c r="K27" s="69"/>
      <c r="L27" s="69"/>
      <c r="M27" s="69"/>
      <c r="N27" s="69"/>
      <c r="O27" s="69"/>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109375" defaultRowHeight="14.4" x14ac:dyDescent="0.3"/>
  <cols>
    <col min="5" max="5" width="12.6640625" customWidth="1"/>
    <col min="9" max="9" width="18.6640625" customWidth="1"/>
    <col min="13" max="13" width="11.88671875" customWidth="1"/>
  </cols>
  <sheetData>
    <row r="1" spans="1:15" ht="88.5" customHeight="1" x14ac:dyDescent="0.3">
      <c r="A1" s="79" t="s">
        <v>258</v>
      </c>
      <c r="B1" s="80"/>
      <c r="C1" s="80"/>
      <c r="D1" s="80"/>
      <c r="E1" s="80"/>
      <c r="F1" s="80"/>
      <c r="G1" s="80"/>
      <c r="H1" s="80"/>
      <c r="I1" s="80"/>
      <c r="J1" s="80"/>
      <c r="K1" s="80"/>
      <c r="L1" s="80"/>
      <c r="M1" s="80"/>
      <c r="N1" s="80"/>
      <c r="O1" s="80"/>
    </row>
    <row r="3" spans="1:15" x14ac:dyDescent="0.3">
      <c r="A3" s="78" t="s">
        <v>29</v>
      </c>
      <c r="B3" s="78"/>
      <c r="C3" s="78"/>
      <c r="D3" s="78"/>
      <c r="E3" s="78"/>
      <c r="F3" s="78"/>
      <c r="G3" s="78"/>
      <c r="I3" s="78" t="s">
        <v>26</v>
      </c>
      <c r="J3" s="78"/>
      <c r="K3" s="78"/>
      <c r="L3" s="78"/>
      <c r="M3" s="78"/>
      <c r="N3" s="78"/>
      <c r="O3" s="78"/>
    </row>
    <row r="4" spans="1:15" x14ac:dyDescent="0.3">
      <c r="A4" s="3" t="s">
        <v>1</v>
      </c>
      <c r="B4" s="5" t="s">
        <v>21</v>
      </c>
      <c r="C4" s="5" t="s">
        <v>23</v>
      </c>
      <c r="D4" s="3" t="s">
        <v>2</v>
      </c>
      <c r="E4" s="5" t="s">
        <v>27</v>
      </c>
      <c r="F4" s="78" t="s">
        <v>28</v>
      </c>
      <c r="G4" s="78"/>
      <c r="I4" s="5" t="s">
        <v>25</v>
      </c>
      <c r="J4" s="3" t="s">
        <v>21</v>
      </c>
      <c r="K4" s="3" t="s">
        <v>23</v>
      </c>
      <c r="L4" s="3" t="s">
        <v>2</v>
      </c>
      <c r="M4" s="5" t="s">
        <v>27</v>
      </c>
      <c r="N4" s="78" t="s">
        <v>28</v>
      </c>
      <c r="O4" s="78"/>
    </row>
    <row r="5" spans="1:15" x14ac:dyDescent="0.3">
      <c r="A5" s="14">
        <v>1</v>
      </c>
      <c r="B5" s="13">
        <f>Results!B4</f>
        <v>0.76923076923076927</v>
      </c>
      <c r="C5" s="13">
        <f>Results!D4</f>
        <v>1.9215378456610455</v>
      </c>
      <c r="D5" s="7">
        <f>Results!E4</f>
        <v>13</v>
      </c>
      <c r="E5" s="13">
        <f t="shared" ref="E5:E12" si="0">CONFIDENCE(0.05, C5, D5)</f>
        <v>1.0445406776087736</v>
      </c>
      <c r="F5" s="13">
        <f t="shared" ref="F5:F12" si="1">B5-E5</f>
        <v>-0.27530990837800429</v>
      </c>
      <c r="G5" s="13">
        <f t="shared" ref="G5:G12" si="2">B5+E5</f>
        <v>1.8137714468395427</v>
      </c>
      <c r="I5" s="12" t="str">
        <f>VLOOKUP(Read_First!B4,Items!A1:S50,18,FALSE)</f>
        <v>Pragmatic Quality</v>
      </c>
      <c r="J5" s="13">
        <f>AVERAGE(DT!K4:K1004)</f>
        <v>0.90384615384615385</v>
      </c>
      <c r="K5" s="13">
        <f>STDEV(DT!K4:K1004)</f>
        <v>0.75373004076988626</v>
      </c>
      <c r="L5" s="7">
        <f>MAX(D5:D12)</f>
        <v>13</v>
      </c>
      <c r="M5" s="13">
        <f t="shared" ref="M5:M7" si="3">CONFIDENCE(0.05, K5, L5)</f>
        <v>0.40972478855810351</v>
      </c>
      <c r="N5" s="13">
        <f t="shared" ref="N5:N7" si="4">J5-M5</f>
        <v>0.49412136528805034</v>
      </c>
      <c r="O5" s="13">
        <f t="shared" ref="O5:O7" si="5">J5+M5</f>
        <v>1.3135709424042574</v>
      </c>
    </row>
    <row r="6" spans="1:15" x14ac:dyDescent="0.3">
      <c r="A6" s="14">
        <v>2</v>
      </c>
      <c r="B6" s="13">
        <f>Results!B5</f>
        <v>1.5384615384615385</v>
      </c>
      <c r="C6" s="13">
        <f>Results!D5</f>
        <v>1.0500305245868342</v>
      </c>
      <c r="D6" s="7">
        <f>Results!E5</f>
        <v>13</v>
      </c>
      <c r="E6" s="13">
        <f t="shared" si="0"/>
        <v>0.57079260662935727</v>
      </c>
      <c r="F6" s="13">
        <f t="shared" si="1"/>
        <v>0.96766893183218128</v>
      </c>
      <c r="G6" s="13">
        <f t="shared" si="2"/>
        <v>2.1092541450908957</v>
      </c>
      <c r="I6" s="12" t="str">
        <f>VLOOKUP(Read_First!B4,Items!A1:S50,19,FALSE)</f>
        <v>Hedonic Quality</v>
      </c>
      <c r="J6" s="13">
        <f>AVERAGE(DT!L4:L1004)</f>
        <v>0.51923076923076927</v>
      </c>
      <c r="K6" s="13">
        <f>STDEV(DT!L4:L1004)</f>
        <v>0.76690353085706009</v>
      </c>
      <c r="L6" s="7">
        <f>L5</f>
        <v>13</v>
      </c>
      <c r="M6" s="13">
        <f t="shared" si="3"/>
        <v>0.41688584775514226</v>
      </c>
      <c r="N6" s="13">
        <f t="shared" si="4"/>
        <v>0.10234492147562702</v>
      </c>
      <c r="O6" s="13">
        <f t="shared" si="5"/>
        <v>0.93611661698591153</v>
      </c>
    </row>
    <row r="7" spans="1:15" x14ac:dyDescent="0.3">
      <c r="A7" s="14">
        <v>3</v>
      </c>
      <c r="B7" s="13">
        <f>Results!B6</f>
        <v>0.23076923076923078</v>
      </c>
      <c r="C7" s="13">
        <f>Results!D6</f>
        <v>1.4806443503784736</v>
      </c>
      <c r="D7" s="7">
        <f>Results!E6</f>
        <v>13</v>
      </c>
      <c r="E7" s="13">
        <f t="shared" si="0"/>
        <v>0.80487264746527842</v>
      </c>
      <c r="F7" s="13">
        <f t="shared" si="1"/>
        <v>-0.5741034166960477</v>
      </c>
      <c r="G7" s="13">
        <f t="shared" si="2"/>
        <v>1.0356418782345092</v>
      </c>
      <c r="I7" s="12" t="s">
        <v>411</v>
      </c>
      <c r="J7" s="13">
        <f>AVERAGE(DT!M4:M1004)</f>
        <v>0.71153846153846156</v>
      </c>
      <c r="K7" s="13">
        <f>STDEV(DT!M4:M1004)</f>
        <v>0.62787798912748105</v>
      </c>
      <c r="L7" s="7">
        <f>L6</f>
        <v>13</v>
      </c>
      <c r="M7" s="13">
        <f t="shared" si="3"/>
        <v>0.34131209109401145</v>
      </c>
      <c r="N7" s="13">
        <f t="shared" si="4"/>
        <v>0.37022637044445011</v>
      </c>
      <c r="O7" s="13">
        <f t="shared" si="5"/>
        <v>1.052850552632473</v>
      </c>
    </row>
    <row r="8" spans="1:15" x14ac:dyDescent="0.3">
      <c r="A8" s="14">
        <v>4</v>
      </c>
      <c r="B8" s="13">
        <f>Results!B7</f>
        <v>1.0769230769230769</v>
      </c>
      <c r="C8" s="13">
        <f>Results!D7</f>
        <v>0.75955452531275003</v>
      </c>
      <c r="D8" s="7">
        <f>Results!E7</f>
        <v>13</v>
      </c>
      <c r="E8" s="13">
        <f t="shared" si="0"/>
        <v>0.41289095624242084</v>
      </c>
      <c r="F8" s="13">
        <f t="shared" si="1"/>
        <v>0.66403212068065609</v>
      </c>
      <c r="G8" s="13">
        <f t="shared" si="2"/>
        <v>1.4898140331654977</v>
      </c>
      <c r="I8" s="53"/>
      <c r="J8" s="45"/>
      <c r="K8" s="45"/>
      <c r="L8" s="54"/>
      <c r="M8" s="45"/>
      <c r="N8" s="45"/>
      <c r="O8" s="45"/>
    </row>
    <row r="9" spans="1:15" x14ac:dyDescent="0.3">
      <c r="A9" s="14">
        <v>5</v>
      </c>
      <c r="B9" s="13">
        <f>Results!B8</f>
        <v>7.6923076923076927E-2</v>
      </c>
      <c r="C9" s="13">
        <f>Results!D8</f>
        <v>1.4978617237881953</v>
      </c>
      <c r="D9" s="7">
        <f>Results!E8</f>
        <v>13</v>
      </c>
      <c r="E9" s="13">
        <f t="shared" si="0"/>
        <v>0.81423194628348461</v>
      </c>
      <c r="F9" s="13">
        <f t="shared" si="1"/>
        <v>-0.73730886936040774</v>
      </c>
      <c r="G9" s="13">
        <f t="shared" si="2"/>
        <v>0.89115502320656148</v>
      </c>
      <c r="I9" s="53"/>
      <c r="J9" s="45"/>
      <c r="K9" s="45"/>
      <c r="L9" s="54"/>
      <c r="M9" s="45"/>
      <c r="N9" s="45"/>
      <c r="O9" s="45"/>
    </row>
    <row r="10" spans="1:15" x14ac:dyDescent="0.3">
      <c r="A10" s="14">
        <v>6</v>
      </c>
      <c r="B10" s="13">
        <f>Results!B9</f>
        <v>0.69230769230769229</v>
      </c>
      <c r="C10" s="13">
        <f>Results!D9</f>
        <v>1.1094003924504583</v>
      </c>
      <c r="D10" s="7">
        <f>Results!E9</f>
        <v>13</v>
      </c>
      <c r="E10" s="13">
        <f t="shared" si="0"/>
        <v>0.60306584139693964</v>
      </c>
      <c r="F10" s="13">
        <f t="shared" si="1"/>
        <v>8.9241850910752651E-2</v>
      </c>
      <c r="G10" s="13">
        <f t="shared" si="2"/>
        <v>1.2953735337046319</v>
      </c>
      <c r="I10" s="24"/>
      <c r="J10" s="45"/>
      <c r="K10" s="45"/>
      <c r="L10" s="54"/>
      <c r="M10" s="45"/>
      <c r="N10" s="45"/>
      <c r="O10" s="45"/>
    </row>
    <row r="11" spans="1:15" x14ac:dyDescent="0.3">
      <c r="A11" s="14">
        <v>7</v>
      </c>
      <c r="B11" s="13">
        <f>Results!B10</f>
        <v>0.84615384615384615</v>
      </c>
      <c r="C11" s="13">
        <f>Results!D10</f>
        <v>1.0681880176381127</v>
      </c>
      <c r="D11" s="7">
        <f>Results!E10</f>
        <v>13</v>
      </c>
      <c r="E11" s="13">
        <f t="shared" si="0"/>
        <v>0.58066295091546438</v>
      </c>
      <c r="F11" s="13">
        <f t="shared" si="1"/>
        <v>0.26549089523838176</v>
      </c>
      <c r="G11" s="13">
        <f t="shared" si="2"/>
        <v>1.4268167970693106</v>
      </c>
    </row>
    <row r="12" spans="1:15" x14ac:dyDescent="0.3">
      <c r="A12" s="14">
        <v>8</v>
      </c>
      <c r="B12" s="13">
        <f>Results!B11</f>
        <v>0.46153846153846156</v>
      </c>
      <c r="C12" s="13">
        <f>Results!D11</f>
        <v>0.8770580193070292</v>
      </c>
      <c r="D12" s="7">
        <f>Results!E11</f>
        <v>13</v>
      </c>
      <c r="E12" s="13">
        <f t="shared" si="0"/>
        <v>0.47676540946504725</v>
      </c>
      <c r="F12" s="13">
        <f t="shared" si="1"/>
        <v>-1.5226947926585688E-2</v>
      </c>
      <c r="G12" s="13">
        <f t="shared" si="2"/>
        <v>0.93830387100350876</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9" t="s">
        <v>259</v>
      </c>
      <c r="B1" s="81"/>
      <c r="C1" s="81"/>
      <c r="D1" s="81"/>
      <c r="E1" s="81"/>
      <c r="F1" s="81"/>
      <c r="G1" s="81"/>
      <c r="H1" s="81"/>
      <c r="I1" s="81"/>
      <c r="J1" s="81"/>
      <c r="K1" s="81"/>
      <c r="L1" s="81"/>
      <c r="M1" s="81"/>
      <c r="N1" s="81"/>
      <c r="O1" s="81"/>
      <c r="P1" s="81"/>
      <c r="Q1" s="81"/>
      <c r="R1" s="81"/>
    </row>
    <row r="3" spans="1:18" x14ac:dyDescent="0.3">
      <c r="A3" s="42"/>
      <c r="B3" s="42"/>
      <c r="D3" s="72" t="str">
        <f>VLOOKUP(Read_First!B4,Items!A1:S50,18,FALSE)</f>
        <v>Pragmatic Quality</v>
      </c>
      <c r="E3" s="72"/>
      <c r="G3" s="72" t="str">
        <f>VLOOKUP(Read_First!B4,Items!A1:S50,19,FALSE)</f>
        <v>Hedonic Quality</v>
      </c>
      <c r="H3" s="72"/>
      <c r="J3" s="42"/>
      <c r="K3" s="42"/>
      <c r="L3" s="42"/>
      <c r="M3" s="42"/>
      <c r="N3" s="42"/>
      <c r="O3" s="42"/>
      <c r="P3" s="42"/>
      <c r="Q3" s="42"/>
    </row>
    <row r="4" spans="1:18" x14ac:dyDescent="0.3">
      <c r="A4" s="42"/>
      <c r="B4" s="42"/>
      <c r="D4" s="35" t="s">
        <v>0</v>
      </c>
      <c r="E4" s="35" t="s">
        <v>30</v>
      </c>
      <c r="G4" s="35" t="s">
        <v>0</v>
      </c>
      <c r="H4" s="35" t="s">
        <v>30</v>
      </c>
      <c r="J4" s="42"/>
      <c r="K4" s="42"/>
      <c r="L4" s="42"/>
      <c r="M4" s="42"/>
      <c r="N4" s="42"/>
      <c r="O4" s="42"/>
      <c r="P4" s="42"/>
      <c r="Q4" s="42"/>
    </row>
    <row r="5" spans="1:18" x14ac:dyDescent="0.3">
      <c r="A5" s="42"/>
      <c r="B5" s="42"/>
      <c r="D5" s="36">
        <v>1.2</v>
      </c>
      <c r="E5" s="37">
        <f>CORREL(DT!A4:A1004,DT!B4:B1004)</f>
        <v>0.14932151678400876</v>
      </c>
      <c r="G5" s="36">
        <v>5.6</v>
      </c>
      <c r="H5" s="37">
        <f>CORREL(DT!E4:E1004,DT!F4:F1004)</f>
        <v>0.51691622237300794</v>
      </c>
      <c r="J5" s="42"/>
      <c r="K5" s="42"/>
      <c r="L5" s="42"/>
      <c r="M5" s="42"/>
      <c r="N5" s="42"/>
      <c r="O5" s="42"/>
      <c r="P5" s="42"/>
      <c r="Q5" s="42"/>
    </row>
    <row r="6" spans="1:18" x14ac:dyDescent="0.3">
      <c r="A6" s="42"/>
      <c r="B6" s="42"/>
      <c r="D6" s="36">
        <v>1.3</v>
      </c>
      <c r="E6" s="37">
        <f>CORREL(DT!A4:A1004,DT!C4:C1004)</f>
        <v>0.45962735987049375</v>
      </c>
      <c r="G6" s="36">
        <v>5.7</v>
      </c>
      <c r="H6" s="37">
        <f>CORREL(DT!E4:E1004,DT!G4:G1004)</f>
        <v>8.0128308021500082E-3</v>
      </c>
      <c r="J6" s="42"/>
      <c r="K6" s="42"/>
      <c r="L6" s="42"/>
      <c r="M6" s="42"/>
      <c r="N6" s="42"/>
      <c r="O6" s="42"/>
      <c r="P6" s="42"/>
      <c r="Q6" s="42"/>
    </row>
    <row r="7" spans="1:18" x14ac:dyDescent="0.3">
      <c r="A7" s="42"/>
      <c r="B7" s="42"/>
      <c r="D7" s="36">
        <v>1.4</v>
      </c>
      <c r="E7" s="37">
        <f>CORREL(DT!A4:A1004,DT!D4:D1004)</f>
        <v>-0.38650060290946858</v>
      </c>
      <c r="G7" s="36">
        <v>5.8</v>
      </c>
      <c r="H7" s="37">
        <f>CORREL(DT!E4:E1004,DT!H4:H1004)</f>
        <v>0.54162454048643593</v>
      </c>
      <c r="J7" s="42"/>
      <c r="K7" s="42"/>
      <c r="L7" s="42"/>
      <c r="M7" s="42"/>
      <c r="N7" s="42"/>
      <c r="O7" s="42"/>
      <c r="P7" s="42"/>
      <c r="Q7" s="42"/>
    </row>
    <row r="8" spans="1:18" x14ac:dyDescent="0.3">
      <c r="A8" s="42"/>
      <c r="B8" s="42"/>
      <c r="D8" s="36">
        <v>2.2999999999999998</v>
      </c>
      <c r="E8" s="37">
        <f>CORREL(DT!B4:B1004,DT!C4:C1004)</f>
        <v>2.0615445666470521E-2</v>
      </c>
      <c r="G8" s="36">
        <v>6.7</v>
      </c>
      <c r="H8" s="37">
        <f>CORREL(DT!F4:F1004,DT!G4:G1004)</f>
        <v>0.30832890471563967</v>
      </c>
      <c r="J8" s="42"/>
      <c r="K8" s="42"/>
      <c r="L8" s="42"/>
      <c r="M8" s="42"/>
      <c r="N8" s="42"/>
      <c r="O8" s="42"/>
      <c r="P8" s="42"/>
      <c r="Q8" s="42"/>
    </row>
    <row r="9" spans="1:18" x14ac:dyDescent="0.3">
      <c r="A9" s="42"/>
      <c r="B9" s="42"/>
      <c r="D9" s="36">
        <v>2.4</v>
      </c>
      <c r="E9" s="37">
        <f>CORREL(DT!B4:B1004,DT!D4:D1004)</f>
        <v>0.25719617182421983</v>
      </c>
      <c r="G9" s="36">
        <v>6.8</v>
      </c>
      <c r="H9" s="37">
        <f>CORREL(DT!F4:F1004,DT!H4:H1004)</f>
        <v>0.24375890297131256</v>
      </c>
      <c r="J9" s="42"/>
      <c r="K9" s="42"/>
      <c r="L9" s="42"/>
      <c r="M9" s="42"/>
      <c r="N9" s="42"/>
      <c r="O9" s="42"/>
      <c r="P9" s="42"/>
      <c r="Q9" s="42"/>
    </row>
    <row r="10" spans="1:18" x14ac:dyDescent="0.3">
      <c r="A10" s="42"/>
      <c r="B10" s="42"/>
      <c r="D10" s="36">
        <v>3.4</v>
      </c>
      <c r="E10" s="37">
        <f>CORREL(DT!C4:C1004,DT!D4:D1004)</f>
        <v>-0.46169025843831923</v>
      </c>
      <c r="G10" s="36">
        <v>7.8</v>
      </c>
      <c r="H10" s="37">
        <f>CORREL(DT!G4:G1004,DT!H4:H1004)</f>
        <v>-0.18474093613259099</v>
      </c>
      <c r="J10" s="42"/>
      <c r="K10" s="42"/>
      <c r="L10" s="42"/>
      <c r="M10" s="42"/>
      <c r="N10" s="42"/>
      <c r="O10" s="42"/>
      <c r="P10" s="42"/>
      <c r="Q10" s="42"/>
    </row>
    <row r="11" spans="1:18" x14ac:dyDescent="0.3">
      <c r="A11" s="42"/>
      <c r="B11" s="42"/>
      <c r="D11" s="38" t="s">
        <v>263</v>
      </c>
      <c r="E11" s="37">
        <f>AVERAGE(E5:E10)</f>
        <v>6.4282721329008323E-3</v>
      </c>
      <c r="G11" s="38" t="s">
        <v>263</v>
      </c>
      <c r="H11" s="37">
        <f>AVERAGE(H5:H10)</f>
        <v>0.23898341086932587</v>
      </c>
      <c r="J11" s="42"/>
      <c r="K11" s="42"/>
      <c r="L11" s="42"/>
      <c r="M11" s="42"/>
      <c r="N11" s="42"/>
      <c r="O11" s="42"/>
      <c r="P11" s="42"/>
      <c r="Q11" s="42"/>
    </row>
    <row r="12" spans="1:18" x14ac:dyDescent="0.3">
      <c r="A12" s="42"/>
      <c r="B12" s="42"/>
      <c r="C12" s="11"/>
      <c r="D12" s="39" t="s">
        <v>3</v>
      </c>
      <c r="E12" s="40">
        <f>(4*E11)/(1+(3*E11))</f>
        <v>2.522659821663175E-2</v>
      </c>
      <c r="F12" s="11"/>
      <c r="G12" s="39" t="s">
        <v>3</v>
      </c>
      <c r="H12" s="40">
        <f>(4*H11)/(1+(3*H11))</f>
        <v>0.55676258130398992</v>
      </c>
      <c r="I12" s="11"/>
      <c r="J12" s="42"/>
      <c r="K12" s="42"/>
      <c r="L12" s="42"/>
      <c r="M12" s="42"/>
      <c r="N12" s="42"/>
      <c r="O12" s="42"/>
      <c r="P12" s="42"/>
      <c r="Q12" s="42"/>
    </row>
    <row r="13" spans="1:18" x14ac:dyDescent="0.3">
      <c r="A13" s="42"/>
      <c r="B13" s="42"/>
    </row>
    <row r="14" spans="1:18" x14ac:dyDescent="0.3">
      <c r="A14" s="42"/>
      <c r="B14" s="42"/>
    </row>
    <row r="15" spans="1:18" x14ac:dyDescent="0.3">
      <c r="A15" s="42"/>
      <c r="B15" s="42"/>
    </row>
    <row r="16" spans="1:18" x14ac:dyDescent="0.3">
      <c r="A16" s="42"/>
      <c r="B16" s="42"/>
    </row>
    <row r="17" spans="1:2" x14ac:dyDescent="0.3">
      <c r="A17" s="42"/>
      <c r="B17" s="42"/>
    </row>
    <row r="18" spans="1:2" x14ac:dyDescent="0.3">
      <c r="A18" s="42"/>
      <c r="B18" s="42"/>
    </row>
    <row r="19" spans="1:2" x14ac:dyDescent="0.3">
      <c r="A19" s="42"/>
      <c r="B19" s="42"/>
    </row>
    <row r="20" spans="1:2" x14ac:dyDescent="0.3">
      <c r="A20" s="42"/>
      <c r="B20" s="42"/>
    </row>
    <row r="21" spans="1:2" x14ac:dyDescent="0.3">
      <c r="A21" s="42"/>
      <c r="B21" s="42"/>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4" workbookViewId="0">
      <selection activeCell="J3" sqref="J3"/>
    </sheetView>
  </sheetViews>
  <sheetFormatPr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84.05" customHeight="1" x14ac:dyDescent="0.3">
      <c r="A1" s="82" t="s">
        <v>695</v>
      </c>
      <c r="B1" s="83"/>
      <c r="C1" s="83"/>
      <c r="D1" s="83"/>
      <c r="E1" s="83"/>
      <c r="F1" s="83"/>
      <c r="G1" s="83"/>
      <c r="H1" s="83"/>
    </row>
    <row r="3" spans="1:8" x14ac:dyDescent="0.3">
      <c r="A3" s="34" t="s">
        <v>25</v>
      </c>
      <c r="B3" s="34" t="s">
        <v>21</v>
      </c>
      <c r="C3" s="34" t="s">
        <v>32</v>
      </c>
      <c r="D3" s="34" t="s">
        <v>33</v>
      </c>
    </row>
    <row r="4" spans="1:8" x14ac:dyDescent="0.3">
      <c r="A4" s="18" t="str">
        <f>VLOOKUP(Read_First!B4,Items!A1:S50,18,FALSE)</f>
        <v>Pragmatic Quality</v>
      </c>
      <c r="B4" s="17">
        <f>Results!L4</f>
        <v>0.90384615384615385</v>
      </c>
      <c r="C4" s="16" t="str">
        <f>IF(B4&gt;E32,"Excellent",IF(B4&gt;D32,"Good",IF(B4&gt;C32,"Above average",IF(B4&gt;B32,"Below average","Bad"))))</f>
        <v>Below average</v>
      </c>
      <c r="D4" s="15"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
      <c r="A5" s="18" t="str">
        <f>VLOOKUP(Read_First!B4,Items!A1:S50,19,FALSE)</f>
        <v>Hedonic Quality</v>
      </c>
      <c r="B5" s="17">
        <f>Results!L5</f>
        <v>0.51923076923076927</v>
      </c>
      <c r="C5" s="16" t="str">
        <f>IF(B5&gt;E33,"Excellent",IF(B5&gt;D33,"Good",IF(B5&gt;C33,"Above Average",IF(B5&gt;B33,"Below Average","Bad"))))</f>
        <v>Below Average</v>
      </c>
      <c r="D5" s="1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
      <c r="A6" s="18" t="s">
        <v>411</v>
      </c>
      <c r="B6" s="55">
        <f>Results!L6</f>
        <v>0.71153846153846156</v>
      </c>
      <c r="C6" s="16" t="str">
        <f>IF(B6&gt;E34,"Excellent",IF(B6&gt;D34,"Good",IF(B6&gt;C34,"Above Average",IF(B6&gt;B34,"Below Average","Bad"))))</f>
        <v>Below Average</v>
      </c>
      <c r="D6" s="15"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
      <c r="A24" s="84" t="s">
        <v>260</v>
      </c>
      <c r="B24" s="84"/>
      <c r="C24" s="84"/>
      <c r="D24" s="84"/>
      <c r="E24" s="84"/>
      <c r="F24" s="84"/>
      <c r="G24" s="84"/>
      <c r="H24" s="84"/>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0.90384615384615385</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0.51923076923076927</v>
      </c>
    </row>
    <row r="28" spans="1:8" x14ac:dyDescent="0.3">
      <c r="A28" s="18" t="s">
        <v>411</v>
      </c>
      <c r="B28" s="31">
        <v>-1</v>
      </c>
      <c r="C28" s="32">
        <f>B34</f>
        <v>0.59</v>
      </c>
      <c r="D28" s="32">
        <f t="shared" si="0"/>
        <v>0.39</v>
      </c>
      <c r="E28" s="32">
        <f t="shared" si="0"/>
        <v>0.33000000000000007</v>
      </c>
      <c r="F28" s="32">
        <f t="shared" si="0"/>
        <v>0.27</v>
      </c>
      <c r="G28" s="32">
        <f>2.5-E34</f>
        <v>0.91999999999999993</v>
      </c>
      <c r="H28" s="56">
        <f>Results!L6</f>
        <v>0.71153846153846156</v>
      </c>
    </row>
    <row r="30" spans="1:8" x14ac:dyDescent="0.3">
      <c r="A30" s="84" t="s">
        <v>668</v>
      </c>
      <c r="B30" s="84"/>
      <c r="C30" s="84"/>
      <c r="D30" s="84"/>
      <c r="E30" s="84"/>
    </row>
    <row r="31" spans="1:8" x14ac:dyDescent="0.3">
      <c r="A31" s="47" t="s">
        <v>25</v>
      </c>
      <c r="B31" s="58">
        <v>0.25</v>
      </c>
      <c r="C31" s="58">
        <v>0.5</v>
      </c>
      <c r="D31" s="58">
        <v>0.75</v>
      </c>
      <c r="E31" s="58">
        <v>0.9</v>
      </c>
    </row>
    <row r="32" spans="1:8" x14ac:dyDescent="0.3">
      <c r="A32" s="47" t="s">
        <v>666</v>
      </c>
      <c r="B32">
        <v>0.72</v>
      </c>
      <c r="C32">
        <v>1.17</v>
      </c>
      <c r="D32">
        <v>1.55</v>
      </c>
      <c r="E32">
        <v>1.74</v>
      </c>
    </row>
    <row r="33" spans="1:5" x14ac:dyDescent="0.3">
      <c r="A33" s="47" t="s">
        <v>667</v>
      </c>
      <c r="B33">
        <v>0.35</v>
      </c>
      <c r="C33">
        <v>0.85</v>
      </c>
      <c r="D33">
        <v>1.2</v>
      </c>
      <c r="E33">
        <v>1.59</v>
      </c>
    </row>
    <row r="34" spans="1:5" x14ac:dyDescent="0.3">
      <c r="A34" s="47"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09375" defaultRowHeight="14.4" x14ac:dyDescent="0.3"/>
  <cols>
    <col min="1" max="8" width="8.77734375" style="2" customWidth="1"/>
    <col min="11" max="12" width="18.6640625" style="2" customWidth="1"/>
    <col min="13" max="13" width="9.109375" style="2"/>
    <col min="15" max="15" width="18.21875" style="4" customWidth="1"/>
    <col min="16" max="16" width="16" style="4" customWidth="1"/>
  </cols>
  <sheetData>
    <row r="1" spans="1:16" ht="184.95" customHeight="1" x14ac:dyDescent="0.3">
      <c r="A1" s="85" t="s">
        <v>700</v>
      </c>
      <c r="B1" s="86"/>
      <c r="C1" s="86"/>
      <c r="D1" s="86"/>
      <c r="E1" s="86"/>
      <c r="F1" s="86"/>
      <c r="G1" s="86"/>
      <c r="H1" s="86"/>
      <c r="I1" s="86"/>
      <c r="J1" s="86"/>
      <c r="K1" s="86"/>
      <c r="L1" s="86"/>
      <c r="M1" s="87"/>
      <c r="O1" s="17"/>
      <c r="P1" s="17"/>
    </row>
    <row r="2" spans="1:16" x14ac:dyDescent="0.3">
      <c r="A2" s="72" t="s">
        <v>0</v>
      </c>
      <c r="B2" s="72"/>
      <c r="C2" s="72"/>
      <c r="D2" s="72"/>
      <c r="E2" s="72"/>
      <c r="F2" s="72"/>
      <c r="G2" s="72"/>
      <c r="H2" s="72"/>
      <c r="K2" s="72" t="s">
        <v>261</v>
      </c>
      <c r="L2" s="72"/>
      <c r="M2" s="72"/>
      <c r="O2" s="88" t="s">
        <v>696</v>
      </c>
      <c r="P2" s="88"/>
    </row>
    <row r="3" spans="1:16"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262</v>
      </c>
      <c r="O3" s="62" t="s">
        <v>697</v>
      </c>
      <c r="P3" s="61" t="s">
        <v>699</v>
      </c>
    </row>
    <row r="4" spans="1:16" x14ac:dyDescent="0.3">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7">
        <f>IF((MAX(A4,B4,C4,D4)-MIN(A4,B4,C4,D4))&gt;3,1,"")</f>
        <v>1</v>
      </c>
      <c r="L4" s="7" t="str">
        <f>IF((MAX(E4,F4,G4,H4)-MIN(E4,F4,G4,H4))&gt;3,1,"")</f>
        <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x14ac:dyDescent="0.3">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3">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3">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3">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3">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3">
      <c r="A14" s="2">
        <f>IF(Data!A14&gt;0,Data!A14-4,"")</f>
        <v>0</v>
      </c>
      <c r="B14" s="2">
        <f>IF(Data!B14&gt;0,Data!B14-4,"")</f>
        <v>0</v>
      </c>
      <c r="C14" s="2">
        <f>IF(Data!C14&gt;0,Data!C14-4,"")</f>
        <v>0</v>
      </c>
      <c r="D14" s="2">
        <f>IF(Data!D14&gt;0,Data!D14-4,"")</f>
        <v>0</v>
      </c>
      <c r="E14" s="2">
        <f>IF(Data!E14&gt;0,Data!E14-4,"")</f>
        <v>0</v>
      </c>
      <c r="F14" s="2">
        <f>IF(Data!F14&gt;0,Data!F14-4,"")</f>
        <v>0</v>
      </c>
      <c r="G14" s="2">
        <f>IF(Data!G14&gt;0,Data!G14-4,"")</f>
        <v>0</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8</v>
      </c>
      <c r="P14" s="4" t="str">
        <f>IF(COUNTIF(Data!A14:H14,4)=8,"Remove","")</f>
        <v>Remove</v>
      </c>
    </row>
    <row r="15" spans="1:16" x14ac:dyDescent="0.3">
      <c r="A15" s="2">
        <f>IF(Data!A15&gt;0,Data!A15-4,"")</f>
        <v>1</v>
      </c>
      <c r="B15" s="2">
        <f>IF(Data!B15&gt;0,Data!B15-4,"")</f>
        <v>1</v>
      </c>
      <c r="C15" s="2">
        <f>IF(Data!C15&gt;0,Data!C15-4,"")</f>
        <v>1</v>
      </c>
      <c r="D15" s="2">
        <f>IF(Data!D15&gt;0,Data!D15-4,"")</f>
        <v>1</v>
      </c>
      <c r="E15" s="2">
        <f>IF(Data!E15&gt;0,Data!E15-4,"")</f>
        <v>1</v>
      </c>
      <c r="F15" s="2">
        <f>IF(Data!F15&gt;0,Data!F15-4,"")</f>
        <v>1</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8</v>
      </c>
      <c r="P15" s="4" t="str">
        <f>IF(COUNTIF(Data!A15:H15,4)=8,"Remove","")</f>
        <v/>
      </c>
    </row>
    <row r="16" spans="1:16" x14ac:dyDescent="0.3">
      <c r="A16" s="2">
        <f>IF(Data!A16&gt;0,Data!A16-4,"")</f>
        <v>-3</v>
      </c>
      <c r="B16" s="2">
        <f>IF(Data!B16&gt;0,Data!B16-4,"")</f>
        <v>2</v>
      </c>
      <c r="C16" s="2">
        <f>IF(Data!C16&gt;0,Data!C16-4,"")</f>
        <v>-3</v>
      </c>
      <c r="D16" s="2">
        <f>IF(Data!D16&gt;0,Data!D16-4,"")</f>
        <v>3</v>
      </c>
      <c r="E16" s="2">
        <f>IF(Data!E16&gt;0,Data!E16-4,"")</f>
        <v>-3</v>
      </c>
      <c r="F16" s="2">
        <f>IF(Data!F16&gt;0,Data!F16-4,"")</f>
        <v>0</v>
      </c>
      <c r="G16" s="2">
        <f>IF(Data!G16&gt;0,Data!G16-4,"")</f>
        <v>3</v>
      </c>
      <c r="H16" s="2">
        <f>IF(Data!H16&gt;0,Data!H16-4,"")</f>
        <v>-1</v>
      </c>
      <c r="K16" s="7">
        <f t="shared" si="0"/>
        <v>1</v>
      </c>
      <c r="L16" s="7">
        <f t="shared" si="1"/>
        <v>1</v>
      </c>
      <c r="M16" s="4">
        <f t="shared" si="2"/>
        <v>2</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38"/>
  <sheetViews>
    <sheetView tabSelected="1" topLeftCell="G8" workbookViewId="0">
      <selection activeCell="Q25" sqref="Q25"/>
    </sheetView>
  </sheetViews>
  <sheetFormatPr defaultColWidth="9.109375" defaultRowHeight="14.4" x14ac:dyDescent="0.3"/>
  <cols>
    <col min="1" max="1" width="18.33203125" customWidth="1"/>
    <col min="2" max="17" width="15.6640625" customWidth="1"/>
    <col min="18" max="19" width="18.33203125" customWidth="1"/>
  </cols>
  <sheetData>
    <row r="1" spans="1:19" x14ac:dyDescent="0.3">
      <c r="A1" s="47" t="s">
        <v>57</v>
      </c>
      <c r="B1" s="47" t="s">
        <v>58</v>
      </c>
      <c r="C1" s="47" t="s">
        <v>59</v>
      </c>
      <c r="D1" s="47" t="s">
        <v>60</v>
      </c>
      <c r="E1" s="47" t="s">
        <v>61</v>
      </c>
      <c r="F1" s="47" t="s">
        <v>62</v>
      </c>
      <c r="G1" s="47" t="s">
        <v>63</v>
      </c>
      <c r="H1" s="47" t="s">
        <v>64</v>
      </c>
      <c r="I1" s="47" t="s">
        <v>65</v>
      </c>
      <c r="J1" s="47" t="s">
        <v>66</v>
      </c>
      <c r="K1" s="47" t="s">
        <v>67</v>
      </c>
      <c r="L1" s="47" t="s">
        <v>68</v>
      </c>
      <c r="M1" s="47" t="s">
        <v>69</v>
      </c>
      <c r="N1" s="47" t="s">
        <v>70</v>
      </c>
      <c r="O1" s="47" t="s">
        <v>71</v>
      </c>
      <c r="P1" s="47" t="s">
        <v>72</v>
      </c>
      <c r="Q1" s="47" t="s">
        <v>73</v>
      </c>
      <c r="R1" s="47" t="s">
        <v>74</v>
      </c>
      <c r="S1" s="47"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59" t="s">
        <v>676</v>
      </c>
      <c r="S9" s="59" t="s">
        <v>677</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s="42" t="s">
        <v>278</v>
      </c>
      <c r="B14" s="43" t="s">
        <v>280</v>
      </c>
      <c r="C14" s="43" t="s">
        <v>281</v>
      </c>
      <c r="D14" s="43" t="s">
        <v>282</v>
      </c>
      <c r="E14" s="43" t="s">
        <v>283</v>
      </c>
      <c r="F14" s="43" t="s">
        <v>284</v>
      </c>
      <c r="G14" s="43" t="s">
        <v>285</v>
      </c>
      <c r="H14" s="43" t="s">
        <v>286</v>
      </c>
      <c r="I14" s="43" t="s">
        <v>287</v>
      </c>
      <c r="J14" s="43" t="s">
        <v>288</v>
      </c>
      <c r="K14" s="43" t="s">
        <v>289</v>
      </c>
      <c r="L14" s="43" t="s">
        <v>279</v>
      </c>
      <c r="M14" s="43" t="s">
        <v>290</v>
      </c>
      <c r="N14" s="43" t="s">
        <v>291</v>
      </c>
      <c r="O14" s="43" t="s">
        <v>292</v>
      </c>
      <c r="P14" s="43" t="s">
        <v>293</v>
      </c>
      <c r="Q14" s="43" t="s">
        <v>294</v>
      </c>
      <c r="R14" s="42" t="s">
        <v>295</v>
      </c>
      <c r="S14" s="42" t="s">
        <v>296</v>
      </c>
    </row>
    <row r="15" spans="1:19" x14ac:dyDescent="0.3">
      <c r="A15" t="s">
        <v>313</v>
      </c>
      <c r="B15" s="43" t="s">
        <v>297</v>
      </c>
      <c r="C15" s="43" t="s">
        <v>298</v>
      </c>
      <c r="D15" s="43" t="s">
        <v>299</v>
      </c>
      <c r="E15" s="43" t="s">
        <v>300</v>
      </c>
      <c r="F15" s="43" t="s">
        <v>301</v>
      </c>
      <c r="G15" s="43" t="s">
        <v>302</v>
      </c>
      <c r="H15" s="43" t="s">
        <v>303</v>
      </c>
      <c r="I15" s="43" t="s">
        <v>304</v>
      </c>
      <c r="J15" s="43" t="s">
        <v>305</v>
      </c>
      <c r="K15" s="43" t="s">
        <v>306</v>
      </c>
      <c r="L15" s="43" t="s">
        <v>307</v>
      </c>
      <c r="M15" s="43" t="s">
        <v>308</v>
      </c>
      <c r="N15" s="43" t="s">
        <v>309</v>
      </c>
      <c r="O15" s="43" t="s">
        <v>310</v>
      </c>
      <c r="P15" s="43" t="s">
        <v>311</v>
      </c>
      <c r="Q15" s="43" t="s">
        <v>312</v>
      </c>
      <c r="R15" s="42" t="s">
        <v>314</v>
      </c>
      <c r="S15" s="42" t="s">
        <v>315</v>
      </c>
    </row>
    <row r="16" spans="1:19" x14ac:dyDescent="0.3">
      <c r="A16" t="s">
        <v>316</v>
      </c>
      <c r="B16" s="43" t="s">
        <v>319</v>
      </c>
      <c r="C16" s="43" t="s">
        <v>320</v>
      </c>
      <c r="D16" s="43" t="s">
        <v>321</v>
      </c>
      <c r="E16" s="43" t="s">
        <v>322</v>
      </c>
      <c r="F16" s="43" t="s">
        <v>323</v>
      </c>
      <c r="G16" s="43" t="s">
        <v>324</v>
      </c>
      <c r="H16" s="43" t="s">
        <v>325</v>
      </c>
      <c r="I16" s="43" t="s">
        <v>326</v>
      </c>
      <c r="J16" s="43" t="s">
        <v>327</v>
      </c>
      <c r="K16" s="43" t="s">
        <v>328</v>
      </c>
      <c r="L16" s="43" t="s">
        <v>329</v>
      </c>
      <c r="M16" s="43" t="s">
        <v>330</v>
      </c>
      <c r="N16" s="43" t="s">
        <v>331</v>
      </c>
      <c r="O16" s="43" t="s">
        <v>332</v>
      </c>
      <c r="P16" s="43" t="s">
        <v>333</v>
      </c>
      <c r="Q16" s="43" t="s">
        <v>334</v>
      </c>
      <c r="R16" t="s">
        <v>318</v>
      </c>
      <c r="S16" t="s">
        <v>317</v>
      </c>
    </row>
    <row r="17" spans="1:19" x14ac:dyDescent="0.3">
      <c r="A17" t="s">
        <v>351</v>
      </c>
      <c r="B17" s="43" t="s">
        <v>335</v>
      </c>
      <c r="C17" s="43" t="s">
        <v>336</v>
      </c>
      <c r="D17" s="43" t="s">
        <v>337</v>
      </c>
      <c r="E17" s="43" t="s">
        <v>338</v>
      </c>
      <c r="F17" s="43" t="s">
        <v>339</v>
      </c>
      <c r="G17" s="43" t="s">
        <v>340</v>
      </c>
      <c r="H17" s="43" t="s">
        <v>341</v>
      </c>
      <c r="I17" s="43" t="s">
        <v>342</v>
      </c>
      <c r="J17" s="43" t="s">
        <v>343</v>
      </c>
      <c r="K17" s="43" t="s">
        <v>344</v>
      </c>
      <c r="L17" s="43" t="s">
        <v>345</v>
      </c>
      <c r="M17" s="43" t="s">
        <v>346</v>
      </c>
      <c r="N17" s="43" t="s">
        <v>347</v>
      </c>
      <c r="O17" s="43" t="s">
        <v>348</v>
      </c>
      <c r="P17" s="43" t="s">
        <v>349</v>
      </c>
      <c r="Q17" s="43" t="s">
        <v>350</v>
      </c>
      <c r="R17" t="s">
        <v>352</v>
      </c>
      <c r="S17" t="s">
        <v>353</v>
      </c>
    </row>
    <row r="18" spans="1:19" x14ac:dyDescent="0.3">
      <c r="A18" t="s">
        <v>354</v>
      </c>
      <c r="B18" s="43" t="s">
        <v>355</v>
      </c>
      <c r="C18" s="43" t="s">
        <v>356</v>
      </c>
      <c r="D18" s="43" t="s">
        <v>357</v>
      </c>
      <c r="E18" s="43" t="s">
        <v>358</v>
      </c>
      <c r="F18" s="43" t="s">
        <v>359</v>
      </c>
      <c r="G18" s="43" t="s">
        <v>360</v>
      </c>
      <c r="H18" s="43" t="s">
        <v>361</v>
      </c>
      <c r="I18" s="43" t="s">
        <v>362</v>
      </c>
      <c r="J18" s="43" t="s">
        <v>363</v>
      </c>
      <c r="K18" s="43" t="s">
        <v>364</v>
      </c>
      <c r="L18" s="43" t="s">
        <v>365</v>
      </c>
      <c r="M18" s="43" t="s">
        <v>366</v>
      </c>
      <c r="N18" s="43" t="s">
        <v>367</v>
      </c>
      <c r="O18" s="43" t="s">
        <v>368</v>
      </c>
      <c r="P18" s="43" t="s">
        <v>369</v>
      </c>
      <c r="Q18" s="43" t="s">
        <v>370</v>
      </c>
      <c r="R18" t="s">
        <v>371</v>
      </c>
      <c r="S18" t="s">
        <v>372</v>
      </c>
    </row>
    <row r="19" spans="1:19" x14ac:dyDescent="0.3">
      <c r="A19" t="s">
        <v>373</v>
      </c>
      <c r="B19" s="43" t="s">
        <v>374</v>
      </c>
      <c r="C19" s="43" t="s">
        <v>375</v>
      </c>
      <c r="D19" s="43" t="s">
        <v>376</v>
      </c>
      <c r="E19" s="43" t="s">
        <v>375</v>
      </c>
      <c r="F19" s="43" t="s">
        <v>377</v>
      </c>
      <c r="G19" s="43" t="s">
        <v>378</v>
      </c>
      <c r="H19" s="43" t="s">
        <v>379</v>
      </c>
      <c r="I19" s="43" t="s">
        <v>380</v>
      </c>
      <c r="J19" s="43" t="s">
        <v>381</v>
      </c>
      <c r="K19" s="43" t="s">
        <v>382</v>
      </c>
      <c r="L19" s="43" t="s">
        <v>383</v>
      </c>
      <c r="M19" s="43" t="s">
        <v>384</v>
      </c>
      <c r="N19" s="43" t="s">
        <v>385</v>
      </c>
      <c r="O19" s="43" t="s">
        <v>386</v>
      </c>
      <c r="P19" s="43" t="s">
        <v>387</v>
      </c>
      <c r="Q19" s="43" t="s">
        <v>388</v>
      </c>
      <c r="R19" t="s">
        <v>389</v>
      </c>
      <c r="S19" t="s">
        <v>390</v>
      </c>
    </row>
    <row r="20" spans="1:19" x14ac:dyDescent="0.3">
      <c r="A20" t="s">
        <v>396</v>
      </c>
      <c r="B20" s="43" t="s">
        <v>397</v>
      </c>
      <c r="C20" s="43" t="s">
        <v>398</v>
      </c>
      <c r="D20" s="43" t="s">
        <v>399</v>
      </c>
      <c r="E20" s="43" t="s">
        <v>400</v>
      </c>
      <c r="F20" s="43" t="s">
        <v>401</v>
      </c>
      <c r="G20" s="43" t="s">
        <v>402</v>
      </c>
      <c r="H20" s="43" t="s">
        <v>403</v>
      </c>
      <c r="I20" s="43" t="s">
        <v>410</v>
      </c>
      <c r="J20" s="43" t="s">
        <v>404</v>
      </c>
      <c r="K20" s="43" t="s">
        <v>405</v>
      </c>
      <c r="L20" s="43" t="s">
        <v>406</v>
      </c>
      <c r="M20" s="43" t="s">
        <v>407</v>
      </c>
      <c r="N20" t="s">
        <v>680</v>
      </c>
      <c r="O20" t="s">
        <v>681</v>
      </c>
      <c r="P20" s="43" t="s">
        <v>408</v>
      </c>
      <c r="Q20" s="43" t="s">
        <v>409</v>
      </c>
      <c r="R20" t="s">
        <v>678</v>
      </c>
      <c r="S20" t="s">
        <v>679</v>
      </c>
    </row>
    <row r="21" spans="1:19" x14ac:dyDescent="0.3">
      <c r="A21" s="42" t="s">
        <v>419</v>
      </c>
      <c r="B21" s="43" t="s">
        <v>422</v>
      </c>
      <c r="C21" s="43" t="s">
        <v>423</v>
      </c>
      <c r="D21" s="43" t="s">
        <v>427</v>
      </c>
      <c r="E21" s="43" t="s">
        <v>428</v>
      </c>
      <c r="F21" s="43" t="s">
        <v>432</v>
      </c>
      <c r="G21" s="43" t="s">
        <v>433</v>
      </c>
      <c r="H21" s="43" t="s">
        <v>438</v>
      </c>
      <c r="I21" s="43" t="s">
        <v>439</v>
      </c>
      <c r="J21" s="43" t="s">
        <v>444</v>
      </c>
      <c r="K21" s="43" t="s">
        <v>445</v>
      </c>
      <c r="L21" s="43" t="s">
        <v>450</v>
      </c>
      <c r="M21" s="43" t="s">
        <v>451</v>
      </c>
      <c r="N21" s="43" t="s">
        <v>456</v>
      </c>
      <c r="O21" s="43" t="s">
        <v>457</v>
      </c>
      <c r="P21" s="43" t="s">
        <v>462</v>
      </c>
      <c r="Q21" s="43" t="s">
        <v>463</v>
      </c>
      <c r="R21" s="57" t="s">
        <v>467</v>
      </c>
      <c r="S21" s="57" t="s">
        <v>468</v>
      </c>
    </row>
    <row r="22" spans="1:19" x14ac:dyDescent="0.3">
      <c r="A22" s="42" t="s">
        <v>420</v>
      </c>
      <c r="B22" s="43" t="s">
        <v>176</v>
      </c>
      <c r="C22" s="43" t="s">
        <v>424</v>
      </c>
      <c r="D22" s="43" t="s">
        <v>429</v>
      </c>
      <c r="E22" s="43" t="s">
        <v>430</v>
      </c>
      <c r="F22" s="43" t="s">
        <v>434</v>
      </c>
      <c r="G22" s="43" t="s">
        <v>435</v>
      </c>
      <c r="H22" s="43" t="s">
        <v>440</v>
      </c>
      <c r="I22" s="43" t="s">
        <v>441</v>
      </c>
      <c r="J22" s="43" t="s">
        <v>446</v>
      </c>
      <c r="K22" s="43" t="s">
        <v>447</v>
      </c>
      <c r="L22" s="43" t="s">
        <v>452</v>
      </c>
      <c r="M22" s="43" t="s">
        <v>453</v>
      </c>
      <c r="N22" s="43" t="s">
        <v>458</v>
      </c>
      <c r="O22" s="43" t="s">
        <v>459</v>
      </c>
      <c r="P22" s="43" t="s">
        <v>190</v>
      </c>
      <c r="Q22" s="43" t="s">
        <v>464</v>
      </c>
      <c r="R22" s="42" t="s">
        <v>469</v>
      </c>
      <c r="S22" s="42" t="s">
        <v>470</v>
      </c>
    </row>
    <row r="23" spans="1:19" x14ac:dyDescent="0.3">
      <c r="A23" s="42" t="s">
        <v>421</v>
      </c>
      <c r="B23" s="43" t="s">
        <v>425</v>
      </c>
      <c r="C23" s="43" t="s">
        <v>426</v>
      </c>
      <c r="D23" s="43" t="s">
        <v>431</v>
      </c>
      <c r="E23" s="43" t="s">
        <v>426</v>
      </c>
      <c r="F23" s="43" t="s">
        <v>436</v>
      </c>
      <c r="G23" s="43" t="s">
        <v>437</v>
      </c>
      <c r="H23" s="43" t="s">
        <v>442</v>
      </c>
      <c r="I23" s="43" t="s">
        <v>443</v>
      </c>
      <c r="J23" s="43" t="s">
        <v>448</v>
      </c>
      <c r="K23" s="43" t="s">
        <v>449</v>
      </c>
      <c r="L23" s="43" t="s">
        <v>454</v>
      </c>
      <c r="M23" s="43" t="s">
        <v>455</v>
      </c>
      <c r="N23" s="43" t="s">
        <v>460</v>
      </c>
      <c r="O23" s="43" t="s">
        <v>461</v>
      </c>
      <c r="P23" s="43" t="s">
        <v>465</v>
      </c>
      <c r="Q23" s="43" t="s">
        <v>466</v>
      </c>
      <c r="R23" s="42" t="s">
        <v>471</v>
      </c>
      <c r="S23" s="42" t="s">
        <v>472</v>
      </c>
    </row>
    <row r="24" spans="1:19" x14ac:dyDescent="0.3">
      <c r="A24" t="s">
        <v>473</v>
      </c>
      <c r="B24" s="60" t="s">
        <v>482</v>
      </c>
      <c r="C24" s="60" t="s">
        <v>483</v>
      </c>
      <c r="D24" s="60" t="s">
        <v>484</v>
      </c>
      <c r="E24" s="60" t="s">
        <v>485</v>
      </c>
      <c r="F24" s="60" t="s">
        <v>487</v>
      </c>
      <c r="G24" s="60" t="s">
        <v>486</v>
      </c>
      <c r="H24" s="60" t="s">
        <v>474</v>
      </c>
      <c r="I24" s="60" t="s">
        <v>475</v>
      </c>
      <c r="J24" s="60" t="s">
        <v>476</v>
      </c>
      <c r="K24" s="60" t="s">
        <v>477</v>
      </c>
      <c r="L24" s="60" t="s">
        <v>488</v>
      </c>
      <c r="M24" s="60" t="s">
        <v>489</v>
      </c>
      <c r="N24" s="60" t="s">
        <v>478</v>
      </c>
      <c r="O24" s="60" t="s">
        <v>479</v>
      </c>
      <c r="P24" s="60" t="s">
        <v>481</v>
      </c>
      <c r="Q24" s="60" t="s">
        <v>480</v>
      </c>
      <c r="R24" s="60" t="s">
        <v>490</v>
      </c>
      <c r="S24" s="60" t="s">
        <v>491</v>
      </c>
    </row>
    <row r="25" spans="1:19" x14ac:dyDescent="0.3">
      <c r="A25" s="42" t="s">
        <v>492</v>
      </c>
      <c r="B25" s="60" t="s">
        <v>720</v>
      </c>
      <c r="C25" s="60" t="s">
        <v>496</v>
      </c>
      <c r="D25" s="60" t="s">
        <v>507</v>
      </c>
      <c r="E25" s="60" t="s">
        <v>44</v>
      </c>
      <c r="F25" s="60" t="s">
        <v>497</v>
      </c>
      <c r="G25" s="60" t="s">
        <v>721</v>
      </c>
      <c r="H25" s="60" t="s">
        <v>722</v>
      </c>
      <c r="I25" s="60" t="s">
        <v>723</v>
      </c>
      <c r="J25" s="60" t="s">
        <v>727</v>
      </c>
      <c r="K25" s="60" t="s">
        <v>724</v>
      </c>
      <c r="L25" s="60" t="s">
        <v>498</v>
      </c>
      <c r="M25" s="60" t="s">
        <v>725</v>
      </c>
      <c r="N25" s="60" t="s">
        <v>728</v>
      </c>
      <c r="O25" s="60" t="s">
        <v>726</v>
      </c>
      <c r="P25" s="60" t="s">
        <v>504</v>
      </c>
      <c r="Q25" s="60" t="s">
        <v>495</v>
      </c>
      <c r="R25" s="60" t="s">
        <v>74</v>
      </c>
      <c r="S25" s="60" t="s">
        <v>77</v>
      </c>
    </row>
    <row r="26" spans="1:19" x14ac:dyDescent="0.3">
      <c r="A26" s="42" t="s">
        <v>499</v>
      </c>
      <c r="B26" s="60" t="s">
        <v>505</v>
      </c>
      <c r="C26" s="60" t="s">
        <v>506</v>
      </c>
      <c r="D26" s="60" t="s">
        <v>507</v>
      </c>
      <c r="E26" s="60" t="s">
        <v>44</v>
      </c>
      <c r="F26" s="60" t="s">
        <v>509</v>
      </c>
      <c r="G26" s="60" t="s">
        <v>508</v>
      </c>
      <c r="H26" s="60" t="s">
        <v>493</v>
      </c>
      <c r="I26" s="60" t="s">
        <v>500</v>
      </c>
      <c r="J26" s="60" t="s">
        <v>501</v>
      </c>
      <c r="K26" s="60" t="s">
        <v>502</v>
      </c>
      <c r="L26" s="60" t="s">
        <v>510</v>
      </c>
      <c r="M26" s="60" t="s">
        <v>511</v>
      </c>
      <c r="N26" s="60" t="s">
        <v>494</v>
      </c>
      <c r="O26" s="60" t="s">
        <v>503</v>
      </c>
      <c r="P26" s="60" t="s">
        <v>504</v>
      </c>
      <c r="Q26" s="60" t="s">
        <v>495</v>
      </c>
      <c r="R26" s="60" t="s">
        <v>74</v>
      </c>
      <c r="S26" s="60" t="s">
        <v>77</v>
      </c>
    </row>
    <row r="27" spans="1:19" x14ac:dyDescent="0.3">
      <c r="A27" s="42" t="s">
        <v>512</v>
      </c>
      <c r="B27" s="60" t="s">
        <v>521</v>
      </c>
      <c r="C27" s="60" t="s">
        <v>522</v>
      </c>
      <c r="D27" s="60" t="s">
        <v>523</v>
      </c>
      <c r="E27" s="60" t="s">
        <v>524</v>
      </c>
      <c r="F27" s="60" t="s">
        <v>526</v>
      </c>
      <c r="G27" s="60" t="s">
        <v>525</v>
      </c>
      <c r="H27" s="60" t="s">
        <v>513</v>
      </c>
      <c r="I27" s="60" t="s">
        <v>514</v>
      </c>
      <c r="J27" s="60" t="s">
        <v>515</v>
      </c>
      <c r="K27" s="60" t="s">
        <v>516</v>
      </c>
      <c r="L27" s="60" t="s">
        <v>527</v>
      </c>
      <c r="M27" s="60" t="s">
        <v>528</v>
      </c>
      <c r="N27" s="60" t="s">
        <v>517</v>
      </c>
      <c r="O27" s="60" t="s">
        <v>518</v>
      </c>
      <c r="P27" s="60" t="s">
        <v>520</v>
      </c>
      <c r="Q27" s="60" t="s">
        <v>519</v>
      </c>
      <c r="R27" s="60" t="s">
        <v>74</v>
      </c>
      <c r="S27" s="60" t="s">
        <v>77</v>
      </c>
    </row>
    <row r="28" spans="1:19" x14ac:dyDescent="0.3">
      <c r="A28" s="42" t="s">
        <v>529</v>
      </c>
      <c r="B28" s="60" t="s">
        <v>538</v>
      </c>
      <c r="C28" s="60" t="s">
        <v>539</v>
      </c>
      <c r="D28" s="60" t="s">
        <v>540</v>
      </c>
      <c r="E28" s="60" t="s">
        <v>541</v>
      </c>
      <c r="F28" s="60" t="s">
        <v>543</v>
      </c>
      <c r="G28" s="60" t="s">
        <v>542</v>
      </c>
      <c r="H28" s="60" t="s">
        <v>530</v>
      </c>
      <c r="I28" s="60" t="s">
        <v>531</v>
      </c>
      <c r="J28" s="60" t="s">
        <v>532</v>
      </c>
      <c r="K28" s="60" t="s">
        <v>533</v>
      </c>
      <c r="L28" s="60" t="s">
        <v>544</v>
      </c>
      <c r="M28" s="60" t="s">
        <v>545</v>
      </c>
      <c r="N28" s="60" t="s">
        <v>534</v>
      </c>
      <c r="O28" s="60" t="s">
        <v>535</v>
      </c>
      <c r="P28" s="60" t="s">
        <v>537</v>
      </c>
      <c r="Q28" s="60" t="s">
        <v>536</v>
      </c>
      <c r="R28" s="60" t="s">
        <v>74</v>
      </c>
      <c r="S28" s="60" t="s">
        <v>77</v>
      </c>
    </row>
    <row r="29" spans="1:19" x14ac:dyDescent="0.3">
      <c r="A29" s="42" t="s">
        <v>546</v>
      </c>
      <c r="B29" s="60" t="s">
        <v>682</v>
      </c>
      <c r="C29" s="60" t="s">
        <v>683</v>
      </c>
      <c r="D29" s="60" t="s">
        <v>684</v>
      </c>
      <c r="E29" s="60" t="s">
        <v>685</v>
      </c>
      <c r="F29" s="60" t="s">
        <v>686</v>
      </c>
      <c r="G29" s="60" t="s">
        <v>687</v>
      </c>
      <c r="H29" s="60" t="s">
        <v>556</v>
      </c>
      <c r="I29" s="60" t="s">
        <v>688</v>
      </c>
      <c r="J29" s="60" t="s">
        <v>305</v>
      </c>
      <c r="K29" s="60" t="s">
        <v>689</v>
      </c>
      <c r="L29" s="60" t="s">
        <v>690</v>
      </c>
      <c r="M29" s="60" t="s">
        <v>301</v>
      </c>
      <c r="N29" s="60" t="s">
        <v>548</v>
      </c>
      <c r="O29" s="60" t="s">
        <v>310</v>
      </c>
      <c r="P29" s="60" t="s">
        <v>691</v>
      </c>
      <c r="Q29" s="60" t="s">
        <v>692</v>
      </c>
      <c r="R29" s="60" t="s">
        <v>693</v>
      </c>
      <c r="S29" s="60" t="s">
        <v>694</v>
      </c>
    </row>
    <row r="30" spans="1:19" x14ac:dyDescent="0.3">
      <c r="A30" s="42" t="s">
        <v>555</v>
      </c>
      <c r="B30" s="60" t="s">
        <v>551</v>
      </c>
      <c r="C30" s="60" t="s">
        <v>552</v>
      </c>
      <c r="D30" s="60" t="s">
        <v>553</v>
      </c>
      <c r="E30" s="60" t="s">
        <v>554</v>
      </c>
      <c r="F30" s="60" t="s">
        <v>562</v>
      </c>
      <c r="G30" s="60" t="s">
        <v>561</v>
      </c>
      <c r="H30" s="60" t="s">
        <v>556</v>
      </c>
      <c r="I30" s="60" t="s">
        <v>557</v>
      </c>
      <c r="J30" s="60" t="s">
        <v>558</v>
      </c>
      <c r="K30" s="60" t="s">
        <v>547</v>
      </c>
      <c r="L30" s="60" t="s">
        <v>563</v>
      </c>
      <c r="M30" s="60" t="s">
        <v>564</v>
      </c>
      <c r="N30" s="60" t="s">
        <v>559</v>
      </c>
      <c r="O30" s="60" t="s">
        <v>560</v>
      </c>
      <c r="P30" s="60" t="s">
        <v>550</v>
      </c>
      <c r="Q30" s="60" t="s">
        <v>549</v>
      </c>
      <c r="R30" s="60" t="s">
        <v>74</v>
      </c>
      <c r="S30" s="60" t="s">
        <v>77</v>
      </c>
    </row>
    <row r="31" spans="1:19" x14ac:dyDescent="0.3">
      <c r="A31" s="42" t="s">
        <v>565</v>
      </c>
      <c r="B31" s="60" t="s">
        <v>574</v>
      </c>
      <c r="C31" s="60" t="s">
        <v>575</v>
      </c>
      <c r="D31" s="60" t="s">
        <v>576</v>
      </c>
      <c r="E31" s="60" t="s">
        <v>577</v>
      </c>
      <c r="F31" s="60" t="s">
        <v>579</v>
      </c>
      <c r="G31" s="60" t="s">
        <v>578</v>
      </c>
      <c r="H31" s="60" t="s">
        <v>566</v>
      </c>
      <c r="I31" s="60" t="s">
        <v>567</v>
      </c>
      <c r="J31" s="60" t="s">
        <v>568</v>
      </c>
      <c r="K31" s="60" t="s">
        <v>569</v>
      </c>
      <c r="L31" s="60" t="s">
        <v>580</v>
      </c>
      <c r="M31" s="60" t="s">
        <v>581</v>
      </c>
      <c r="N31" s="60" t="s">
        <v>570</v>
      </c>
      <c r="O31" s="60" t="s">
        <v>571</v>
      </c>
      <c r="P31" s="60" t="s">
        <v>573</v>
      </c>
      <c r="Q31" s="60" t="s">
        <v>572</v>
      </c>
      <c r="R31" s="60" t="s">
        <v>74</v>
      </c>
      <c r="S31" s="60" t="s">
        <v>77</v>
      </c>
    </row>
    <row r="32" spans="1:19" x14ac:dyDescent="0.3">
      <c r="A32" s="42" t="s">
        <v>582</v>
      </c>
      <c r="B32" s="60" t="s">
        <v>587</v>
      </c>
      <c r="C32" s="60" t="s">
        <v>588</v>
      </c>
      <c r="D32" s="60" t="s">
        <v>589</v>
      </c>
      <c r="E32" s="60" t="s">
        <v>590</v>
      </c>
      <c r="F32" s="60" t="s">
        <v>669</v>
      </c>
      <c r="G32" s="60" t="s">
        <v>670</v>
      </c>
      <c r="H32" s="60" t="s">
        <v>671</v>
      </c>
      <c r="I32" s="60" t="s">
        <v>672</v>
      </c>
      <c r="J32" s="60" t="s">
        <v>583</v>
      </c>
      <c r="K32" s="60" t="s">
        <v>673</v>
      </c>
      <c r="L32" s="60" t="s">
        <v>674</v>
      </c>
      <c r="M32" s="60" t="s">
        <v>675</v>
      </c>
      <c r="N32" s="60" t="s">
        <v>584</v>
      </c>
      <c r="O32" s="60" t="s">
        <v>585</v>
      </c>
      <c r="P32" s="60" t="s">
        <v>465</v>
      </c>
      <c r="Q32" s="60" t="s">
        <v>586</v>
      </c>
      <c r="R32" s="60" t="s">
        <v>74</v>
      </c>
      <c r="S32" s="60" t="s">
        <v>77</v>
      </c>
    </row>
    <row r="33" spans="1:61" x14ac:dyDescent="0.3">
      <c r="A33" s="42" t="s">
        <v>591</v>
      </c>
      <c r="B33" s="60" t="s">
        <v>600</v>
      </c>
      <c r="C33" s="60" t="s">
        <v>601</v>
      </c>
      <c r="D33" s="60" t="s">
        <v>602</v>
      </c>
      <c r="E33" s="60" t="s">
        <v>603</v>
      </c>
      <c r="F33" s="60" t="s">
        <v>605</v>
      </c>
      <c r="G33" s="60" t="s">
        <v>604</v>
      </c>
      <c r="H33" s="60" t="s">
        <v>592</v>
      </c>
      <c r="I33" s="60" t="s">
        <v>593</v>
      </c>
      <c r="J33" s="60" t="s">
        <v>594</v>
      </c>
      <c r="K33" s="60" t="s">
        <v>595</v>
      </c>
      <c r="L33" s="60" t="s">
        <v>606</v>
      </c>
      <c r="M33" s="60" t="s">
        <v>607</v>
      </c>
      <c r="N33" s="60" t="s">
        <v>596</v>
      </c>
      <c r="O33" s="60" t="s">
        <v>597</v>
      </c>
      <c r="P33" s="60" t="s">
        <v>599</v>
      </c>
      <c r="Q33" s="60" t="s">
        <v>598</v>
      </c>
      <c r="R33" s="60" t="s">
        <v>74</v>
      </c>
      <c r="S33" s="60" t="s">
        <v>77</v>
      </c>
    </row>
    <row r="34" spans="1:61" x14ac:dyDescent="0.3">
      <c r="A34" s="42" t="s">
        <v>608</v>
      </c>
      <c r="B34" s="60" t="s">
        <v>613</v>
      </c>
      <c r="C34" s="60" t="s">
        <v>613</v>
      </c>
      <c r="D34" s="60" t="s">
        <v>614</v>
      </c>
      <c r="E34" s="60" t="s">
        <v>614</v>
      </c>
      <c r="F34" s="60" t="s">
        <v>615</v>
      </c>
      <c r="G34" s="60" t="s">
        <v>615</v>
      </c>
      <c r="H34" s="60" t="s">
        <v>609</v>
      </c>
      <c r="I34" s="60" t="s">
        <v>609</v>
      </c>
      <c r="J34" s="60" t="s">
        <v>610</v>
      </c>
      <c r="K34" s="60" t="s">
        <v>610</v>
      </c>
      <c r="L34" s="60" t="s">
        <v>616</v>
      </c>
      <c r="M34" s="60" t="s">
        <v>616</v>
      </c>
      <c r="N34" s="60" t="s">
        <v>611</v>
      </c>
      <c r="O34" s="60" t="s">
        <v>611</v>
      </c>
      <c r="P34" s="60" t="s">
        <v>612</v>
      </c>
      <c r="Q34" s="60" t="s">
        <v>612</v>
      </c>
      <c r="R34" s="60" t="s">
        <v>74</v>
      </c>
      <c r="S34" s="60" t="s">
        <v>77</v>
      </c>
    </row>
    <row r="35" spans="1:61" x14ac:dyDescent="0.3">
      <c r="A35" s="42" t="s">
        <v>617</v>
      </c>
      <c r="B35" s="60" t="s">
        <v>626</v>
      </c>
      <c r="C35" s="60" t="s">
        <v>627</v>
      </c>
      <c r="D35" s="60" t="s">
        <v>628</v>
      </c>
      <c r="E35" s="60" t="s">
        <v>629</v>
      </c>
      <c r="F35" s="60" t="s">
        <v>631</v>
      </c>
      <c r="G35" s="60" t="s">
        <v>630</v>
      </c>
      <c r="H35" s="60" t="s">
        <v>618</v>
      </c>
      <c r="I35" s="60" t="s">
        <v>619</v>
      </c>
      <c r="J35" s="60" t="s">
        <v>620</v>
      </c>
      <c r="K35" s="60" t="s">
        <v>621</v>
      </c>
      <c r="L35" s="60" t="s">
        <v>632</v>
      </c>
      <c r="M35" s="60" t="s">
        <v>633</v>
      </c>
      <c r="N35" s="60" t="s">
        <v>622</v>
      </c>
      <c r="O35" s="60" t="s">
        <v>623</v>
      </c>
      <c r="P35" s="60" t="s">
        <v>625</v>
      </c>
      <c r="Q35" s="60" t="s">
        <v>624</v>
      </c>
      <c r="R35" s="60" t="s">
        <v>74</v>
      </c>
      <c r="S35" s="60" t="s">
        <v>77</v>
      </c>
    </row>
    <row r="36" spans="1:61" x14ac:dyDescent="0.3">
      <c r="A36" s="42" t="s">
        <v>634</v>
      </c>
      <c r="B36" s="60" t="s">
        <v>643</v>
      </c>
      <c r="C36" s="60" t="s">
        <v>644</v>
      </c>
      <c r="D36" s="60" t="s">
        <v>645</v>
      </c>
      <c r="E36" s="60" t="s">
        <v>646</v>
      </c>
      <c r="F36" s="60" t="s">
        <v>648</v>
      </c>
      <c r="G36" s="60" t="s">
        <v>647</v>
      </c>
      <c r="H36" s="60" t="s">
        <v>635</v>
      </c>
      <c r="I36" s="60" t="s">
        <v>636</v>
      </c>
      <c r="J36" s="60" t="s">
        <v>637</v>
      </c>
      <c r="K36" s="60" t="s">
        <v>638</v>
      </c>
      <c r="L36" s="60" t="s">
        <v>649</v>
      </c>
      <c r="M36" s="60" t="s">
        <v>650</v>
      </c>
      <c r="N36" s="60" t="s">
        <v>639</v>
      </c>
      <c r="O36" s="60" t="s">
        <v>640</v>
      </c>
      <c r="P36" s="60" t="s">
        <v>642</v>
      </c>
      <c r="Q36" s="60" t="s">
        <v>641</v>
      </c>
      <c r="R36" s="60" t="s">
        <v>74</v>
      </c>
      <c r="S36" s="60" t="s">
        <v>77</v>
      </c>
    </row>
    <row r="37" spans="1:61" x14ac:dyDescent="0.3">
      <c r="A37" t="s">
        <v>651</v>
      </c>
      <c r="B37" s="60" t="s">
        <v>422</v>
      </c>
      <c r="C37" s="60" t="s">
        <v>652</v>
      </c>
      <c r="D37" s="60" t="s">
        <v>653</v>
      </c>
      <c r="E37" s="60" t="s">
        <v>654</v>
      </c>
      <c r="F37" s="60" t="s">
        <v>655</v>
      </c>
      <c r="G37" s="60" t="s">
        <v>656</v>
      </c>
      <c r="H37" s="60" t="s">
        <v>657</v>
      </c>
      <c r="I37" s="60" t="s">
        <v>658</v>
      </c>
      <c r="J37" s="60" t="s">
        <v>659</v>
      </c>
      <c r="K37" s="60" t="s">
        <v>445</v>
      </c>
      <c r="L37" s="60" t="s">
        <v>660</v>
      </c>
      <c r="M37" s="60" t="s">
        <v>661</v>
      </c>
      <c r="N37" s="60" t="s">
        <v>662</v>
      </c>
      <c r="O37" s="60" t="s">
        <v>663</v>
      </c>
      <c r="P37" s="60" t="s">
        <v>462</v>
      </c>
      <c r="Q37" s="60" t="s">
        <v>664</v>
      </c>
      <c r="R37" s="60" t="s">
        <v>467</v>
      </c>
      <c r="S37" s="60" t="s">
        <v>665</v>
      </c>
    </row>
    <row r="38" spans="1:61" ht="17.399999999999999" x14ac:dyDescent="0.4">
      <c r="A38" s="60" t="s">
        <v>701</v>
      </c>
      <c r="B38" s="60" t="s">
        <v>702</v>
      </c>
      <c r="C38" s="60" t="s">
        <v>703</v>
      </c>
      <c r="D38" s="60" t="s">
        <v>704</v>
      </c>
      <c r="E38" s="60" t="s">
        <v>705</v>
      </c>
      <c r="F38" s="60" t="s">
        <v>706</v>
      </c>
      <c r="G38" s="60" t="s">
        <v>707</v>
      </c>
      <c r="H38" s="60" t="s">
        <v>708</v>
      </c>
      <c r="I38" s="60" t="s">
        <v>709</v>
      </c>
      <c r="J38" s="60" t="s">
        <v>710</v>
      </c>
      <c r="K38" s="60" t="s">
        <v>711</v>
      </c>
      <c r="L38" s="60" t="s">
        <v>712</v>
      </c>
      <c r="M38" s="60" t="s">
        <v>713</v>
      </c>
      <c r="N38" s="60" t="s">
        <v>714</v>
      </c>
      <c r="O38" s="60" t="s">
        <v>715</v>
      </c>
      <c r="P38" s="60" t="s">
        <v>716</v>
      </c>
      <c r="Q38" s="60" t="s">
        <v>717</v>
      </c>
      <c r="R38" s="65" t="s">
        <v>718</v>
      </c>
      <c r="S38" s="65" t="s">
        <v>719</v>
      </c>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3"/>
      <c r="BD38" s="63"/>
      <c r="BE38" s="64"/>
      <c r="BF38" s="64"/>
      <c r="BG38" s="63"/>
      <c r="BH38" s="60"/>
      <c r="BI38" s="6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2025-03-06T12:03:41Z</dcterms:modified>
</cp:coreProperties>
</file>