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ConstructionChaos\ProjectDocumentation\Appendices\Appendix O - Financials\"/>
    </mc:Choice>
  </mc:AlternateContent>
  <xr:revisionPtr revIDLastSave="0" documentId="13_ncr:1_{66F088A7-D2CC-4648-9988-8D305981B725}" xr6:coauthVersionLast="47" xr6:coauthVersionMax="47" xr10:uidLastSave="{00000000-0000-0000-0000-000000000000}"/>
  <bookViews>
    <workbookView xWindow="-120" yWindow="-120" windowWidth="29040" windowHeight="15720" activeTab="5" xr2:uid="{7FF5E3A2-4F9E-48CF-947F-F08E82E5B58C}"/>
  </bookViews>
  <sheets>
    <sheet name="Planned Change Data" sheetId="5" r:id="rId1"/>
    <sheet name="Fixed and Variable Costs" sheetId="1" r:id="rId2"/>
    <sheet name="Yr One Timeline" sheetId="3" r:id="rId3"/>
    <sheet name="Estimated Revenue" sheetId="2" r:id="rId4"/>
    <sheet name="Cost Walk" sheetId="4" r:id="rId5"/>
    <sheet name="ROI" sheetId="6" r:id="rId6"/>
  </sheets>
  <definedNames>
    <definedName name="_xlchart.v5.0" hidden="1">'Cost Walk'!$C$3:$C$28</definedName>
    <definedName name="_xlchart.v5.1" hidden="1">'Cost Walk'!$D$2</definedName>
    <definedName name="_xlchart.v5.2" hidden="1">'Cost Walk'!$D$3:$D$28</definedName>
    <definedName name="_xlchart.v5.3" hidden="1">'Cost Walk'!$C$3:$C$12</definedName>
    <definedName name="_xlchart.v5.4" hidden="1">'Cost Walk'!$D$2</definedName>
    <definedName name="_xlchart.v5.5" hidden="1">'Cost Walk'!$D$3:$D$12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G17" i="2"/>
  <c r="G18" i="2"/>
  <c r="G19" i="2"/>
  <c r="G20" i="2"/>
  <c r="G16" i="2"/>
  <c r="H16" i="2" s="1"/>
  <c r="D3" i="4" s="1"/>
  <c r="F12" i="2"/>
  <c r="C10" i="2"/>
  <c r="C4" i="2"/>
  <c r="C6" i="2" s="1"/>
  <c r="C8" i="2" s="1"/>
  <c r="M5" i="5"/>
  <c r="L6" i="5"/>
  <c r="L15" i="5" s="1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K15" i="5" s="1"/>
  <c r="J6" i="5"/>
  <c r="J7" i="5"/>
  <c r="J8" i="5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5" i="5"/>
  <c r="J15" i="5" s="1"/>
  <c r="I6" i="5"/>
  <c r="M6" i="5" s="1"/>
  <c r="I7" i="5"/>
  <c r="M7" i="5" s="1"/>
  <c r="I8" i="5"/>
  <c r="M8" i="5" s="1"/>
  <c r="I9" i="5"/>
  <c r="I10" i="5"/>
  <c r="I11" i="5"/>
  <c r="I12" i="5"/>
  <c r="I13" i="5"/>
  <c r="I14" i="5"/>
  <c r="I5" i="5"/>
  <c r="I15" i="5" s="1"/>
  <c r="G15" i="5"/>
  <c r="G16" i="5" s="1"/>
  <c r="G17" i="5" s="1"/>
  <c r="D3" i="1"/>
  <c r="K20" i="1" s="1"/>
  <c r="D5" i="4" s="1"/>
  <c r="J10" i="4"/>
  <c r="J11" i="4" s="1"/>
  <c r="D15" i="4" s="1"/>
  <c r="K10" i="4"/>
  <c r="K11" i="4" s="1"/>
  <c r="D19" i="4" s="1"/>
  <c r="L10" i="4"/>
  <c r="M10" i="4"/>
  <c r="M11" i="4" s="1"/>
  <c r="D27" i="4" s="1"/>
  <c r="H19" i="2"/>
  <c r="D21" i="4" s="1"/>
  <c r="H20" i="2"/>
  <c r="D25" i="4" s="1"/>
  <c r="M15" i="5" l="1"/>
  <c r="M12" i="4"/>
  <c r="L12" i="4"/>
  <c r="K24" i="1" s="1"/>
  <c r="K12" i="4"/>
  <c r="D18" i="4" s="1"/>
  <c r="J12" i="4"/>
  <c r="D14" i="4" s="1"/>
  <c r="H18" i="2"/>
  <c r="D17" i="4" s="1"/>
  <c r="H17" i="2"/>
  <c r="D13" i="4" s="1"/>
  <c r="D26" i="4"/>
  <c r="L11" i="4"/>
  <c r="D23" i="4" s="1"/>
  <c r="D22" i="4" l="1"/>
  <c r="E15" i="5" l="1"/>
  <c r="J17" i="1" l="1"/>
  <c r="K17" i="1" s="1"/>
  <c r="D8" i="4" s="1"/>
  <c r="E16" i="5"/>
  <c r="C15" i="5"/>
  <c r="F15" i="5"/>
  <c r="C7" i="3" l="1"/>
  <c r="E17" i="5"/>
  <c r="F16" i="5"/>
  <c r="J18" i="1"/>
  <c r="K18" i="1" s="1"/>
  <c r="D9" i="4" s="1"/>
  <c r="C16" i="5"/>
  <c r="J15" i="1"/>
  <c r="K15" i="1" s="1"/>
  <c r="D15" i="5"/>
  <c r="D6" i="4" l="1"/>
  <c r="C5" i="3"/>
  <c r="E5" i="3" s="1"/>
  <c r="D6" i="3" s="1"/>
  <c r="C17" i="5"/>
  <c r="C8" i="3"/>
  <c r="F17" i="5"/>
  <c r="J16" i="1"/>
  <c r="K16" i="1" s="1"/>
  <c r="D7" i="4" s="1"/>
  <c r="D16" i="5"/>
  <c r="D17" i="5" l="1"/>
  <c r="C6" i="3"/>
  <c r="K19" i="1"/>
  <c r="K22" i="1" s="1"/>
  <c r="E6" i="3"/>
  <c r="D7" i="3" s="1"/>
  <c r="E7" i="3" s="1"/>
  <c r="D8" i="3" s="1"/>
  <c r="E8" i="3" s="1"/>
  <c r="D9" i="3" s="1"/>
  <c r="I8" i="4" s="1"/>
  <c r="I10" i="4" s="1"/>
  <c r="I12" i="4" l="1"/>
  <c r="D10" i="4" s="1"/>
  <c r="I11" i="4"/>
  <c r="D11" i="4" s="1"/>
  <c r="D12" i="4" l="1"/>
  <c r="D16" i="4" l="1"/>
  <c r="D5" i="6"/>
  <c r="E5" i="6" s="1"/>
  <c r="F5" i="6" l="1"/>
  <c r="D20" i="4"/>
  <c r="D6" i="6"/>
  <c r="E6" i="6" s="1"/>
  <c r="F6" i="6" s="1"/>
  <c r="D24" i="4" l="1"/>
  <c r="D7" i="6"/>
  <c r="E7" i="6" s="1"/>
  <c r="F7" i="6" s="1"/>
  <c r="D28" i="4" l="1"/>
  <c r="D9" i="6" s="1"/>
  <c r="E9" i="6" s="1"/>
  <c r="F9" i="6" s="1"/>
  <c r="D8" i="6"/>
  <c r="E8" i="6" s="1"/>
  <c r="F8" i="6" s="1"/>
  <c r="E11" i="6" l="1"/>
  <c r="E12" i="6" s="1"/>
</calcChain>
</file>

<file path=xl/sharedStrings.xml><?xml version="1.0" encoding="utf-8"?>
<sst xmlns="http://schemas.openxmlformats.org/spreadsheetml/2006/main" count="161" uniqueCount="124">
  <si>
    <t>Fixed Costs</t>
  </si>
  <si>
    <t>Category</t>
  </si>
  <si>
    <t>Development Environment</t>
  </si>
  <si>
    <t>Item</t>
  </si>
  <si>
    <t>Cost (£)</t>
  </si>
  <si>
    <t>Comment</t>
  </si>
  <si>
    <t>Testing Hardware</t>
  </si>
  <si>
    <t>3rd Party Assets</t>
  </si>
  <si>
    <t>Variable Costs</t>
  </si>
  <si>
    <t>Asset creation and Code</t>
  </si>
  <si>
    <t>per hour</t>
  </si>
  <si>
    <t>Production</t>
  </si>
  <si>
    <t>Testing</t>
  </si>
  <si>
    <t>Phase</t>
  </si>
  <si>
    <t>Planning and Documenting</t>
  </si>
  <si>
    <t>Planning</t>
  </si>
  <si>
    <t>Concept</t>
  </si>
  <si>
    <t>Maintenance</t>
  </si>
  <si>
    <t>Estimated Hours</t>
  </si>
  <si>
    <t>Cost</t>
  </si>
  <si>
    <t>Total Variable Costs</t>
  </si>
  <si>
    <t>Total Fixed Costs</t>
  </si>
  <si>
    <t>Total Costs (excl. Maintenance)</t>
  </si>
  <si>
    <t>Variable Cost Calculations</t>
  </si>
  <si>
    <t>Cost Estimations</t>
  </si>
  <si>
    <t>Year 1</t>
  </si>
  <si>
    <t>Year 2</t>
  </si>
  <si>
    <t>Year 3</t>
  </si>
  <si>
    <t>Year 4</t>
  </si>
  <si>
    <t>Year 5</t>
  </si>
  <si>
    <t>Total Revenue</t>
  </si>
  <si>
    <t>Year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</si>
  <si>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</si>
  <si>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</si>
  <si>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</si>
  <si>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</si>
  <si>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</si>
  <si>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</si>
  <si>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</si>
  <si>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</si>
  <si>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</si>
  <si>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</si>
  <si>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</si>
  <si>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</si>
  <si>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</si>
  <si>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</si>
  <si>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Investment</t>
  </si>
  <si>
    <t>25k Ad Impressions</t>
  </si>
  <si>
    <t>Yr 1 Revenue</t>
  </si>
  <si>
    <t>Fixed Costs (one-off)</t>
  </si>
  <si>
    <t>Days of maintenance</t>
  </si>
  <si>
    <t>Start of Maintenance</t>
  </si>
  <si>
    <t>End of Maintenance</t>
  </si>
  <si>
    <t>Yr1</t>
  </si>
  <si>
    <t>Yr2</t>
  </si>
  <si>
    <t>Yr3</t>
  </si>
  <si>
    <t>Yr4</t>
  </si>
  <si>
    <t>Yr5</t>
  </si>
  <si>
    <t>Weeks of maintenance</t>
  </si>
  <si>
    <t>Yr1 Profit</t>
  </si>
  <si>
    <t>Increase</t>
  </si>
  <si>
    <t>Yr 2 Revenue</t>
  </si>
  <si>
    <t>Ad Costs (52 weeks)</t>
  </si>
  <si>
    <t>Yr 2 Profit</t>
  </si>
  <si>
    <t>Yr 3 Revenue</t>
  </si>
  <si>
    <t>Ad Costs (53 weeks)</t>
  </si>
  <si>
    <t>Yr 3 Profit</t>
  </si>
  <si>
    <t>Hours of maintenance</t>
  </si>
  <si>
    <t>Yr 4 Revenue</t>
  </si>
  <si>
    <t>Yr 4 Profit</t>
  </si>
  <si>
    <t>Yr 5 Revenue</t>
  </si>
  <si>
    <t>Yr 5 Profit</t>
  </si>
  <si>
    <t>Units Sold</t>
  </si>
  <si>
    <t>Base App</t>
  </si>
  <si>
    <t>Adoption rate</t>
  </si>
  <si>
    <t>per week (based on Facebook cost of $7.19 CPM)</t>
  </si>
  <si>
    <t>Maintenance (582 hours)</t>
  </si>
  <si>
    <t>Maintenance (584 hours)</t>
  </si>
  <si>
    <t>per hour - aslo used as cost of maintenance</t>
  </si>
  <si>
    <t>Annual Maintenance @ approx 583 hr / year</t>
  </si>
  <si>
    <t>4 x Unity Licenses</t>
  </si>
  <si>
    <t>Approx cost</t>
  </si>
  <si>
    <t>3 x PC</t>
  </si>
  <si>
    <t>Itch.io Fee (10%)</t>
  </si>
  <si>
    <t>10% of £4</t>
  </si>
  <si>
    <t>Improvement</t>
  </si>
  <si>
    <t>Client side prediction to remove lag</t>
  </si>
  <si>
    <t>Additional rounds (18 additional rounds)</t>
  </si>
  <si>
    <t>Music and Sound Effects</t>
  </si>
  <si>
    <t>Differentiator between group and individual objectives or their timers. E.g. do not have a group objective for the first 1 min of the game.</t>
  </si>
  <si>
    <t>Player controls in-game tutorial</t>
  </si>
  <si>
    <t>Player character break apart feature</t>
  </si>
  <si>
    <t>Additional round interactable items, e.g. 'Industrial fan' upwards thrust zone.</t>
  </si>
  <si>
    <t>Additional mid-ground and back-ground assets</t>
  </si>
  <si>
    <t>Improved menu background transitions</t>
  </si>
  <si>
    <t>Animated clouds to be improved</t>
  </si>
  <si>
    <t>Effort (man hours)</t>
  </si>
  <si>
    <t>Total</t>
  </si>
  <si>
    <t>Totals</t>
  </si>
  <si>
    <t>Total per team member</t>
  </si>
  <si>
    <t>Weeks per team member (40 hr/w)</t>
  </si>
  <si>
    <t>member</t>
  </si>
  <si>
    <t>Hours p/team</t>
  </si>
  <si>
    <t>Assumed target audience size</t>
  </si>
  <si>
    <t>Sell price (GBP)</t>
  </si>
  <si>
    <t>Assumed level of maintenance</t>
  </si>
  <si>
    <t>Maintenance (48 hours)</t>
  </si>
  <si>
    <t>Ad Costs (5 weeks)</t>
  </si>
  <si>
    <t>Labour Cost (GBP)</t>
  </si>
  <si>
    <t>Net Profit</t>
  </si>
  <si>
    <t>ROI</t>
  </si>
  <si>
    <t>Investor Share</t>
  </si>
  <si>
    <t>Investor GBP</t>
  </si>
  <si>
    <t>Number of PC Gamers (Global)</t>
  </si>
  <si>
    <t>% of gamers playing multiplayer</t>
  </si>
  <si>
    <t>Number of PC Gamers (Multiplayer)</t>
  </si>
  <si>
    <t>% of casual multiplayer game players</t>
  </si>
  <si>
    <t>Number of casual multiplayer players</t>
  </si>
  <si>
    <t>Estimated % interested in Construction Chaos</t>
  </si>
  <si>
    <t>Construction Chaos target audience (max)</t>
  </si>
  <si>
    <t>Estimated % of target audience captured</t>
  </si>
  <si>
    <t>Estimated number of target audience captured</t>
  </si>
  <si>
    <t>Total Investor profit</t>
  </si>
  <si>
    <t>Total investor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</si>
</sst>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2" borderId="0" xfId="0" applyFill="1"/>
    <xf numFmtId="44" fontId="2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2" borderId="0" xfId="0" applyFont="1" applyFill="1" applyAlignment="1">
      <alignment horizontal="center" textRotation="45"/>
    </xf>
    <xf numFmtId="1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0" borderId="0" xfId="2" applyFont="1"/>
    <xf numFmtId="0" fontId="7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44" fontId="0" fillId="0" borderId="1" xfId="0" applyNumberFormat="1" applyBorder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2" borderId="0" xfId="2" applyFont="1" applyFill="1"/>
    <xf numFmtId="9" fontId="0" fillId="0" borderId="1" xfId="2" applyFont="1" applyBorder="1"/>
    <xf numFmtId="43" fontId="2" fillId="0" borderId="1" xfId="0" applyNumberFormat="1" applyFont="1" applyBorder="1" applyAlignment="1">
      <alignment horizontal="center"/>
    </xf>
    <xf numFmtId="166" fontId="2" fillId="2" borderId="1" xfId="3" applyNumberFormat="1" applyFont="1" applyFill="1" applyBorder="1" applyAlignment="1">
      <alignment horizontal="center" vertical="center"/>
    </xf>
    <xf numFmtId="166" fontId="0" fillId="0" borderId="1" xfId="3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/>
    <xf numFmtId="9" fontId="2" fillId="0" borderId="0" xfId="2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</a:t>
            </a:r>
            <a:r>
              <a:rPr lang="en-GB" baseline="0"/>
              <a:t> Gross Revenue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Revenue'!$H$14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'Estimated Revenue'!$E$16:$E$20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'Estimated Revenue'!$H$16:$H$20</c:f>
              <c:numCache>
                <c:formatCode>_("£"* #,##0.00_);_("£"* \(#,##0.00\);_("£"* "-"??_);_(@_)</c:formatCode>
                <c:ptCount val="5"/>
                <c:pt idx="0">
                  <c:v>21018</c:v>
                </c:pt>
                <c:pt idx="1">
                  <c:v>63060</c:v>
                </c:pt>
                <c:pt idx="2">
                  <c:v>105096</c:v>
                </c:pt>
                <c:pt idx="3">
                  <c:v>105096</c:v>
                </c:pt>
                <c:pt idx="4">
                  <c:v>105096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33-9157-4A91D7DC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06271"/>
        <c:axId val="1436505439"/>
      </c:lineChart>
      <c:catAx>
        <c:axId val="143650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439"/>
        <c:crosses val="autoZero"/>
        <c:auto val="1"/>
        <c:lblAlgn val="ctr"/>
        <c:lblOffset val="100"/>
        <c:noMultiLvlLbl val="0"/>
      </c:catAx>
      <c:valAx>
        <c:axId val="143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5 Year Forecast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Year Forecast</a:t>
          </a:r>
        </a:p>
      </cx:txPr>
    </cx:title>
    <cx:plotArea>
      <cx:plotAreaRegion>
        <cx:series layoutId="waterfall" uniqueId="{B1125F9A-FC20-4CCB-B327-89125896B927}">
          <cx:tx>
            <cx:txData>
              <cx:f>_xlchart.v5.1</cx:f>
              <cx:v> Increase </cx:v>
            </cx:txData>
          </cx:tx>
          <cx:dataId val="0"/>
          <cx:layoutPr>
            <cx:subtotals>
              <cx:idx val="0"/>
              <cx:idx val="9"/>
              <cx:idx val="13"/>
              <cx:idx val="17"/>
              <cx:idx val="21"/>
              <cx:idx val="2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Year 1 Financials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 1 Financials</a:t>
          </a:r>
        </a:p>
      </cx:txPr>
    </cx:title>
    <cx:plotArea>
      <cx:plotAreaRegion>
        <cx:series layoutId="waterfall" uniqueId="{C247498D-79AC-4A6C-A0C7-792604F49BFC}">
          <cx:tx>
            <cx:txData>
              <cx:f>_xlchart.v5.4</cx:f>
              <cx:v> Increase </cx:v>
            </cx:txData>
          </cx:tx>
          <cx:dataLabels/>
          <cx:dataId val="0"/>
          <cx:layoutPr>
            <cx:subtotals>
              <cx:idx val="0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3</xdr:row>
      <xdr:rowOff>8282</xdr:rowOff>
    </xdr:from>
    <xdr:to>
      <xdr:col>7</xdr:col>
      <xdr:colOff>215347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DDCDF-2450-42FC-8504-0B60E450ABA1}"/>
            </a:ext>
          </a:extLst>
        </xdr:cNvPr>
        <xdr:cNvSpPr/>
      </xdr:nvSpPr>
      <xdr:spPr>
        <a:xfrm>
          <a:off x="6269935" y="927652"/>
          <a:ext cx="198782" cy="1822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226943</xdr:colOff>
      <xdr:row>4</xdr:row>
      <xdr:rowOff>19879</xdr:rowOff>
    </xdr:from>
    <xdr:to>
      <xdr:col>8</xdr:col>
      <xdr:colOff>347869</xdr:colOff>
      <xdr:row>5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A6F60-0DC8-4180-AE12-A631645BFEDC}"/>
            </a:ext>
          </a:extLst>
        </xdr:cNvPr>
        <xdr:cNvSpPr/>
      </xdr:nvSpPr>
      <xdr:spPr>
        <a:xfrm>
          <a:off x="5842552" y="930966"/>
          <a:ext cx="501926" cy="1871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354496</xdr:colOff>
      <xdr:row>5</xdr:row>
      <xdr:rowOff>23190</xdr:rowOff>
    </xdr:from>
    <xdr:to>
      <xdr:col>10</xdr:col>
      <xdr:colOff>248478</xdr:colOff>
      <xdr:row>5</xdr:row>
      <xdr:rowOff>190499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E446E4-490C-4EAD-8D8B-6783392DFF3E}"/>
            </a:ext>
          </a:extLst>
        </xdr:cNvPr>
        <xdr:cNvSpPr/>
      </xdr:nvSpPr>
      <xdr:spPr>
        <a:xfrm>
          <a:off x="6351105" y="1124777"/>
          <a:ext cx="655982" cy="16730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258417</xdr:colOff>
      <xdr:row>6</xdr:row>
      <xdr:rowOff>18222</xdr:rowOff>
    </xdr:from>
    <xdr:to>
      <xdr:col>12</xdr:col>
      <xdr:colOff>74542</xdr:colOff>
      <xdr:row>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003E1-2328-403E-BFA1-435C7B948A26}"/>
            </a:ext>
          </a:extLst>
        </xdr:cNvPr>
        <xdr:cNvSpPr/>
      </xdr:nvSpPr>
      <xdr:spPr>
        <a:xfrm>
          <a:off x="7017026" y="1310309"/>
          <a:ext cx="578125" cy="17227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82827</xdr:colOff>
      <xdr:row>7</xdr:row>
      <xdr:rowOff>16564</xdr:rowOff>
    </xdr:from>
    <xdr:to>
      <xdr:col>22</xdr:col>
      <xdr:colOff>248478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CF36214-E198-491B-A204-7A95024E7FDF}"/>
            </a:ext>
          </a:extLst>
        </xdr:cNvPr>
        <xdr:cNvSpPr/>
      </xdr:nvSpPr>
      <xdr:spPr>
        <a:xfrm>
          <a:off x="7603436" y="1499151"/>
          <a:ext cx="3975651" cy="17393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248478</xdr:colOff>
      <xdr:row>7</xdr:row>
      <xdr:rowOff>41413</xdr:rowOff>
    </xdr:from>
    <xdr:to>
      <xdr:col>23</xdr:col>
      <xdr:colOff>215348</xdr:colOff>
      <xdr:row>7</xdr:row>
      <xdr:rowOff>173934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D0563C7-C98E-4320-9396-F5EF8B2799FB}"/>
            </a:ext>
          </a:extLst>
        </xdr:cNvPr>
        <xdr:cNvSpPr/>
      </xdr:nvSpPr>
      <xdr:spPr>
        <a:xfrm>
          <a:off x="11579087" y="1524000"/>
          <a:ext cx="347870" cy="132521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61911</xdr:rowOff>
    </xdr:from>
    <xdr:to>
      <xdr:col>17</xdr:col>
      <xdr:colOff>495300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F6ED-3664-4E0E-825E-7D9F7034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12</xdr:row>
      <xdr:rowOff>176211</xdr:rowOff>
    </xdr:from>
    <xdr:to>
      <xdr:col>16</xdr:col>
      <xdr:colOff>76199</xdr:colOff>
      <xdr:row>34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C1BD96-DBEF-4780-92D7-614D0F54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4961" y="2462211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71438</xdr:colOff>
      <xdr:row>57</xdr:row>
      <xdr:rowOff>80963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C6543-1191-41DA-8A79-74F19F27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6858000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4C82-6236-4D07-969B-5C8BAB78A477}">
  <dimension ref="B2:M17"/>
  <sheetViews>
    <sheetView workbookViewId="0">
      <selection activeCell="S11" sqref="S11"/>
    </sheetView>
  </sheetViews>
  <sheetFormatPr defaultRowHeight="15" x14ac:dyDescent="0.25"/>
  <cols>
    <col min="2" max="2" width="38.28515625" customWidth="1"/>
    <col min="3" max="3" width="9.7109375" bestFit="1" customWidth="1"/>
    <col min="4" max="4" width="11.140625" customWidth="1"/>
    <col min="5" max="5" width="11.7109375" customWidth="1"/>
    <col min="6" max="6" width="9.7109375" bestFit="1" customWidth="1"/>
    <col min="7" max="7" width="9.5703125" bestFit="1" customWidth="1"/>
    <col min="8" max="8" width="9.5703125" customWidth="1"/>
    <col min="9" max="9" width="10.7109375" bestFit="1" customWidth="1"/>
    <col min="10" max="10" width="11.5703125" bestFit="1" customWidth="1"/>
    <col min="11" max="11" width="13" customWidth="1"/>
    <col min="12" max="12" width="10.7109375" bestFit="1" customWidth="1"/>
    <col min="13" max="13" width="11.7109375" bestFit="1" customWidth="1"/>
  </cols>
  <sheetData>
    <row r="2" spans="2:13" x14ac:dyDescent="0.25">
      <c r="C2" s="25"/>
      <c r="D2" s="25"/>
      <c r="E2" s="25"/>
      <c r="F2" s="25"/>
    </row>
    <row r="3" spans="2:13" ht="15" customHeight="1" x14ac:dyDescent="0.25">
      <c r="C3" s="46" t="s">
        <v>96</v>
      </c>
      <c r="D3" s="47"/>
      <c r="E3" s="47"/>
      <c r="F3" s="47"/>
      <c r="G3" s="48"/>
      <c r="I3" s="46" t="s">
        <v>108</v>
      </c>
      <c r="J3" s="47"/>
      <c r="K3" s="47"/>
      <c r="L3" s="47"/>
      <c r="M3" s="48"/>
    </row>
    <row r="4" spans="2:13" x14ac:dyDescent="0.25">
      <c r="B4" s="22" t="s">
        <v>85</v>
      </c>
      <c r="C4" s="22" t="s">
        <v>15</v>
      </c>
      <c r="D4" s="22" t="s">
        <v>16</v>
      </c>
      <c r="E4" s="22" t="s">
        <v>11</v>
      </c>
      <c r="F4" s="22" t="s">
        <v>12</v>
      </c>
      <c r="G4" s="22" t="s">
        <v>97</v>
      </c>
      <c r="I4" s="22" t="s">
        <v>15</v>
      </c>
      <c r="J4" s="22" t="s">
        <v>16</v>
      </c>
      <c r="K4" s="22" t="s">
        <v>11</v>
      </c>
      <c r="L4" s="22" t="s">
        <v>12</v>
      </c>
      <c r="M4" s="22" t="s">
        <v>97</v>
      </c>
    </row>
    <row r="5" spans="2:13" x14ac:dyDescent="0.25">
      <c r="B5" s="23" t="s">
        <v>86</v>
      </c>
      <c r="C5" s="28">
        <v>133.33333333333331</v>
      </c>
      <c r="D5" s="28">
        <v>311.11111111111109</v>
      </c>
      <c r="E5" s="28">
        <v>444.4444444444444</v>
      </c>
      <c r="F5" s="28">
        <v>311.11111111111109</v>
      </c>
      <c r="G5" s="23">
        <v>1200</v>
      </c>
      <c r="I5" s="36">
        <f>C5*'Fixed and Variable Costs'!$D$7</f>
        <v>2399.9999999999995</v>
      </c>
      <c r="J5" s="36">
        <f>D5*'Fixed and Variable Costs'!$D$8</f>
        <v>7777.7777777777774</v>
      </c>
      <c r="K5" s="36">
        <f>E5*'Fixed and Variable Costs'!$D$8</f>
        <v>11111.111111111109</v>
      </c>
      <c r="L5" s="36">
        <f>F5*'Fixed and Variable Costs'!$D$9</f>
        <v>4666.6666666666661</v>
      </c>
      <c r="M5" s="36">
        <f>SUM(I5:L5)</f>
        <v>25955.555555555555</v>
      </c>
    </row>
    <row r="6" spans="2:13" x14ac:dyDescent="0.25">
      <c r="B6" s="23" t="s">
        <v>87</v>
      </c>
      <c r="C6" s="28">
        <v>20</v>
      </c>
      <c r="D6" s="28">
        <v>46.666666666666664</v>
      </c>
      <c r="E6" s="28">
        <v>66.666666666666657</v>
      </c>
      <c r="F6" s="28">
        <v>46.666666666666664</v>
      </c>
      <c r="G6" s="23">
        <v>180</v>
      </c>
      <c r="I6" s="36">
        <f>C6*'Fixed and Variable Costs'!$D$7</f>
        <v>360</v>
      </c>
      <c r="J6" s="36">
        <f>D6*'Fixed and Variable Costs'!$D$8</f>
        <v>1166.6666666666665</v>
      </c>
      <c r="K6" s="36">
        <f>E6*'Fixed and Variable Costs'!$D$8</f>
        <v>1666.6666666666665</v>
      </c>
      <c r="L6" s="36">
        <f>F6*'Fixed and Variable Costs'!$D$9</f>
        <v>700</v>
      </c>
      <c r="M6" s="36">
        <f t="shared" ref="M6:M14" si="0">SUM(I6:L6)</f>
        <v>3893.333333333333</v>
      </c>
    </row>
    <row r="7" spans="2:13" x14ac:dyDescent="0.25">
      <c r="B7" s="23" t="s">
        <v>88</v>
      </c>
      <c r="C7" s="28">
        <v>8.8888888888888893</v>
      </c>
      <c r="D7" s="28">
        <v>20.74074074074074</v>
      </c>
      <c r="E7" s="28">
        <v>29.629629629629626</v>
      </c>
      <c r="F7" s="28">
        <v>20.74074074074074</v>
      </c>
      <c r="G7" s="23">
        <v>80</v>
      </c>
      <c r="I7" s="36">
        <f>C7*'Fixed and Variable Costs'!$D$7</f>
        <v>160</v>
      </c>
      <c r="J7" s="36">
        <f>D7*'Fixed and Variable Costs'!$D$8</f>
        <v>518.51851851851848</v>
      </c>
      <c r="K7" s="36">
        <f>E7*'Fixed and Variable Costs'!$D$8</f>
        <v>740.74074074074065</v>
      </c>
      <c r="L7" s="36">
        <f>F7*'Fixed and Variable Costs'!$D$9</f>
        <v>311.11111111111109</v>
      </c>
      <c r="M7" s="36">
        <f t="shared" si="0"/>
        <v>1730.3703703703702</v>
      </c>
    </row>
    <row r="8" spans="2:13" ht="60" x14ac:dyDescent="0.25">
      <c r="B8" s="23" t="s">
        <v>89</v>
      </c>
      <c r="C8" s="28">
        <v>8.8888888888888893</v>
      </c>
      <c r="D8" s="28">
        <v>20.74074074074074</v>
      </c>
      <c r="E8" s="28">
        <v>29.629629629629626</v>
      </c>
      <c r="F8" s="28">
        <v>20.74074074074074</v>
      </c>
      <c r="G8" s="23">
        <v>80</v>
      </c>
      <c r="I8" s="36">
        <f>C8*'Fixed and Variable Costs'!$D$7</f>
        <v>160</v>
      </c>
      <c r="J8" s="36">
        <f>D8*'Fixed and Variable Costs'!$D$8</f>
        <v>518.51851851851848</v>
      </c>
      <c r="K8" s="36">
        <f>E8*'Fixed and Variable Costs'!$D$8</f>
        <v>740.74074074074065</v>
      </c>
      <c r="L8" s="36">
        <f>F8*'Fixed and Variable Costs'!$D$9</f>
        <v>311.11111111111109</v>
      </c>
      <c r="M8" s="36">
        <f t="shared" si="0"/>
        <v>1730.3703703703702</v>
      </c>
    </row>
    <row r="9" spans="2:13" x14ac:dyDescent="0.25">
      <c r="B9" s="23" t="s">
        <v>90</v>
      </c>
      <c r="C9" s="28">
        <v>13.333333333333332</v>
      </c>
      <c r="D9" s="28">
        <v>31.111111111111111</v>
      </c>
      <c r="E9" s="28">
        <v>44.444444444444443</v>
      </c>
      <c r="F9" s="28">
        <v>31.111111111111111</v>
      </c>
      <c r="G9" s="23">
        <v>120</v>
      </c>
      <c r="I9" s="36">
        <f>C9*'Fixed and Variable Costs'!$D$7</f>
        <v>239.99999999999997</v>
      </c>
      <c r="J9" s="36">
        <f>D9*'Fixed and Variable Costs'!$D$8</f>
        <v>777.77777777777771</v>
      </c>
      <c r="K9" s="36">
        <f>E9*'Fixed and Variable Costs'!$D$8</f>
        <v>1111.1111111111111</v>
      </c>
      <c r="L9" s="36">
        <f>F9*'Fixed and Variable Costs'!$D$9</f>
        <v>466.66666666666669</v>
      </c>
      <c r="M9" s="36">
        <f t="shared" si="0"/>
        <v>2595.5555555555552</v>
      </c>
    </row>
    <row r="10" spans="2:13" x14ac:dyDescent="0.25">
      <c r="B10" s="23" t="s">
        <v>91</v>
      </c>
      <c r="C10" s="28">
        <v>4.4444444444444446</v>
      </c>
      <c r="D10" s="28">
        <v>10.37037037037037</v>
      </c>
      <c r="E10" s="28">
        <v>14.814814814814813</v>
      </c>
      <c r="F10" s="28">
        <v>10.37037037037037</v>
      </c>
      <c r="G10" s="23">
        <v>40</v>
      </c>
      <c r="I10" s="36">
        <f>C10*'Fixed and Variable Costs'!$D$7</f>
        <v>80</v>
      </c>
      <c r="J10" s="36">
        <f>D10*'Fixed and Variable Costs'!$D$8</f>
        <v>259.25925925925924</v>
      </c>
      <c r="K10" s="36">
        <f>E10*'Fixed and Variable Costs'!$D$8</f>
        <v>370.37037037037032</v>
      </c>
      <c r="L10" s="36">
        <f>F10*'Fixed and Variable Costs'!$D$9</f>
        <v>155.55555555555554</v>
      </c>
      <c r="M10" s="36">
        <f t="shared" si="0"/>
        <v>865.18518518518511</v>
      </c>
    </row>
    <row r="11" spans="2:13" ht="30" x14ac:dyDescent="0.25">
      <c r="B11" s="23" t="s">
        <v>92</v>
      </c>
      <c r="C11" s="28">
        <v>44.444444444444443</v>
      </c>
      <c r="D11" s="28">
        <v>103.7037037037037</v>
      </c>
      <c r="E11" s="28">
        <v>148.14814814814815</v>
      </c>
      <c r="F11" s="28">
        <v>103.7037037037037</v>
      </c>
      <c r="G11" s="23">
        <v>400</v>
      </c>
      <c r="I11" s="36">
        <f>C11*'Fixed and Variable Costs'!$D$7</f>
        <v>800</v>
      </c>
      <c r="J11" s="36">
        <f>D11*'Fixed and Variable Costs'!$D$8</f>
        <v>2592.5925925925922</v>
      </c>
      <c r="K11" s="36">
        <f>E11*'Fixed and Variable Costs'!$D$8</f>
        <v>3703.7037037037039</v>
      </c>
      <c r="L11" s="36">
        <f>F11*'Fixed and Variable Costs'!$D$9</f>
        <v>1555.5555555555554</v>
      </c>
      <c r="M11" s="36">
        <f t="shared" si="0"/>
        <v>8651.8518518518504</v>
      </c>
    </row>
    <row r="12" spans="2:13" ht="30" x14ac:dyDescent="0.25">
      <c r="B12" s="23" t="s">
        <v>93</v>
      </c>
      <c r="C12" s="28">
        <v>22.222222222222221</v>
      </c>
      <c r="D12" s="28">
        <v>51.851851851851848</v>
      </c>
      <c r="E12" s="28">
        <v>74.074074074074076</v>
      </c>
      <c r="F12" s="28">
        <v>51.851851851851848</v>
      </c>
      <c r="G12" s="23">
        <v>200</v>
      </c>
      <c r="I12" s="36">
        <f>C12*'Fixed and Variable Costs'!$D$7</f>
        <v>400</v>
      </c>
      <c r="J12" s="36">
        <f>D12*'Fixed and Variable Costs'!$D$8</f>
        <v>1296.2962962962961</v>
      </c>
      <c r="K12" s="36">
        <f>E12*'Fixed and Variable Costs'!$D$8</f>
        <v>1851.851851851852</v>
      </c>
      <c r="L12" s="36">
        <f>F12*'Fixed and Variable Costs'!$D$9</f>
        <v>777.77777777777771</v>
      </c>
      <c r="M12" s="36">
        <f t="shared" si="0"/>
        <v>4325.9259259259252</v>
      </c>
    </row>
    <row r="13" spans="2:13" x14ac:dyDescent="0.25">
      <c r="B13" s="23" t="s">
        <v>94</v>
      </c>
      <c r="C13" s="28">
        <v>4.4444444444444446</v>
      </c>
      <c r="D13" s="28">
        <v>10.37037037037037</v>
      </c>
      <c r="E13" s="28">
        <v>14.814814814814813</v>
      </c>
      <c r="F13" s="28">
        <v>10.37037037037037</v>
      </c>
      <c r="G13" s="23">
        <v>40</v>
      </c>
      <c r="I13" s="36">
        <f>C13*'Fixed and Variable Costs'!$D$7</f>
        <v>80</v>
      </c>
      <c r="J13" s="36">
        <f>D13*'Fixed and Variable Costs'!$D$8</f>
        <v>259.25925925925924</v>
      </c>
      <c r="K13" s="36">
        <f>E13*'Fixed and Variable Costs'!$D$8</f>
        <v>370.37037037037032</v>
      </c>
      <c r="L13" s="36">
        <f>F13*'Fixed and Variable Costs'!$D$9</f>
        <v>155.55555555555554</v>
      </c>
      <c r="M13" s="36">
        <f t="shared" si="0"/>
        <v>865.18518518518511</v>
      </c>
    </row>
    <row r="14" spans="2:13" x14ac:dyDescent="0.25">
      <c r="B14" s="23" t="s">
        <v>95</v>
      </c>
      <c r="C14" s="28">
        <v>8.8888888888888893</v>
      </c>
      <c r="D14" s="28">
        <v>20.74074074074074</v>
      </c>
      <c r="E14" s="28">
        <v>29.629629629629626</v>
      </c>
      <c r="F14" s="28">
        <v>20.74074074074074</v>
      </c>
      <c r="G14" s="23">
        <v>80</v>
      </c>
      <c r="I14" s="36">
        <f>C14*'Fixed and Variable Costs'!$D$7</f>
        <v>160</v>
      </c>
      <c r="J14" s="36">
        <f>D14*'Fixed and Variable Costs'!$D$8</f>
        <v>518.51851851851848</v>
      </c>
      <c r="K14" s="36">
        <f>E14*'Fixed and Variable Costs'!$D$8</f>
        <v>740.74074074074065</v>
      </c>
      <c r="L14" s="36">
        <f>F14*'Fixed and Variable Costs'!$D$9</f>
        <v>311.11111111111109</v>
      </c>
      <c r="M14" s="36">
        <f t="shared" si="0"/>
        <v>1730.3703703703702</v>
      </c>
    </row>
    <row r="15" spans="2:13" x14ac:dyDescent="0.25">
      <c r="B15" s="26" t="s">
        <v>98</v>
      </c>
      <c r="C15" s="29">
        <f>SUM(C5:C14)</f>
        <v>268.88888888888891</v>
      </c>
      <c r="D15" s="29">
        <f>SUM(D5:D14)</f>
        <v>627.40740740740739</v>
      </c>
      <c r="E15" s="29">
        <f>SUM(E5:E14)</f>
        <v>896.29629629629642</v>
      </c>
      <c r="F15" s="29">
        <f>SUM(F5:F14)</f>
        <v>627.40740740740739</v>
      </c>
      <c r="G15" s="29">
        <f>SUM(G5:G14)</f>
        <v>2420</v>
      </c>
      <c r="I15" s="35">
        <f t="shared" ref="I15:M15" si="1">SUM(I5:I14)</f>
        <v>4840</v>
      </c>
      <c r="J15" s="35">
        <f t="shared" si="1"/>
        <v>15685.185185185182</v>
      </c>
      <c r="K15" s="35">
        <f t="shared" si="1"/>
        <v>22407.407407407401</v>
      </c>
      <c r="L15" s="35">
        <f t="shared" si="1"/>
        <v>9411.1111111111113</v>
      </c>
      <c r="M15" s="35">
        <f t="shared" si="1"/>
        <v>52343.703703703701</v>
      </c>
    </row>
    <row r="16" spans="2:13" x14ac:dyDescent="0.25">
      <c r="B16" s="26" t="s">
        <v>99</v>
      </c>
      <c r="C16" s="29">
        <f>C15/4</f>
        <v>67.222222222222229</v>
      </c>
      <c r="D16" s="29">
        <f t="shared" ref="D16:G16" si="2">D15/4</f>
        <v>156.85185185185185</v>
      </c>
      <c r="E16" s="29">
        <f t="shared" si="2"/>
        <v>224.0740740740741</v>
      </c>
      <c r="F16" s="29">
        <f t="shared" si="2"/>
        <v>156.85185185185185</v>
      </c>
      <c r="G16" s="29">
        <f t="shared" si="2"/>
        <v>605</v>
      </c>
      <c r="H16" s="37"/>
    </row>
    <row r="17" spans="2:8" x14ac:dyDescent="0.25">
      <c r="B17" s="26" t="s">
        <v>100</v>
      </c>
      <c r="C17" s="27">
        <f>C16/40</f>
        <v>1.6805555555555558</v>
      </c>
      <c r="D17" s="27">
        <f t="shared" ref="D17:G17" si="3">D16/40</f>
        <v>3.9212962962962963</v>
      </c>
      <c r="E17" s="27">
        <f t="shared" si="3"/>
        <v>5.601851851851853</v>
      </c>
      <c r="F17" s="27">
        <f t="shared" si="3"/>
        <v>3.9212962962962963</v>
      </c>
      <c r="G17" s="27">
        <f t="shared" si="3"/>
        <v>15.125</v>
      </c>
      <c r="H17" s="38"/>
    </row>
  </sheetData>
  <mergeCells count="2">
    <mergeCell ref="C3:G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7970-9A29-45BC-B385-AE89B354F6B4}">
  <dimension ref="B1:K27"/>
  <sheetViews>
    <sheetView showGridLines="0" workbookViewId="0">
      <selection activeCell="J19" sqref="J19:K24"/>
    </sheetView>
  </sheetViews>
  <sheetFormatPr defaultRowHeight="15" x14ac:dyDescent="0.25"/>
  <cols>
    <col min="2" max="2" width="13.7109375" bestFit="1" customWidth="1"/>
    <col min="3" max="3" width="26.5703125" customWidth="1"/>
    <col min="4" max="4" width="10.5703125" style="1" bestFit="1" customWidth="1"/>
    <col min="5" max="5" width="49" bestFit="1" customWidth="1"/>
    <col min="9" max="9" width="14.42578125" customWidth="1"/>
    <col min="10" max="10" width="21.85546875" customWidth="1"/>
    <col min="11" max="11" width="11.5703125" bestFit="1" customWidth="1"/>
  </cols>
  <sheetData>
    <row r="1" spans="2:11" x14ac:dyDescent="0.25">
      <c r="B1" s="49" t="s">
        <v>24</v>
      </c>
      <c r="C1" s="49"/>
      <c r="D1" s="49"/>
      <c r="E1" s="49"/>
    </row>
    <row r="2" spans="2:11" x14ac:dyDescent="0.25">
      <c r="B2" s="6" t="s">
        <v>1</v>
      </c>
      <c r="C2" s="6" t="s">
        <v>3</v>
      </c>
      <c r="D2" s="10" t="s">
        <v>4</v>
      </c>
      <c r="E2" s="6" t="s">
        <v>5</v>
      </c>
    </row>
    <row r="3" spans="2:11" x14ac:dyDescent="0.25">
      <c r="B3" s="6" t="s">
        <v>0</v>
      </c>
      <c r="C3" s="7" t="s">
        <v>2</v>
      </c>
      <c r="D3" s="8">
        <f>4*1500</f>
        <v>6000</v>
      </c>
      <c r="E3" s="7" t="s">
        <v>80</v>
      </c>
    </row>
    <row r="4" spans="2:11" x14ac:dyDescent="0.25">
      <c r="B4" s="7"/>
      <c r="C4" s="7" t="s">
        <v>6</v>
      </c>
      <c r="D4" s="8">
        <v>4500</v>
      </c>
      <c r="E4" s="7" t="s">
        <v>82</v>
      </c>
    </row>
    <row r="5" spans="2:11" x14ac:dyDescent="0.25">
      <c r="B5" s="7"/>
      <c r="C5" s="7" t="s">
        <v>7</v>
      </c>
      <c r="D5" s="8">
        <v>100</v>
      </c>
      <c r="E5" s="7" t="s">
        <v>81</v>
      </c>
    </row>
    <row r="6" spans="2:11" ht="4.5" customHeight="1" x14ac:dyDescent="0.25">
      <c r="B6" s="11"/>
      <c r="C6" s="11"/>
      <c r="D6" s="12"/>
      <c r="E6" s="11"/>
    </row>
    <row r="7" spans="2:11" x14ac:dyDescent="0.25">
      <c r="B7" s="6" t="s">
        <v>8</v>
      </c>
      <c r="C7" s="7" t="s">
        <v>14</v>
      </c>
      <c r="D7" s="8">
        <v>18</v>
      </c>
      <c r="E7" s="7" t="s">
        <v>10</v>
      </c>
    </row>
    <row r="8" spans="2:11" x14ac:dyDescent="0.25">
      <c r="B8" s="7"/>
      <c r="C8" s="7" t="s">
        <v>9</v>
      </c>
      <c r="D8" s="8">
        <v>25</v>
      </c>
      <c r="E8" s="7" t="s">
        <v>78</v>
      </c>
    </row>
    <row r="9" spans="2:11" x14ac:dyDescent="0.25">
      <c r="B9" s="7"/>
      <c r="C9" s="7" t="s">
        <v>12</v>
      </c>
      <c r="D9" s="8">
        <v>15</v>
      </c>
      <c r="E9" s="7" t="s">
        <v>10</v>
      </c>
    </row>
    <row r="10" spans="2:11" x14ac:dyDescent="0.25">
      <c r="B10" s="7"/>
      <c r="C10" s="7" t="s">
        <v>83</v>
      </c>
      <c r="D10" s="8">
        <v>0.4</v>
      </c>
      <c r="E10" s="7" t="s">
        <v>84</v>
      </c>
    </row>
    <row r="11" spans="2:11" x14ac:dyDescent="0.25">
      <c r="B11" s="7"/>
      <c r="C11" s="7" t="s">
        <v>47</v>
      </c>
      <c r="D11" s="8">
        <v>135</v>
      </c>
      <c r="E11" s="7" t="s">
        <v>75</v>
      </c>
    </row>
    <row r="13" spans="2:11" x14ac:dyDescent="0.25">
      <c r="I13" s="49" t="s">
        <v>23</v>
      </c>
      <c r="J13" s="49"/>
      <c r="K13" s="49"/>
    </row>
    <row r="14" spans="2:11" x14ac:dyDescent="0.25">
      <c r="I14" s="6" t="s">
        <v>13</v>
      </c>
      <c r="J14" s="6" t="s">
        <v>18</v>
      </c>
      <c r="K14" s="6" t="s">
        <v>19</v>
      </c>
    </row>
    <row r="15" spans="2:11" x14ac:dyDescent="0.25">
      <c r="I15" s="7" t="s">
        <v>15</v>
      </c>
      <c r="J15" s="30">
        <f>'Planned Change Data'!C15</f>
        <v>268.88888888888891</v>
      </c>
      <c r="K15" s="8">
        <f>J15*D7</f>
        <v>4840</v>
      </c>
    </row>
    <row r="16" spans="2:11" x14ac:dyDescent="0.25">
      <c r="I16" s="7" t="s">
        <v>16</v>
      </c>
      <c r="J16" s="30">
        <f>'Planned Change Data'!D15</f>
        <v>627.40740740740739</v>
      </c>
      <c r="K16" s="8">
        <f>J16*D8</f>
        <v>15685.185185185184</v>
      </c>
    </row>
    <row r="17" spans="5:11" x14ac:dyDescent="0.25">
      <c r="I17" s="7" t="s">
        <v>11</v>
      </c>
      <c r="J17" s="30">
        <f>'Planned Change Data'!E15</f>
        <v>896.29629629629642</v>
      </c>
      <c r="K17" s="8">
        <f>J17*D8</f>
        <v>22407.407407407409</v>
      </c>
    </row>
    <row r="18" spans="5:11" x14ac:dyDescent="0.25">
      <c r="I18" s="7" t="s">
        <v>12</v>
      </c>
      <c r="J18" s="30">
        <f>'Planned Change Data'!F15</f>
        <v>627.40740740740739</v>
      </c>
      <c r="K18" s="8">
        <f>J18*D9</f>
        <v>9411.1111111111113</v>
      </c>
    </row>
    <row r="19" spans="5:11" x14ac:dyDescent="0.25">
      <c r="J19" s="2" t="s">
        <v>20</v>
      </c>
      <c r="K19" s="3">
        <f>SUM(K15:K18)</f>
        <v>52343.703703703701</v>
      </c>
    </row>
    <row r="20" spans="5:11" x14ac:dyDescent="0.25">
      <c r="J20" s="2" t="s">
        <v>21</v>
      </c>
      <c r="K20" s="4">
        <f>SUM(D3:D5)</f>
        <v>10600</v>
      </c>
    </row>
    <row r="21" spans="5:11" ht="3.75" customHeight="1" x14ac:dyDescent="0.25">
      <c r="I21" s="13"/>
      <c r="J21" s="13"/>
      <c r="K21" s="13"/>
    </row>
    <row r="22" spans="5:11" ht="16.5" customHeight="1" x14ac:dyDescent="0.25">
      <c r="J22" s="2" t="s">
        <v>22</v>
      </c>
      <c r="K22" s="4">
        <f>K20+K19</f>
        <v>62943.703703703701</v>
      </c>
    </row>
    <row r="23" spans="5:11" ht="3" customHeight="1" x14ac:dyDescent="0.25">
      <c r="I23" s="13"/>
      <c r="J23" s="13"/>
      <c r="K23" s="13"/>
    </row>
    <row r="24" spans="5:11" x14ac:dyDescent="0.25">
      <c r="J24" s="2" t="s">
        <v>79</v>
      </c>
      <c r="K24" s="4">
        <f>'Cost Walk'!L12*D8</f>
        <v>14550</v>
      </c>
    </row>
    <row r="27" spans="5:11" x14ac:dyDescent="0.25">
      <c r="E27" s="21"/>
      <c r="F27" s="21"/>
      <c r="G27" s="21"/>
    </row>
  </sheetData>
  <mergeCells count="2">
    <mergeCell ref="I13:K13"/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389-8450-4F8D-89E4-44064002974B}">
  <dimension ref="B2:X9"/>
  <sheetViews>
    <sheetView showGridLines="0" zoomScale="115" zoomScaleNormal="115" workbookViewId="0">
      <selection activeCell="B15" sqref="B15"/>
    </sheetView>
  </sheetViews>
  <sheetFormatPr defaultRowHeight="15" x14ac:dyDescent="0.25"/>
  <cols>
    <col min="2" max="2" width="15.5703125" customWidth="1"/>
    <col min="3" max="3" width="14.42578125" customWidth="1"/>
    <col min="4" max="4" width="11.28515625" customWidth="1"/>
    <col min="5" max="5" width="12" customWidth="1"/>
    <col min="7" max="7" width="12.5703125" bestFit="1" customWidth="1"/>
    <col min="8" max="24" width="5.7109375" customWidth="1"/>
  </cols>
  <sheetData>
    <row r="2" spans="2:24" x14ac:dyDescent="0.25">
      <c r="G2" s="9"/>
      <c r="H2" s="50">
        <v>2023</v>
      </c>
      <c r="I2" s="50"/>
      <c r="J2" s="50"/>
      <c r="K2" s="50"/>
      <c r="L2" s="50"/>
      <c r="M2" s="50"/>
      <c r="N2" s="50">
        <v>2024</v>
      </c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2:24" ht="27" x14ac:dyDescent="0.25">
      <c r="C3" s="31" t="s">
        <v>102</v>
      </c>
      <c r="G3" s="9"/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34</v>
      </c>
      <c r="O3" s="14" t="s">
        <v>35</v>
      </c>
      <c r="P3" s="14" t="s">
        <v>36</v>
      </c>
      <c r="Q3" s="14" t="s">
        <v>37</v>
      </c>
      <c r="R3" s="14" t="s">
        <v>38</v>
      </c>
      <c r="S3" s="14" t="s">
        <v>39</v>
      </c>
      <c r="T3" s="14" t="s">
        <v>40</v>
      </c>
      <c r="U3" s="14" t="s">
        <v>41</v>
      </c>
      <c r="V3" s="14" t="s">
        <v>42</v>
      </c>
      <c r="W3" s="14" t="s">
        <v>43</v>
      </c>
      <c r="X3" s="14" t="s">
        <v>44</v>
      </c>
    </row>
    <row r="4" spans="2:24" x14ac:dyDescent="0.25">
      <c r="B4" s="6" t="s">
        <v>13</v>
      </c>
      <c r="C4" s="32" t="s">
        <v>101</v>
      </c>
      <c r="D4" s="6" t="s">
        <v>32</v>
      </c>
      <c r="E4" s="6" t="s">
        <v>33</v>
      </c>
      <c r="G4" s="5" t="s">
        <v>15</v>
      </c>
    </row>
    <row r="5" spans="2:24" x14ac:dyDescent="0.25">
      <c r="B5" s="7" t="s">
        <v>15</v>
      </c>
      <c r="C5" s="30">
        <f>'Planned Change Data'!C16</f>
        <v>67.222222222222229</v>
      </c>
      <c r="D5" s="15">
        <v>45110</v>
      </c>
      <c r="E5" s="15">
        <f>ROUNDUP(D5+(C5*7/40), 0)</f>
        <v>45122</v>
      </c>
      <c r="G5" s="5" t="s">
        <v>16</v>
      </c>
    </row>
    <row r="6" spans="2:24" x14ac:dyDescent="0.25">
      <c r="B6" s="7" t="s">
        <v>16</v>
      </c>
      <c r="C6" s="30">
        <f>'Planned Change Data'!D16</f>
        <v>156.85185185185185</v>
      </c>
      <c r="D6" s="15">
        <f>E5</f>
        <v>45122</v>
      </c>
      <c r="E6" s="15">
        <f t="shared" ref="E6:E8" si="0">ROUNDUP(D6+(C6*7/40), 0)</f>
        <v>45150</v>
      </c>
      <c r="G6" s="5" t="s">
        <v>11</v>
      </c>
    </row>
    <row r="7" spans="2:24" x14ac:dyDescent="0.25">
      <c r="B7" s="7" t="s">
        <v>11</v>
      </c>
      <c r="C7" s="30">
        <f>'Planned Change Data'!E16</f>
        <v>224.0740740740741</v>
      </c>
      <c r="D7" s="15">
        <f t="shared" ref="D7:D9" si="1">E6</f>
        <v>45150</v>
      </c>
      <c r="E7" s="15">
        <f t="shared" si="0"/>
        <v>45190</v>
      </c>
      <c r="G7" s="5" t="s">
        <v>12</v>
      </c>
    </row>
    <row r="8" spans="2:24" x14ac:dyDescent="0.25">
      <c r="B8" s="7" t="s">
        <v>12</v>
      </c>
      <c r="C8" s="30">
        <f>'Planned Change Data'!F16</f>
        <v>156.85185185185185</v>
      </c>
      <c r="D8" s="15">
        <f t="shared" si="1"/>
        <v>45190</v>
      </c>
      <c r="E8" s="15">
        <f t="shared" si="0"/>
        <v>45218</v>
      </c>
      <c r="G8" s="5" t="s">
        <v>17</v>
      </c>
    </row>
    <row r="9" spans="2:24" x14ac:dyDescent="0.25">
      <c r="B9" s="7" t="s">
        <v>17</v>
      </c>
      <c r="C9" s="7">
        <v>500</v>
      </c>
      <c r="D9" s="15">
        <f t="shared" si="1"/>
        <v>45218</v>
      </c>
      <c r="E9" s="15">
        <v>45597</v>
      </c>
    </row>
  </sheetData>
  <mergeCells count="2">
    <mergeCell ref="H2:M2"/>
    <mergeCell ref="N2:X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8FD0-2E0B-489D-94B1-3AAB21E656DA}">
  <dimension ref="B2:H20"/>
  <sheetViews>
    <sheetView workbookViewId="0">
      <selection activeCell="E11" sqref="E11:H20"/>
    </sheetView>
  </sheetViews>
  <sheetFormatPr defaultRowHeight="15" x14ac:dyDescent="0.25"/>
  <cols>
    <col min="2" max="2" width="42.28515625" bestFit="1" customWidth="1"/>
    <col min="3" max="3" width="16.28515625" customWidth="1"/>
    <col min="4" max="4" width="3.28515625" customWidth="1"/>
    <col min="6" max="6" width="14.28515625" customWidth="1"/>
    <col min="7" max="7" width="9.7109375" bestFit="1" customWidth="1"/>
    <col min="8" max="8" width="13.28515625" customWidth="1"/>
  </cols>
  <sheetData>
    <row r="2" spans="2:8" x14ac:dyDescent="0.25">
      <c r="B2" s="7" t="s">
        <v>113</v>
      </c>
      <c r="C2" s="43">
        <v>1700000000</v>
      </c>
    </row>
    <row r="3" spans="2:8" x14ac:dyDescent="0.25">
      <c r="B3" s="7" t="s">
        <v>114</v>
      </c>
      <c r="C3" s="44">
        <v>0.56000000000000005</v>
      </c>
    </row>
    <row r="4" spans="2:8" x14ac:dyDescent="0.25">
      <c r="B4" s="7" t="s">
        <v>115</v>
      </c>
      <c r="C4" s="45">
        <f>C3*C2</f>
        <v>952000000.00000012</v>
      </c>
    </row>
    <row r="5" spans="2:8" x14ac:dyDescent="0.25">
      <c r="B5" s="7" t="s">
        <v>116</v>
      </c>
      <c r="C5" s="44">
        <v>0.73599999999999999</v>
      </c>
    </row>
    <row r="6" spans="2:8" x14ac:dyDescent="0.25">
      <c r="B6" s="7" t="s">
        <v>117</v>
      </c>
      <c r="C6" s="45">
        <f>C5*C4</f>
        <v>700672000.00000012</v>
      </c>
    </row>
    <row r="7" spans="2:8" x14ac:dyDescent="0.25">
      <c r="B7" s="7" t="s">
        <v>118</v>
      </c>
      <c r="C7" s="44">
        <v>5.0000000000000001E-3</v>
      </c>
    </row>
    <row r="8" spans="2:8" x14ac:dyDescent="0.25">
      <c r="B8" s="7" t="s">
        <v>119</v>
      </c>
      <c r="C8" s="45">
        <f>C7*C6</f>
        <v>3503360.0000000005</v>
      </c>
    </row>
    <row r="9" spans="2:8" x14ac:dyDescent="0.25">
      <c r="B9" s="7" t="s">
        <v>120</v>
      </c>
      <c r="C9" s="44">
        <v>0.1</v>
      </c>
    </row>
    <row r="10" spans="2:8" x14ac:dyDescent="0.25">
      <c r="B10" s="20" t="s">
        <v>121</v>
      </c>
      <c r="C10" s="42">
        <f>C9*C8</f>
        <v>350336.00000000006</v>
      </c>
    </row>
    <row r="11" spans="2:8" ht="45" x14ac:dyDescent="0.25">
      <c r="F11" s="33" t="s">
        <v>103</v>
      </c>
      <c r="H11" s="33" t="s">
        <v>104</v>
      </c>
    </row>
    <row r="12" spans="2:8" x14ac:dyDescent="0.25">
      <c r="F12" s="41">
        <f>C10</f>
        <v>350336.00000000006</v>
      </c>
      <c r="G12" s="24"/>
      <c r="H12" s="35">
        <v>6</v>
      </c>
    </row>
    <row r="14" spans="2:8" x14ac:dyDescent="0.25">
      <c r="E14" s="51" t="s">
        <v>31</v>
      </c>
      <c r="F14" s="53" t="s">
        <v>74</v>
      </c>
      <c r="G14" s="34" t="s">
        <v>72</v>
      </c>
      <c r="H14" s="53" t="s">
        <v>30</v>
      </c>
    </row>
    <row r="15" spans="2:8" x14ac:dyDescent="0.25">
      <c r="E15" s="52"/>
      <c r="F15" s="54"/>
      <c r="G15" s="20" t="s">
        <v>73</v>
      </c>
      <c r="H15" s="54"/>
    </row>
    <row r="16" spans="2:8" x14ac:dyDescent="0.25">
      <c r="E16" s="19" t="s">
        <v>25</v>
      </c>
      <c r="F16" s="18">
        <v>0.01</v>
      </c>
      <c r="G16" s="19">
        <f>ROUNDDOWN(F16*$F$12,0)</f>
        <v>3503</v>
      </c>
      <c r="H16" s="8">
        <f>G16*$H$12</f>
        <v>21018</v>
      </c>
    </row>
    <row r="17" spans="5:8" x14ac:dyDescent="0.25">
      <c r="E17" s="19" t="s">
        <v>26</v>
      </c>
      <c r="F17" s="18">
        <v>0.03</v>
      </c>
      <c r="G17" s="19">
        <f t="shared" ref="G17:G20" si="0">ROUNDDOWN(F17*$F$12,0)</f>
        <v>10510</v>
      </c>
      <c r="H17" s="8">
        <f>G17*$H$12</f>
        <v>63060</v>
      </c>
    </row>
    <row r="18" spans="5:8" x14ac:dyDescent="0.25">
      <c r="E18" s="19" t="s">
        <v>27</v>
      </c>
      <c r="F18" s="18">
        <v>0.05</v>
      </c>
      <c r="G18" s="19">
        <f t="shared" si="0"/>
        <v>17516</v>
      </c>
      <c r="H18" s="8">
        <f>G18*$H$12</f>
        <v>105096</v>
      </c>
    </row>
    <row r="19" spans="5:8" x14ac:dyDescent="0.25">
      <c r="E19" s="19" t="s">
        <v>28</v>
      </c>
      <c r="F19" s="18">
        <v>0.05</v>
      </c>
      <c r="G19" s="19">
        <f t="shared" si="0"/>
        <v>17516</v>
      </c>
      <c r="H19" s="8">
        <f>G19*$H$12</f>
        <v>105096</v>
      </c>
    </row>
    <row r="20" spans="5:8" x14ac:dyDescent="0.25">
      <c r="E20" s="19" t="s">
        <v>29</v>
      </c>
      <c r="F20" s="18">
        <v>0.05</v>
      </c>
      <c r="G20" s="19">
        <f t="shared" si="0"/>
        <v>17516</v>
      </c>
      <c r="H20" s="8">
        <f>G20*$H$12</f>
        <v>105096</v>
      </c>
    </row>
  </sheetData>
  <mergeCells count="3">
    <mergeCell ref="E14:E15"/>
    <mergeCell ref="F14:F15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0510-A26B-4CA8-92EE-B37B96E32CAC}">
  <dimension ref="C2:M61"/>
  <sheetViews>
    <sheetView workbookViewId="0">
      <selection activeCell="E16" sqref="E16"/>
    </sheetView>
  </sheetViews>
  <sheetFormatPr defaultRowHeight="15" x14ac:dyDescent="0.25"/>
  <cols>
    <col min="3" max="3" width="27.140625" customWidth="1"/>
    <col min="4" max="4" width="12.5703125" style="1" bestFit="1" customWidth="1"/>
    <col min="5" max="6" width="11.5703125" bestFit="1" customWidth="1"/>
    <col min="8" max="8" width="19.7109375" bestFit="1" customWidth="1"/>
    <col min="9" max="9" width="9.5703125" bestFit="1" customWidth="1"/>
    <col min="10" max="13" width="9.7109375" bestFit="1" customWidth="1"/>
  </cols>
  <sheetData>
    <row r="2" spans="3:13" x14ac:dyDescent="0.25">
      <c r="C2" s="6" t="s">
        <v>13</v>
      </c>
      <c r="D2" s="10" t="s">
        <v>60</v>
      </c>
    </row>
    <row r="3" spans="3:13" x14ac:dyDescent="0.25">
      <c r="C3" s="7" t="s">
        <v>48</v>
      </c>
      <c r="D3" s="36">
        <f>'Estimated Revenue'!H16</f>
        <v>21018</v>
      </c>
    </row>
    <row r="4" spans="3:13" x14ac:dyDescent="0.25">
      <c r="C4" s="7" t="s">
        <v>46</v>
      </c>
      <c r="D4" s="8">
        <v>60000</v>
      </c>
      <c r="F4" s="17"/>
      <c r="I4" s="5" t="s">
        <v>105</v>
      </c>
      <c r="J4" s="9"/>
      <c r="K4" s="9"/>
      <c r="L4" s="39">
        <v>0.2</v>
      </c>
    </row>
    <row r="5" spans="3:13" x14ac:dyDescent="0.25">
      <c r="C5" s="7" t="s">
        <v>49</v>
      </c>
      <c r="D5" s="36">
        <f>'Fixed and Variable Costs'!K20 * -1</f>
        <v>-10600</v>
      </c>
      <c r="E5" s="1"/>
    </row>
    <row r="6" spans="3:13" x14ac:dyDescent="0.25">
      <c r="C6" s="7" t="s">
        <v>15</v>
      </c>
      <c r="D6" s="36">
        <f>'Fixed and Variable Costs'!K15 * -1</f>
        <v>-4840</v>
      </c>
      <c r="E6" s="1"/>
    </row>
    <row r="7" spans="3:13" x14ac:dyDescent="0.25">
      <c r="C7" s="7" t="s">
        <v>16</v>
      </c>
      <c r="D7" s="36">
        <f>'Fixed and Variable Costs'!K16 * -1</f>
        <v>-15685.185185185184</v>
      </c>
      <c r="E7" s="1"/>
      <c r="H7" s="7"/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3:13" x14ac:dyDescent="0.25">
      <c r="C8" s="7" t="s">
        <v>11</v>
      </c>
      <c r="D8" s="36">
        <f>'Fixed and Variable Costs'!K17 * -1</f>
        <v>-22407.407407407409</v>
      </c>
      <c r="E8" s="1"/>
      <c r="H8" s="6" t="s">
        <v>51</v>
      </c>
      <c r="I8" s="15">
        <f>'Yr One Timeline'!D9</f>
        <v>45218</v>
      </c>
      <c r="J8" s="15">
        <v>45292</v>
      </c>
      <c r="K8" s="15">
        <v>45658</v>
      </c>
      <c r="L8" s="15">
        <v>46023</v>
      </c>
      <c r="M8" s="15">
        <v>46388</v>
      </c>
    </row>
    <row r="9" spans="3:13" x14ac:dyDescent="0.25">
      <c r="C9" s="7" t="s">
        <v>12</v>
      </c>
      <c r="D9" s="36">
        <f>'Fixed and Variable Costs'!K18 * -1</f>
        <v>-9411.1111111111113</v>
      </c>
      <c r="E9" s="1"/>
      <c r="H9" s="6" t="s">
        <v>52</v>
      </c>
      <c r="I9" s="15">
        <v>45291</v>
      </c>
      <c r="J9" s="15">
        <v>45657</v>
      </c>
      <c r="K9" s="15">
        <v>46022</v>
      </c>
      <c r="L9" s="15">
        <v>46387</v>
      </c>
      <c r="M9" s="15">
        <v>46752</v>
      </c>
    </row>
    <row r="10" spans="3:13" x14ac:dyDescent="0.25">
      <c r="C10" s="7" t="s">
        <v>106</v>
      </c>
      <c r="D10" s="36">
        <f>I12*'Fixed and Variable Costs'!D8 * -1</f>
        <v>-2925</v>
      </c>
      <c r="E10" s="1"/>
      <c r="H10" s="6" t="s">
        <v>50</v>
      </c>
      <c r="I10" s="7">
        <f>I9-I8</f>
        <v>73</v>
      </c>
      <c r="J10" s="7">
        <f t="shared" ref="J10:M10" si="0">J9-J8</f>
        <v>365</v>
      </c>
      <c r="K10" s="7">
        <f t="shared" si="0"/>
        <v>364</v>
      </c>
      <c r="L10" s="7">
        <f t="shared" si="0"/>
        <v>364</v>
      </c>
      <c r="M10" s="7">
        <f t="shared" si="0"/>
        <v>364</v>
      </c>
    </row>
    <row r="11" spans="3:13" x14ac:dyDescent="0.25">
      <c r="C11" s="7" t="s">
        <v>107</v>
      </c>
      <c r="D11" s="36">
        <f>I11*'Fixed and Variable Costs'!D11 * -1</f>
        <v>-1485</v>
      </c>
      <c r="E11" s="1"/>
      <c r="H11" s="6" t="s">
        <v>58</v>
      </c>
      <c r="I11" s="7">
        <f>ROUNDUP(I10/7, 0)</f>
        <v>11</v>
      </c>
      <c r="J11" s="7">
        <f t="shared" ref="J11:M11" si="1">ROUNDUP(J10/7, 0)</f>
        <v>53</v>
      </c>
      <c r="K11" s="7">
        <f t="shared" si="1"/>
        <v>52</v>
      </c>
      <c r="L11" s="7">
        <f t="shared" si="1"/>
        <v>52</v>
      </c>
      <c r="M11" s="7">
        <f t="shared" si="1"/>
        <v>52</v>
      </c>
    </row>
    <row r="12" spans="3:13" x14ac:dyDescent="0.25">
      <c r="C12" s="7" t="s">
        <v>59</v>
      </c>
      <c r="D12" s="8">
        <f>SUM(D3:D11)</f>
        <v>13664.296296296299</v>
      </c>
      <c r="F12" s="17"/>
      <c r="H12" s="6" t="s">
        <v>67</v>
      </c>
      <c r="I12" s="7">
        <f>ROUND(I10*$L$4*8, 0)</f>
        <v>117</v>
      </c>
      <c r="J12" s="7">
        <f t="shared" ref="J12:M12" si="2">ROUND(J10*$L$4*8, 0)</f>
        <v>584</v>
      </c>
      <c r="K12" s="7">
        <f t="shared" si="2"/>
        <v>582</v>
      </c>
      <c r="L12" s="7">
        <f t="shared" si="2"/>
        <v>582</v>
      </c>
      <c r="M12" s="7">
        <f t="shared" si="2"/>
        <v>582</v>
      </c>
    </row>
    <row r="13" spans="3:13" x14ac:dyDescent="0.25">
      <c r="C13" s="7" t="s">
        <v>61</v>
      </c>
      <c r="D13" s="8">
        <f>'Estimated Revenue'!H17</f>
        <v>63060</v>
      </c>
    </row>
    <row r="14" spans="3:13" x14ac:dyDescent="0.25">
      <c r="C14" s="7" t="s">
        <v>76</v>
      </c>
      <c r="D14" s="8">
        <f>J12*'Fixed and Variable Costs'!D8*-1</f>
        <v>-14600</v>
      </c>
    </row>
    <row r="15" spans="3:13" x14ac:dyDescent="0.25">
      <c r="C15" s="7" t="s">
        <v>62</v>
      </c>
      <c r="D15" s="8">
        <f>J11*'Fixed and Variable Costs'!D11*-1</f>
        <v>-7155</v>
      </c>
    </row>
    <row r="16" spans="3:13" x14ac:dyDescent="0.25">
      <c r="C16" s="7" t="s">
        <v>63</v>
      </c>
      <c r="D16" s="8">
        <f>SUM(D12:D15)</f>
        <v>54969.296296296292</v>
      </c>
    </row>
    <row r="17" spans="3:4" x14ac:dyDescent="0.25">
      <c r="C17" s="7" t="s">
        <v>64</v>
      </c>
      <c r="D17" s="8">
        <f>'Estimated Revenue'!H18</f>
        <v>105096</v>
      </c>
    </row>
    <row r="18" spans="3:4" x14ac:dyDescent="0.25">
      <c r="C18" s="7" t="s">
        <v>77</v>
      </c>
      <c r="D18" s="8">
        <f>K12*'Fixed and Variable Costs'!D8*-1</f>
        <v>-14550</v>
      </c>
    </row>
    <row r="19" spans="3:4" x14ac:dyDescent="0.25">
      <c r="C19" s="7" t="s">
        <v>65</v>
      </c>
      <c r="D19" s="8">
        <f>K11*'Fixed and Variable Costs'!D11</f>
        <v>7020</v>
      </c>
    </row>
    <row r="20" spans="3:4" x14ac:dyDescent="0.25">
      <c r="C20" s="7" t="s">
        <v>66</v>
      </c>
      <c r="D20" s="8">
        <f>SUM(D16:D19)</f>
        <v>152535.29629629629</v>
      </c>
    </row>
    <row r="21" spans="3:4" x14ac:dyDescent="0.25">
      <c r="C21" s="7" t="s">
        <v>68</v>
      </c>
      <c r="D21" s="8">
        <f>'Estimated Revenue'!H19</f>
        <v>105096</v>
      </c>
    </row>
    <row r="22" spans="3:4" x14ac:dyDescent="0.25">
      <c r="C22" s="7" t="s">
        <v>76</v>
      </c>
      <c r="D22" s="8">
        <f>L12*'Fixed and Variable Costs'!D8*-1</f>
        <v>-14550</v>
      </c>
    </row>
    <row r="23" spans="3:4" x14ac:dyDescent="0.25">
      <c r="C23" s="7" t="s">
        <v>62</v>
      </c>
      <c r="D23" s="8">
        <f>L11*'Fixed and Variable Costs'!D11*-1</f>
        <v>-7020</v>
      </c>
    </row>
    <row r="24" spans="3:4" x14ac:dyDescent="0.25">
      <c r="C24" s="7" t="s">
        <v>69</v>
      </c>
      <c r="D24" s="8">
        <f>SUM(D20:D23)</f>
        <v>236061.29629629629</v>
      </c>
    </row>
    <row r="25" spans="3:4" x14ac:dyDescent="0.25">
      <c r="C25" s="7" t="s">
        <v>70</v>
      </c>
      <c r="D25" s="8">
        <f>'Estimated Revenue'!H20</f>
        <v>105096</v>
      </c>
    </row>
    <row r="26" spans="3:4" x14ac:dyDescent="0.25">
      <c r="C26" s="7" t="s">
        <v>76</v>
      </c>
      <c r="D26" s="8">
        <f>M12*'Fixed and Variable Costs'!D8*-1</f>
        <v>-14550</v>
      </c>
    </row>
    <row r="27" spans="3:4" x14ac:dyDescent="0.25">
      <c r="C27" s="7" t="s">
        <v>62</v>
      </c>
      <c r="D27" s="8">
        <f>M11*'Fixed and Variable Costs'!D11*-1</f>
        <v>-7020</v>
      </c>
    </row>
    <row r="28" spans="3:4" x14ac:dyDescent="0.25">
      <c r="C28" s="7" t="s">
        <v>71</v>
      </c>
      <c r="D28" s="8">
        <f>SUM(D24:D27)</f>
        <v>319587.29629629629</v>
      </c>
    </row>
    <row r="61" spans="5:5" x14ac:dyDescent="0.25">
      <c r="E61" s="17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F534-AC8E-46AC-90DA-5ABDA8C9D1B8}">
  <dimension ref="C1:F12"/>
  <sheetViews>
    <sheetView tabSelected="1" workbookViewId="0">
      <selection activeCell="I8" sqref="I8"/>
    </sheetView>
  </sheetViews>
  <sheetFormatPr defaultRowHeight="15" x14ac:dyDescent="0.25"/>
  <cols>
    <col min="3" max="3" width="13.85546875" bestFit="1" customWidth="1"/>
    <col min="4" max="4" width="12.5703125" bestFit="1" customWidth="1"/>
    <col min="5" max="5" width="13.85546875" bestFit="1" customWidth="1"/>
  </cols>
  <sheetData>
    <row r="1" spans="3:6" x14ac:dyDescent="0.25">
      <c r="C1" s="16" t="s">
        <v>111</v>
      </c>
      <c r="D1" s="40">
        <v>0.4</v>
      </c>
    </row>
    <row r="2" spans="3:6" x14ac:dyDescent="0.25">
      <c r="C2" s="16" t="s">
        <v>112</v>
      </c>
      <c r="D2" s="8">
        <v>60000</v>
      </c>
    </row>
    <row r="4" spans="3:6" x14ac:dyDescent="0.25">
      <c r="C4" s="16" t="s">
        <v>31</v>
      </c>
      <c r="D4" s="16" t="s">
        <v>109</v>
      </c>
      <c r="E4" s="16" t="s">
        <v>111</v>
      </c>
      <c r="F4" s="16" t="s">
        <v>110</v>
      </c>
    </row>
    <row r="5" spans="3:6" x14ac:dyDescent="0.25">
      <c r="C5" s="19">
        <v>1</v>
      </c>
      <c r="D5" s="36">
        <f>'Cost Walk'!D12</f>
        <v>13664.296296296299</v>
      </c>
      <c r="E5" s="36">
        <f>D5*$D$1</f>
        <v>5465.7185185185199</v>
      </c>
      <c r="F5" s="40">
        <f>E5/$D$2</f>
        <v>9.1095308641975334E-2</v>
      </c>
    </row>
    <row r="6" spans="3:6" x14ac:dyDescent="0.25">
      <c r="C6" s="19">
        <v>2</v>
      </c>
      <c r="D6" s="36">
        <f>'Cost Walk'!D16</f>
        <v>54969.296296296292</v>
      </c>
      <c r="E6" s="36">
        <f t="shared" ref="E6:E9" si="0">D6*$D$1</f>
        <v>21987.718518518519</v>
      </c>
      <c r="F6" s="40">
        <f t="shared" ref="F6:F9" si="1">E6/$D$2</f>
        <v>0.366461975308642</v>
      </c>
    </row>
    <row r="7" spans="3:6" x14ac:dyDescent="0.25">
      <c r="C7" s="19">
        <v>3</v>
      </c>
      <c r="D7" s="36">
        <f>'Cost Walk'!D20</f>
        <v>152535.29629629629</v>
      </c>
      <c r="E7" s="36">
        <f t="shared" si="0"/>
        <v>61014.118518518517</v>
      </c>
      <c r="F7" s="40">
        <f t="shared" si="1"/>
        <v>1.0169019753086419</v>
      </c>
    </row>
    <row r="8" spans="3:6" x14ac:dyDescent="0.25">
      <c r="C8" s="19">
        <v>4</v>
      </c>
      <c r="D8" s="36">
        <f>'Cost Walk'!D24</f>
        <v>236061.29629629629</v>
      </c>
      <c r="E8" s="36">
        <f t="shared" si="0"/>
        <v>94424.518518518526</v>
      </c>
      <c r="F8" s="40">
        <f t="shared" si="1"/>
        <v>1.5737419753086421</v>
      </c>
    </row>
    <row r="9" spans="3:6" x14ac:dyDescent="0.25">
      <c r="C9" s="19">
        <v>5</v>
      </c>
      <c r="D9" s="36">
        <f>'Cost Walk'!D28</f>
        <v>319587.29629629629</v>
      </c>
      <c r="E9" s="36">
        <f t="shared" si="0"/>
        <v>127834.91851851852</v>
      </c>
      <c r="F9" s="40">
        <f t="shared" si="1"/>
        <v>2.1305819753086421</v>
      </c>
    </row>
    <row r="11" spans="3:6" x14ac:dyDescent="0.25">
      <c r="C11" s="55" t="s">
        <v>123</v>
      </c>
      <c r="E11" s="4">
        <f>SUM(E5:E9)</f>
        <v>310726.99259259261</v>
      </c>
      <c r="F11" s="56">
        <f>E11/D2</f>
        <v>5.1787832098765438</v>
      </c>
    </row>
    <row r="12" spans="3:6" x14ac:dyDescent="0.25">
      <c r="C12" s="55" t="s">
        <v>122</v>
      </c>
      <c r="E12" s="4">
        <f>E11-D2</f>
        <v>250726.99259259261</v>
      </c>
      <c r="F12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Planned Change Data</vt:lpstr>
      <vt:lpstr>Fixed and Variable Costs</vt:lpstr>
      <vt:lpstr>Yr One Timeline</vt:lpstr>
      <vt:lpstr>Estimated Revenue</vt:lpstr>
      <vt:lpstr>Cost Walk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2021-12-16T01:30:29Z</dcterms:created>
  <dcterms:modified xsi:type="dcterms:W3CDTF">2023-06-07T00:14:46Z</dcterms:modified>
</cp:coreProperties>
</file>