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0826871\Downloads\"/>
    </mc:Choice>
  </mc:AlternateContent>
  <xr:revisionPtr revIDLastSave="0" documentId="13_ncr:1_{810CEED7-98F1-463D-975A-4AC11A411D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alues" sheetId="1" r:id="rId1"/>
    <sheet name="Description" sheetId="2" r:id="rId2"/>
  </sheets>
  <definedNames>
    <definedName name="_xlnm._FilterDatabase" localSheetId="0" hidden="1">Values!$A$1:$S$1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3" i="1"/>
  <c r="K27" i="1"/>
  <c r="K28" i="1"/>
  <c r="J25" i="1"/>
  <c r="J13" i="1"/>
  <c r="K13" i="1"/>
  <c r="O13" i="1"/>
  <c r="P13" i="1"/>
  <c r="J6" i="1"/>
  <c r="O6" i="1"/>
  <c r="J27" i="1"/>
  <c r="J28" i="1"/>
  <c r="J26" i="1"/>
  <c r="J24" i="1"/>
  <c r="J23" i="1"/>
  <c r="J22" i="1"/>
  <c r="J21" i="1"/>
  <c r="J17" i="1"/>
  <c r="J20" i="1"/>
  <c r="J19" i="1"/>
  <c r="J18" i="1"/>
  <c r="P17" i="1"/>
  <c r="O17" i="1"/>
  <c r="K17" i="1"/>
  <c r="J16" i="1"/>
  <c r="J15" i="1"/>
  <c r="J14" i="1"/>
  <c r="J12" i="1"/>
  <c r="J11" i="1"/>
  <c r="J10" i="1"/>
  <c r="J8" i="1"/>
  <c r="J7" i="1"/>
  <c r="J4" i="1"/>
  <c r="J5" i="1"/>
  <c r="J2" i="1"/>
  <c r="J3" i="1"/>
  <c r="P8" i="1" l="1"/>
  <c r="O8" i="1"/>
  <c r="K8" i="1"/>
  <c r="P7" i="1"/>
  <c r="O7" i="1"/>
  <c r="K7" i="1"/>
  <c r="P15" i="1"/>
  <c r="O15" i="1"/>
  <c r="K15" i="1"/>
  <c r="P14" i="1"/>
  <c r="O14" i="1"/>
  <c r="K14" i="1"/>
  <c r="P18" i="1"/>
  <c r="O18" i="1"/>
  <c r="K18" i="1"/>
  <c r="P16" i="1"/>
  <c r="O16" i="1"/>
  <c r="K16" i="1"/>
  <c r="P4" i="1"/>
  <c r="O4" i="1"/>
  <c r="K4" i="1"/>
  <c r="P10" i="1"/>
  <c r="R10" i="1" s="1"/>
  <c r="O10" i="1"/>
  <c r="K10" i="1"/>
  <c r="P11" i="1"/>
  <c r="R11" i="1" s="1"/>
  <c r="O11" i="1"/>
  <c r="K11" i="1"/>
  <c r="P5" i="1"/>
  <c r="O5" i="1"/>
  <c r="K5" i="1"/>
  <c r="P28" i="1"/>
  <c r="R28" i="1" s="1"/>
  <c r="O28" i="1"/>
  <c r="P27" i="1"/>
  <c r="R27" i="1" s="1"/>
  <c r="O27" i="1"/>
  <c r="P26" i="1"/>
  <c r="R26" i="1" s="1"/>
  <c r="O26" i="1"/>
  <c r="K26" i="1"/>
  <c r="P25" i="1"/>
  <c r="R25" i="1" s="1"/>
  <c r="O25" i="1"/>
  <c r="P24" i="1"/>
  <c r="R24" i="1" s="1"/>
  <c r="O24" i="1"/>
  <c r="P23" i="1"/>
  <c r="O23" i="1"/>
  <c r="K23" i="1"/>
  <c r="P22" i="1"/>
  <c r="O22" i="1"/>
  <c r="K22" i="1"/>
  <c r="K21" i="1"/>
  <c r="O21" i="1"/>
  <c r="P21" i="1"/>
  <c r="P20" i="1"/>
  <c r="R20" i="1" s="1"/>
  <c r="O20" i="1"/>
  <c r="K20" i="1"/>
  <c r="P19" i="1"/>
  <c r="R19" i="1" s="1"/>
  <c r="O19" i="1"/>
  <c r="K19" i="1"/>
  <c r="P12" i="1"/>
  <c r="R12" i="1" s="1"/>
  <c r="O12" i="1"/>
  <c r="K12" i="1"/>
  <c r="P3" i="1"/>
  <c r="R3" i="1" s="1"/>
  <c r="O3" i="1"/>
  <c r="K3" i="1"/>
  <c r="P2" i="1"/>
  <c r="R2" i="1" s="1"/>
  <c r="O2" i="1"/>
</calcChain>
</file>

<file path=xl/sharedStrings.xml><?xml version="1.0" encoding="utf-8"?>
<sst xmlns="http://schemas.openxmlformats.org/spreadsheetml/2006/main" count="233" uniqueCount="102">
  <si>
    <t>RP</t>
  </si>
  <si>
    <t>RS</t>
  </si>
  <si>
    <t>RR</t>
  </si>
  <si>
    <t>RE</t>
  </si>
  <si>
    <t>SP</t>
  </si>
  <si>
    <t>SS</t>
  </si>
  <si>
    <t>SR</t>
  </si>
  <si>
    <t>SE</t>
  </si>
  <si>
    <t>harvest_index</t>
  </si>
  <si>
    <t>shoot_root_ratio</t>
  </si>
  <si>
    <t>root_exudation_factor</t>
  </si>
  <si>
    <t>Source</t>
  </si>
  <si>
    <t>Keel et al. (2017), same as sugar beet</t>
  </si>
  <si>
    <t>Bolinder et al. (2015) for R factors, Keel et al. (2017) for S factors</t>
  </si>
  <si>
    <t>barley, spring</t>
  </si>
  <si>
    <t>barley, winter</t>
  </si>
  <si>
    <t>beet, fodder</t>
  </si>
  <si>
    <t>beet, sugar</t>
  </si>
  <si>
    <t>faba bean, spring</t>
  </si>
  <si>
    <t>faba bean, winter</t>
  </si>
  <si>
    <t>maize, silage</t>
  </si>
  <si>
    <t>oat, spring</t>
  </si>
  <si>
    <t>oat, winter</t>
  </si>
  <si>
    <t>pea, spring</t>
  </si>
  <si>
    <t>pea, winter</t>
  </si>
  <si>
    <t>potato</t>
  </si>
  <si>
    <t>rye, spring</t>
  </si>
  <si>
    <t>rye, winter</t>
  </si>
  <si>
    <t>sorghum</t>
  </si>
  <si>
    <t>soybean</t>
  </si>
  <si>
    <t>sunflower</t>
  </si>
  <si>
    <t>triticale, spring</t>
  </si>
  <si>
    <t>triticale, winter</t>
  </si>
  <si>
    <t>wheat, durum</t>
  </si>
  <si>
    <t>wheat, spring</t>
  </si>
  <si>
    <t>wheat, winter</t>
  </si>
  <si>
    <t>Bolinder et al. (2007), same as soybean (as Keel et al., 2017)</t>
  </si>
  <si>
    <t>Sources</t>
  </si>
  <si>
    <t>Keel, S. G., Leifeld, J., Mayer, J., Taghizadeh‐Toosi, A., &amp; Olesen, J. E. (2017). Large uncertainty in soil carbon modelling related to method of calculation of plant carbon input in agricultural systems. European Journal of Soil Science, 68(6), 953-963.</t>
  </si>
  <si>
    <t>Bolinder, M. A., Janzen, H. H., Gregorich, E. G., Angers, D. A., &amp; VandenBygaart, A. J. (2007). An approach for estimating net primary productivity and annual carbon inputs to soil for common agricultural crops in Canada. Agriculture, Ecosystems &amp; Environment, 118(1-4), 29-42.</t>
  </si>
  <si>
    <t>Crop</t>
  </si>
  <si>
    <t>Variable</t>
  </si>
  <si>
    <t>Description</t>
  </si>
  <si>
    <t>Unit</t>
  </si>
  <si>
    <t>This file serves as input file to the function C_input_crops.R. The file contains default values for carbon allocation that are used if no other information is provided by the user.</t>
  </si>
  <si>
    <t>olivier.heller@agroscope.admin.ch, 13.11.2023</t>
  </si>
  <si>
    <t>Wüst-Galey ,C., Keel, S. G., &amp; Leifeld, J. (2020). A model-based carbon inventory for Switzerlands mineral agricultural soils using RothC. Agroscope Science, 105. doi: 10.34776/as105e</t>
  </si>
  <si>
    <t>Name of the crop</t>
  </si>
  <si>
    <t>Ratio of the product and the above ground residues to the root biomass. Calculated by (RP+RS)/RR (assuming all biomass has 45% C)</t>
  </si>
  <si>
    <t>Ratio of the root exudates to the root biomass. Calculated by RE/RR (assuming all biomass has 45% C)</t>
  </si>
  <si>
    <t>Ratio of the product to the total of the product and the above ground residues. Calculated by RP/(RP+RS) (assuming all biomass has 45% C)</t>
  </si>
  <si>
    <t>-</t>
  </si>
  <si>
    <t>Source where the information was derived.</t>
  </si>
  <si>
    <t>Ratio of the C in the product to the total carbon that is allocated by the plant (in a year)</t>
  </si>
  <si>
    <t>Ratio of the C in the above ground residues (e.g. straw) to the total carbon that is allocated by the plant (in a year)</t>
  </si>
  <si>
    <t>Ratio of the C in the plant roots to the total carbon that is allocated by the plant (in a year)</t>
  </si>
  <si>
    <t>Ratio of the C in the root exudates to the total carbon that is allocated by the plant (in a year)</t>
  </si>
  <si>
    <t>Proportion of the C in the roots that is transfered to the soil</t>
  </si>
  <si>
    <t>Proportion of the C in root exudates that is transfered to the soil</t>
  </si>
  <si>
    <t>Proportion of the C in the above ground residues (e.g. straw) that is transfered to the soil</t>
  </si>
  <si>
    <t>Proportion of the C in the Product that is transfered to the soil</t>
  </si>
  <si>
    <t>ley, temporary</t>
  </si>
  <si>
    <t>crop_product</t>
  </si>
  <si>
    <t>tDM/ha</t>
  </si>
  <si>
    <t>rapeseed, winter</t>
  </si>
  <si>
    <t>rapeseed, spring</t>
  </si>
  <si>
    <t>Reference yield, derived from the Swiss fertilizer recommendations (GRUD, 2017, Chapters 8 and 9)</t>
  </si>
  <si>
    <t>NA</t>
  </si>
  <si>
    <t>Taghizadeh-Toosi, A., Cong, W. F., Eriksen, J., Mayer, J., Olesen, J. E., Keel, S. G., ... &amp; Christensen, B. T. (2020). Visiting dark sides of model simulation of carbon stocks in European temperate agricultural soils: allometric function and model initialization. Plant and Soil, 450, 255-272.</t>
  </si>
  <si>
    <r>
      <rPr>
        <sz val="11"/>
        <color theme="1"/>
        <rFont val="Arial"/>
        <family val="2"/>
      </rPr>
      <t>Bolinder, M. A., Kätterer, T., Poeplau, C., Börjesson, G., &amp; Parent, L. E. (2015). Net primary productivity and below-ground crop residue inputs for root crops: Potato (Solanum tuberosum L.) and sugar beet (Beta vulgaris L.). </t>
    </r>
    <r>
      <rPr>
        <sz val="11"/>
        <color rgb="FF222222"/>
        <rFont val="Arial"/>
        <family val="2"/>
      </rPr>
      <t>Canadian Journal of Soil Science, 95(2), 87-93.</t>
    </r>
  </si>
  <si>
    <t>Seitz, D., Fischer, L. M., Dechow, R., Wiesmeier, M., &amp; Don, A. (2023). The potential of cover crops to increase soil organic carbon storage in German croplands. Plant and soil, 488(1-2), 157-173.</t>
  </si>
  <si>
    <t>cover crop</t>
  </si>
  <si>
    <t xml:space="preserve">Values assumed based on Seitz et al. (2022), the crop_product of 1.253 tC/ha is the equivalent of the DM production of a short-lasting winter cover crop (180 days) </t>
  </si>
  <si>
    <t>fixed_belowground_input</t>
  </si>
  <si>
    <t>FALSE</t>
  </si>
  <si>
    <t>TRUE</t>
  </si>
  <si>
    <t>C_input_root</t>
  </si>
  <si>
    <t>Fixed below ground carbon inputs are assumed (Taghizadeh-Toosi, et al., 2020), furthermore it assumed that there are no losses of above ground biomass at harvest (i.e. SP = 0)</t>
  </si>
  <si>
    <t>HI_slope</t>
  </si>
  <si>
    <t>HI_intercept</t>
  </si>
  <si>
    <t>variable_harvest_index</t>
  </si>
  <si>
    <t>TRUE / FALSE</t>
  </si>
  <si>
    <t>Logical value if the fixed below ground C allocation assumption of Taghizadeh-Toosi et al. (2020) is to be applied or not.</t>
  </si>
  <si>
    <t>kgC/ha</t>
  </si>
  <si>
    <t>Fixed value of root carbon input that is to be assumed.</t>
  </si>
  <si>
    <t>Fan, J., McConkey, B., Janzen, H., Townley-Smith, L., &amp; Wang, H. (2017). Harvest index–yield relationship for estimating crop residue in cold continental climates. Field Crops Research, 204, 153-157.</t>
  </si>
  <si>
    <t>ha/tDM</t>
  </si>
  <si>
    <t>Slope of the variable harvest index assumption of Fan et al. (2017) are to be aplied.</t>
  </si>
  <si>
    <t>Intercept of the variable harvest index assumption of Fan et al. (2017) are to be aplied.</t>
  </si>
  <si>
    <t>Logical value, if the variable harvest index assumption of Fan et al. (2017) are to be aplied or not.</t>
  </si>
  <si>
    <t>Wüst-Galey et al. (2020), variable HI from Fan et al. (2017)</t>
  </si>
  <si>
    <t>Bolinder et al. (2007), variable HI from Fan et al. (2017)</t>
  </si>
  <si>
    <t>Bolinder et al. (2007), variable HI for cereals from Fan et al. (2017)</t>
  </si>
  <si>
    <t>same as wheat, winter</t>
  </si>
  <si>
    <t>Bolinder et al. (2007), variable HI from Fan et al. (2017), fixed below ground C inputs for cereals assumed based on Hirte et al. (2018), as done by Wüst-Galey et al. (2020).</t>
  </si>
  <si>
    <t>Bolinder et al. (2007), variable HI from Fan et al. (2017), fixed below ground C inputs for cereals assumed based on Hirte et al. (2018), as done by Wüst-Galey et al. (2020)</t>
  </si>
  <si>
    <t>Bolinder et al. (2007), variable HI from Fan et al. (2017), fixed below ground C inputs for maize assumed based on Hirte et al. (2018), as done by Wüst-Galey et al. (2020)</t>
  </si>
  <si>
    <t>Bolinder et al. (2007), fixed below ground C inputs for maize assumed based on Hirte et al. (2018), as done by Wüst-Galey et al. (2020).</t>
  </si>
  <si>
    <t>Values for small grained cereals from Bolinder et al. (2007), variable HI for cereals from Fan et al. (2017), fixed below ground C inputs for cereals assumed based on Hirte et al. (2018), as done by Wüst-Galey et al. (2020)</t>
  </si>
  <si>
    <t>Bolinder et al. (2007), variable HI for cereals from Fan et al. (2017), fixed below ground C inputs for cereals assumed based on Hirte et al. (2018), as done by Wüst-Galey et al. (2020)</t>
  </si>
  <si>
    <t>Hirte, J, J Leifeld, S Abiven, H-R Oberholzer and J Mayer (2018) Below ground carbon inputs to soil via root biomass and rhizodeposition of field-grown maize and wheat at harvest are independent of net primary productivity. Agriculture Ecosystems and Environment 265: 556-566.</t>
  </si>
  <si>
    <t>maize,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</si>
</sst>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8" fillId="0" borderId="0" xfId="0" applyFont="1"/>
    <xf numFmtId="0" fontId="0" fillId="0" borderId="0" xfId="0" applyFill="1"/>
    <xf numFmtId="2" fontId="0" fillId="0" borderId="0" xfId="0" applyNumberFormat="1" applyFill="1"/>
    <xf numFmtId="0" fontId="16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85" zoomScaleNormal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8" x14ac:dyDescent="0.25"/>
  <cols>
    <col min="1" max="1" width="24.5" bestFit="1" customWidth="1"/>
    <col min="10" max="10" width="13.296875" bestFit="1" customWidth="1"/>
    <col min="11" max="11" width="13.69921875" bestFit="1" customWidth="1"/>
    <col min="12" max="12" width="22" bestFit="1" customWidth="1"/>
    <col min="13" max="14" width="13.69921875" customWidth="1"/>
    <col min="15" max="15" width="16" bestFit="1" customWidth="1"/>
    <col min="16" max="16" width="21" bestFit="1" customWidth="1"/>
    <col min="17" max="17" width="24.296875" bestFit="1" customWidth="1"/>
    <col min="18" max="18" width="24.296875" customWidth="1"/>
  </cols>
  <sheetData>
    <row r="1" spans="1:19" x14ac:dyDescent="0.25">
      <c r="A1" s="5" t="s">
        <v>40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62</v>
      </c>
      <c r="K1" s="5" t="s">
        <v>8</v>
      </c>
      <c r="L1" s="5" t="s">
        <v>80</v>
      </c>
      <c r="M1" s="5" t="s">
        <v>79</v>
      </c>
      <c r="N1" s="5" t="s">
        <v>78</v>
      </c>
      <c r="O1" s="5" t="s">
        <v>9</v>
      </c>
      <c r="P1" s="5" t="s">
        <v>10</v>
      </c>
      <c r="Q1" s="5" t="s">
        <v>73</v>
      </c>
      <c r="R1" s="5" t="s">
        <v>76</v>
      </c>
      <c r="S1" s="5" t="s">
        <v>11</v>
      </c>
    </row>
    <row r="2" spans="1:19" x14ac:dyDescent="0.25">
      <c r="A2" s="2" t="s">
        <v>14</v>
      </c>
      <c r="B2">
        <v>0.45100000000000001</v>
      </c>
      <c r="C2">
        <v>0.4</v>
      </c>
      <c r="D2">
        <v>0.09</v>
      </c>
      <c r="E2">
        <v>5.8999999999999997E-2</v>
      </c>
      <c r="F2">
        <v>0</v>
      </c>
      <c r="G2">
        <v>0.15</v>
      </c>
      <c r="H2">
        <v>1</v>
      </c>
      <c r="I2">
        <v>1</v>
      </c>
      <c r="J2" s="7">
        <f>5.5*0.85</f>
        <v>4.6749999999999998</v>
      </c>
      <c r="K2" s="1">
        <v>0.53</v>
      </c>
      <c r="L2" t="s">
        <v>75</v>
      </c>
      <c r="M2" s="7">
        <v>0.373</v>
      </c>
      <c r="N2" s="7">
        <v>2.8000000000000001E-2</v>
      </c>
      <c r="O2" s="1">
        <f>(B2+C2)/D2</f>
        <v>9.4555555555555557</v>
      </c>
      <c r="P2" s="1">
        <f>E2/D2</f>
        <v>0.65555555555555556</v>
      </c>
      <c r="Q2" s="1" t="s">
        <v>75</v>
      </c>
      <c r="R2" s="1">
        <f>600/(1+P2)</f>
        <v>362.41610738255036</v>
      </c>
      <c r="S2" t="s">
        <v>95</v>
      </c>
    </row>
    <row r="3" spans="1:19" x14ac:dyDescent="0.25">
      <c r="A3" s="2" t="s">
        <v>15</v>
      </c>
      <c r="B3">
        <v>0.45100000000000001</v>
      </c>
      <c r="C3">
        <v>0.4</v>
      </c>
      <c r="D3">
        <v>0.09</v>
      </c>
      <c r="E3">
        <v>5.8999999999999997E-2</v>
      </c>
      <c r="F3">
        <v>0</v>
      </c>
      <c r="G3">
        <v>0.15</v>
      </c>
      <c r="H3">
        <v>1</v>
      </c>
      <c r="I3">
        <v>1</v>
      </c>
      <c r="J3" s="7">
        <f>6*0.85</f>
        <v>5.0999999999999996</v>
      </c>
      <c r="K3" s="1">
        <f>B3/(B3+C3)</f>
        <v>0.5299647473560517</v>
      </c>
      <c r="L3" t="s">
        <v>75</v>
      </c>
      <c r="M3" s="7">
        <v>0.373</v>
      </c>
      <c r="N3" s="7">
        <v>2.8000000000000001E-2</v>
      </c>
      <c r="O3" s="1">
        <f>(B3+C3)/D3</f>
        <v>9.4555555555555557</v>
      </c>
      <c r="P3" s="1">
        <f>E3/D3</f>
        <v>0.65555555555555556</v>
      </c>
      <c r="Q3" s="1" t="s">
        <v>75</v>
      </c>
      <c r="R3" s="1">
        <f>600/(1+P3)</f>
        <v>362.41610738255036</v>
      </c>
      <c r="S3" t="s">
        <v>95</v>
      </c>
    </row>
    <row r="4" spans="1:19" x14ac:dyDescent="0.25">
      <c r="A4" s="2" t="s">
        <v>16</v>
      </c>
      <c r="B4">
        <v>0.626</v>
      </c>
      <c r="C4">
        <v>0.35699999999999998</v>
      </c>
      <c r="D4">
        <v>1.7000000000000001E-2</v>
      </c>
      <c r="E4">
        <v>0</v>
      </c>
      <c r="F4">
        <v>0</v>
      </c>
      <c r="G4">
        <v>1</v>
      </c>
      <c r="H4">
        <v>0.1</v>
      </c>
      <c r="I4">
        <v>0</v>
      </c>
      <c r="J4" s="7">
        <f>17.5*1</f>
        <v>17.5</v>
      </c>
      <c r="K4" s="1">
        <f>B4/(B4+C4)</f>
        <v>0.63682604272634791</v>
      </c>
      <c r="L4" t="s">
        <v>74</v>
      </c>
      <c r="M4" s="7" t="s">
        <v>67</v>
      </c>
      <c r="N4" s="7" t="s">
        <v>67</v>
      </c>
      <c r="O4" s="1">
        <f>(B4+C4)/D4</f>
        <v>57.823529411764703</v>
      </c>
      <c r="P4" s="1">
        <f>E4/D4</f>
        <v>0</v>
      </c>
      <c r="Q4" s="1" t="s">
        <v>74</v>
      </c>
      <c r="R4" s="1" t="s">
        <v>67</v>
      </c>
      <c r="S4" t="s">
        <v>12</v>
      </c>
    </row>
    <row r="5" spans="1:19" x14ac:dyDescent="0.25">
      <c r="A5" s="2" t="s">
        <v>17</v>
      </c>
      <c r="B5">
        <v>0.626</v>
      </c>
      <c r="C5">
        <v>0.35699999999999998</v>
      </c>
      <c r="D5">
        <v>1.7000000000000001E-2</v>
      </c>
      <c r="E5">
        <v>0</v>
      </c>
      <c r="F5">
        <v>0</v>
      </c>
      <c r="G5">
        <v>1</v>
      </c>
      <c r="H5">
        <v>0.1</v>
      </c>
      <c r="I5">
        <v>0</v>
      </c>
      <c r="J5" s="7">
        <f>90*0.22</f>
        <v>19.8</v>
      </c>
      <c r="K5" s="1">
        <f>B5/(B5+C5)</f>
        <v>0.63682604272634791</v>
      </c>
      <c r="L5" t="s">
        <v>74</v>
      </c>
      <c r="M5" s="7" t="s">
        <v>67</v>
      </c>
      <c r="N5" s="7" t="s">
        <v>67</v>
      </c>
      <c r="O5" s="1">
        <f>(B5+C5)/D5</f>
        <v>57.823529411764703</v>
      </c>
      <c r="P5" s="1">
        <f>E5/D5</f>
        <v>0</v>
      </c>
      <c r="Q5" s="1" t="s">
        <v>74</v>
      </c>
      <c r="R5" s="1" t="s">
        <v>67</v>
      </c>
      <c r="S5" t="s">
        <v>13</v>
      </c>
    </row>
    <row r="6" spans="1:19" x14ac:dyDescent="0.25">
      <c r="A6" s="2" t="s">
        <v>71</v>
      </c>
      <c r="B6" t="s">
        <v>67</v>
      </c>
      <c r="C6" t="s">
        <v>67</v>
      </c>
      <c r="D6" t="s">
        <v>67</v>
      </c>
      <c r="E6" t="s">
        <v>67</v>
      </c>
      <c r="F6" s="3">
        <v>1</v>
      </c>
      <c r="G6" s="3">
        <v>1</v>
      </c>
      <c r="H6" s="3">
        <v>1</v>
      </c>
      <c r="I6" s="3">
        <v>1</v>
      </c>
      <c r="J6" s="7">
        <f>1.253/0.45</f>
        <v>2.7844444444444441</v>
      </c>
      <c r="K6">
        <v>1</v>
      </c>
      <c r="L6" t="s">
        <v>74</v>
      </c>
      <c r="M6" s="7" t="s">
        <v>67</v>
      </c>
      <c r="N6" s="7" t="s">
        <v>67</v>
      </c>
      <c r="O6" s="4">
        <f>4.4/1.2</f>
        <v>3.666666666666667</v>
      </c>
      <c r="P6">
        <v>0.31</v>
      </c>
      <c r="Q6" s="1" t="s">
        <v>74</v>
      </c>
      <c r="R6" s="1" t="s">
        <v>67</v>
      </c>
      <c r="S6" s="3" t="s">
        <v>72</v>
      </c>
    </row>
    <row r="7" spans="1:19" x14ac:dyDescent="0.25">
      <c r="A7" s="2" t="s">
        <v>18</v>
      </c>
      <c r="B7" s="3">
        <v>0.25819999999999999</v>
      </c>
      <c r="C7" s="3">
        <v>0.4446</v>
      </c>
      <c r="D7" s="3">
        <v>0.1474</v>
      </c>
      <c r="E7" s="3">
        <v>0.14979999999999999</v>
      </c>
      <c r="F7" s="3">
        <v>0</v>
      </c>
      <c r="G7" s="3">
        <v>1</v>
      </c>
      <c r="H7" s="3">
        <v>1</v>
      </c>
      <c r="I7" s="3">
        <v>1</v>
      </c>
      <c r="J7" s="8">
        <f>4*0.85</f>
        <v>3.4</v>
      </c>
      <c r="K7" s="4">
        <f>B7/(B7+C7)</f>
        <v>0.36738759248719405</v>
      </c>
      <c r="L7" s="3" t="s">
        <v>75</v>
      </c>
      <c r="M7" s="8">
        <v>0.27900000000000003</v>
      </c>
      <c r="N7" s="8">
        <v>4.5999999999999999E-2</v>
      </c>
      <c r="O7" s="4">
        <f>(B7+C7)/D7</f>
        <v>4.7679782903663499</v>
      </c>
      <c r="P7" s="4">
        <f>E7/D7</f>
        <v>1.016282225237449</v>
      </c>
      <c r="Q7" s="1" t="s">
        <v>74</v>
      </c>
      <c r="R7" s="1" t="s">
        <v>67</v>
      </c>
      <c r="S7" s="3" t="s">
        <v>90</v>
      </c>
    </row>
    <row r="8" spans="1:19" x14ac:dyDescent="0.25">
      <c r="A8" s="2" t="s">
        <v>19</v>
      </c>
      <c r="B8" s="3">
        <v>0.25819999999999999</v>
      </c>
      <c r="C8" s="3">
        <v>0.4446</v>
      </c>
      <c r="D8" s="3">
        <v>0.1474</v>
      </c>
      <c r="E8" s="3">
        <v>0.14979999999999999</v>
      </c>
      <c r="F8" s="3">
        <v>0</v>
      </c>
      <c r="G8" s="3">
        <v>1</v>
      </c>
      <c r="H8" s="3">
        <v>1</v>
      </c>
      <c r="I8" s="3">
        <v>1</v>
      </c>
      <c r="J8" s="8">
        <f>4*0.85</f>
        <v>3.4</v>
      </c>
      <c r="K8" s="4">
        <f>B8/(B8+C8)</f>
        <v>0.36738759248719405</v>
      </c>
      <c r="L8" s="3" t="s">
        <v>75</v>
      </c>
      <c r="M8" s="8">
        <v>0.27900000000000003</v>
      </c>
      <c r="N8" s="8">
        <v>4.5999999999999999E-2</v>
      </c>
      <c r="O8" s="4">
        <f>(B8+C8)/D8</f>
        <v>4.7679782903663499</v>
      </c>
      <c r="P8" s="4">
        <f>E8/D8</f>
        <v>1.016282225237449</v>
      </c>
      <c r="Q8" s="1" t="s">
        <v>74</v>
      </c>
      <c r="R8" s="1" t="s">
        <v>67</v>
      </c>
      <c r="S8" s="3" t="s">
        <v>90</v>
      </c>
    </row>
    <row r="9" spans="1:19" x14ac:dyDescent="0.25">
      <c r="A9" s="2" t="s">
        <v>61</v>
      </c>
      <c r="B9" t="s">
        <v>67</v>
      </c>
      <c r="C9" t="s">
        <v>67</v>
      </c>
      <c r="D9" t="s">
        <v>67</v>
      </c>
      <c r="E9" t="s">
        <v>67</v>
      </c>
      <c r="F9">
        <v>0</v>
      </c>
      <c r="G9">
        <v>0</v>
      </c>
      <c r="H9">
        <v>1</v>
      </c>
      <c r="I9">
        <v>1</v>
      </c>
      <c r="J9" s="7">
        <v>13</v>
      </c>
      <c r="K9" s="1">
        <v>1</v>
      </c>
      <c r="L9" t="s">
        <v>74</v>
      </c>
      <c r="M9" s="7" t="s">
        <v>67</v>
      </c>
      <c r="N9" s="7" t="s">
        <v>67</v>
      </c>
      <c r="O9" s="1">
        <v>0</v>
      </c>
      <c r="P9" s="1">
        <v>0.5</v>
      </c>
      <c r="Q9" s="1" t="s">
        <v>75</v>
      </c>
      <c r="R9" s="1">
        <f>2250/(1+P9)</f>
        <v>1500</v>
      </c>
      <c r="S9" t="s">
        <v>77</v>
      </c>
    </row>
    <row r="10" spans="1:19" x14ac:dyDescent="0.25">
      <c r="A10" s="2" t="s">
        <v>101</v>
      </c>
      <c r="B10">
        <v>0.38600000000000001</v>
      </c>
      <c r="C10">
        <v>0.38700000000000001</v>
      </c>
      <c r="D10">
        <v>0.13800000000000001</v>
      </c>
      <c r="E10">
        <v>8.8999999999999996E-2</v>
      </c>
      <c r="F10">
        <v>0</v>
      </c>
      <c r="G10">
        <v>1</v>
      </c>
      <c r="H10">
        <v>1</v>
      </c>
      <c r="I10">
        <v>1</v>
      </c>
      <c r="J10" s="7">
        <f>10*0.85</f>
        <v>8.5</v>
      </c>
      <c r="K10" s="1">
        <f>B10/(B10+C10)</f>
        <v>0.49935316946959896</v>
      </c>
      <c r="L10" t="s">
        <v>75</v>
      </c>
      <c r="M10" s="7">
        <v>0.36899999999999999</v>
      </c>
      <c r="N10" s="7">
        <v>1.4999999999999999E-2</v>
      </c>
      <c r="O10" s="1">
        <f>(B10+C10)/D10</f>
        <v>5.6014492753623184</v>
      </c>
      <c r="P10" s="1">
        <f>E10/D10</f>
        <v>0.64492753623188392</v>
      </c>
      <c r="Q10" s="1" t="s">
        <v>75</v>
      </c>
      <c r="R10" s="1">
        <f>460/(1+P10)</f>
        <v>279.64757709251103</v>
      </c>
      <c r="S10" t="s">
        <v>96</v>
      </c>
    </row>
    <row r="11" spans="1:19" x14ac:dyDescent="0.25">
      <c r="A11" s="2" t="s">
        <v>20</v>
      </c>
      <c r="B11">
        <v>0.77200000000000002</v>
      </c>
      <c r="C11">
        <v>0</v>
      </c>
      <c r="D11">
        <v>0.13800000000000001</v>
      </c>
      <c r="E11">
        <v>0.09</v>
      </c>
      <c r="F11">
        <v>0.05</v>
      </c>
      <c r="G11">
        <v>1</v>
      </c>
      <c r="H11">
        <v>1</v>
      </c>
      <c r="I11">
        <v>1</v>
      </c>
      <c r="J11" s="7">
        <f>18.5*1</f>
        <v>18.5</v>
      </c>
      <c r="K11" s="1">
        <f>B11/(B11+C11)</f>
        <v>1</v>
      </c>
      <c r="L11" t="s">
        <v>74</v>
      </c>
      <c r="M11" s="7" t="s">
        <v>67</v>
      </c>
      <c r="N11" s="7" t="s">
        <v>67</v>
      </c>
      <c r="O11" s="1">
        <f>(B11+C11)/D11</f>
        <v>5.5942028985507246</v>
      </c>
      <c r="P11" s="1">
        <f>E11/D11</f>
        <v>0.65217391304347816</v>
      </c>
      <c r="Q11" s="1" t="s">
        <v>75</v>
      </c>
      <c r="R11" s="1">
        <f>1100/(1+P11)</f>
        <v>665.78947368421063</v>
      </c>
      <c r="S11" t="s">
        <v>97</v>
      </c>
    </row>
    <row r="12" spans="1:19" x14ac:dyDescent="0.25">
      <c r="A12" s="2" t="s">
        <v>21</v>
      </c>
      <c r="B12">
        <v>0.31900000000000001</v>
      </c>
      <c r="C12">
        <v>0.28299999999999997</v>
      </c>
      <c r="D12">
        <v>0.24099999999999999</v>
      </c>
      <c r="E12">
        <v>0.157</v>
      </c>
      <c r="F12">
        <v>0</v>
      </c>
      <c r="G12">
        <v>0.15</v>
      </c>
      <c r="H12">
        <v>1</v>
      </c>
      <c r="I12">
        <v>1</v>
      </c>
      <c r="J12" s="7">
        <f>5.5*0.85</f>
        <v>4.6749999999999998</v>
      </c>
      <c r="K12" s="1">
        <f>B12/(B12+C12)</f>
        <v>0.5299003322259136</v>
      </c>
      <c r="L12" t="s">
        <v>75</v>
      </c>
      <c r="M12" s="7">
        <v>0.35699999999999998</v>
      </c>
      <c r="N12" s="7">
        <v>2.9000000000000001E-2</v>
      </c>
      <c r="O12" s="1">
        <f>(B12+C12)/D12</f>
        <v>2.4979253112033195</v>
      </c>
      <c r="P12" s="1">
        <f>E12/D12</f>
        <v>0.65145228215767637</v>
      </c>
      <c r="Q12" s="1" t="s">
        <v>75</v>
      </c>
      <c r="R12" s="1">
        <f>600/(1+P12)</f>
        <v>363.3165829145729</v>
      </c>
      <c r="S12" t="s">
        <v>95</v>
      </c>
    </row>
    <row r="13" spans="1:19" x14ac:dyDescent="0.25">
      <c r="A13" s="2" t="s">
        <v>22</v>
      </c>
      <c r="B13">
        <v>0.31900000000000001</v>
      </c>
      <c r="C13">
        <v>0.28299999999999997</v>
      </c>
      <c r="D13">
        <v>0.24099999999999999</v>
      </c>
      <c r="E13">
        <v>0.157</v>
      </c>
      <c r="F13">
        <v>0</v>
      </c>
      <c r="G13">
        <v>0.15</v>
      </c>
      <c r="H13">
        <v>1</v>
      </c>
      <c r="I13">
        <v>1</v>
      </c>
      <c r="J13" s="7">
        <f>5.5*0.85</f>
        <v>4.6749999999999998</v>
      </c>
      <c r="K13" s="1">
        <f>B13/(B13+C13)</f>
        <v>0.5299003322259136</v>
      </c>
      <c r="L13" t="s">
        <v>75</v>
      </c>
      <c r="M13" s="7">
        <v>0.35699999999999998</v>
      </c>
      <c r="N13" s="7">
        <v>2.9000000000000001E-2</v>
      </c>
      <c r="O13" s="1">
        <f>(B13+C13)/D13</f>
        <v>2.4979253112033195</v>
      </c>
      <c r="P13" s="1">
        <f>E13/D13</f>
        <v>0.65145228215767637</v>
      </c>
      <c r="Q13" s="1" t="s">
        <v>75</v>
      </c>
      <c r="R13" s="1">
        <f>600/(1+P13)</f>
        <v>363.3165829145729</v>
      </c>
      <c r="S13" t="s">
        <v>95</v>
      </c>
    </row>
    <row r="14" spans="1:19" x14ac:dyDescent="0.25">
      <c r="A14" s="2" t="s">
        <v>23</v>
      </c>
      <c r="B14" s="3">
        <v>0.26300000000000001</v>
      </c>
      <c r="C14" s="3">
        <v>0.4</v>
      </c>
      <c r="D14" s="3">
        <v>4.1000000000000002E-2</v>
      </c>
      <c r="E14" s="3">
        <v>0.29599999999999999</v>
      </c>
      <c r="F14" s="3">
        <v>0</v>
      </c>
      <c r="G14" s="3">
        <v>1</v>
      </c>
      <c r="H14" s="3">
        <v>1</v>
      </c>
      <c r="I14" s="3">
        <v>1</v>
      </c>
      <c r="J14" s="8">
        <f>4*0.85</f>
        <v>3.4</v>
      </c>
      <c r="K14" s="4">
        <f>B14/(B14+C14)</f>
        <v>0.39668174962292607</v>
      </c>
      <c r="L14" t="s">
        <v>75</v>
      </c>
      <c r="M14" s="8">
        <v>0.16300000000000001</v>
      </c>
      <c r="N14" s="8">
        <v>7.0999999999999994E-2</v>
      </c>
      <c r="O14" s="4">
        <f>(B14+C14)/D14</f>
        <v>16.170731707317074</v>
      </c>
      <c r="P14" s="4">
        <f>E14/D14</f>
        <v>7.2195121951219505</v>
      </c>
      <c r="Q14" s="1" t="s">
        <v>74</v>
      </c>
      <c r="R14" s="1" t="s">
        <v>67</v>
      </c>
      <c r="S14" s="3" t="s">
        <v>90</v>
      </c>
    </row>
    <row r="15" spans="1:19" x14ac:dyDescent="0.25">
      <c r="A15" s="2" t="s">
        <v>24</v>
      </c>
      <c r="B15" s="3">
        <v>0.26300000000000001</v>
      </c>
      <c r="C15" s="3">
        <v>0.4</v>
      </c>
      <c r="D15" s="3">
        <v>4.1000000000000002E-2</v>
      </c>
      <c r="E15" s="3">
        <v>0.29599999999999999</v>
      </c>
      <c r="F15" s="3">
        <v>0</v>
      </c>
      <c r="G15" s="3">
        <v>1</v>
      </c>
      <c r="H15" s="3">
        <v>1</v>
      </c>
      <c r="I15" s="3">
        <v>1</v>
      </c>
      <c r="J15" s="8">
        <f>4*0.85</f>
        <v>3.4</v>
      </c>
      <c r="K15" s="4">
        <f>B15/(B15+C15)</f>
        <v>0.39668174962292607</v>
      </c>
      <c r="L15" t="s">
        <v>75</v>
      </c>
      <c r="M15" s="8">
        <v>0.16300000000000001</v>
      </c>
      <c r="N15" s="8">
        <v>7.0999999999999994E-2</v>
      </c>
      <c r="O15" s="4">
        <f>(B15+C15)/D15</f>
        <v>16.170731707317074</v>
      </c>
      <c r="P15" s="4">
        <f>E15/D15</f>
        <v>7.2195121951219505</v>
      </c>
      <c r="Q15" s="1" t="s">
        <v>74</v>
      </c>
      <c r="R15" s="1" t="s">
        <v>67</v>
      </c>
      <c r="S15" s="3" t="s">
        <v>90</v>
      </c>
    </row>
    <row r="16" spans="1:19" x14ac:dyDescent="0.25">
      <c r="A16" s="2" t="s">
        <v>25</v>
      </c>
      <c r="B16">
        <v>0.73899999999999999</v>
      </c>
      <c r="C16">
        <v>0.23599999999999999</v>
      </c>
      <c r="D16">
        <v>2.5000000000000001E-2</v>
      </c>
      <c r="E16">
        <v>0</v>
      </c>
      <c r="F16">
        <v>0.08</v>
      </c>
      <c r="G16">
        <v>1</v>
      </c>
      <c r="H16">
        <v>0.1</v>
      </c>
      <c r="I16">
        <v>0</v>
      </c>
      <c r="J16" s="7">
        <f>45*0.22</f>
        <v>9.9</v>
      </c>
      <c r="K16" s="1">
        <f>B16/(B16+C16)</f>
        <v>0.75794871794871799</v>
      </c>
      <c r="L16" t="s">
        <v>74</v>
      </c>
      <c r="M16" s="7" t="s">
        <v>67</v>
      </c>
      <c r="N16" s="7" t="s">
        <v>67</v>
      </c>
      <c r="O16" s="1">
        <f>(B16+C16)/D16</f>
        <v>39</v>
      </c>
      <c r="P16" s="1">
        <f>E16/D16</f>
        <v>0</v>
      </c>
      <c r="Q16" s="1" t="s">
        <v>74</v>
      </c>
      <c r="R16" s="1" t="s">
        <v>67</v>
      </c>
      <c r="S16" t="s">
        <v>13</v>
      </c>
    </row>
    <row r="17" spans="1:19" x14ac:dyDescent="0.25">
      <c r="A17" s="2" t="s">
        <v>65</v>
      </c>
      <c r="B17" s="3">
        <v>0.13200000000000001</v>
      </c>
      <c r="C17" s="3">
        <v>0.52800000000000002</v>
      </c>
      <c r="D17" s="3">
        <v>0.20599999999999999</v>
      </c>
      <c r="E17" s="3">
        <v>0.13400000000000001</v>
      </c>
      <c r="F17" s="3">
        <v>0</v>
      </c>
      <c r="G17" s="3">
        <v>1</v>
      </c>
      <c r="H17" s="3">
        <v>1</v>
      </c>
      <c r="I17" s="3">
        <v>1</v>
      </c>
      <c r="J17" s="8">
        <f>2.5*0.9</f>
        <v>2.25</v>
      </c>
      <c r="K17" s="4">
        <f>B17/(B17+C17)</f>
        <v>0.2</v>
      </c>
      <c r="L17" t="s">
        <v>75</v>
      </c>
      <c r="M17" s="8">
        <v>0.18</v>
      </c>
      <c r="N17" s="8">
        <v>4.5999999999999999E-2</v>
      </c>
      <c r="O17" s="4">
        <f>(B17+C17)/D17</f>
        <v>3.2038834951456314</v>
      </c>
      <c r="P17" s="4">
        <f>E17/D17</f>
        <v>0.65048543689320393</v>
      </c>
      <c r="Q17" s="1" t="s">
        <v>74</v>
      </c>
      <c r="R17" s="1" t="s">
        <v>67</v>
      </c>
      <c r="S17" s="3" t="s">
        <v>90</v>
      </c>
    </row>
    <row r="18" spans="1:19" x14ac:dyDescent="0.25">
      <c r="A18" s="2" t="s">
        <v>64</v>
      </c>
      <c r="B18" s="3">
        <v>0.13200000000000001</v>
      </c>
      <c r="C18" s="3">
        <v>0.52800000000000002</v>
      </c>
      <c r="D18" s="3">
        <v>0.20599999999999999</v>
      </c>
      <c r="E18" s="3">
        <v>0.13400000000000001</v>
      </c>
      <c r="F18" s="3">
        <v>0</v>
      </c>
      <c r="G18" s="3">
        <v>1</v>
      </c>
      <c r="H18" s="3">
        <v>1</v>
      </c>
      <c r="I18" s="3">
        <v>1</v>
      </c>
      <c r="J18" s="8">
        <f>3.5*0.9</f>
        <v>3.15</v>
      </c>
      <c r="K18" s="4">
        <f>B18/(B18+C18)</f>
        <v>0.2</v>
      </c>
      <c r="L18" t="s">
        <v>75</v>
      </c>
      <c r="M18" s="8">
        <v>0.18</v>
      </c>
      <c r="N18" s="8">
        <v>4.5999999999999999E-2</v>
      </c>
      <c r="O18" s="4">
        <f>(B18+C18)/D18</f>
        <v>3.2038834951456314</v>
      </c>
      <c r="P18" s="4">
        <f>E18/D18</f>
        <v>0.65048543689320393</v>
      </c>
      <c r="Q18" s="1" t="s">
        <v>74</v>
      </c>
      <c r="R18" s="1" t="s">
        <v>67</v>
      </c>
      <c r="S18" s="3" t="s">
        <v>90</v>
      </c>
    </row>
    <row r="19" spans="1:19" x14ac:dyDescent="0.25">
      <c r="A19" s="2" t="s">
        <v>26</v>
      </c>
      <c r="B19">
        <v>0.33500000000000002</v>
      </c>
      <c r="C19">
        <v>0.48199999999999998</v>
      </c>
      <c r="D19">
        <v>0.11</v>
      </c>
      <c r="E19">
        <v>7.2999999999999995E-2</v>
      </c>
      <c r="F19">
        <v>0</v>
      </c>
      <c r="G19">
        <v>0.15</v>
      </c>
      <c r="H19">
        <v>1</v>
      </c>
      <c r="I19">
        <v>1</v>
      </c>
      <c r="J19" s="7">
        <f>5.5*0.85</f>
        <v>4.6749999999999998</v>
      </c>
      <c r="K19" s="1">
        <f>B19/(B19+C19)</f>
        <v>0.41003671970624239</v>
      </c>
      <c r="L19" t="s">
        <v>75</v>
      </c>
      <c r="M19" s="7">
        <v>0.38</v>
      </c>
      <c r="N19" s="7">
        <v>1.4999999999999999E-2</v>
      </c>
      <c r="O19" s="1">
        <f>(B19+C19)/D19</f>
        <v>7.4272727272727268</v>
      </c>
      <c r="P19" s="1">
        <f>E19/D19</f>
        <v>0.66363636363636358</v>
      </c>
      <c r="Q19" s="1" t="s">
        <v>75</v>
      </c>
      <c r="R19" s="1">
        <f>600/(1+P19)</f>
        <v>360.65573770491807</v>
      </c>
      <c r="S19" t="s">
        <v>98</v>
      </c>
    </row>
    <row r="20" spans="1:19" x14ac:dyDescent="0.25">
      <c r="A20" s="2" t="s">
        <v>27</v>
      </c>
      <c r="B20">
        <v>0.33500000000000002</v>
      </c>
      <c r="C20">
        <v>0.48199999999999998</v>
      </c>
      <c r="D20">
        <v>0.11</v>
      </c>
      <c r="E20">
        <v>7.2999999999999995E-2</v>
      </c>
      <c r="F20">
        <v>0</v>
      </c>
      <c r="G20">
        <v>0.15</v>
      </c>
      <c r="H20">
        <v>1</v>
      </c>
      <c r="I20">
        <v>1</v>
      </c>
      <c r="J20" s="7">
        <f>5.5*0.85</f>
        <v>4.6749999999999998</v>
      </c>
      <c r="K20" s="1">
        <f>B20/(B20+C20)</f>
        <v>0.41003671970624239</v>
      </c>
      <c r="L20" t="s">
        <v>75</v>
      </c>
      <c r="M20" s="7">
        <v>0.38</v>
      </c>
      <c r="N20" s="7">
        <v>1.4999999999999999E-2</v>
      </c>
      <c r="O20" s="1">
        <f>(B20+C20)/D20</f>
        <v>7.4272727272727268</v>
      </c>
      <c r="P20" s="1">
        <f>E20/D20</f>
        <v>0.66363636363636358</v>
      </c>
      <c r="Q20" s="1" t="s">
        <v>75</v>
      </c>
      <c r="R20" s="1">
        <f>600/(1+P20)</f>
        <v>360.65573770491807</v>
      </c>
      <c r="S20" t="s">
        <v>98</v>
      </c>
    </row>
    <row r="21" spans="1:19" x14ac:dyDescent="0.25">
      <c r="A21" s="2" t="s">
        <v>28</v>
      </c>
      <c r="B21">
        <v>0.219</v>
      </c>
      <c r="C21">
        <v>0.65600000000000003</v>
      </c>
      <c r="D21">
        <v>7.4999999999999997E-2</v>
      </c>
      <c r="E21">
        <v>0.05</v>
      </c>
      <c r="F21">
        <v>0</v>
      </c>
      <c r="G21">
        <v>0.15</v>
      </c>
      <c r="H21">
        <v>1</v>
      </c>
      <c r="I21">
        <v>1</v>
      </c>
      <c r="J21" s="7">
        <f>3.5*0.85</f>
        <v>2.9750000000000001</v>
      </c>
      <c r="K21" s="1">
        <f>B21/(B21+C21)</f>
        <v>0.25028571428571428</v>
      </c>
      <c r="L21" t="s">
        <v>75</v>
      </c>
      <c r="M21" s="7">
        <v>0.38</v>
      </c>
      <c r="N21" s="7">
        <v>1.4999999999999999E-2</v>
      </c>
      <c r="O21" s="1">
        <f>(B21+C21)/D21</f>
        <v>11.666666666666668</v>
      </c>
      <c r="P21" s="1">
        <f>E21/D21</f>
        <v>0.66666666666666674</v>
      </c>
      <c r="Q21" s="1" t="s">
        <v>74</v>
      </c>
      <c r="R21" s="1" t="s">
        <v>67</v>
      </c>
      <c r="S21" t="s">
        <v>92</v>
      </c>
    </row>
    <row r="22" spans="1:19" x14ac:dyDescent="0.25">
      <c r="A22" s="2" t="s">
        <v>29</v>
      </c>
      <c r="B22">
        <v>0.30399999999999999</v>
      </c>
      <c r="C22">
        <v>0.45500000000000002</v>
      </c>
      <c r="D22">
        <v>0.14599999999999999</v>
      </c>
      <c r="E22">
        <v>9.5000000000000001E-2</v>
      </c>
      <c r="F22">
        <v>0</v>
      </c>
      <c r="G22">
        <v>1</v>
      </c>
      <c r="H22">
        <v>1</v>
      </c>
      <c r="I22">
        <v>1</v>
      </c>
      <c r="J22" s="7">
        <f>3*0.85</f>
        <v>2.5499999999999998</v>
      </c>
      <c r="K22" s="1">
        <f>B22/(B22+C22)</f>
        <v>0.40052700922266138</v>
      </c>
      <c r="L22" t="s">
        <v>75</v>
      </c>
      <c r="M22" s="7">
        <v>0.2</v>
      </c>
      <c r="N22" s="7">
        <v>9.9000000000000005E-2</v>
      </c>
      <c r="O22" s="1">
        <f>(B22+C22)/D22</f>
        <v>5.1986301369863019</v>
      </c>
      <c r="P22" s="1">
        <f>E22/D22</f>
        <v>0.65068493150684936</v>
      </c>
      <c r="Q22" s="1" t="s">
        <v>74</v>
      </c>
      <c r="R22" s="1" t="s">
        <v>67</v>
      </c>
      <c r="S22" t="s">
        <v>91</v>
      </c>
    </row>
    <row r="23" spans="1:19" x14ac:dyDescent="0.25">
      <c r="A23" s="2" t="s">
        <v>30</v>
      </c>
      <c r="B23">
        <v>0.30399999999999999</v>
      </c>
      <c r="C23">
        <v>0.45500000000000002</v>
      </c>
      <c r="D23">
        <v>0.14599999999999999</v>
      </c>
      <c r="E23">
        <v>9.5000000000000001E-2</v>
      </c>
      <c r="F23">
        <v>0</v>
      </c>
      <c r="G23">
        <v>1</v>
      </c>
      <c r="H23">
        <v>1</v>
      </c>
      <c r="I23">
        <v>1</v>
      </c>
      <c r="J23" s="7">
        <f>3*0.85</f>
        <v>2.5499999999999998</v>
      </c>
      <c r="K23" s="1">
        <f>B23/(B23+C23)</f>
        <v>0.40052700922266138</v>
      </c>
      <c r="L23" t="s">
        <v>74</v>
      </c>
      <c r="M23" s="7" t="s">
        <v>67</v>
      </c>
      <c r="N23" s="7" t="s">
        <v>67</v>
      </c>
      <c r="O23" s="1">
        <f>(B23+C23)/D23</f>
        <v>5.1986301369863019</v>
      </c>
      <c r="P23" s="1">
        <f>E23/D23</f>
        <v>0.65068493150684936</v>
      </c>
      <c r="Q23" s="1" t="s">
        <v>74</v>
      </c>
      <c r="R23" s="1" t="s">
        <v>67</v>
      </c>
      <c r="S23" t="s">
        <v>36</v>
      </c>
    </row>
    <row r="24" spans="1:19" x14ac:dyDescent="0.25">
      <c r="A24" s="2" t="s">
        <v>31</v>
      </c>
      <c r="B24">
        <v>0.33500000000000002</v>
      </c>
      <c r="C24">
        <v>0.26</v>
      </c>
      <c r="D24">
        <v>0.50600000000000001</v>
      </c>
      <c r="E24">
        <v>0.14199999999999999</v>
      </c>
      <c r="F24">
        <v>9.1999999999999998E-2</v>
      </c>
      <c r="G24">
        <v>0.15</v>
      </c>
      <c r="H24">
        <v>1</v>
      </c>
      <c r="I24">
        <v>1</v>
      </c>
      <c r="J24" s="7">
        <f>5.5*0.85</f>
        <v>4.6749999999999998</v>
      </c>
      <c r="K24" s="1">
        <v>0.34</v>
      </c>
      <c r="L24" t="s">
        <v>75</v>
      </c>
      <c r="M24" s="7">
        <v>0.38</v>
      </c>
      <c r="N24" s="7">
        <v>1.4999999999999999E-2</v>
      </c>
      <c r="O24" s="1">
        <f>(B24+C24)/D24</f>
        <v>1.175889328063241</v>
      </c>
      <c r="P24" s="1">
        <f>E24/D24</f>
        <v>0.28063241106719367</v>
      </c>
      <c r="Q24" s="1" t="s">
        <v>75</v>
      </c>
      <c r="R24" s="1">
        <f>600/(1+P24)</f>
        <v>468.51851851851853</v>
      </c>
      <c r="S24" t="s">
        <v>99</v>
      </c>
    </row>
    <row r="25" spans="1:19" x14ac:dyDescent="0.25">
      <c r="A25" s="2" t="s">
        <v>32</v>
      </c>
      <c r="B25">
        <v>0.33500000000000002</v>
      </c>
      <c r="C25">
        <v>0.26</v>
      </c>
      <c r="D25">
        <v>0.50600000000000001</v>
      </c>
      <c r="E25">
        <v>0.14199999999999999</v>
      </c>
      <c r="F25">
        <v>9.1999999999999998E-2</v>
      </c>
      <c r="G25">
        <v>0.15</v>
      </c>
      <c r="H25">
        <v>1</v>
      </c>
      <c r="I25">
        <v>1</v>
      </c>
      <c r="J25" s="7">
        <f>5.5*0.85</f>
        <v>4.6749999999999998</v>
      </c>
      <c r="K25" s="1">
        <v>0.34</v>
      </c>
      <c r="L25" t="s">
        <v>75</v>
      </c>
      <c r="M25" s="7">
        <v>0.38</v>
      </c>
      <c r="N25" s="7">
        <v>1.4999999999999999E-2</v>
      </c>
      <c r="O25" s="1">
        <f>(B25+C25)/D25</f>
        <v>1.175889328063241</v>
      </c>
      <c r="P25" s="1">
        <f>E25/D25</f>
        <v>0.28063241106719367</v>
      </c>
      <c r="Q25" s="1" t="s">
        <v>75</v>
      </c>
      <c r="R25" s="1">
        <f>600/(1+P25)</f>
        <v>468.51851851851853</v>
      </c>
      <c r="S25" t="s">
        <v>99</v>
      </c>
    </row>
    <row r="26" spans="1:19" x14ac:dyDescent="0.25">
      <c r="A26" s="2" t="s">
        <v>33</v>
      </c>
      <c r="B26">
        <v>0.32200000000000001</v>
      </c>
      <c r="C26">
        <v>0.48199999999999998</v>
      </c>
      <c r="D26">
        <v>0.11799999999999999</v>
      </c>
      <c r="E26">
        <v>7.8E-2</v>
      </c>
      <c r="F26">
        <v>0</v>
      </c>
      <c r="G26">
        <v>0.15</v>
      </c>
      <c r="H26">
        <v>1</v>
      </c>
      <c r="I26">
        <v>1</v>
      </c>
      <c r="J26" s="7">
        <f>6*0.85</f>
        <v>5.0999999999999996</v>
      </c>
      <c r="K26" s="1">
        <f>B26/(B26+C26)</f>
        <v>0.40049751243781095</v>
      </c>
      <c r="L26" t="s">
        <v>75</v>
      </c>
      <c r="M26" s="7">
        <v>0.34399999999999997</v>
      </c>
      <c r="N26" s="7">
        <v>1.4999999999999999E-2</v>
      </c>
      <c r="O26" s="1">
        <f>(B26+C26)/D26</f>
        <v>6.8135593220338988</v>
      </c>
      <c r="P26" s="1">
        <f>E26/D26</f>
        <v>0.66101694915254239</v>
      </c>
      <c r="Q26" s="1" t="s">
        <v>75</v>
      </c>
      <c r="R26" s="1">
        <f>600/(1+P26)</f>
        <v>361.22448979591837</v>
      </c>
      <c r="S26" t="s">
        <v>93</v>
      </c>
    </row>
    <row r="27" spans="1:19" x14ac:dyDescent="0.25">
      <c r="A27" s="2" t="s">
        <v>34</v>
      </c>
      <c r="B27">
        <v>0.32200000000000001</v>
      </c>
      <c r="C27">
        <v>0.48199999999999998</v>
      </c>
      <c r="D27">
        <v>0.11799999999999999</v>
      </c>
      <c r="E27">
        <v>7.8E-2</v>
      </c>
      <c r="F27">
        <v>0</v>
      </c>
      <c r="G27">
        <v>0.15</v>
      </c>
      <c r="H27">
        <v>1</v>
      </c>
      <c r="I27">
        <v>1</v>
      </c>
      <c r="J27" s="7">
        <f>5*0.85</f>
        <v>4.25</v>
      </c>
      <c r="K27" s="1">
        <f>B27/(B27+C27)</f>
        <v>0.40049751243781095</v>
      </c>
      <c r="L27" t="s">
        <v>75</v>
      </c>
      <c r="M27" s="7">
        <v>0.34399999999999997</v>
      </c>
      <c r="N27" s="7">
        <v>1.4999999999999999E-2</v>
      </c>
      <c r="O27" s="1">
        <f>(B27+C27)/D27</f>
        <v>6.8135593220338988</v>
      </c>
      <c r="P27" s="1">
        <f>E27/D27</f>
        <v>0.66101694915254239</v>
      </c>
      <c r="Q27" s="1" t="s">
        <v>75</v>
      </c>
      <c r="R27" s="1">
        <f>600/(1+P27)</f>
        <v>361.22448979591837</v>
      </c>
      <c r="S27" t="s">
        <v>94</v>
      </c>
    </row>
    <row r="28" spans="1:19" x14ac:dyDescent="0.25">
      <c r="A28" s="2" t="s">
        <v>35</v>
      </c>
      <c r="B28">
        <v>0.32200000000000001</v>
      </c>
      <c r="C28">
        <v>0.48199999999999998</v>
      </c>
      <c r="D28">
        <v>0.11799999999999999</v>
      </c>
      <c r="E28">
        <v>7.8E-2</v>
      </c>
      <c r="F28">
        <v>0</v>
      </c>
      <c r="G28">
        <v>0.15</v>
      </c>
      <c r="H28">
        <v>1</v>
      </c>
      <c r="I28">
        <v>1</v>
      </c>
      <c r="J28" s="7">
        <f>6*0.85</f>
        <v>5.0999999999999996</v>
      </c>
      <c r="K28" s="1">
        <f>B28/(B28+C28)</f>
        <v>0.40049751243781095</v>
      </c>
      <c r="L28" t="s">
        <v>75</v>
      </c>
      <c r="M28" s="7">
        <v>0.34399999999999997</v>
      </c>
      <c r="N28" s="7">
        <v>1.4999999999999999E-2</v>
      </c>
      <c r="O28" s="1">
        <f>(B28+C28)/D28</f>
        <v>6.8135593220338988</v>
      </c>
      <c r="P28" s="1">
        <f>E28/D28</f>
        <v>0.66101694915254239</v>
      </c>
      <c r="Q28" s="1" t="s">
        <v>75</v>
      </c>
      <c r="R28" s="1">
        <f>600/(1+P28)</f>
        <v>361.22448979591837</v>
      </c>
      <c r="S28" t="s">
        <v>94</v>
      </c>
    </row>
  </sheetData>
  <autoFilter ref="A1:S1" xr:uid="{00000000-0001-0000-0000-000000000000}">
    <sortState xmlns:xlrd2="http://schemas.microsoft.com/office/spreadsheetml/2017/richdata2" ref="A2:S28">
      <sortCondition ref="A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opLeftCell="A4" zoomScaleNormal="100" workbookViewId="0">
      <selection activeCell="B15" sqref="B15"/>
    </sheetView>
  </sheetViews>
  <sheetFormatPr baseColWidth="10" defaultRowHeight="13.8" x14ac:dyDescent="0.25"/>
  <cols>
    <col min="1" max="1" width="19.3984375" customWidth="1"/>
    <col min="2" max="2" width="115" bestFit="1" customWidth="1"/>
  </cols>
  <sheetData>
    <row r="1" spans="1:7" x14ac:dyDescent="0.25">
      <c r="A1" t="s">
        <v>44</v>
      </c>
    </row>
    <row r="2" spans="1:7" x14ac:dyDescent="0.25">
      <c r="A2" t="s">
        <v>45</v>
      </c>
    </row>
    <row r="5" spans="1:7" x14ac:dyDescent="0.25">
      <c r="A5" s="5" t="s">
        <v>41</v>
      </c>
      <c r="B5" s="5" t="s">
        <v>42</v>
      </c>
      <c r="C5" s="5" t="s">
        <v>43</v>
      </c>
    </row>
    <row r="6" spans="1:7" x14ac:dyDescent="0.25">
      <c r="A6" s="6" t="s">
        <v>40</v>
      </c>
      <c r="B6" t="s">
        <v>47</v>
      </c>
      <c r="C6" t="s">
        <v>51</v>
      </c>
      <c r="G6" s="6"/>
    </row>
    <row r="7" spans="1:7" x14ac:dyDescent="0.25">
      <c r="A7" s="6" t="s">
        <v>0</v>
      </c>
      <c r="B7" t="s">
        <v>53</v>
      </c>
      <c r="C7" t="s">
        <v>51</v>
      </c>
      <c r="G7" s="6"/>
    </row>
    <row r="8" spans="1:7" x14ac:dyDescent="0.25">
      <c r="A8" s="6" t="s">
        <v>1</v>
      </c>
      <c r="B8" t="s">
        <v>54</v>
      </c>
      <c r="C8" t="s">
        <v>51</v>
      </c>
      <c r="G8" s="6"/>
    </row>
    <row r="9" spans="1:7" x14ac:dyDescent="0.25">
      <c r="A9" s="6" t="s">
        <v>2</v>
      </c>
      <c r="B9" t="s">
        <v>55</v>
      </c>
      <c r="C9" t="s">
        <v>51</v>
      </c>
      <c r="G9" s="6"/>
    </row>
    <row r="10" spans="1:7" x14ac:dyDescent="0.25">
      <c r="A10" s="6" t="s">
        <v>3</v>
      </c>
      <c r="B10" t="s">
        <v>56</v>
      </c>
      <c r="C10" t="s">
        <v>51</v>
      </c>
      <c r="G10" s="6"/>
    </row>
    <row r="11" spans="1:7" x14ac:dyDescent="0.25">
      <c r="A11" s="6" t="s">
        <v>4</v>
      </c>
      <c r="B11" t="s">
        <v>60</v>
      </c>
      <c r="C11" t="s">
        <v>51</v>
      </c>
      <c r="G11" s="6"/>
    </row>
    <row r="12" spans="1:7" x14ac:dyDescent="0.25">
      <c r="A12" s="6" t="s">
        <v>5</v>
      </c>
      <c r="B12" t="s">
        <v>59</v>
      </c>
      <c r="C12" t="s">
        <v>51</v>
      </c>
      <c r="G12" s="6"/>
    </row>
    <row r="13" spans="1:7" x14ac:dyDescent="0.25">
      <c r="A13" s="6" t="s">
        <v>6</v>
      </c>
      <c r="B13" t="s">
        <v>57</v>
      </c>
      <c r="C13" t="s">
        <v>51</v>
      </c>
      <c r="G13" s="6"/>
    </row>
    <row r="14" spans="1:7" x14ac:dyDescent="0.25">
      <c r="A14" s="6" t="s">
        <v>7</v>
      </c>
      <c r="B14" t="s">
        <v>58</v>
      </c>
      <c r="C14" t="s">
        <v>51</v>
      </c>
      <c r="G14" s="6"/>
    </row>
    <row r="15" spans="1:7" x14ac:dyDescent="0.25">
      <c r="A15" s="6" t="s">
        <v>62</v>
      </c>
      <c r="B15" t="s">
        <v>66</v>
      </c>
      <c r="C15" t="s">
        <v>63</v>
      </c>
    </row>
    <row r="16" spans="1:7" x14ac:dyDescent="0.25">
      <c r="A16" s="6" t="s">
        <v>8</v>
      </c>
      <c r="B16" t="s">
        <v>50</v>
      </c>
      <c r="C16" t="s">
        <v>51</v>
      </c>
    </row>
    <row r="17" spans="1:3" x14ac:dyDescent="0.25">
      <c r="A17" s="6" t="s">
        <v>80</v>
      </c>
      <c r="B17" t="s">
        <v>89</v>
      </c>
      <c r="C17" t="s">
        <v>81</v>
      </c>
    </row>
    <row r="18" spans="1:3" x14ac:dyDescent="0.25">
      <c r="A18" s="6" t="s">
        <v>79</v>
      </c>
      <c r="B18" t="s">
        <v>88</v>
      </c>
      <c r="C18" t="s">
        <v>51</v>
      </c>
    </row>
    <row r="19" spans="1:3" x14ac:dyDescent="0.25">
      <c r="A19" s="6" t="s">
        <v>78</v>
      </c>
      <c r="B19" t="s">
        <v>87</v>
      </c>
      <c r="C19" t="s">
        <v>86</v>
      </c>
    </row>
    <row r="20" spans="1:3" x14ac:dyDescent="0.25">
      <c r="A20" s="6" t="s">
        <v>9</v>
      </c>
      <c r="B20" t="s">
        <v>48</v>
      </c>
      <c r="C20" t="s">
        <v>51</v>
      </c>
    </row>
    <row r="21" spans="1:3" x14ac:dyDescent="0.25">
      <c r="A21" s="6" t="s">
        <v>10</v>
      </c>
      <c r="B21" t="s">
        <v>49</v>
      </c>
      <c r="C21" t="s">
        <v>51</v>
      </c>
    </row>
    <row r="22" spans="1:3" x14ac:dyDescent="0.25">
      <c r="A22" s="6" t="s">
        <v>73</v>
      </c>
      <c r="B22" t="s">
        <v>82</v>
      </c>
      <c r="C22" t="s">
        <v>81</v>
      </c>
    </row>
    <row r="23" spans="1:3" x14ac:dyDescent="0.25">
      <c r="A23" s="6" t="s">
        <v>76</v>
      </c>
      <c r="B23" t="s">
        <v>84</v>
      </c>
      <c r="C23" t="s">
        <v>83</v>
      </c>
    </row>
    <row r="24" spans="1:3" x14ac:dyDescent="0.25">
      <c r="A24" s="6" t="s">
        <v>11</v>
      </c>
      <c r="B24" t="s">
        <v>52</v>
      </c>
      <c r="C24" t="s">
        <v>51</v>
      </c>
    </row>
    <row r="26" spans="1:3" x14ac:dyDescent="0.25">
      <c r="A26" s="5" t="s">
        <v>37</v>
      </c>
    </row>
    <row r="27" spans="1:3" x14ac:dyDescent="0.25">
      <c r="A27" t="s">
        <v>39</v>
      </c>
    </row>
    <row r="28" spans="1:3" x14ac:dyDescent="0.25">
      <c r="A28" s="6" t="s">
        <v>69</v>
      </c>
    </row>
    <row r="29" spans="1:3" x14ac:dyDescent="0.25">
      <c r="A29" s="6" t="s">
        <v>85</v>
      </c>
    </row>
    <row r="30" spans="1:3" x14ac:dyDescent="0.25">
      <c r="A30" s="6" t="s">
        <v>100</v>
      </c>
    </row>
    <row r="31" spans="1:3" x14ac:dyDescent="0.25">
      <c r="A31" t="s">
        <v>38</v>
      </c>
    </row>
    <row r="32" spans="1:3" x14ac:dyDescent="0.25">
      <c r="A32" t="s">
        <v>68</v>
      </c>
    </row>
    <row r="33" spans="1:1" x14ac:dyDescent="0.25">
      <c r="A33" t="s">
        <v>70</v>
      </c>
    </row>
    <row r="34" spans="1:1" x14ac:dyDescent="0.25">
      <c r="A34" s="3" t="s">
        <v>46</v>
      </c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</sheetData>
  <phoneticPr fontId="1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Values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 Olivier AGROSCOPE</dc:creator>
  <cp:lastModifiedBy>Heller Olivier AGROSCOPE</cp:lastModifiedBy>
  <dcterms:created xsi:type="dcterms:W3CDTF">2023-11-13T06:30:06Z</dcterms:created>
  <dcterms:modified xsi:type="dcterms:W3CDTF">2024-09-05T10:46:54Z</dcterms:modified>
</cp:coreProperties>
</file>