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ink/ink1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jcbiz\Documents\AgriLife_Projects\Eco-HAWQS_USDA\Model &amp; Data_HAWQS\"/>
    </mc:Choice>
  </mc:AlternateContent>
  <xr:revisionPtr revIDLastSave="0" documentId="13_ncr:1_{CDCC1EAE-5E24-4744-92E8-6C0DADFFF7D8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Model - Econ Data" sheetId="14" r:id="rId1"/>
    <sheet name="Stoch" sheetId="18" r:id="rId2"/>
    <sheet name="Finance_HistPrice&amp;Yld" sheetId="15" r:id="rId3"/>
    <sheet name="Taxes" sheetId="16" r:id="rId4"/>
    <sheet name="Results" sheetId="17" r:id="rId5"/>
  </sheets>
  <externalReferences>
    <externalReference r:id="rId6"/>
  </externalReferences>
  <definedNames>
    <definedName name="_xlnm.Print_Area" localSheetId="0">'Model - Econ Data'!$A$81:$H$177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95" i="14" l="1"/>
  <c r="A294" i="14"/>
  <c r="A293" i="14"/>
  <c r="A292" i="14"/>
  <c r="A291" i="14"/>
  <c r="A290" i="14"/>
  <c r="A289" i="14"/>
  <c r="A288" i="14"/>
  <c r="A287" i="14"/>
  <c r="A286" i="14"/>
  <c r="F130" i="14"/>
  <c r="E130" i="14"/>
  <c r="D130" i="14"/>
  <c r="C130" i="14"/>
  <c r="B130" i="14"/>
  <c r="C54" i="14"/>
  <c r="B54" i="14"/>
  <c r="C53" i="14"/>
  <c r="B53" i="14"/>
  <c r="A33" i="14"/>
  <c r="A210" i="14"/>
  <c r="A209" i="14"/>
  <c r="D6" i="17"/>
  <c r="D5" i="17"/>
  <c r="D3" i="17"/>
  <c r="D4" i="17" s="1"/>
  <c r="D2" i="17"/>
  <c r="B196" i="14"/>
  <c r="C196" i="14" s="1"/>
  <c r="D196" i="14" s="1"/>
  <c r="E196" i="14" s="1"/>
  <c r="F196" i="14" s="1"/>
  <c r="G196" i="14" s="1"/>
  <c r="B195" i="14"/>
  <c r="C195" i="14" s="1"/>
  <c r="D195" i="14" s="1"/>
  <c r="E195" i="14" s="1"/>
  <c r="F195" i="14" s="1"/>
  <c r="G195" i="14" s="1"/>
  <c r="H195" i="14"/>
  <c r="H196" i="14"/>
  <c r="B6" i="17" l="1"/>
  <c r="B5" i="17"/>
  <c r="B3" i="17"/>
  <c r="B2" i="17"/>
  <c r="B157" i="14"/>
  <c r="C157" i="14" s="1"/>
  <c r="D157" i="14" s="1"/>
  <c r="E157" i="14" s="1"/>
  <c r="F157" i="14" s="1"/>
  <c r="B138" i="14"/>
  <c r="C138" i="14" s="1"/>
  <c r="B156" i="14"/>
  <c r="C156" i="14" s="1"/>
  <c r="D156" i="14" s="1"/>
  <c r="E156" i="14" s="1"/>
  <c r="F156" i="14" s="1"/>
  <c r="B137" i="14"/>
  <c r="C137" i="14" s="1"/>
  <c r="A47" i="14"/>
  <c r="F4" i="16"/>
  <c r="E4" i="16"/>
  <c r="D4" i="16"/>
  <c r="C4" i="16"/>
  <c r="B4" i="16"/>
  <c r="H20" i="16"/>
  <c r="G20" i="16"/>
  <c r="F20" i="16"/>
  <c r="E20" i="16"/>
  <c r="D20" i="16"/>
  <c r="A16" i="16"/>
  <c r="K40" i="15"/>
  <c r="L40" i="15" s="1"/>
  <c r="M40" i="15" s="1"/>
  <c r="N40" i="15" s="1"/>
  <c r="O40" i="15" s="1"/>
  <c r="H44" i="15"/>
  <c r="H45" i="15" s="1"/>
  <c r="H46" i="15" s="1"/>
  <c r="H47" i="15" s="1"/>
  <c r="H48" i="15" s="1"/>
  <c r="H49" i="15" s="1"/>
  <c r="H50" i="15" s="1"/>
  <c r="H51" i="15" s="1"/>
  <c r="H52" i="15" s="1"/>
  <c r="H53" i="15" s="1"/>
  <c r="H54" i="15" s="1"/>
  <c r="H55" i="15" s="1"/>
  <c r="H56" i="15" s="1"/>
  <c r="H57" i="15" s="1"/>
  <c r="H58" i="15" s="1"/>
  <c r="H59" i="15" s="1"/>
  <c r="H60" i="15" s="1"/>
  <c r="H61" i="15" s="1"/>
  <c r="H62" i="15" s="1"/>
  <c r="H63" i="15" s="1"/>
  <c r="H64" i="15" s="1"/>
  <c r="H65" i="15" s="1"/>
  <c r="H66" i="15" s="1"/>
  <c r="H67" i="15" s="1"/>
  <c r="H68" i="15" s="1"/>
  <c r="H69" i="15" s="1"/>
  <c r="H70" i="15" s="1"/>
  <c r="H71" i="15" s="1"/>
  <c r="H72" i="15" s="1"/>
  <c r="H73" i="15" s="1"/>
  <c r="H74" i="15" s="1"/>
  <c r="H75" i="15" s="1"/>
  <c r="H76" i="15" s="1"/>
  <c r="H77" i="15" s="1"/>
  <c r="H78" i="15" s="1"/>
  <c r="H79" i="15" s="1"/>
  <c r="H80" i="15" s="1"/>
  <c r="H81" i="15" s="1"/>
  <c r="H82" i="15" s="1"/>
  <c r="D37" i="15"/>
  <c r="A43" i="15" s="1"/>
  <c r="A44" i="15" s="1"/>
  <c r="A45" i="15" s="1"/>
  <c r="A46" i="15" s="1"/>
  <c r="A47" i="15" s="1"/>
  <c r="A48" i="15" s="1"/>
  <c r="A49" i="15" s="1"/>
  <c r="A50" i="15" s="1"/>
  <c r="A51" i="15" s="1"/>
  <c r="A52" i="15" s="1"/>
  <c r="A53" i="15" s="1"/>
  <c r="A54" i="15" s="1"/>
  <c r="A55" i="15" s="1"/>
  <c r="A56" i="15" s="1"/>
  <c r="A57" i="15" s="1"/>
  <c r="A58" i="15" s="1"/>
  <c r="A59" i="15" s="1"/>
  <c r="A60" i="15" s="1"/>
  <c r="A61" i="15" s="1"/>
  <c r="A62" i="15" s="1"/>
  <c r="C37" i="15"/>
  <c r="B37" i="15"/>
  <c r="A37" i="15"/>
  <c r="B43" i="15" s="1"/>
  <c r="B272" i="14"/>
  <c r="B266" i="14"/>
  <c r="A246" i="14"/>
  <c r="B245" i="14"/>
  <c r="N242" i="14"/>
  <c r="K242" i="14"/>
  <c r="K246" i="14" s="1"/>
  <c r="O236" i="14"/>
  <c r="L231" i="14"/>
  <c r="B219" i="14"/>
  <c r="C219" i="14" s="1"/>
  <c r="D219" i="14" s="1"/>
  <c r="E219" i="14" s="1"/>
  <c r="F214" i="14"/>
  <c r="E214" i="14"/>
  <c r="D214" i="14"/>
  <c r="C214" i="14"/>
  <c r="B214" i="14"/>
  <c r="F213" i="14"/>
  <c r="E213" i="14"/>
  <c r="D213" i="14"/>
  <c r="C213" i="14"/>
  <c r="B213" i="14"/>
  <c r="F212" i="14"/>
  <c r="E212" i="14"/>
  <c r="D212" i="14"/>
  <c r="C212" i="14"/>
  <c r="B212" i="14"/>
  <c r="B201" i="14"/>
  <c r="C201" i="14" s="1"/>
  <c r="B200" i="14"/>
  <c r="C200" i="14" s="1"/>
  <c r="B181" i="14"/>
  <c r="C181" i="14" s="1"/>
  <c r="B234" i="14" s="1"/>
  <c r="A181" i="14"/>
  <c r="B180" i="14"/>
  <c r="C180" i="14" s="1"/>
  <c r="A180" i="14"/>
  <c r="B179" i="14"/>
  <c r="C179" i="14" s="1"/>
  <c r="A179" i="14"/>
  <c r="F125" i="14"/>
  <c r="E125" i="14"/>
  <c r="D125" i="14"/>
  <c r="C125" i="14"/>
  <c r="B125" i="14"/>
  <c r="F124" i="14"/>
  <c r="E124" i="14"/>
  <c r="D124" i="14"/>
  <c r="C124" i="14"/>
  <c r="B124" i="14"/>
  <c r="F123" i="14"/>
  <c r="E123" i="14"/>
  <c r="D123" i="14"/>
  <c r="C123" i="14"/>
  <c r="B123" i="14"/>
  <c r="A115" i="14"/>
  <c r="A120" i="14" s="1"/>
  <c r="A131" i="14" s="1"/>
  <c r="A114" i="14"/>
  <c r="A119" i="14" s="1"/>
  <c r="A113" i="14"/>
  <c r="A118" i="14" s="1"/>
  <c r="A128" i="14" s="1"/>
  <c r="G110" i="14"/>
  <c r="G109" i="14"/>
  <c r="G108" i="14"/>
  <c r="B99" i="14"/>
  <c r="C99" i="14" s="1"/>
  <c r="D99" i="14" s="1"/>
  <c r="E99" i="14" s="1"/>
  <c r="F99" i="14" s="1"/>
  <c r="B87" i="14"/>
  <c r="C178" i="14" s="1"/>
  <c r="B203" i="14" s="1"/>
  <c r="E79" i="14"/>
  <c r="D79" i="14"/>
  <c r="E78" i="14"/>
  <c r="D78" i="14"/>
  <c r="E63" i="14"/>
  <c r="D63" i="14"/>
  <c r="C63" i="14"/>
  <c r="B63" i="14"/>
  <c r="A62" i="14"/>
  <c r="A61" i="14"/>
  <c r="A60" i="14"/>
  <c r="A55" i="14"/>
  <c r="A139" i="14" s="1"/>
  <c r="A54" i="14"/>
  <c r="A138" i="14" s="1"/>
  <c r="A53" i="14"/>
  <c r="A137" i="14" s="1"/>
  <c r="A50" i="14"/>
  <c r="A49" i="14"/>
  <c r="A44" i="14"/>
  <c r="H43" i="14"/>
  <c r="H49" i="14" s="1"/>
  <c r="A43" i="14"/>
  <c r="H42" i="14"/>
  <c r="H48" i="14" s="1"/>
  <c r="B12" i="14"/>
  <c r="B273" i="14" s="1"/>
  <c r="B71" i="14" a="1"/>
  <c r="E1" i="14"/>
  <c r="A1" i="14"/>
  <c r="C71" i="14" a="1"/>
  <c r="C65" i="14" a="1"/>
  <c r="B65" i="14" a="1"/>
  <c r="C303" i="14"/>
  <c r="L252" i="14" a="1"/>
  <c r="G123" i="14"/>
  <c r="C304" i="14"/>
  <c r="H183" i="14"/>
  <c r="G224" i="14"/>
  <c r="F62" i="14"/>
  <c r="G119" i="14"/>
  <c r="F83" i="14"/>
  <c r="E2" i="14"/>
  <c r="G122" i="14"/>
  <c r="G247" i="14"/>
  <c r="C294" i="14"/>
  <c r="C284" i="14"/>
  <c r="F84" i="14"/>
  <c r="G255" i="14"/>
  <c r="H199" i="14"/>
  <c r="G227" i="14"/>
  <c r="G245" i="14"/>
  <c r="G219" i="14"/>
  <c r="G61" i="14"/>
  <c r="G84" i="14"/>
  <c r="G106" i="14"/>
  <c r="G265" i="14"/>
  <c r="G230" i="14"/>
  <c r="F60" i="14"/>
  <c r="C289" i="14"/>
  <c r="G223" i="14"/>
  <c r="C302" i="14"/>
  <c r="D287" i="14"/>
  <c r="H182" i="14"/>
  <c r="D288" i="14"/>
  <c r="H192" i="14"/>
  <c r="G114" i="14"/>
  <c r="G231" i="14"/>
  <c r="C301" i="14"/>
  <c r="G252" i="14"/>
  <c r="G269" i="14"/>
  <c r="H193" i="14"/>
  <c r="C296" i="14"/>
  <c r="G259" i="14"/>
  <c r="C291" i="14"/>
  <c r="C285" i="14"/>
  <c r="G251" i="14"/>
  <c r="B22" i="16"/>
  <c r="H184" i="14"/>
  <c r="G221" i="14"/>
  <c r="G73" i="14"/>
  <c r="G208" i="14"/>
  <c r="G270" i="14"/>
  <c r="G124" i="14"/>
  <c r="G253" i="14"/>
  <c r="G128" i="14"/>
  <c r="G261" i="14"/>
  <c r="G212" i="14"/>
  <c r="G134" i="14"/>
  <c r="J127" i="14"/>
  <c r="G250" i="14"/>
  <c r="C295" i="14"/>
  <c r="H181" i="14"/>
  <c r="C276" i="14"/>
  <c r="C272" i="14"/>
  <c r="G82" i="14"/>
  <c r="G213" i="14"/>
  <c r="C286" i="14"/>
  <c r="C283" i="14"/>
  <c r="G229" i="14"/>
  <c r="D290" i="14"/>
  <c r="H186" i="14"/>
  <c r="G67" i="14"/>
  <c r="C305" i="14"/>
  <c r="G266" i="14"/>
  <c r="H189" i="14"/>
  <c r="C297" i="14"/>
  <c r="G263" i="14"/>
  <c r="C274" i="14"/>
  <c r="F63" i="14"/>
  <c r="H187" i="14"/>
  <c r="G71" i="14"/>
  <c r="C292" i="14"/>
  <c r="G256" i="14"/>
  <c r="G260" i="14"/>
  <c r="C288" i="14"/>
  <c r="G68" i="14"/>
  <c r="C306" i="14"/>
  <c r="C293" i="14"/>
  <c r="G222" i="14"/>
  <c r="G232" i="14"/>
  <c r="F61" i="14"/>
  <c r="G248" i="14"/>
  <c r="G115" i="14"/>
  <c r="G217" i="14"/>
  <c r="G238" i="14"/>
  <c r="G257" i="14"/>
  <c r="C299" i="14"/>
  <c r="D286" i="14"/>
  <c r="G234" i="14"/>
  <c r="C287" i="14"/>
  <c r="I127" i="14"/>
  <c r="G205" i="14"/>
  <c r="F82" i="14"/>
  <c r="G66" i="14"/>
  <c r="H180" i="14"/>
  <c r="G264" i="14"/>
  <c r="C298" i="14"/>
  <c r="H200" i="14"/>
  <c r="G72" i="14"/>
  <c r="G120" i="14"/>
  <c r="G228" i="14"/>
  <c r="G214" i="14"/>
  <c r="G207" i="14"/>
  <c r="G74" i="14"/>
  <c r="B24" i="16"/>
  <c r="D289" i="14"/>
  <c r="G239" i="14"/>
  <c r="H188" i="14"/>
  <c r="F64" i="14"/>
  <c r="G133" i="14"/>
  <c r="G226" i="14"/>
  <c r="G243" i="14"/>
  <c r="G65" i="14"/>
  <c r="G206" i="14"/>
  <c r="G85" i="14"/>
  <c r="G268" i="14"/>
  <c r="G60" i="14"/>
  <c r="G242" i="14"/>
  <c r="G236" i="14"/>
  <c r="L253" i="14" a="1"/>
  <c r="G125" i="14"/>
  <c r="H185" i="14"/>
  <c r="G237" i="14"/>
  <c r="G254" i="14"/>
  <c r="G210" i="14"/>
  <c r="G127" i="14"/>
  <c r="H201" i="14"/>
  <c r="G70" i="14"/>
  <c r="G241" i="14"/>
  <c r="B23" i="16"/>
  <c r="C290" i="14"/>
  <c r="B21" i="16"/>
  <c r="C275" i="14"/>
  <c r="G240" i="14"/>
  <c r="G246" i="14"/>
  <c r="G233" i="14"/>
  <c r="G118" i="14"/>
  <c r="G262" i="14"/>
  <c r="L251" i="14" a="1"/>
  <c r="G235" i="14"/>
  <c r="G244" i="14"/>
  <c r="H179" i="14"/>
  <c r="G76" i="14"/>
  <c r="G113" i="14"/>
  <c r="B25" i="16"/>
  <c r="G69" i="14"/>
  <c r="G75" i="14"/>
  <c r="F85" i="14"/>
  <c r="G225" i="14"/>
  <c r="G83" i="14"/>
  <c r="H190" i="14"/>
  <c r="G62" i="14"/>
  <c r="C273" i="14"/>
  <c r="G117" i="14"/>
  <c r="H191" i="14"/>
  <c r="C300" i="14"/>
  <c r="G209" i="14"/>
  <c r="G258" i="14"/>
  <c r="G129" i="14"/>
  <c r="B4" i="17" l="1"/>
  <c r="C114" i="14"/>
  <c r="F114" i="14"/>
  <c r="E114" i="14"/>
  <c r="D114" i="14"/>
  <c r="B114" i="14"/>
  <c r="F113" i="14"/>
  <c r="D113" i="14"/>
  <c r="E113" i="14"/>
  <c r="C113" i="14"/>
  <c r="B113" i="14"/>
  <c r="C43" i="15"/>
  <c r="G43" i="15" s="1"/>
  <c r="B244" i="14"/>
  <c r="B257" i="14" s="1"/>
  <c r="C244" i="14"/>
  <c r="C257" i="14" s="1"/>
  <c r="D244" i="14"/>
  <c r="D257" i="14" s="1"/>
  <c r="B247" i="14"/>
  <c r="B3" i="16" s="1"/>
  <c r="A63" i="15"/>
  <c r="A64" i="15" s="1"/>
  <c r="A65" i="15" s="1"/>
  <c r="A66" i="15" s="1"/>
  <c r="A67" i="15" s="1"/>
  <c r="A68" i="15" s="1"/>
  <c r="A69" i="15" s="1"/>
  <c r="A70" i="15" s="1"/>
  <c r="A71" i="15" s="1"/>
  <c r="A72" i="15" s="1"/>
  <c r="A73" i="15" s="1"/>
  <c r="A74" i="15" s="1"/>
  <c r="A75" i="15" s="1"/>
  <c r="A76" i="15" s="1"/>
  <c r="A77" i="15" s="1"/>
  <c r="A78" i="15" s="1"/>
  <c r="A79" i="15" s="1"/>
  <c r="A80" i="15" s="1"/>
  <c r="A81" i="15" s="1"/>
  <c r="A82" i="15" s="1"/>
  <c r="D43" i="15"/>
  <c r="A156" i="14"/>
  <c r="A161" i="14" s="1"/>
  <c r="A167" i="14" s="1"/>
  <c r="A172" i="14" s="1"/>
  <c r="A142" i="14"/>
  <c r="A146" i="14" s="1"/>
  <c r="A151" i="14" s="1"/>
  <c r="D201" i="14"/>
  <c r="C235" i="14" s="1"/>
  <c r="B235" i="14"/>
  <c r="O237" i="14" s="1"/>
  <c r="O240" i="14" s="1"/>
  <c r="L244" i="14" s="1"/>
  <c r="A143" i="14"/>
  <c r="A147" i="14" s="1"/>
  <c r="A152" i="14" s="1"/>
  <c r="A157" i="14"/>
  <c r="A162" i="14" s="1"/>
  <c r="A168" i="14" s="1"/>
  <c r="A173" i="14" s="1"/>
  <c r="A108" i="14"/>
  <c r="D181" i="14"/>
  <c r="C76" i="14"/>
  <c r="C73" i="14"/>
  <c r="C72" i="14"/>
  <c r="C71" i="14"/>
  <c r="C75" i="14"/>
  <c r="C74" i="14"/>
  <c r="L252" i="14"/>
  <c r="B70" i="14"/>
  <c r="B69" i="14"/>
  <c r="B68" i="14"/>
  <c r="B67" i="14"/>
  <c r="B66" i="14"/>
  <c r="B65" i="14"/>
  <c r="G142" i="14"/>
  <c r="B142" i="14" s="1"/>
  <c r="C68" i="14"/>
  <c r="C70" i="14"/>
  <c r="C69" i="14"/>
  <c r="C67" i="14"/>
  <c r="C66" i="14"/>
  <c r="C65" i="14"/>
  <c r="B75" i="14"/>
  <c r="B74" i="14"/>
  <c r="B73" i="14"/>
  <c r="B72" i="14"/>
  <c r="B71" i="14"/>
  <c r="B76" i="14"/>
  <c r="G143" i="14"/>
  <c r="C143" i="14" s="1"/>
  <c r="L253" i="14"/>
  <c r="F167" i="14"/>
  <c r="E167" i="14"/>
  <c r="B167" i="14"/>
  <c r="C167" i="14"/>
  <c r="D167" i="14"/>
  <c r="L251" i="14"/>
  <c r="B115" i="14"/>
  <c r="E168" i="14"/>
  <c r="B168" i="14"/>
  <c r="F168" i="14"/>
  <c r="D168" i="14"/>
  <c r="C168" i="14"/>
  <c r="D137" i="14"/>
  <c r="A144" i="14"/>
  <c r="A148" i="14" s="1"/>
  <c r="A153" i="14" s="1"/>
  <c r="A158" i="14"/>
  <c r="A163" i="14" s="1"/>
  <c r="A169" i="14" s="1"/>
  <c r="A174" i="14" s="1"/>
  <c r="B236" i="14"/>
  <c r="D200" i="14"/>
  <c r="D268" i="14"/>
  <c r="C268" i="14"/>
  <c r="F268" i="14"/>
  <c r="E268" i="14"/>
  <c r="A129" i="14"/>
  <c r="A124" i="14"/>
  <c r="B268" i="14"/>
  <c r="D138" i="14"/>
  <c r="B250" i="14"/>
  <c r="D179" i="14"/>
  <c r="A109" i="14"/>
  <c r="A125" i="14"/>
  <c r="D180" i="14"/>
  <c r="B233" i="14"/>
  <c r="A123" i="14"/>
  <c r="K247" i="14"/>
  <c r="K245" i="14"/>
  <c r="K244" i="14"/>
  <c r="A110" i="14"/>
  <c r="C87" i="14"/>
  <c r="K248" i="14"/>
  <c r="F219" i="14"/>
  <c r="F244" i="14" s="1"/>
  <c r="F257" i="14" s="1"/>
  <c r="E244" i="14"/>
  <c r="E257" i="14" s="1"/>
  <c r="B199" i="14"/>
  <c r="C199" i="14" s="1"/>
  <c r="E43" i="15" l="1"/>
  <c r="F43" i="15" s="1"/>
  <c r="B44" i="15" s="1"/>
  <c r="C44" i="15" s="1"/>
  <c r="B78" i="14"/>
  <c r="E201" i="14"/>
  <c r="D235" i="14" s="1"/>
  <c r="C234" i="14"/>
  <c r="E181" i="14"/>
  <c r="B173" i="14"/>
  <c r="C78" i="14"/>
  <c r="C142" i="14"/>
  <c r="B143" i="14"/>
  <c r="C115" i="14"/>
  <c r="B174" i="14"/>
  <c r="B120" i="14"/>
  <c r="B131" i="14" s="1"/>
  <c r="L249" i="14"/>
  <c r="O244" i="14"/>
  <c r="D143" i="14"/>
  <c r="E138" i="14"/>
  <c r="B172" i="14"/>
  <c r="C79" i="14"/>
  <c r="B259" i="14"/>
  <c r="D199" i="14"/>
  <c r="B79" i="14"/>
  <c r="C233" i="14"/>
  <c r="E180" i="14"/>
  <c r="C236" i="14"/>
  <c r="E200" i="14"/>
  <c r="E179" i="14"/>
  <c r="C250" i="14"/>
  <c r="C269" i="14" s="1"/>
  <c r="D178" i="14"/>
  <c r="C203" i="14" s="1"/>
  <c r="D87" i="14"/>
  <c r="B269" i="14"/>
  <c r="B210" i="14"/>
  <c r="B231" i="14" s="1"/>
  <c r="E137" i="14"/>
  <c r="D142" i="14"/>
  <c r="C172" i="14" l="1"/>
  <c r="F201" i="14"/>
  <c r="D44" i="15"/>
  <c r="E44" i="15" s="1"/>
  <c r="F44" i="15" s="1"/>
  <c r="B45" i="15" s="1"/>
  <c r="D45" i="15" s="1"/>
  <c r="G44" i="15"/>
  <c r="B175" i="14"/>
  <c r="B232" i="14" s="1"/>
  <c r="D234" i="14"/>
  <c r="F181" i="14"/>
  <c r="F138" i="14"/>
  <c r="F143" i="14" s="1"/>
  <c r="E143" i="14"/>
  <c r="E178" i="14"/>
  <c r="D203" i="14" s="1"/>
  <c r="E87" i="14"/>
  <c r="O249" i="14"/>
  <c r="P244" i="14"/>
  <c r="C259" i="14"/>
  <c r="E199" i="14"/>
  <c r="F137" i="14"/>
  <c r="F142" i="14" s="1"/>
  <c r="E142" i="14"/>
  <c r="C210" i="14"/>
  <c r="C231" i="14" s="1"/>
  <c r="F179" i="14"/>
  <c r="D250" i="14"/>
  <c r="D236" i="14"/>
  <c r="F200" i="14"/>
  <c r="D115" i="14"/>
  <c r="C174" i="14"/>
  <c r="C120" i="14"/>
  <c r="C131" i="14" s="1"/>
  <c r="C173" i="14"/>
  <c r="E235" i="14"/>
  <c r="G201" i="14"/>
  <c r="F235" i="14" s="1"/>
  <c r="D233" i="14"/>
  <c r="F180" i="14"/>
  <c r="C175" i="14" l="1"/>
  <c r="C232" i="14" s="1"/>
  <c r="C45" i="15"/>
  <c r="E45" i="15" s="1"/>
  <c r="F45" i="15" s="1"/>
  <c r="B46" i="15" s="1"/>
  <c r="D46" i="15" s="1"/>
  <c r="E234" i="14"/>
  <c r="G181" i="14"/>
  <c r="F234" i="14" s="1"/>
  <c r="F178" i="14"/>
  <c r="E203" i="14" s="1"/>
  <c r="F87" i="14"/>
  <c r="G178" i="14" s="1"/>
  <c r="F203" i="14" s="1"/>
  <c r="D269" i="14"/>
  <c r="E233" i="14"/>
  <c r="G180" i="14"/>
  <c r="F233" i="14" s="1"/>
  <c r="D259" i="14"/>
  <c r="F199" i="14"/>
  <c r="D174" i="14"/>
  <c r="D120" i="14"/>
  <c r="D131" i="14" s="1"/>
  <c r="E115" i="14"/>
  <c r="D172" i="14"/>
  <c r="E236" i="14"/>
  <c r="G200" i="14"/>
  <c r="F236" i="14" s="1"/>
  <c r="G179" i="14"/>
  <c r="F250" i="14" s="1"/>
  <c r="E250" i="14"/>
  <c r="D210" i="14"/>
  <c r="D231" i="14" s="1"/>
  <c r="D173" i="14"/>
  <c r="G45" i="15" l="1"/>
  <c r="C46" i="15"/>
  <c r="E46" i="15" s="1"/>
  <c r="F46" i="15" s="1"/>
  <c r="B47" i="15" s="1"/>
  <c r="D175" i="14"/>
  <c r="D232" i="14" s="1"/>
  <c r="E172" i="14"/>
  <c r="F115" i="14"/>
  <c r="E174" i="14"/>
  <c r="E120" i="14"/>
  <c r="E131" i="14" s="1"/>
  <c r="E259" i="14"/>
  <c r="G199" i="14"/>
  <c r="F259" i="14" s="1"/>
  <c r="E210" i="14"/>
  <c r="E231" i="14" s="1"/>
  <c r="E173" i="14"/>
  <c r="E269" i="14"/>
  <c r="F269" i="14"/>
  <c r="D47" i="15" l="1"/>
  <c r="C47" i="15"/>
  <c r="G46" i="15"/>
  <c r="F210" i="14"/>
  <c r="F231" i="14" s="1"/>
  <c r="F173" i="14"/>
  <c r="F120" i="14"/>
  <c r="F131" i="14" s="1"/>
  <c r="F174" i="14"/>
  <c r="E175" i="14"/>
  <c r="E232" i="14" s="1"/>
  <c r="F172" i="14"/>
  <c r="E47" i="15" l="1"/>
  <c r="F47" i="15" s="1"/>
  <c r="B48" i="15" s="1"/>
  <c r="D48" i="15" s="1"/>
  <c r="G47" i="15"/>
  <c r="F175" i="14"/>
  <c r="F232" i="14" s="1"/>
  <c r="C48" i="15" l="1"/>
  <c r="G48" i="15" s="1"/>
  <c r="E48" i="15" l="1"/>
  <c r="F48" i="15" s="1"/>
  <c r="B49" i="15" s="1"/>
  <c r="D49" i="15" s="1"/>
  <c r="C49" i="15"/>
  <c r="G49" i="15" s="1"/>
  <c r="E49" i="15" l="1"/>
  <c r="F49" i="15" s="1"/>
  <c r="B50" i="15" s="1"/>
  <c r="D50" i="15" l="1"/>
  <c r="C50" i="15"/>
  <c r="E50" i="15" l="1"/>
  <c r="F50" i="15" s="1"/>
  <c r="B51" i="15" s="1"/>
  <c r="C51" i="15" s="1"/>
  <c r="G50" i="15"/>
  <c r="D51" i="15" l="1"/>
  <c r="E51" i="15" s="1"/>
  <c r="F51" i="15" s="1"/>
  <c r="B52" i="15" s="1"/>
  <c r="G51" i="15"/>
  <c r="D52" i="15" l="1"/>
  <c r="C52" i="15"/>
  <c r="G52" i="15"/>
  <c r="E52" i="15" l="1"/>
  <c r="F52" i="15" s="1"/>
  <c r="B53" i="15" s="1"/>
  <c r="K41" i="15" s="1"/>
  <c r="B274" i="14" s="1"/>
  <c r="B275" i="14" s="1"/>
  <c r="D53" i="15" l="1"/>
  <c r="K42" i="15" s="1"/>
  <c r="B240" i="14" s="1"/>
  <c r="C53" i="15"/>
  <c r="G53" i="15"/>
  <c r="E53" i="15" l="1"/>
  <c r="F53" i="15" l="1"/>
  <c r="K43" i="15"/>
  <c r="B251" i="14" s="1"/>
  <c r="K44" i="15" l="1"/>
  <c r="B261" i="14" s="1"/>
  <c r="B54" i="15"/>
  <c r="D54" i="15" l="1"/>
  <c r="L42" i="15" s="1"/>
  <c r="C240" i="14" s="1"/>
  <c r="C54" i="15"/>
  <c r="G54" i="15"/>
  <c r="E54" i="15" l="1"/>
  <c r="F54" i="15" l="1"/>
  <c r="L43" i="15"/>
  <c r="C251" i="14" s="1"/>
  <c r="B55" i="15" l="1"/>
  <c r="L44" i="15"/>
  <c r="C261" i="14" s="1"/>
  <c r="D55" i="15" l="1"/>
  <c r="M42" i="15" s="1"/>
  <c r="D240" i="14" s="1"/>
  <c r="C55" i="15"/>
  <c r="E55" i="15" s="1"/>
  <c r="G55" i="15"/>
  <c r="M43" i="15" l="1"/>
  <c r="D251" i="14" s="1"/>
  <c r="F55" i="15"/>
  <c r="M44" i="15" l="1"/>
  <c r="D261" i="14" s="1"/>
  <c r="B56" i="15"/>
  <c r="D56" i="15" l="1"/>
  <c r="N42" i="15" s="1"/>
  <c r="E240" i="14" s="1"/>
  <c r="C56" i="15"/>
  <c r="G56" i="15" l="1"/>
  <c r="E56" i="15"/>
  <c r="N43" i="15" l="1"/>
  <c r="E251" i="14" s="1"/>
  <c r="F56" i="15"/>
  <c r="B57" i="15" l="1"/>
  <c r="N44" i="15"/>
  <c r="E261" i="14" s="1"/>
  <c r="C57" i="15" l="1"/>
  <c r="D57" i="15"/>
  <c r="O42" i="15" s="1"/>
  <c r="F240" i="14" s="1"/>
  <c r="G57" i="15" l="1"/>
  <c r="E57" i="15"/>
  <c r="F57" i="15" l="1"/>
  <c r="O43" i="15"/>
  <c r="F251" i="14" s="1"/>
  <c r="B58" i="15" l="1"/>
  <c r="O44" i="15"/>
  <c r="F261" i="14" s="1"/>
  <c r="D58" i="15" l="1"/>
  <c r="C58" i="15"/>
  <c r="E58" i="15" s="1"/>
  <c r="F58" i="15" s="1"/>
  <c r="B59" i="15" s="1"/>
  <c r="G58" i="15" l="1"/>
  <c r="D59" i="15"/>
  <c r="C59" i="15"/>
  <c r="E59" i="15" s="1"/>
  <c r="F59" i="15" s="1"/>
  <c r="B60" i="15" s="1"/>
  <c r="G59" i="15"/>
  <c r="D60" i="15" l="1"/>
  <c r="C60" i="15"/>
  <c r="G60" i="15" l="1"/>
  <c r="E60" i="15"/>
  <c r="F60" i="15" s="1"/>
  <c r="B61" i="15" s="1"/>
  <c r="D61" i="15" l="1"/>
  <c r="C61" i="15"/>
  <c r="G61" i="15" l="1"/>
  <c r="E61" i="15"/>
  <c r="F61" i="15" s="1"/>
  <c r="B62" i="15" s="1"/>
  <c r="D62" i="15" l="1"/>
  <c r="C62" i="15"/>
  <c r="G62" i="15" l="1"/>
  <c r="E62" i="15"/>
  <c r="F62" i="15" s="1"/>
  <c r="B63" i="15" s="1"/>
  <c r="G63" i="15" l="1"/>
  <c r="D63" i="15"/>
  <c r="C63" i="15"/>
  <c r="E63" i="15" s="1"/>
  <c r="F63" i="15" s="1"/>
  <c r="B64" i="15" s="1"/>
  <c r="D64" i="15" l="1"/>
  <c r="C64" i="15"/>
  <c r="G64" i="15"/>
  <c r="E64" i="15" l="1"/>
  <c r="F64" i="15" s="1"/>
  <c r="B65" i="15" s="1"/>
  <c r="C65" i="15" l="1"/>
  <c r="G65" i="15"/>
  <c r="D65" i="15"/>
  <c r="E65" i="15" l="1"/>
  <c r="F65" i="15" s="1"/>
  <c r="B66" i="15" s="1"/>
  <c r="C66" i="15" l="1"/>
  <c r="G66" i="15"/>
  <c r="D66" i="15"/>
  <c r="E66" i="15" l="1"/>
  <c r="F66" i="15" s="1"/>
  <c r="B67" i="15" s="1"/>
  <c r="C67" i="15"/>
  <c r="G67" i="15"/>
  <c r="D67" i="15"/>
  <c r="E67" i="15" l="1"/>
  <c r="F67" i="15" s="1"/>
  <c r="B68" i="15" s="1"/>
  <c r="D68" i="15" l="1"/>
  <c r="C68" i="15"/>
  <c r="E68" i="15" s="1"/>
  <c r="F68" i="15" s="1"/>
  <c r="B69" i="15" s="1"/>
  <c r="C69" i="15" s="1"/>
  <c r="G68" i="15"/>
  <c r="D69" i="15"/>
  <c r="E69" i="15" s="1"/>
  <c r="F69" i="15" s="1"/>
  <c r="B70" i="15" s="1"/>
  <c r="G69" i="15"/>
  <c r="D70" i="15" l="1"/>
  <c r="C70" i="15"/>
  <c r="G70" i="15"/>
  <c r="E70" i="15" l="1"/>
  <c r="F70" i="15" s="1"/>
  <c r="B71" i="15" s="1"/>
  <c r="G71" i="15" s="1"/>
  <c r="C71" i="15" l="1"/>
  <c r="D71" i="15"/>
  <c r="E71" i="15" l="1"/>
  <c r="F71" i="15" s="1"/>
  <c r="B72" i="15" s="1"/>
  <c r="D72" i="15" l="1"/>
  <c r="G72" i="15"/>
  <c r="C72" i="15"/>
  <c r="E72" i="15" l="1"/>
  <c r="F72" i="15" s="1"/>
  <c r="B73" i="15" s="1"/>
  <c r="C73" i="15" l="1"/>
  <c r="G73" i="15"/>
  <c r="D73" i="15"/>
  <c r="E73" i="15" l="1"/>
  <c r="F73" i="15" s="1"/>
  <c r="B74" i="15" s="1"/>
  <c r="D74" i="15" s="1"/>
  <c r="G74" i="15"/>
  <c r="C74" i="15"/>
  <c r="E74" i="15" s="1"/>
  <c r="F74" i="15" s="1"/>
  <c r="B75" i="15" s="1"/>
  <c r="D75" i="15" s="1"/>
  <c r="G75" i="15"/>
  <c r="C75" i="15" l="1"/>
  <c r="E75" i="15" s="1"/>
  <c r="F75" i="15" s="1"/>
  <c r="B76" i="15" s="1"/>
  <c r="G76" i="15" s="1"/>
  <c r="C76" i="15" l="1"/>
  <c r="D76" i="15"/>
  <c r="E76" i="15" l="1"/>
  <c r="F76" i="15" s="1"/>
  <c r="B77" i="15" s="1"/>
  <c r="D77" i="15"/>
  <c r="C77" i="15"/>
  <c r="G77" i="15"/>
  <c r="E77" i="15" l="1"/>
  <c r="F77" i="15" s="1"/>
  <c r="B78" i="15" s="1"/>
  <c r="G78" i="15" l="1"/>
  <c r="D78" i="15"/>
  <c r="C78" i="15"/>
  <c r="E78" i="15" l="1"/>
  <c r="F78" i="15" s="1"/>
  <c r="B79" i="15" s="1"/>
  <c r="C79" i="15" s="1"/>
  <c r="G79" i="15" l="1"/>
  <c r="D79" i="15"/>
  <c r="E79" i="15"/>
  <c r="F79" i="15" s="1"/>
  <c r="B80" i="15" s="1"/>
  <c r="C80" i="15" l="1"/>
  <c r="G80" i="15"/>
  <c r="D80" i="15"/>
  <c r="E80" i="15" l="1"/>
  <c r="F80" i="15" s="1"/>
  <c r="B81" i="15" s="1"/>
  <c r="G81" i="15" s="1"/>
  <c r="D81" i="15"/>
  <c r="C81" i="15" l="1"/>
  <c r="E81" i="15" s="1"/>
  <c r="F81" i="15" s="1"/>
  <c r="B82" i="15" s="1"/>
  <c r="D82" i="15" l="1"/>
  <c r="C82" i="15"/>
  <c r="G82" i="15"/>
  <c r="E82" i="15" l="1"/>
  <c r="F82" i="15" s="1"/>
  <c r="C108" i="14"/>
  <c r="D108" i="14"/>
  <c r="B108" i="14"/>
  <c r="E109" i="14"/>
  <c r="D109" i="14"/>
  <c r="C109" i="14"/>
  <c r="B109" i="14"/>
  <c r="F108" i="14"/>
  <c r="E108" i="14"/>
  <c r="F109" i="14"/>
  <c r="E146" i="14" l="1"/>
  <c r="E151" i="14" s="1"/>
  <c r="E161" i="14" s="1"/>
  <c r="E118" i="14"/>
  <c r="F147" i="14"/>
  <c r="F152" i="14" s="1"/>
  <c r="F162" i="14" s="1"/>
  <c r="F224" i="14" s="1"/>
  <c r="F119" i="14"/>
  <c r="F129" i="14" s="1"/>
  <c r="F222" i="14" s="1"/>
  <c r="B146" i="14"/>
  <c r="B151" i="14" s="1"/>
  <c r="B161" i="14" s="1"/>
  <c r="B118" i="14"/>
  <c r="C146" i="14"/>
  <c r="C151" i="14" s="1"/>
  <c r="C161" i="14" s="1"/>
  <c r="C118" i="14"/>
  <c r="D146" i="14"/>
  <c r="D151" i="14" s="1"/>
  <c r="D161" i="14" s="1"/>
  <c r="D118" i="14"/>
  <c r="B147" i="14"/>
  <c r="B152" i="14" s="1"/>
  <c r="B162" i="14" s="1"/>
  <c r="B224" i="14" s="1"/>
  <c r="B119" i="14"/>
  <c r="B129" i="14" s="1"/>
  <c r="B222" i="14" s="1"/>
  <c r="C147" i="14"/>
  <c r="C152" i="14" s="1"/>
  <c r="C162" i="14" s="1"/>
  <c r="C224" i="14" s="1"/>
  <c r="C119" i="14"/>
  <c r="C129" i="14" s="1"/>
  <c r="C222" i="14" s="1"/>
  <c r="F146" i="14"/>
  <c r="F151" i="14" s="1"/>
  <c r="F161" i="14" s="1"/>
  <c r="F118" i="14"/>
  <c r="D147" i="14"/>
  <c r="D152" i="14" s="1"/>
  <c r="D162" i="14" s="1"/>
  <c r="D224" i="14" s="1"/>
  <c r="D119" i="14"/>
  <c r="D129" i="14" s="1"/>
  <c r="D222" i="14" s="1"/>
  <c r="E147" i="14"/>
  <c r="E152" i="14" s="1"/>
  <c r="E162" i="14" s="1"/>
  <c r="E224" i="14" s="1"/>
  <c r="E119" i="14"/>
  <c r="E129" i="14" s="1"/>
  <c r="E222" i="14" s="1"/>
  <c r="D209" i="14" l="1"/>
  <c r="D230" i="14" s="1"/>
  <c r="D128" i="14"/>
  <c r="D223" i="14"/>
  <c r="D164" i="14"/>
  <c r="C209" i="14"/>
  <c r="C230" i="14" s="1"/>
  <c r="C128" i="14"/>
  <c r="C164" i="14"/>
  <c r="C223" i="14"/>
  <c r="B128" i="14"/>
  <c r="B209" i="14"/>
  <c r="B230" i="14" s="1"/>
  <c r="B164" i="14"/>
  <c r="B223" i="14"/>
  <c r="F209" i="14"/>
  <c r="F230" i="14" s="1"/>
  <c r="F128" i="14"/>
  <c r="E209" i="14"/>
  <c r="E230" i="14" s="1"/>
  <c r="E128" i="14"/>
  <c r="F223" i="14"/>
  <c r="F164" i="14"/>
  <c r="E223" i="14"/>
  <c r="E164" i="14"/>
  <c r="F133" i="14" l="1"/>
  <c r="F221" i="14"/>
  <c r="F225" i="14" s="1"/>
  <c r="B221" i="14"/>
  <c r="B225" i="14" s="1"/>
  <c r="B133" i="14"/>
  <c r="C133" i="14"/>
  <c r="C221" i="14"/>
  <c r="C225" i="14" s="1"/>
  <c r="E133" i="14"/>
  <c r="E221" i="14"/>
  <c r="E225" i="14" s="1"/>
  <c r="D221" i="14"/>
  <c r="D225" i="14" s="1"/>
  <c r="D133" i="14"/>
  <c r="F70" i="14"/>
  <c r="F67" i="14"/>
  <c r="F76" i="14"/>
  <c r="F68" i="14"/>
  <c r="F66" i="14"/>
  <c r="F69" i="14"/>
  <c r="F73" i="14"/>
  <c r="F72" i="14"/>
  <c r="F71" i="14"/>
  <c r="F65" i="14"/>
  <c r="F75" i="14"/>
  <c r="F74" i="14"/>
  <c r="B190" i="14" l="1"/>
  <c r="C190" i="14" s="1"/>
  <c r="D190" i="14" s="1"/>
  <c r="E190" i="14" s="1"/>
  <c r="F190" i="14" s="1"/>
  <c r="G190" i="14" s="1"/>
  <c r="B191" i="14"/>
  <c r="C191" i="14" s="1"/>
  <c r="D191" i="14" s="1"/>
  <c r="E191" i="14" s="1"/>
  <c r="F191" i="14" s="1"/>
  <c r="G191" i="14" s="1"/>
  <c r="B183" i="14"/>
  <c r="C183" i="14" s="1"/>
  <c r="B187" i="14"/>
  <c r="C187" i="14" s="1"/>
  <c r="D187" i="14" s="1"/>
  <c r="E187" i="14" s="1"/>
  <c r="F187" i="14" s="1"/>
  <c r="G187" i="14" s="1"/>
  <c r="B192" i="14"/>
  <c r="C192" i="14" s="1"/>
  <c r="D192" i="14" s="1"/>
  <c r="E192" i="14" s="1"/>
  <c r="F192" i="14" s="1"/>
  <c r="G192" i="14" s="1"/>
  <c r="B186" i="14"/>
  <c r="C186" i="14" s="1"/>
  <c r="D186" i="14" s="1"/>
  <c r="E186" i="14" s="1"/>
  <c r="F186" i="14" s="1"/>
  <c r="G186" i="14" s="1"/>
  <c r="B185" i="14"/>
  <c r="C185" i="14" s="1"/>
  <c r="D185" i="14" s="1"/>
  <c r="E185" i="14" s="1"/>
  <c r="F185" i="14" s="1"/>
  <c r="G185" i="14" s="1"/>
  <c r="B189" i="14"/>
  <c r="C189" i="14" s="1"/>
  <c r="D189" i="14" s="1"/>
  <c r="E189" i="14" s="1"/>
  <c r="F189" i="14" s="1"/>
  <c r="G189" i="14" s="1"/>
  <c r="B182" i="14"/>
  <c r="C182" i="14" s="1"/>
  <c r="B184" i="14"/>
  <c r="C184" i="14" s="1"/>
  <c r="D184" i="14" s="1"/>
  <c r="E184" i="14" s="1"/>
  <c r="F184" i="14" s="1"/>
  <c r="G184" i="14" s="1"/>
  <c r="B188" i="14"/>
  <c r="C188" i="14" s="1"/>
  <c r="B193" i="14"/>
  <c r="C193" i="14" s="1"/>
  <c r="D193" i="14" s="1"/>
  <c r="E193" i="14" s="1"/>
  <c r="F193" i="14" s="1"/>
  <c r="G193" i="14" s="1"/>
  <c r="D188" i="14" l="1"/>
  <c r="B206" i="14"/>
  <c r="B229" i="14" s="1"/>
  <c r="B205" i="14"/>
  <c r="B228" i="14" s="1"/>
  <c r="D182" i="14"/>
  <c r="D183" i="14"/>
  <c r="E188" i="14" l="1"/>
  <c r="C206" i="14"/>
  <c r="C229" i="14" s="1"/>
  <c r="C205" i="14"/>
  <c r="C228" i="14" s="1"/>
  <c r="B237" i="14"/>
  <c r="B238" i="14" s="1"/>
  <c r="E182" i="14"/>
  <c r="E183" i="14"/>
  <c r="F188" i="14" l="1"/>
  <c r="D206" i="14"/>
  <c r="D229" i="14" s="1"/>
  <c r="D205" i="14"/>
  <c r="D228" i="14" s="1"/>
  <c r="C237" i="14"/>
  <c r="C238" i="14" s="1"/>
  <c r="F183" i="14"/>
  <c r="F182" i="14"/>
  <c r="E205" i="14" l="1"/>
  <c r="E228" i="14" s="1"/>
  <c r="G188" i="14"/>
  <c r="F206" i="14" s="1"/>
  <c r="E206" i="14"/>
  <c r="E229" i="14" s="1"/>
  <c r="D237" i="14"/>
  <c r="D238" i="14" s="1"/>
  <c r="G182" i="14"/>
  <c r="G183" i="14"/>
  <c r="F229" i="14" l="1"/>
  <c r="F205" i="14"/>
  <c r="F228" i="14" s="1"/>
  <c r="E237" i="14"/>
  <c r="E238" i="14" s="1"/>
  <c r="F237" i="14" l="1"/>
  <c r="F238" i="14" s="1"/>
  <c r="B241" i="14"/>
  <c r="B242" i="14" s="1"/>
  <c r="B2" i="16" l="1"/>
  <c r="B6" i="16" s="1"/>
  <c r="D21" i="16" s="1"/>
  <c r="D24" i="16" s="1"/>
  <c r="B246" i="14"/>
  <c r="B248" i="14" s="1"/>
  <c r="D22" i="16" l="1"/>
  <c r="D23" i="16"/>
  <c r="D25" i="16" l="1"/>
  <c r="B252" i="14" s="1"/>
  <c r="B254" i="14" s="1"/>
  <c r="B255" i="14" s="1"/>
  <c r="B280" i="14" s="1"/>
  <c r="B258" i="14" l="1"/>
  <c r="C245" i="14" s="1"/>
  <c r="B263" i="14"/>
  <c r="C253" i="14" s="1"/>
  <c r="C239" i="14" l="1"/>
  <c r="C241" i="14" s="1"/>
  <c r="C242" i="14" s="1"/>
  <c r="C246" i="14" s="1"/>
  <c r="B260" i="14"/>
  <c r="B264" i="14"/>
  <c r="C247" i="14"/>
  <c r="C3" i="16" s="1"/>
  <c r="C2" i="16" l="1"/>
  <c r="C6" i="16" s="1"/>
  <c r="E21" i="16" s="1"/>
  <c r="E22" i="16" s="1"/>
  <c r="B265" i="14"/>
  <c r="C248" i="14"/>
  <c r="E24" i="16" l="1"/>
  <c r="E23" i="16"/>
  <c r="E25" i="16" l="1"/>
  <c r="C252" i="14" s="1"/>
  <c r="C254" i="14" s="1"/>
  <c r="C255" i="14" s="1"/>
  <c r="C280" i="14" s="1"/>
  <c r="C281" i="14" s="1"/>
  <c r="C263" i="14" l="1"/>
  <c r="D239" i="14" s="1"/>
  <c r="D241" i="14" s="1"/>
  <c r="D242" i="14" s="1"/>
  <c r="D2" i="16" s="1"/>
  <c r="C258" i="14"/>
  <c r="D245" i="14" s="1"/>
  <c r="D247" i="14" s="1"/>
  <c r="D3" i="16" s="1"/>
  <c r="C264" i="14" l="1"/>
  <c r="D246" i="14"/>
  <c r="D248" i="14" s="1"/>
  <c r="D253" i="14"/>
  <c r="C260" i="14"/>
  <c r="D6" i="16"/>
  <c r="F21" i="16" s="1"/>
  <c r="F24" i="16" s="1"/>
  <c r="C265" i="14" l="1"/>
  <c r="F23" i="16"/>
  <c r="F22" i="16"/>
  <c r="F25" i="16" l="1"/>
  <c r="D252" i="14" s="1"/>
  <c r="D254" i="14" s="1"/>
  <c r="D255" i="14" s="1"/>
  <c r="D258" i="14" s="1"/>
  <c r="D263" i="14" l="1"/>
  <c r="E239" i="14" s="1"/>
  <c r="E241" i="14" s="1"/>
  <c r="E242" i="14" s="1"/>
  <c r="D280" i="14"/>
  <c r="D281" i="14" s="1"/>
  <c r="D260" i="14"/>
  <c r="E245" i="14"/>
  <c r="E253" i="14" l="1"/>
  <c r="D264" i="14"/>
  <c r="D265" i="14" s="1"/>
  <c r="E247" i="14"/>
  <c r="E3" i="16" s="1"/>
  <c r="E246" i="14"/>
  <c r="E2" i="16"/>
  <c r="E248" i="14" l="1"/>
  <c r="E6" i="16"/>
  <c r="G21" i="16" s="1"/>
  <c r="G23" i="16" s="1"/>
  <c r="G22" i="16" l="1"/>
  <c r="G24" i="16"/>
  <c r="G25" i="16" l="1"/>
  <c r="E252" i="14" s="1"/>
  <c r="E254" i="14" s="1"/>
  <c r="E255" i="14" s="1"/>
  <c r="E280" i="14" s="1"/>
  <c r="E263" i="14" l="1"/>
  <c r="F239" i="14" s="1"/>
  <c r="F241" i="14" s="1"/>
  <c r="F242" i="14" s="1"/>
  <c r="E258" i="14"/>
  <c r="E260" i="14" s="1"/>
  <c r="E281" i="14"/>
  <c r="F245" i="14" l="1"/>
  <c r="F247" i="14" s="1"/>
  <c r="F3" i="16" s="1"/>
  <c r="E264" i="14"/>
  <c r="E265" i="14" s="1"/>
  <c r="F253" i="14"/>
  <c r="F2" i="16"/>
  <c r="F246" i="14"/>
  <c r="M244" i="14" s="1" a="1"/>
  <c r="F6" i="16" l="1"/>
  <c r="H21" i="16" s="1"/>
  <c r="H23" i="16" s="1"/>
  <c r="M248" i="14"/>
  <c r="M244" i="14"/>
  <c r="M247" i="14"/>
  <c r="M246" i="14"/>
  <c r="M245" i="14"/>
  <c r="F248" i="14"/>
  <c r="H24" i="16" l="1"/>
  <c r="H22" i="16"/>
  <c r="N245" i="14"/>
  <c r="P246" i="14"/>
  <c r="N246" i="14"/>
  <c r="P247" i="14"/>
  <c r="P248" i="14"/>
  <c r="N247" i="14"/>
  <c r="N244" i="14"/>
  <c r="P245" i="14"/>
  <c r="M249" i="14"/>
  <c r="N248" i="14"/>
  <c r="P249" i="14"/>
  <c r="H25" i="16" l="1"/>
  <c r="F252" i="14" s="1"/>
  <c r="F254" i="14" s="1"/>
  <c r="F255" i="14" s="1"/>
  <c r="F258" i="14" s="1"/>
  <c r="F260" i="14" s="1"/>
  <c r="K253" i="14"/>
  <c r="B306" i="14" s="1"/>
  <c r="N249" i="14"/>
  <c r="F280" i="14" l="1"/>
  <c r="F281" i="14" s="1"/>
  <c r="F263" i="14"/>
  <c r="F264" i="14" s="1"/>
  <c r="F265" i="14" s="1"/>
  <c r="F270" i="14" s="1"/>
  <c r="K251" i="14"/>
  <c r="K252" i="14"/>
  <c r="B305" i="14" s="1"/>
  <c r="B276" i="14" l="1"/>
  <c r="B284" i="14" s="1"/>
  <c r="B285" i="14"/>
  <c r="B301" i="14" a="1"/>
  <c r="B296" i="14" a="1"/>
  <c r="B291" i="14" a="1"/>
  <c r="B286" i="14" a="1"/>
  <c r="B290" i="14" l="1"/>
  <c r="B289" i="14"/>
  <c r="B287" i="14"/>
  <c r="B288" i="14"/>
  <c r="B286" i="14"/>
  <c r="B302" i="14"/>
  <c r="B301" i="14"/>
  <c r="B303" i="14"/>
  <c r="B304" i="14"/>
  <c r="B293" i="14"/>
  <c r="B292" i="14"/>
  <c r="B291" i="14"/>
  <c r="B295" i="14"/>
  <c r="B294" i="14"/>
  <c r="B300" i="14"/>
  <c r="B299" i="14"/>
  <c r="B298" i="14"/>
  <c r="B296" i="14"/>
  <c r="B297" i="1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Jean Claude Bizimana</author>
    <author>Bizimana, Jean-Claude</author>
    <author>John Claude</author>
  </authors>
  <commentList>
    <comment ref="B8" authorId="0" shapeId="0" xr:uid="{D112033B-905B-410B-ABA4-E264BB7EE144}">
      <text>
        <r>
          <rPr>
            <b/>
            <sz val="9"/>
            <color indexed="81"/>
            <rFont val="Tahoma"/>
            <family val="2"/>
          </rPr>
          <t>Jean Claude Bizimana:</t>
        </r>
        <r>
          <rPr>
            <sz val="9"/>
            <color indexed="81"/>
            <rFont val="Tahoma"/>
            <family val="2"/>
          </rPr>
          <t xml:space="preserve">
Cash rental for irrigated land in Texas is $116 / Ac:
https://agrilife.org/texasaglaw/2024/09/03/usda-releases-2024-cash-rent-data/</t>
        </r>
      </text>
    </comment>
    <comment ref="B19" authorId="1" shapeId="0" xr:uid="{67308B28-D938-44A4-80CB-BB642C9E852D}">
      <text>
        <r>
          <rPr>
            <b/>
            <sz val="9"/>
            <color indexed="81"/>
            <rFont val="Tahoma"/>
            <family val="2"/>
          </rPr>
          <t>Bizimana, Jean-Claude:</t>
        </r>
        <r>
          <rPr>
            <sz val="9"/>
            <color indexed="81"/>
            <rFont val="Tahoma"/>
            <family val="2"/>
          </rPr>
          <t xml:space="preserve">
I updated the starting year of the loan by adding 4 yrs compared to the yrs from the original model which was 2010</t>
        </r>
      </text>
    </comment>
    <comment ref="B23" authorId="2" shapeId="0" xr:uid="{B2F86852-83A2-46C9-BB15-ED429F9E52EA}">
      <text>
        <r>
          <rPr>
            <b/>
            <sz val="9"/>
            <color indexed="81"/>
            <rFont val="Tahoma"/>
            <family val="2"/>
          </rPr>
          <t>John Claude:</t>
        </r>
        <r>
          <rPr>
            <sz val="9"/>
            <color indexed="81"/>
            <rFont val="Tahoma"/>
            <family val="2"/>
          </rPr>
          <t xml:space="preserve">
reduced $20K</t>
        </r>
      </text>
    </comment>
    <comment ref="B24" authorId="2" shapeId="0" xr:uid="{0072187B-CD6C-451C-8600-36FEE93B0551}">
      <text>
        <r>
          <rPr>
            <b/>
            <sz val="9"/>
            <color indexed="81"/>
            <rFont val="Tahoma"/>
            <family val="2"/>
          </rPr>
          <t>John Claude:</t>
        </r>
        <r>
          <rPr>
            <sz val="9"/>
            <color indexed="81"/>
            <rFont val="Tahoma"/>
            <family val="2"/>
          </rPr>
          <t xml:space="preserve">
See ppt by Abello_2023</t>
        </r>
      </text>
    </comment>
    <comment ref="B25" authorId="2" shapeId="0" xr:uid="{E111866B-A1A1-4310-AFE1-C9D3532AA802}">
      <text>
        <r>
          <rPr>
            <b/>
            <sz val="9"/>
            <color indexed="81"/>
            <rFont val="Tahoma"/>
            <family val="2"/>
          </rPr>
          <t>John Claude:</t>
        </r>
        <r>
          <rPr>
            <sz val="9"/>
            <color indexed="81"/>
            <rFont val="Tahoma"/>
            <family val="2"/>
          </rPr>
          <t xml:space="preserve">
Can be included as a standalone cost but for now it is part of the variable costs</t>
        </r>
      </text>
    </comment>
    <comment ref="A29" authorId="0" shapeId="0" xr:uid="{137A544E-5AE5-46BC-A636-927B785211DF}">
      <text>
        <r>
          <rPr>
            <b/>
            <sz val="9"/>
            <color indexed="81"/>
            <rFont val="Tahoma"/>
            <family val="2"/>
          </rPr>
          <t>Jean Claude Bizimana:</t>
        </r>
        <r>
          <rPr>
            <sz val="9"/>
            <color indexed="81"/>
            <rFont val="Tahoma"/>
            <family val="2"/>
          </rPr>
          <t xml:space="preserve">
Operating Loan: short-term loan used to cover day-to-day business operating expenses or cashflow needs </t>
        </r>
      </text>
    </comment>
    <comment ref="C64" authorId="2" shapeId="0" xr:uid="{38BA4E45-96C1-48CF-9A01-A778587635F3}">
      <text>
        <r>
          <rPr>
            <b/>
            <sz val="9"/>
            <color indexed="81"/>
            <rFont val="Tahoma"/>
            <family val="2"/>
          </rPr>
          <t>John Claude:</t>
        </r>
        <r>
          <rPr>
            <sz val="9"/>
            <color indexed="81"/>
            <rFont val="Tahoma"/>
            <family val="2"/>
          </rPr>
          <t xml:space="preserve">
I can use this cell in case I am assuming that the input cost gradually increase by 10% among the scenarios</t>
        </r>
      </text>
    </comment>
    <comment ref="B100" authorId="0" shapeId="0" xr:uid="{D72D758B-DB56-4094-BABD-3D3F17E27C5C}">
      <text>
        <r>
          <rPr>
            <b/>
            <sz val="9"/>
            <color indexed="81"/>
            <rFont val="Tahoma"/>
            <charset val="1"/>
          </rPr>
          <t>Jean Claude Bizimana:</t>
        </r>
        <r>
          <rPr>
            <sz val="9"/>
            <color indexed="81"/>
            <rFont val="Tahoma"/>
            <charset val="1"/>
          </rPr>
          <t xml:space="preserve">
These figures are linked and fed from stochastically randomly generated /simulated prices and yields based on an empirical distribution of the historical values.  </t>
        </r>
      </text>
    </comment>
    <comment ref="I123" authorId="1" shapeId="0" xr:uid="{0E554181-F4CD-4C13-A479-C21C586FF1A7}">
      <text>
        <r>
          <rPr>
            <b/>
            <sz val="9"/>
            <color indexed="81"/>
            <rFont val="Tahoma"/>
            <family val="2"/>
          </rPr>
          <t>Bizimana, Jean-Claude:</t>
        </r>
        <r>
          <rPr>
            <sz val="9"/>
            <color indexed="81"/>
            <rFont val="Tahoma"/>
            <family val="2"/>
          </rPr>
          <t xml:space="preserve">
Introduce consumption fraction &amp; other use</t>
        </r>
      </text>
    </comment>
    <comment ref="A195" authorId="0" shapeId="0" xr:uid="{13309A3E-40B9-48C0-87DC-22C7E7D46449}">
      <text>
        <r>
          <rPr>
            <b/>
            <sz val="9"/>
            <color indexed="81"/>
            <rFont val="Tahoma"/>
            <family val="2"/>
          </rPr>
          <t>Jean Claude Bizimana:</t>
        </r>
        <r>
          <rPr>
            <sz val="9"/>
            <color indexed="81"/>
            <rFont val="Tahoma"/>
            <family val="2"/>
          </rPr>
          <t xml:space="preserve">
Included these costs into the other VC above but can be considered separately from other variable costs</t>
        </r>
      </text>
    </comment>
    <comment ref="A230" authorId="0" shapeId="0" xr:uid="{9F1C80DF-0C1E-4514-9671-2D6E855B23E9}">
      <text>
        <r>
          <rPr>
            <b/>
            <sz val="9"/>
            <color indexed="81"/>
            <rFont val="Tahoma"/>
            <family val="2"/>
          </rPr>
          <t>Jean Claude Bizimana:</t>
        </r>
        <r>
          <rPr>
            <sz val="9"/>
            <color indexed="81"/>
            <rFont val="Tahoma"/>
            <family val="2"/>
          </rPr>
          <t xml:space="preserve">
These costs are already included in Corn and Cotton VC above; the reason why they are equal to 0</t>
        </r>
      </text>
    </comment>
    <comment ref="A253" authorId="0" shapeId="0" xr:uid="{5AF4CD5D-BB5C-4425-835E-0E3BD933D24E}">
      <text>
        <r>
          <rPr>
            <b/>
            <sz val="9"/>
            <color indexed="81"/>
            <rFont val="Tahoma"/>
            <family val="2"/>
          </rPr>
          <t>Jean Claude Bizimana:</t>
        </r>
        <r>
          <rPr>
            <sz val="9"/>
            <color indexed="81"/>
            <rFont val="Tahoma"/>
            <family val="2"/>
          </rPr>
          <t xml:space="preserve">
Corrected the circular references and updated the Cash flow deficit section</t>
        </r>
      </text>
    </comment>
    <comment ref="A263" authorId="0" shapeId="0" xr:uid="{111564C4-6350-4B4C-9333-2EF849B6CF9C}">
      <text>
        <r>
          <rPr>
            <b/>
            <sz val="9"/>
            <color indexed="81"/>
            <rFont val="Tahoma"/>
            <family val="2"/>
          </rPr>
          <t>Jean Claude Bizimana:</t>
        </r>
        <r>
          <rPr>
            <sz val="9"/>
            <color indexed="81"/>
            <rFont val="Tahoma"/>
            <family val="2"/>
          </rPr>
          <t xml:space="preserve">
decided to remove this expression due to circular reference issues that are noticed from row 236 - row 260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Jean Claude Bizimana</author>
  </authors>
  <commentList>
    <comment ref="C16" authorId="0" shapeId="0" xr:uid="{1809966C-FB2A-48E9-AD29-E75102BB7468}">
      <text>
        <r>
          <rPr>
            <b/>
            <sz val="9"/>
            <color indexed="81"/>
            <rFont val="Tahoma"/>
            <charset val="1"/>
          </rPr>
          <t>Jean Claude Bizimana:</t>
        </r>
        <r>
          <rPr>
            <sz val="9"/>
            <color indexed="81"/>
            <rFont val="Tahoma"/>
            <charset val="1"/>
          </rPr>
          <t xml:space="preserve">
This output is computed and generated by the Empirical function from the SIMETAR program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<sst xmlns="http://schemas.openxmlformats.org/spreadsheetml/2006/main" count="434" uniqueCount="301">
  <si>
    <t xml:space="preserve">First Year </t>
  </si>
  <si>
    <t xml:space="preserve">Last Year </t>
  </si>
  <si>
    <t>Cash Rent $/acre</t>
  </si>
  <si>
    <t>Amount Borrowed</t>
  </si>
  <si>
    <t>Year Loan Started</t>
  </si>
  <si>
    <t>Length of Loan</t>
  </si>
  <si>
    <t>Interest Rate</t>
  </si>
  <si>
    <t>Family Living</t>
  </si>
  <si>
    <t xml:space="preserve">Annual Depreciation </t>
  </si>
  <si>
    <t>Discount Rate</t>
  </si>
  <si>
    <t>Labor Costs</t>
  </si>
  <si>
    <t>Operating Loan Wedge</t>
  </si>
  <si>
    <t>Operating Loan Fract Year</t>
  </si>
  <si>
    <t>(fraction of the year pay interest on the operating loan)</t>
  </si>
  <si>
    <t xml:space="preserve">Corn </t>
  </si>
  <si>
    <t>Harvesting $/BU</t>
  </si>
  <si>
    <t>Price Wedge $/bu</t>
  </si>
  <si>
    <t>Land Inflation Rates</t>
  </si>
  <si>
    <t>Corn</t>
  </si>
  <si>
    <t>Alt 3</t>
  </si>
  <si>
    <t>Stochastic Prices and Yields</t>
  </si>
  <si>
    <t>Planted Acres for Scenario</t>
  </si>
  <si>
    <t>Total</t>
  </si>
  <si>
    <t>Inflate Costs and Assets</t>
  </si>
  <si>
    <t>Corn Harvest</t>
  </si>
  <si>
    <t>Land Value</t>
  </si>
  <si>
    <t>Cropland Acres Owned</t>
  </si>
  <si>
    <t>Scenario Values</t>
  </si>
  <si>
    <t>Labor Costs Inflation Rates</t>
  </si>
  <si>
    <t>CPI for Inflating Family Living</t>
  </si>
  <si>
    <t>Crop Harvest Costs</t>
  </si>
  <si>
    <t>Interest Earned</t>
  </si>
  <si>
    <t>Local Interest Rates</t>
  </si>
  <si>
    <t>Cash Rent</t>
  </si>
  <si>
    <t>Annual Rent for Machinery</t>
  </si>
  <si>
    <t>Machinery Rental Cost</t>
  </si>
  <si>
    <t>Farm's Fixed Costs</t>
  </si>
  <si>
    <t>Operating Loan Fraction of Year</t>
  </si>
  <si>
    <t>Saving Account Interest rate</t>
  </si>
  <si>
    <t>Inflation &amp; Interest Rates</t>
  </si>
  <si>
    <t>Natl Prime Interest Rate</t>
  </si>
  <si>
    <t>Machine Rent Inflation Rate</t>
  </si>
  <si>
    <t>Crop Variable Cost Inflation Rate</t>
  </si>
  <si>
    <t>Harvest Cost Inflation Rates</t>
  </si>
  <si>
    <t>PPI for Inflating Fixed Costs</t>
  </si>
  <si>
    <t>Income Statement</t>
  </si>
  <si>
    <t>Crop Receipts</t>
  </si>
  <si>
    <t>Corn Market</t>
  </si>
  <si>
    <t>Corn Indemnity</t>
  </si>
  <si>
    <t>Total Receipts</t>
  </si>
  <si>
    <t>Cash Expenses</t>
  </si>
  <si>
    <t>Corn VC</t>
  </si>
  <si>
    <t>Insurance Premiums</t>
  </si>
  <si>
    <t>Fixed Costs</t>
  </si>
  <si>
    <t>Land Rent</t>
  </si>
  <si>
    <t>Machinery Rent</t>
  </si>
  <si>
    <t>Sum Total Cash Costs</t>
  </si>
  <si>
    <t>Operating Loan Interest</t>
  </si>
  <si>
    <t>Cash Flow Deficit Interest</t>
  </si>
  <si>
    <t>Land Loan Interest</t>
  </si>
  <si>
    <t>Total Cash Expenses</t>
  </si>
  <si>
    <t>Net cash Farm Income</t>
  </si>
  <si>
    <t>Cash Flow Statement</t>
  </si>
  <si>
    <t>Beginning Cash Reserves</t>
  </si>
  <si>
    <t>Cash On Hand</t>
  </si>
  <si>
    <t>Total Cash Inflows</t>
  </si>
  <si>
    <t>Family Living Expenses</t>
  </si>
  <si>
    <t>Income Taxes</t>
  </si>
  <si>
    <t>Total Cash Outflows</t>
  </si>
  <si>
    <t>Ending Cash Dec 31</t>
  </si>
  <si>
    <t>Balance Sheet</t>
  </si>
  <si>
    <t>Total Assets</t>
  </si>
  <si>
    <t>Land Debt</t>
  </si>
  <si>
    <t>Machinery Debt</t>
  </si>
  <si>
    <t>Cash Flow Deficits</t>
  </si>
  <si>
    <t>Total Liabilities</t>
  </si>
  <si>
    <t>Net Worth</t>
  </si>
  <si>
    <t>Discount Factor</t>
  </si>
  <si>
    <t>PV Family Living</t>
  </si>
  <si>
    <t>Beginning Net Worth</t>
  </si>
  <si>
    <t xml:space="preserve">Cash </t>
  </si>
  <si>
    <t>Land</t>
  </si>
  <si>
    <t>Beg Net Worth</t>
  </si>
  <si>
    <t>NPV</t>
  </si>
  <si>
    <t>PVENW</t>
  </si>
  <si>
    <t>Interest Rate for Savings</t>
  </si>
  <si>
    <t>Planted Acres</t>
  </si>
  <si>
    <t>Wedge Price</t>
  </si>
  <si>
    <t>Simply Acres Planted * Yield</t>
  </si>
  <si>
    <t>Simply VC $/acre * Planted Acres</t>
  </si>
  <si>
    <t>Simply Natl Prime Rate + Local wedge on interest rates  use for operating loan</t>
  </si>
  <si>
    <t>Principal Payment Land Loan</t>
  </si>
  <si>
    <t>Repay Cash Flow Deficit Loans</t>
  </si>
  <si>
    <t>Ending Cash Reserves Dec 31</t>
  </si>
  <si>
    <t>PV Ending Net Worth</t>
  </si>
  <si>
    <t>Market Receipts</t>
  </si>
  <si>
    <t>Crop Insurance Scenarios</t>
  </si>
  <si>
    <t xml:space="preserve">Crop Insurance </t>
  </si>
  <si>
    <t>Price Election</t>
  </si>
  <si>
    <t>Corn Yield Fractions</t>
  </si>
  <si>
    <t>Corn Premiums $/acre</t>
  </si>
  <si>
    <t>Crop Insurance</t>
  </si>
  <si>
    <t>Realized Yield</t>
  </si>
  <si>
    <t>Insured Yield = APH * Yield Coverage Fraction</t>
  </si>
  <si>
    <t>Coverage Fraction</t>
  </si>
  <si>
    <t>Lost Yields</t>
  </si>
  <si>
    <t>Insurance Indemnity = Price Election * Lost Yield * Acres Planted</t>
  </si>
  <si>
    <t>Total Insurance Indemnity</t>
  </si>
  <si>
    <t>Insurance Premium  ($/acre)</t>
  </si>
  <si>
    <t>Value of Cropland &amp; Buildings</t>
  </si>
  <si>
    <t>Come from the Scenario Function. Note that planted acres could change each year</t>
  </si>
  <si>
    <t xml:space="preserve"> </t>
  </si>
  <si>
    <t>SUM</t>
  </si>
  <si>
    <t>IRR</t>
  </si>
  <si>
    <t>Discount rate</t>
  </si>
  <si>
    <t>PV Factor</t>
  </si>
  <si>
    <t>Invest. Costs</t>
  </si>
  <si>
    <t>Net Returns</t>
  </si>
  <si>
    <t>PV NetReturns</t>
  </si>
  <si>
    <t>PV Costs</t>
  </si>
  <si>
    <t>IRR Values</t>
  </si>
  <si>
    <t>Formulas for Column G</t>
  </si>
  <si>
    <t>=-F24</t>
  </si>
  <si>
    <t>=D24</t>
  </si>
  <si>
    <t>=D25</t>
  </si>
  <si>
    <t>=D26</t>
  </si>
  <si>
    <t>=D27-C27</t>
  </si>
  <si>
    <t>=D28</t>
  </si>
  <si>
    <t>B/C</t>
  </si>
  <si>
    <t>1 Year</t>
  </si>
  <si>
    <t>because Net Cash Income in year 1 &gt; initial cost plus its interest</t>
  </si>
  <si>
    <t>P(EC&lt;0) Yr 1</t>
  </si>
  <si>
    <t>P(EC&lt;0) Yr 2</t>
  </si>
  <si>
    <t>Payback period</t>
  </si>
  <si>
    <t>P(EC&lt;0 two years)</t>
  </si>
  <si>
    <t>Probability of Cash Flow Deficits for 1 year and for 2 Consecutive Years</t>
  </si>
  <si>
    <t>P(EC&lt;0) Yr 3</t>
  </si>
  <si>
    <t>P(EC&lt;0) Yr 4</t>
  </si>
  <si>
    <t>P(EC&lt;0) Yr 5</t>
  </si>
  <si>
    <t>P(EC&lt;0 2 Yrs) Yr 2</t>
  </si>
  <si>
    <t>P(EC&lt;0 2 Yrs) Yr 3</t>
  </si>
  <si>
    <t>P(EC&lt;0 2 Yrs) Yr 4</t>
  </si>
  <si>
    <t>P(EC&lt;0 2 Yrs) Yr 5</t>
  </si>
  <si>
    <t>Benefits-Costs Ratio &amp; Internal Rate of Return</t>
  </si>
  <si>
    <t>Asset Valued January 1, 2023</t>
  </si>
  <si>
    <t>Seed $/Ac</t>
  </si>
  <si>
    <t xml:space="preserve">Fertilizers $/Ac </t>
  </si>
  <si>
    <t>Herbicide $/Ac</t>
  </si>
  <si>
    <t>Fuel $/Ac</t>
  </si>
  <si>
    <t>Other VC $/Ac</t>
  </si>
  <si>
    <t>Production Costs</t>
  </si>
  <si>
    <t xml:space="preserve">Scenarios </t>
  </si>
  <si>
    <t>Equal stochastic national price + local wedge</t>
  </si>
  <si>
    <t>Fraction Crop Sold</t>
  </si>
  <si>
    <t>Fraction Consumed &amp; Other Use</t>
  </si>
  <si>
    <t xml:space="preserve">Simply Local Price * Production*Fraction sold </t>
  </si>
  <si>
    <t>Cropland Acres Rented</t>
  </si>
  <si>
    <t>($/Ac or Bu)</t>
  </si>
  <si>
    <t>Baseline scenario</t>
  </si>
  <si>
    <t>Crops</t>
  </si>
  <si>
    <t>Cotton</t>
  </si>
  <si>
    <t>Sorghum</t>
  </si>
  <si>
    <t>Alternative scenario 1 -Cons. Ag - Reduced Tillage</t>
  </si>
  <si>
    <t>Alternative scenario 2 -Cover Crop</t>
  </si>
  <si>
    <t>APH Yield Bu or Lbs/Ac.</t>
  </si>
  <si>
    <t>Base - ConvTill</t>
  </si>
  <si>
    <t>Alt 1 - RedTill</t>
  </si>
  <si>
    <t>Alt 2 - CoverCr</t>
  </si>
  <si>
    <t>TOT</t>
  </si>
  <si>
    <t>Corn      - Seed</t>
  </si>
  <si>
    <t xml:space="preserve">        -Fert</t>
  </si>
  <si>
    <t xml:space="preserve">        -Herb</t>
  </si>
  <si>
    <t xml:space="preserve">        -Fuel</t>
  </si>
  <si>
    <t xml:space="preserve">        -Harvest</t>
  </si>
  <si>
    <t xml:space="preserve">        -Other VC</t>
  </si>
  <si>
    <t>Cotton  - Seed</t>
  </si>
  <si>
    <t>Tot. V Costs_Corn</t>
  </si>
  <si>
    <t>Tot. V Costs_Cotton</t>
  </si>
  <si>
    <t>Cotton Yield Fractions</t>
  </si>
  <si>
    <t>Cotton Premiums $/acre</t>
  </si>
  <si>
    <t>Local Crop Prices ($/Bu; $/lb)</t>
  </si>
  <si>
    <t>Production (Bu or lbs)</t>
  </si>
  <si>
    <t>Cotton seeds sales</t>
  </si>
  <si>
    <t>Actual Production History (APH) Yield</t>
  </si>
  <si>
    <t>Premiums for Insurance</t>
  </si>
  <si>
    <t>Total Premium for Insurance</t>
  </si>
  <si>
    <t>Variable Costs - Crop</t>
  </si>
  <si>
    <t>Simply = Production * $/bu harvesting cost</t>
  </si>
  <si>
    <t>Cotton Market</t>
  </si>
  <si>
    <t>Cotton Indemnity</t>
  </si>
  <si>
    <t>Cotton VC</t>
  </si>
  <si>
    <t>Cotton Harvest</t>
  </si>
  <si>
    <t>Loan</t>
  </si>
  <si>
    <t>Investment</t>
  </si>
  <si>
    <t>Land rent</t>
  </si>
  <si>
    <t>Techn.</t>
  </si>
  <si>
    <t>TOT.</t>
  </si>
  <si>
    <t xml:space="preserve">NPV </t>
  </si>
  <si>
    <t>P(EC&lt;0 one year)</t>
  </si>
  <si>
    <t>Cotton Pr ($/lb)</t>
  </si>
  <si>
    <t>Corn Pr ($/Bu)</t>
  </si>
  <si>
    <t>Cotton Yld (lb/Ac)</t>
  </si>
  <si>
    <t>Corn Yld (Bu/Ac)</t>
  </si>
  <si>
    <t>Baseline</t>
  </si>
  <si>
    <t>Alt. 1- ReducedTill</t>
  </si>
  <si>
    <t>Historical National Prices and Actual Yields for the farm</t>
  </si>
  <si>
    <t xml:space="preserve">Amount </t>
  </si>
  <si>
    <t>No. Year for</t>
  </si>
  <si>
    <t>Annual</t>
  </si>
  <si>
    <t>First Year of</t>
  </si>
  <si>
    <t>Borrowed</t>
  </si>
  <si>
    <t>Loan Life</t>
  </si>
  <si>
    <t>the Loan</t>
  </si>
  <si>
    <t>The =PMT() formula is in column C and the other columns contain other data to simulate a loan.</t>
  </si>
  <si>
    <t>Constant</t>
  </si>
  <si>
    <t>Calculate</t>
  </si>
  <si>
    <t xml:space="preserve">Total Cost </t>
  </si>
  <si>
    <t>Interest</t>
  </si>
  <si>
    <t>Principal</t>
  </si>
  <si>
    <t xml:space="preserve">Balance </t>
  </si>
  <si>
    <t>of Loan</t>
  </si>
  <si>
    <t>Years</t>
  </si>
  <si>
    <t>Debt Jan. 1st</t>
  </si>
  <si>
    <t>Payment</t>
  </si>
  <si>
    <t>Paid</t>
  </si>
  <si>
    <t>on Dec. 31st</t>
  </si>
  <si>
    <t>to Date</t>
  </si>
  <si>
    <t>Life of the loan</t>
  </si>
  <si>
    <t>Loan information and computation</t>
  </si>
  <si>
    <t>Beg Debt Jan 1</t>
  </si>
  <si>
    <t>Interest Paid</t>
  </si>
  <si>
    <t>Principal Paid</t>
  </si>
  <si>
    <t>Debt Dec 31</t>
  </si>
  <si>
    <t>Loan performance and output</t>
  </si>
  <si>
    <t>Year 1</t>
  </si>
  <si>
    <t>Year 2</t>
  </si>
  <si>
    <t>Year 3</t>
  </si>
  <si>
    <t>Year 4</t>
  </si>
  <si>
    <t>Year 5</t>
  </si>
  <si>
    <t>Net Cash Income</t>
  </si>
  <si>
    <t>Depreciation</t>
  </si>
  <si>
    <t>Other Deductions</t>
  </si>
  <si>
    <t>Taxable Income</t>
  </si>
  <si>
    <t xml:space="preserve">Table 2.  Income Tax Schedule for a Corporation Uses Taxable Income.  </t>
  </si>
  <si>
    <t xml:space="preserve"> Rates and Brackets in the 2017 Tax Act.</t>
  </si>
  <si>
    <t>Taxable income Over--</t>
  </si>
  <si>
    <t>But Not</t>
  </si>
  <si>
    <t>Base Tax</t>
  </si>
  <si>
    <t>Marginal</t>
  </si>
  <si>
    <t>of--</t>
  </si>
  <si>
    <t>Over--</t>
  </si>
  <si>
    <t>is:</t>
  </si>
  <si>
    <t>Tax Rate</t>
  </si>
  <si>
    <t>Calculate the income taxes using VLOOKUP to find values in the tax schedule</t>
  </si>
  <si>
    <t>Total Taxes</t>
  </si>
  <si>
    <t>Min Tax Bracket</t>
  </si>
  <si>
    <t>Min Tax in Bracket</t>
  </si>
  <si>
    <t>Corporate</t>
  </si>
  <si>
    <t>Marginal Tax Rate</t>
  </si>
  <si>
    <t>Income Taxes Due</t>
  </si>
  <si>
    <t>Taxes Due</t>
  </si>
  <si>
    <t>Land Loan Debt</t>
  </si>
  <si>
    <t>Input for the Land Loan</t>
  </si>
  <si>
    <t>Outstanding Loans-Land</t>
  </si>
  <si>
    <t>Corn Prc ($/Bu)</t>
  </si>
  <si>
    <t>Cotton Prc ($/lb)</t>
  </si>
  <si>
    <t>Cotton Yld (lbs/Ac)</t>
  </si>
  <si>
    <t>(interest rate wedge added to national prime interest rate)</t>
  </si>
  <si>
    <t>2023 Costs</t>
  </si>
  <si>
    <t>KOV for scenarios</t>
  </si>
  <si>
    <t>Variable</t>
  </si>
  <si>
    <t>Mean</t>
  </si>
  <si>
    <t>StDev</t>
  </si>
  <si>
    <t>CV</t>
  </si>
  <si>
    <t>Min</t>
  </si>
  <si>
    <t>Max</t>
  </si>
  <si>
    <t>Harvesting $/Ac</t>
  </si>
  <si>
    <t>Crop1 Harvest $/bu</t>
  </si>
  <si>
    <t>Stochastic prices &amp; yields</t>
  </si>
  <si>
    <t>Generate</t>
  </si>
  <si>
    <t>NCFI 1_CT</t>
  </si>
  <si>
    <t>NPV_CT</t>
  </si>
  <si>
    <t>Sim values</t>
  </si>
  <si>
    <t>Crop2 Harvest $/Ac</t>
  </si>
  <si>
    <t>Year</t>
  </si>
  <si>
    <t>Empirical Fractional Deviates from Trend</t>
  </si>
  <si>
    <t>Output for Empirical Distributions with 10 Observations as Precent Deviations from Trend</t>
  </si>
  <si>
    <t>Unsorted Deviations from Trend</t>
  </si>
  <si>
    <t>Obs.</t>
  </si>
  <si>
    <t>Slope</t>
  </si>
  <si>
    <t>Intercept</t>
  </si>
  <si>
    <t>Autocorrelation Coefficient</t>
  </si>
  <si>
    <t>Unsorted Deviations from Trend as a Percent of Predicted</t>
  </si>
  <si>
    <t>Correlation Matrix</t>
  </si>
  <si>
    <t>Sorted Deviations from Trend as a Percent of Predicted</t>
  </si>
  <si>
    <t>F(x)</t>
  </si>
  <si>
    <t>CUSDs</t>
  </si>
  <si>
    <t>Stochastic Deviates</t>
  </si>
  <si>
    <t>Forecasted Prices and Yields</t>
  </si>
  <si>
    <t>=(Stoch!E$4-(E$32+$A$20*E$31))/(E$32+$A$20*E$31)</t>
  </si>
  <si>
    <t>=Stoch!E$13-(E$32+$A$29*E$31)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</si>
</sst>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8" formatCode="&quot;$&quot;#,##0.00_);[Red]\(&quot;$&quot;#,##0.00\)"/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66" formatCode="0.000"/>
    <numFmt numFmtId="167" formatCode="0.00000"/>
    <numFmt numFmtId="168" formatCode="0.0%"/>
    <numFmt numFmtId="169" formatCode="0.0"/>
    <numFmt numFmtId="170" formatCode="#,##0.000_);\(#,##0.000\)"/>
  </numFmts>
  <fonts count="3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0000"/>
      <name val="Calibri"/>
      <family val="2"/>
      <scheme val="minor"/>
    </font>
    <font>
      <b/>
      <sz val="12"/>
      <name val="Arial"/>
      <family val="2"/>
    </font>
    <font>
      <b/>
      <sz val="11"/>
      <name val="Calibri "/>
    </font>
    <font>
      <b/>
      <sz val="11"/>
      <name val="Calibri"/>
      <family val="2"/>
      <scheme val="minor"/>
    </font>
    <font>
      <b/>
      <u/>
      <sz val="12"/>
      <name val="Arial"/>
      <family val="2"/>
    </font>
    <font>
      <b/>
      <sz val="14"/>
      <color theme="1"/>
      <name val="Calibri"/>
      <family val="2"/>
      <scheme val="minor"/>
    </font>
    <font>
      <sz val="11"/>
      <name val="Arial"/>
      <family val="2"/>
    </font>
    <font>
      <b/>
      <u/>
      <sz val="11"/>
      <name val="Arial"/>
      <family val="2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ptos Narrow"/>
      <family val="2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ck">
        <color indexed="8"/>
      </bottom>
      <diagonal/>
    </border>
    <border>
      <left/>
      <right/>
      <top style="thick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4">
    <xf numFmtId="0" fontId="0" fillId="0" borderId="0" xfId="0"/>
    <xf numFmtId="165" fontId="0" fillId="0" borderId="0" xfId="1" applyNumberFormat="1" applyFont="1"/>
    <xf numFmtId="0" fontId="0" fillId="2" borderId="0" xfId="0" applyFill="1"/>
    <xf numFmtId="0" fontId="2" fillId="0" borderId="0" xfId="0" applyFont="1"/>
    <xf numFmtId="2" fontId="0" fillId="0" borderId="0" xfId="0" applyNumberFormat="1"/>
    <xf numFmtId="165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165" fontId="2" fillId="0" borderId="0" xfId="1" applyNumberFormat="1" applyFont="1"/>
    <xf numFmtId="165" fontId="2" fillId="0" borderId="0" xfId="0" applyNumberFormat="1" applyFont="1"/>
    <xf numFmtId="0" fontId="0" fillId="3" borderId="0" xfId="0" applyFill="1"/>
    <xf numFmtId="0" fontId="2" fillId="0" borderId="8" xfId="0" applyFont="1" applyBorder="1"/>
    <xf numFmtId="0" fontId="2" fillId="0" borderId="8" xfId="0" applyFont="1" applyBorder="1" applyAlignment="1">
      <alignment horizontal="left"/>
    </xf>
    <xf numFmtId="165" fontId="0" fillId="0" borderId="8" xfId="0" applyNumberFormat="1" applyBorder="1"/>
    <xf numFmtId="37" fontId="0" fillId="0" borderId="0" xfId="0" applyNumberFormat="1"/>
    <xf numFmtId="165" fontId="0" fillId="0" borderId="8" xfId="1" applyNumberFormat="1" applyFont="1" applyBorder="1"/>
    <xf numFmtId="0" fontId="0" fillId="0" borderId="0" xfId="0" applyAlignment="1">
      <alignment horizontal="left" indent="2"/>
    </xf>
    <xf numFmtId="0" fontId="2" fillId="0" borderId="0" xfId="0" applyFont="1" applyAlignment="1">
      <alignment horizontal="left" indent="1"/>
    </xf>
    <xf numFmtId="0" fontId="2" fillId="2" borderId="0" xfId="0" applyFont="1" applyFill="1" applyAlignment="1">
      <alignment horizontal="left" indent="1"/>
    </xf>
    <xf numFmtId="165" fontId="2" fillId="2" borderId="0" xfId="0" applyNumberFormat="1" applyFont="1" applyFill="1"/>
    <xf numFmtId="43" fontId="0" fillId="0" borderId="0" xfId="1" applyFont="1"/>
    <xf numFmtId="165" fontId="0" fillId="2" borderId="0" xfId="1" applyNumberFormat="1" applyFont="1" applyFill="1"/>
    <xf numFmtId="166" fontId="0" fillId="0" borderId="0" xfId="0" applyNumberFormat="1"/>
    <xf numFmtId="165" fontId="2" fillId="2" borderId="0" xfId="1" applyNumberFormat="1" applyFont="1" applyFill="1"/>
    <xf numFmtId="0" fontId="0" fillId="0" borderId="8" xfId="0" applyBorder="1"/>
    <xf numFmtId="0" fontId="2" fillId="2" borderId="0" xfId="0" applyFont="1" applyFill="1"/>
    <xf numFmtId="2" fontId="2" fillId="2" borderId="0" xfId="0" applyNumberFormat="1" applyFont="1" applyFill="1"/>
    <xf numFmtId="43" fontId="0" fillId="0" borderId="0" xfId="0" applyNumberFormat="1"/>
    <xf numFmtId="166" fontId="2" fillId="0" borderId="0" xfId="0" applyNumberFormat="1" applyFont="1"/>
    <xf numFmtId="0" fontId="2" fillId="0" borderId="0" xfId="0" applyFont="1" applyAlignment="1">
      <alignment horizontal="center"/>
    </xf>
    <xf numFmtId="0" fontId="0" fillId="0" borderId="8" xfId="0" applyBorder="1" applyAlignment="1">
      <alignment horizontal="left" indent="2"/>
    </xf>
    <xf numFmtId="2" fontId="2" fillId="2" borderId="8" xfId="0" applyNumberFormat="1" applyFont="1" applyFill="1" applyBorder="1"/>
    <xf numFmtId="0" fontId="7" fillId="4" borderId="0" xfId="0" applyFont="1" applyFill="1"/>
    <xf numFmtId="0" fontId="4" fillId="0" borderId="10" xfId="0" applyFont="1" applyBorder="1"/>
    <xf numFmtId="0" fontId="0" fillId="0" borderId="11" xfId="0" applyBorder="1"/>
    <xf numFmtId="0" fontId="0" fillId="0" borderId="12" xfId="0" applyBorder="1"/>
    <xf numFmtId="0" fontId="2" fillId="4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" xfId="0" applyBorder="1"/>
    <xf numFmtId="0" fontId="0" fillId="0" borderId="3" xfId="0" applyBorder="1"/>
    <xf numFmtId="0" fontId="4" fillId="0" borderId="0" xfId="0" applyFont="1"/>
    <xf numFmtId="167" fontId="0" fillId="0" borderId="0" xfId="0" applyNumberFormat="1"/>
    <xf numFmtId="165" fontId="0" fillId="0" borderId="0" xfId="1" applyNumberFormat="1" applyFont="1" applyBorder="1"/>
    <xf numFmtId="168" fontId="0" fillId="0" borderId="0" xfId="2" applyNumberFormat="1" applyFont="1" applyBorder="1"/>
    <xf numFmtId="0" fontId="0" fillId="0" borderId="0" xfId="0" applyAlignment="1">
      <alignment horizontal="right"/>
    </xf>
    <xf numFmtId="9" fontId="0" fillId="0" borderId="0" xfId="0" applyNumberFormat="1"/>
    <xf numFmtId="0" fontId="0" fillId="0" borderId="7" xfId="0" applyBorder="1"/>
    <xf numFmtId="0" fontId="0" fillId="0" borderId="9" xfId="0" applyBorder="1"/>
    <xf numFmtId="0" fontId="10" fillId="4" borderId="0" xfId="0" applyFont="1" applyFill="1" applyAlignment="1">
      <alignment horizontal="left"/>
    </xf>
    <xf numFmtId="0" fontId="9" fillId="4" borderId="0" xfId="0" applyFont="1" applyFill="1" applyAlignment="1">
      <alignment horizontal="left" indent="1"/>
    </xf>
    <xf numFmtId="0" fontId="2" fillId="4" borderId="0" xfId="0" applyFont="1" applyFill="1" applyAlignment="1">
      <alignment horizontal="left" indent="1"/>
    </xf>
    <xf numFmtId="169" fontId="0" fillId="0" borderId="0" xfId="0" applyNumberFormat="1"/>
    <xf numFmtId="169" fontId="2" fillId="0" borderId="0" xfId="0" applyNumberFormat="1" applyFont="1"/>
    <xf numFmtId="0" fontId="12" fillId="0" borderId="0" xfId="0" applyFont="1"/>
    <xf numFmtId="0" fontId="2" fillId="4" borderId="0" xfId="0" applyFont="1" applyFill="1"/>
    <xf numFmtId="1" fontId="13" fillId="0" borderId="0" xfId="2" applyNumberFormat="1" applyFont="1"/>
    <xf numFmtId="0" fontId="14" fillId="0" borderId="0" xfId="0" applyFont="1" applyAlignment="1">
      <alignment horizontal="left"/>
    </xf>
    <xf numFmtId="1" fontId="13" fillId="0" borderId="0" xfId="2" applyNumberFormat="1" applyFont="1" applyBorder="1"/>
    <xf numFmtId="0" fontId="15" fillId="0" borderId="0" xfId="0" applyFont="1" applyAlignment="1">
      <alignment horizontal="left" indent="1"/>
    </xf>
    <xf numFmtId="0" fontId="9" fillId="2" borderId="0" xfId="0" applyFont="1" applyFill="1" applyAlignment="1">
      <alignment horizontal="left" indent="1"/>
    </xf>
    <xf numFmtId="0" fontId="16" fillId="0" borderId="0" xfId="0" applyFont="1"/>
    <xf numFmtId="0" fontId="17" fillId="0" borderId="0" xfId="0" applyFont="1"/>
    <xf numFmtId="164" fontId="0" fillId="0" borderId="0" xfId="1" applyNumberFormat="1" applyFont="1" applyFill="1" applyBorder="1"/>
    <xf numFmtId="0" fontId="2" fillId="3" borderId="13" xfId="0" applyFont="1" applyFill="1" applyBorder="1"/>
    <xf numFmtId="0" fontId="0" fillId="3" borderId="14" xfId="0" applyFill="1" applyBorder="1"/>
    <xf numFmtId="0" fontId="0" fillId="3" borderId="13" xfId="0" applyFill="1" applyBorder="1"/>
    <xf numFmtId="0" fontId="0" fillId="3" borderId="15" xfId="0" applyFill="1" applyBorder="1"/>
    <xf numFmtId="0" fontId="0" fillId="3" borderId="0" xfId="0" applyFill="1" applyAlignment="1">
      <alignment horizontal="left" indent="2"/>
    </xf>
    <xf numFmtId="165" fontId="0" fillId="3" borderId="0" xfId="1" applyNumberFormat="1" applyFont="1" applyFill="1"/>
    <xf numFmtId="164" fontId="0" fillId="0" borderId="0" xfId="1" applyNumberFormat="1" applyFont="1"/>
    <xf numFmtId="1" fontId="2" fillId="2" borderId="0" xfId="0" applyNumberFormat="1" applyFont="1" applyFill="1"/>
    <xf numFmtId="0" fontId="2" fillId="2" borderId="14" xfId="0" applyFont="1" applyFill="1" applyBorder="1"/>
    <xf numFmtId="165" fontId="2" fillId="2" borderId="0" xfId="1" applyNumberFormat="1" applyFont="1" applyFill="1" applyBorder="1"/>
    <xf numFmtId="1" fontId="0" fillId="0" borderId="0" xfId="0" applyNumberFormat="1"/>
    <xf numFmtId="0" fontId="0" fillId="5" borderId="0" xfId="0" applyFill="1"/>
    <xf numFmtId="0" fontId="19" fillId="0" borderId="0" xfId="0" applyFont="1"/>
    <xf numFmtId="0" fontId="20" fillId="3" borderId="13" xfId="0" applyFont="1" applyFill="1" applyBorder="1"/>
    <xf numFmtId="0" fontId="0" fillId="0" borderId="14" xfId="0" applyBorder="1"/>
    <xf numFmtId="1" fontId="7" fillId="2" borderId="0" xfId="0" applyNumberFormat="1" applyFont="1" applyFill="1"/>
    <xf numFmtId="0" fontId="7" fillId="2" borderId="0" xfId="0" applyFont="1" applyFill="1"/>
    <xf numFmtId="0" fontId="21" fillId="0" borderId="0" xfId="0" applyFont="1"/>
    <xf numFmtId="0" fontId="2" fillId="0" borderId="0" xfId="0" applyFont="1" applyAlignment="1">
      <alignment horizontal="right"/>
    </xf>
    <xf numFmtId="0" fontId="0" fillId="3" borderId="0" xfId="0" applyFill="1" applyAlignment="1">
      <alignment vertical="top"/>
    </xf>
    <xf numFmtId="1" fontId="7" fillId="6" borderId="0" xfId="0" applyNumberFormat="1" applyFont="1" applyFill="1"/>
    <xf numFmtId="169" fontId="7" fillId="2" borderId="0" xfId="0" applyNumberFormat="1" applyFont="1" applyFill="1"/>
    <xf numFmtId="0" fontId="0" fillId="6" borderId="0" xfId="0" applyFill="1" applyAlignment="1">
      <alignment horizontal="left" indent="2"/>
    </xf>
    <xf numFmtId="1" fontId="2" fillId="6" borderId="0" xfId="0" applyNumberFormat="1" applyFont="1" applyFill="1"/>
    <xf numFmtId="0" fontId="0" fillId="3" borderId="0" xfId="0" applyFill="1" applyAlignment="1">
      <alignment horizontal="left"/>
    </xf>
    <xf numFmtId="2" fontId="7" fillId="2" borderId="0" xfId="0" applyNumberFormat="1" applyFont="1" applyFill="1"/>
    <xf numFmtId="166" fontId="2" fillId="2" borderId="0" xfId="0" applyNumberFormat="1" applyFont="1" applyFill="1"/>
    <xf numFmtId="1" fontId="2" fillId="0" borderId="0" xfId="0" applyNumberFormat="1" applyFont="1"/>
    <xf numFmtId="0" fontId="0" fillId="7" borderId="0" xfId="0" applyFill="1" applyAlignment="1">
      <alignment horizontal="left" indent="1"/>
    </xf>
    <xf numFmtId="165" fontId="3" fillId="0" borderId="0" xfId="0" applyNumberFormat="1" applyFont="1"/>
    <xf numFmtId="0" fontId="15" fillId="0" borderId="0" xfId="0" applyFont="1"/>
    <xf numFmtId="0" fontId="0" fillId="5" borderId="0" xfId="0" applyFill="1" applyAlignment="1">
      <alignment horizontal="left" indent="1"/>
    </xf>
    <xf numFmtId="165" fontId="2" fillId="0" borderId="8" xfId="0" applyNumberFormat="1" applyFont="1" applyBorder="1"/>
    <xf numFmtId="0" fontId="2" fillId="0" borderId="0" xfId="0" applyFont="1" applyAlignment="1">
      <alignment horizontal="left" indent="2"/>
    </xf>
    <xf numFmtId="165" fontId="0" fillId="8" borderId="0" xfId="1" applyNumberFormat="1" applyFont="1" applyFill="1"/>
    <xf numFmtId="165" fontId="2" fillId="0" borderId="8" xfId="1" applyNumberFormat="1" applyFont="1" applyBorder="1"/>
    <xf numFmtId="0" fontId="2" fillId="9" borderId="0" xfId="0" applyFont="1" applyFill="1"/>
    <xf numFmtId="0" fontId="23" fillId="0" borderId="0" xfId="0" applyFont="1" applyAlignment="1">
      <alignment horizontal="center"/>
    </xf>
    <xf numFmtId="0" fontId="24" fillId="0" borderId="4" xfId="0" applyFont="1" applyBorder="1" applyAlignment="1">
      <alignment horizontal="center"/>
    </xf>
    <xf numFmtId="0" fontId="24" fillId="0" borderId="5" xfId="0" applyFont="1" applyBorder="1" applyAlignment="1">
      <alignment horizontal="center"/>
    </xf>
    <xf numFmtId="0" fontId="22" fillId="0" borderId="6" xfId="0" applyFont="1" applyBorder="1" applyAlignment="1">
      <alignment horizontal="center"/>
    </xf>
    <xf numFmtId="0" fontId="24" fillId="0" borderId="2" xfId="0" applyFont="1" applyBorder="1" applyAlignment="1">
      <alignment horizontal="center"/>
    </xf>
    <xf numFmtId="0" fontId="22" fillId="0" borderId="3" xfId="0" applyFont="1" applyBorder="1" applyAlignment="1">
      <alignment horizontal="center"/>
    </xf>
    <xf numFmtId="8" fontId="23" fillId="0" borderId="0" xfId="0" applyNumberFormat="1" applyFont="1" applyAlignment="1">
      <alignment horizontal="center"/>
    </xf>
    <xf numFmtId="165" fontId="24" fillId="2" borderId="7" xfId="1" applyNumberFormat="1" applyFont="1" applyFill="1" applyBorder="1"/>
    <xf numFmtId="0" fontId="24" fillId="2" borderId="8" xfId="0" applyFont="1" applyFill="1" applyBorder="1"/>
    <xf numFmtId="0" fontId="22" fillId="2" borderId="9" xfId="0" applyFont="1" applyFill="1" applyBorder="1" applyAlignment="1">
      <alignment horizontal="center"/>
    </xf>
    <xf numFmtId="0" fontId="23" fillId="0" borderId="2" xfId="0" applyFont="1" applyBorder="1" applyAlignment="1">
      <alignment horizontal="center"/>
    </xf>
    <xf numFmtId="0" fontId="22" fillId="0" borderId="0" xfId="0" applyFont="1" applyAlignment="1">
      <alignment horizontal="left"/>
    </xf>
    <xf numFmtId="0" fontId="24" fillId="0" borderId="0" xfId="0" applyFont="1" applyAlignment="1">
      <alignment horizontal="center"/>
    </xf>
    <xf numFmtId="0" fontId="0" fillId="10" borderId="0" xfId="0" applyFill="1"/>
    <xf numFmtId="0" fontId="15" fillId="10" borderId="0" xfId="0" applyFont="1" applyFill="1"/>
    <xf numFmtId="0" fontId="18" fillId="10" borderId="0" xfId="0" applyFont="1" applyFill="1"/>
    <xf numFmtId="0" fontId="2" fillId="10" borderId="0" xfId="0" applyFont="1" applyFill="1"/>
    <xf numFmtId="0" fontId="23" fillId="0" borderId="16" xfId="0" applyFont="1" applyBorder="1" applyAlignment="1">
      <alignment horizontal="left"/>
    </xf>
    <xf numFmtId="0" fontId="23" fillId="0" borderId="1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23" fillId="0" borderId="7" xfId="0" applyFont="1" applyBorder="1" applyAlignment="1">
      <alignment horizontal="center"/>
    </xf>
    <xf numFmtId="0" fontId="2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39" fontId="3" fillId="0" borderId="5" xfId="0" applyNumberFormat="1" applyFont="1" applyBorder="1" applyAlignment="1">
      <alignment horizontal="right"/>
    </xf>
    <xf numFmtId="0" fontId="3" fillId="0" borderId="6" xfId="0" applyFont="1" applyBorder="1" applyAlignment="1">
      <alignment horizontal="center"/>
    </xf>
    <xf numFmtId="39" fontId="3" fillId="0" borderId="0" xfId="0" applyNumberFormat="1" applyFont="1" applyAlignment="1">
      <alignment horizontal="right"/>
    </xf>
    <xf numFmtId="39" fontId="4" fillId="0" borderId="0" xfId="0" applyNumberFormat="1" applyFont="1" applyAlignment="1">
      <alignment horizontal="right"/>
    </xf>
    <xf numFmtId="0" fontId="4" fillId="0" borderId="3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39" fontId="3" fillId="0" borderId="8" xfId="0" applyNumberFormat="1" applyFont="1" applyBorder="1" applyAlignment="1">
      <alignment horizontal="right"/>
    </xf>
    <xf numFmtId="0" fontId="15" fillId="4" borderId="0" xfId="0" applyFont="1" applyFill="1"/>
    <xf numFmtId="0" fontId="25" fillId="0" borderId="18" xfId="0" applyFont="1" applyBorder="1"/>
    <xf numFmtId="0" fontId="25" fillId="0" borderId="8" xfId="0" applyFont="1" applyBorder="1"/>
    <xf numFmtId="0" fontId="25" fillId="0" borderId="0" xfId="0" applyFont="1"/>
    <xf numFmtId="165" fontId="25" fillId="0" borderId="0" xfId="1" applyNumberFormat="1" applyFont="1"/>
    <xf numFmtId="37" fontId="25" fillId="0" borderId="0" xfId="0" applyNumberFormat="1" applyFont="1"/>
    <xf numFmtId="0" fontId="25" fillId="0" borderId="19" xfId="0" applyFont="1" applyBorder="1"/>
    <xf numFmtId="0" fontId="26" fillId="0" borderId="0" xfId="0" applyFont="1"/>
    <xf numFmtId="3" fontId="26" fillId="0" borderId="0" xfId="0" applyNumberFormat="1" applyFont="1"/>
    <xf numFmtId="1" fontId="26" fillId="0" borderId="0" xfId="0" applyNumberFormat="1" applyFont="1"/>
    <xf numFmtId="165" fontId="26" fillId="0" borderId="0" xfId="1" applyNumberFormat="1" applyFont="1"/>
    <xf numFmtId="3" fontId="26" fillId="0" borderId="8" xfId="0" applyNumberFormat="1" applyFont="1" applyBorder="1"/>
    <xf numFmtId="165" fontId="26" fillId="0" borderId="8" xfId="1" applyNumberFormat="1" applyFont="1" applyBorder="1"/>
    <xf numFmtId="0" fontId="26" fillId="0" borderId="8" xfId="0" applyFont="1" applyBorder="1"/>
    <xf numFmtId="37" fontId="24" fillId="0" borderId="1" xfId="0" applyNumberFormat="1" applyFont="1" applyBorder="1"/>
    <xf numFmtId="37" fontId="27" fillId="0" borderId="0" xfId="0" applyNumberFormat="1" applyFont="1"/>
    <xf numFmtId="37" fontId="26" fillId="0" borderId="0" xfId="0" applyNumberFormat="1" applyFont="1"/>
    <xf numFmtId="0" fontId="25" fillId="0" borderId="0" xfId="0" applyFont="1" applyAlignment="1">
      <alignment horizontal="center"/>
    </xf>
    <xf numFmtId="37" fontId="25" fillId="0" borderId="1" xfId="0" applyNumberFormat="1" applyFont="1" applyBorder="1"/>
    <xf numFmtId="0" fontId="25" fillId="0" borderId="18" xfId="0" applyFont="1" applyBorder="1" applyAlignment="1">
      <alignment horizontal="center"/>
    </xf>
    <xf numFmtId="0" fontId="27" fillId="0" borderId="0" xfId="0" applyFont="1"/>
    <xf numFmtId="170" fontId="25" fillId="0" borderId="0" xfId="0" applyNumberFormat="1" applyFont="1"/>
    <xf numFmtId="37" fontId="25" fillId="0" borderId="18" xfId="0" applyNumberFormat="1" applyFont="1" applyBorder="1"/>
    <xf numFmtId="169" fontId="0" fillId="7" borderId="0" xfId="0" applyNumberFormat="1" applyFill="1"/>
    <xf numFmtId="2" fontId="0" fillId="7" borderId="0" xfId="0" applyNumberFormat="1" applyFill="1"/>
    <xf numFmtId="1" fontId="0" fillId="7" borderId="0" xfId="0" applyNumberFormat="1" applyFill="1"/>
    <xf numFmtId="165" fontId="0" fillId="4" borderId="0" xfId="0" applyNumberFormat="1" applyFill="1"/>
    <xf numFmtId="165" fontId="0" fillId="2" borderId="0" xfId="0" applyNumberFormat="1" applyFill="1"/>
    <xf numFmtId="165" fontId="0" fillId="4" borderId="0" xfId="1" applyNumberFormat="1" applyFont="1" applyFill="1"/>
    <xf numFmtId="0" fontId="30" fillId="3" borderId="0" xfId="0" applyFont="1" applyFill="1" applyAlignment="1">
      <alignment horizontal="left" indent="2"/>
    </xf>
    <xf numFmtId="0" fontId="0" fillId="11" borderId="0" xfId="0" applyFill="1"/>
    <xf numFmtId="0" fontId="0" fillId="11" borderId="0" xfId="0" applyFill="1" applyAlignment="1">
      <alignment horizontal="left"/>
    </xf>
    <xf numFmtId="0" fontId="0" fillId="11" borderId="0" xfId="0" applyFill="1" applyAlignment="1">
      <alignment horizontal="left" indent="1"/>
    </xf>
    <xf numFmtId="0" fontId="0" fillId="0" borderId="20" xfId="0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ustomXml" Target="../ink/ink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243805</xdr:colOff>
      <xdr:row>5</xdr:row>
      <xdr:rowOff>44450</xdr:rowOff>
    </xdr:from>
    <xdr:to>
      <xdr:col>22</xdr:col>
      <xdr:colOff>95251</xdr:colOff>
      <xdr:row>13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172EE9C-BA58-FA49-CC90-C3E38CF8C3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9055" y="965200"/>
          <a:ext cx="10500396" cy="1543050"/>
        </a:xfrm>
        <a:prstGeom prst="rect">
          <a:avLst/>
        </a:prstGeom>
      </xdr:spPr>
    </xdr:pic>
    <xdr:clientData/>
  </xdr:twoCellAnchor>
  <xdr:twoCellAnchor editAs="oneCell">
    <xdr:from>
      <xdr:col>17</xdr:col>
      <xdr:colOff>146050</xdr:colOff>
      <xdr:row>6</xdr:row>
      <xdr:rowOff>125860</xdr:rowOff>
    </xdr:from>
    <xdr:to>
      <xdr:col>18</xdr:col>
      <xdr:colOff>222250</xdr:colOff>
      <xdr:row>12</xdr:row>
      <xdr:rowOff>160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6C7D0E61-B920-C31A-8C77-E177904B5D97}"/>
                </a:ext>
              </a:extLst>
            </xdr14:cNvPr>
            <xdr14:cNvContentPartPr/>
          </xdr14:nvContentPartPr>
          <xdr14:nvPr macro=""/>
          <xdr14:xfrm>
            <a:off x="12922250" y="1230760"/>
            <a:ext cx="685800" cy="979200"/>
          </xdr14:xfrm>
        </xdr:contentPart>
      </mc:Choice>
      <mc:Fallback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6C7D0E61-B920-C31A-8C77-E177904B5D97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2916130" y="1224640"/>
              <a:ext cx="698040" cy="99144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2</xdr:col>
      <xdr:colOff>806450</xdr:colOff>
      <xdr:row>10</xdr:row>
      <xdr:rowOff>114300</xdr:rowOff>
    </xdr:from>
    <xdr:to>
      <xdr:col>17</xdr:col>
      <xdr:colOff>203200</xdr:colOff>
      <xdr:row>15</xdr:row>
      <xdr:rowOff>57150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473B6412-3489-1D79-6066-726E719C007F}"/>
            </a:ext>
          </a:extLst>
        </xdr:cNvPr>
        <xdr:cNvCxnSpPr/>
      </xdr:nvCxnSpPr>
      <xdr:spPr>
        <a:xfrm flipV="1">
          <a:off x="2457450" y="1955800"/>
          <a:ext cx="10521950" cy="86360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cbiz\Documents\AgriLife_Projects\Eco-HAWQS_USDA\Model%20&amp;%20Data_HAWQS\FarmSim_Eco-HAWQS_Model_11-2024.xlsx" TargetMode="External"/><Relationship Id="rId1" Type="http://schemas.openxmlformats.org/officeDocument/2006/relationships/externalLinkPath" Target="FarmSim_Eco-HAWQS_Model_11-20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imData"/>
      <sheetName val="SimData1"/>
      <sheetName val="SERFTbl1"/>
      <sheetName val="Model"/>
      <sheetName val="Stoch"/>
      <sheetName val="Finance"/>
      <sheetName val="Prod.Costs"/>
      <sheetName val="Taxes"/>
      <sheetName val="Hist. Prices&amp;Yld"/>
      <sheetName val="GenericModel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20">
          <cell r="I20">
            <v>4.78</v>
          </cell>
        </row>
        <row r="21">
          <cell r="I21">
            <v>0.91</v>
          </cell>
        </row>
        <row r="30">
          <cell r="D30">
            <v>131.93</v>
          </cell>
          <cell r="E30">
            <v>916.52266666666674</v>
          </cell>
        </row>
      </sheetData>
      <sheetData sheetId="5" refreshError="1"/>
      <sheetData sheetId="6" refreshError="1">
        <row r="11">
          <cell r="S11">
            <v>457482.95999999979</v>
          </cell>
        </row>
      </sheetData>
      <sheetData sheetId="7" refreshError="1"/>
      <sheetData sheetId="8" refreshError="1"/>
      <sheetData sheetId="9" refreshError="1"/>
    </sheetDataSet>
  </externalBook>
</externalLink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22T17:34:25.54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1905 1360 24502,'-1'54'0,"-1"-1"0,-2 0 0,-1 0 0,-2 0 0,-1-1 0,-1-1 0,-2 0 0,-1 0 0,-2-1 0,-1-1 0,-1-1 0,-2-1 0,-1-1 0,-1-1 0,-1-1 0,-2-2 0,0-1 0,-2-1 0,-1-1 0,-1-2 0,-1-2 0,-1-1 0,-1-2 0,0-1 0,-2-2 0,0-2 0,-1-2 0,-1-2 0,0-1 0,-1-3 0,0-2 0,-1-1 0,0-3 0,-1-1 0,1-3 0,-1-1 0,-1-3 0,1-2 0,0-2 0,-1-2 0,1-2 0,0-2 0,0-3 0,0-1 0,0-3 0,1-1 0,0-3 0,1-1 0,0-2 0,1-3 0,0-1 0,1-2 0,1-2 0,1-2 0,0-2 0,1-1 0,1-2 0,1-1 0,1-2 0,1-2 0,2-1 0,0-1 0,1-1 0,2-2 0,1-1 0,1-1 0,1-1 0,2-1 0,1-1 0,1-1 0,2-1 0,1 0 0,2 0 0,1-1 0,1-1 0,2 0 0,1 0 0,2 0 0,1-1 0,2 1 0,1 0 0,2 0 0,1 0 0,2 0 0,1 1 0,1 0 0,2 1 0,1 1 0,2 0 0,1 1 0,1 1 0,2 1 0,1 1 0,1 1 0,1 1 0,2 2 0,1 0 0,0 2 0,2 2 0,1 1 0,1 1 0,1 3 0,1 0 0,1 3 0,0 1 0,1 2 0,1 2 0,1 2 0,0 1 0,1 3 0,0 1 0,1 3 0,0 1 0,1 3 0,0 1 0,0 3 0,0 2 0,0 2 0,1 2 0,-1 2 0,0 2 0,1 2 0,-1 2 0,-1 3 0,1 1 0,-1 3 0,0 1 0,-1 3 0,0 1 0,-1 3 0,0 1 0,-1 2 0,-1 2 0,0 2 0,-2 1 0,0 3 0,-1 0 0,-1 3 0,-1 1 0,-1 1 0,-1 2 0,-2 2 0,0 0 0,-2 2 0,-1 1 0,-1 1 0,-1 1 0,-2 1 0,-1 1 0,-1 1 0,-2 0 0,-1 1 0,-2 1 0,-1 0 0,-1 1 0,-2 0 0,-1 0 0,-2 0 0,-1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E4FF6-03E0-544C-9A44-327F5720A691}">
  <sheetPr>
    <tabColor theme="4" tint="0.59999389629810485"/>
    <pageSetUpPr fitToPage="1"/>
  </sheetPr>
  <dimension ref="A1:R311"/>
  <sheetViews>
    <sheetView topLeftCell="A27" zoomScale="90" zoomScaleNormal="90" workbookViewId="0">
      <selection activeCell="D36" sqref="D36"/>
    </sheetView>
  </sheetViews>
  <sheetFormatPr defaultRowHeight="14.5"/>
  <cols>
    <col min="1" max="1" width="27.453125" customWidth="1"/>
    <col min="2" max="2" width="14.7265625" customWidth="1"/>
    <col min="3" max="3" width="13" customWidth="1"/>
    <col min="4" max="4" width="12.36328125" customWidth="1"/>
    <col min="5" max="5" width="12.08984375" customWidth="1"/>
    <col min="6" max="6" width="13.08984375" customWidth="1"/>
    <col min="7" max="7" width="18.26953125" customWidth="1"/>
    <col min="8" max="8" width="16.90625" customWidth="1"/>
    <col min="9" max="9" width="15.1796875" customWidth="1"/>
    <col min="10" max="10" width="16" customWidth="1"/>
    <col min="11" max="11" width="14.08984375" customWidth="1"/>
    <col min="12" max="12" width="15.90625" customWidth="1"/>
    <col min="13" max="13" width="12.1796875" customWidth="1"/>
    <col min="14" max="14" width="14.08984375" customWidth="1"/>
    <col min="15" max="15" width="14.453125" customWidth="1"/>
    <col min="16" max="16" width="12.453125" customWidth="1"/>
    <col min="17" max="17" width="11.36328125" customWidth="1"/>
  </cols>
  <sheetData>
    <row r="1" spans="1:5" ht="18.5">
      <c r="A1" s="59" t="str">
        <f>_xll.WBNAME()</f>
        <v>FarmSim_Eco-HAWQS_Model_Test.xlsx</v>
      </c>
      <c r="E1" t="str">
        <f>_xll.WBNAME()</f>
        <v>FarmSim_Eco-HAWQS_Model_Test.xlsx</v>
      </c>
    </row>
    <row r="2" spans="1:5">
      <c r="E2" t="str">
        <f ca="1">_xll.WSNAME()</f>
        <v>Model - Econ Data</v>
      </c>
    </row>
    <row r="3" spans="1:5">
      <c r="A3" t="s">
        <v>0</v>
      </c>
      <c r="B3" s="33">
        <v>2024</v>
      </c>
      <c r="C3" s="80"/>
    </row>
    <row r="4" spans="1:5">
      <c r="A4" t="s">
        <v>1</v>
      </c>
      <c r="B4" s="33">
        <v>2028</v>
      </c>
      <c r="C4" s="80"/>
    </row>
    <row r="5" spans="1:5">
      <c r="C5" s="80"/>
    </row>
    <row r="6" spans="1:5">
      <c r="A6" t="s">
        <v>26</v>
      </c>
      <c r="B6" s="26">
        <v>2000</v>
      </c>
      <c r="C6" s="80"/>
    </row>
    <row r="7" spans="1:5">
      <c r="A7" t="s">
        <v>156</v>
      </c>
      <c r="B7" s="26">
        <v>1000</v>
      </c>
      <c r="C7" s="80"/>
    </row>
    <row r="8" spans="1:5">
      <c r="A8" t="s">
        <v>2</v>
      </c>
      <c r="B8" s="26">
        <v>100</v>
      </c>
      <c r="C8" s="80"/>
    </row>
    <row r="9" spans="1:5">
      <c r="C9" s="80"/>
    </row>
    <row r="10" spans="1:5">
      <c r="A10" s="66" t="s">
        <v>144</v>
      </c>
      <c r="C10" s="80"/>
    </row>
    <row r="11" spans="1:5">
      <c r="A11" t="s">
        <v>64</v>
      </c>
      <c r="B11" s="24">
        <v>50000</v>
      </c>
      <c r="C11" s="80"/>
    </row>
    <row r="12" spans="1:5">
      <c r="A12" t="s">
        <v>109</v>
      </c>
      <c r="B12" s="24">
        <f>50*B6</f>
        <v>100000</v>
      </c>
      <c r="C12" s="80"/>
    </row>
    <row r="13" spans="1:5">
      <c r="B13" s="1"/>
      <c r="C13" s="80"/>
      <c r="D13" t="s">
        <v>111</v>
      </c>
    </row>
    <row r="14" spans="1:5">
      <c r="A14" t="s">
        <v>8</v>
      </c>
      <c r="B14" s="24">
        <v>25000</v>
      </c>
      <c r="C14" s="80"/>
    </row>
    <row r="15" spans="1:5">
      <c r="A15" t="s">
        <v>34</v>
      </c>
      <c r="B15" s="24">
        <v>0</v>
      </c>
      <c r="C15" s="80"/>
    </row>
    <row r="16" spans="1:5">
      <c r="C16" s="80"/>
    </row>
    <row r="17" spans="1:9">
      <c r="A17" t="s">
        <v>263</v>
      </c>
      <c r="C17" s="80"/>
    </row>
    <row r="18" spans="1:9">
      <c r="A18" s="6" t="s">
        <v>3</v>
      </c>
      <c r="B18" s="24">
        <v>50000</v>
      </c>
      <c r="C18" s="80"/>
    </row>
    <row r="19" spans="1:9">
      <c r="A19" s="6" t="s">
        <v>4</v>
      </c>
      <c r="B19" s="26">
        <v>2014</v>
      </c>
      <c r="C19" s="80"/>
    </row>
    <row r="20" spans="1:9">
      <c r="A20" s="6" t="s">
        <v>5</v>
      </c>
      <c r="B20" s="26">
        <v>20</v>
      </c>
      <c r="C20" s="80"/>
    </row>
    <row r="21" spans="1:9">
      <c r="A21" s="6" t="s">
        <v>6</v>
      </c>
      <c r="B21" s="26">
        <v>4.3999999999999997E-2</v>
      </c>
      <c r="C21" s="80"/>
    </row>
    <row r="22" spans="1:9">
      <c r="C22" s="80"/>
    </row>
    <row r="23" spans="1:9">
      <c r="A23" t="s">
        <v>7</v>
      </c>
      <c r="B23" s="78">
        <v>30000</v>
      </c>
      <c r="C23" s="80"/>
    </row>
    <row r="24" spans="1:9">
      <c r="A24" t="s">
        <v>36</v>
      </c>
      <c r="B24" s="78">
        <v>64000</v>
      </c>
      <c r="C24" s="80"/>
    </row>
    <row r="25" spans="1:9">
      <c r="A25" t="s">
        <v>10</v>
      </c>
      <c r="B25" s="78">
        <v>0</v>
      </c>
      <c r="C25" s="80"/>
      <c r="E25" t="s">
        <v>111</v>
      </c>
    </row>
    <row r="26" spans="1:9">
      <c r="B26" s="68"/>
      <c r="C26" s="80"/>
    </row>
    <row r="27" spans="1:9">
      <c r="A27" t="s">
        <v>9</v>
      </c>
      <c r="B27" s="26">
        <v>2.5000000000000001E-2</v>
      </c>
      <c r="C27" s="80"/>
    </row>
    <row r="28" spans="1:9">
      <c r="C28" s="80"/>
    </row>
    <row r="29" spans="1:9">
      <c r="A29" t="s">
        <v>11</v>
      </c>
      <c r="B29" s="26">
        <v>0.02</v>
      </c>
      <c r="C29" t="s">
        <v>267</v>
      </c>
    </row>
    <row r="30" spans="1:9">
      <c r="A30" t="s">
        <v>12</v>
      </c>
      <c r="B30" s="26">
        <v>0</v>
      </c>
      <c r="C30" t="s">
        <v>13</v>
      </c>
      <c r="I30" s="67"/>
    </row>
    <row r="31" spans="1:9">
      <c r="A31" t="s">
        <v>85</v>
      </c>
      <c r="B31" s="26">
        <v>0.02</v>
      </c>
    </row>
    <row r="33" spans="1:12">
      <c r="A33" s="81" t="str">
        <f>"Production Costs  " &amp;$B$3-1</f>
        <v>Production Costs  2023</v>
      </c>
      <c r="B33" s="81" t="s">
        <v>157</v>
      </c>
    </row>
    <row r="34" spans="1:12" ht="15.5">
      <c r="A34" s="82" t="s">
        <v>158</v>
      </c>
      <c r="B34" s="11"/>
      <c r="C34" s="11"/>
      <c r="D34" s="11"/>
      <c r="E34" s="11"/>
      <c r="F34" s="11"/>
      <c r="G34" s="11"/>
      <c r="H34" s="70"/>
    </row>
    <row r="35" spans="1:12">
      <c r="A35" s="81" t="s">
        <v>159</v>
      </c>
      <c r="B35" t="s">
        <v>145</v>
      </c>
      <c r="C35" t="s">
        <v>146</v>
      </c>
      <c r="D35" t="s">
        <v>147</v>
      </c>
      <c r="E35" t="s">
        <v>148</v>
      </c>
      <c r="F35" t="s">
        <v>276</v>
      </c>
      <c r="G35" t="s">
        <v>149</v>
      </c>
      <c r="H35" s="83" t="s">
        <v>16</v>
      </c>
      <c r="I35" s="80"/>
      <c r="L35" t="s">
        <v>15</v>
      </c>
    </row>
    <row r="36" spans="1:12">
      <c r="A36" s="71" t="s">
        <v>14</v>
      </c>
      <c r="B36" s="84">
        <v>93.75</v>
      </c>
      <c r="C36" s="84">
        <v>122.5595</v>
      </c>
      <c r="D36" s="84">
        <v>30.843499999999999</v>
      </c>
      <c r="E36" s="84">
        <v>24.897699999999997</v>
      </c>
      <c r="F36" s="85">
        <v>99</v>
      </c>
      <c r="G36" s="84">
        <v>132.07386932192847</v>
      </c>
      <c r="H36" s="77">
        <v>1</v>
      </c>
      <c r="I36" s="80"/>
      <c r="K36" t="s">
        <v>14</v>
      </c>
      <c r="L36">
        <v>0</v>
      </c>
    </row>
    <row r="37" spans="1:12">
      <c r="A37" s="71" t="s">
        <v>160</v>
      </c>
      <c r="B37" s="84">
        <v>82.05</v>
      </c>
      <c r="C37" s="84">
        <v>103.88700000000001</v>
      </c>
      <c r="D37" s="84">
        <v>88.427351562500021</v>
      </c>
      <c r="E37" s="84">
        <v>29.680000000000003</v>
      </c>
      <c r="F37" s="84">
        <v>273.08999999999992</v>
      </c>
      <c r="G37" s="84">
        <v>183.52655778381092</v>
      </c>
      <c r="H37" s="77">
        <v>0.1</v>
      </c>
      <c r="I37" s="80"/>
      <c r="K37" t="s">
        <v>160</v>
      </c>
      <c r="L37">
        <v>0</v>
      </c>
    </row>
    <row r="38" spans="1:12">
      <c r="A38" s="72" t="s">
        <v>161</v>
      </c>
      <c r="B38" s="26"/>
      <c r="C38" s="26"/>
      <c r="D38" s="26"/>
      <c r="E38" s="26"/>
      <c r="F38" s="26"/>
      <c r="G38" s="26"/>
      <c r="H38" s="26"/>
      <c r="I38" s="80"/>
    </row>
    <row r="39" spans="1:12">
      <c r="A39" s="86"/>
      <c r="I39" s="80"/>
    </row>
    <row r="40" spans="1:12" ht="15.5">
      <c r="A40" s="82" t="s">
        <v>162</v>
      </c>
      <c r="B40" s="11"/>
      <c r="C40" s="11"/>
      <c r="D40" s="11"/>
      <c r="E40" s="11"/>
      <c r="F40" s="11"/>
      <c r="G40" s="11"/>
      <c r="H40" s="70"/>
      <c r="I40" s="80"/>
    </row>
    <row r="41" spans="1:12">
      <c r="A41" s="81" t="s">
        <v>159</v>
      </c>
      <c r="B41" t="s">
        <v>145</v>
      </c>
      <c r="C41" t="s">
        <v>146</v>
      </c>
      <c r="D41" t="s">
        <v>147</v>
      </c>
      <c r="E41" t="s">
        <v>148</v>
      </c>
      <c r="F41" t="s">
        <v>276</v>
      </c>
      <c r="G41" t="s">
        <v>149</v>
      </c>
      <c r="H41" t="s">
        <v>16</v>
      </c>
      <c r="I41" s="80"/>
    </row>
    <row r="42" spans="1:12">
      <c r="A42" s="71" t="s">
        <v>14</v>
      </c>
      <c r="B42" s="84">
        <v>93.75</v>
      </c>
      <c r="C42" s="84">
        <v>122.5595</v>
      </c>
      <c r="D42" s="84">
        <v>13.612500000000001</v>
      </c>
      <c r="E42" s="84">
        <v>9.6544000000000008</v>
      </c>
      <c r="F42" s="85">
        <v>99</v>
      </c>
      <c r="G42" s="84">
        <v>84.308688659288322</v>
      </c>
      <c r="H42" s="77">
        <f>H36</f>
        <v>1</v>
      </c>
      <c r="I42" s="80"/>
    </row>
    <row r="43" spans="1:12">
      <c r="A43" s="71" t="str">
        <f>A37</f>
        <v>Cotton</v>
      </c>
      <c r="B43" s="84">
        <v>82.05</v>
      </c>
      <c r="C43" s="84">
        <v>133.42350000000002</v>
      </c>
      <c r="D43" s="84">
        <v>114.0303515625</v>
      </c>
      <c r="E43" s="84">
        <v>20.921600000000002</v>
      </c>
      <c r="F43" s="84">
        <v>345.35519999999985</v>
      </c>
      <c r="G43" s="84">
        <v>160.52320000000003</v>
      </c>
      <c r="H43" s="77">
        <f>H37</f>
        <v>0.1</v>
      </c>
      <c r="I43" s="80"/>
    </row>
    <row r="44" spans="1:12">
      <c r="A44" s="71" t="str">
        <f>A38</f>
        <v>Sorghum</v>
      </c>
      <c r="B44" s="26"/>
      <c r="C44" s="26"/>
      <c r="D44" s="26"/>
      <c r="E44" s="26"/>
      <c r="F44" s="26"/>
      <c r="G44" s="26"/>
      <c r="H44" s="26"/>
      <c r="I44" s="80"/>
    </row>
    <row r="45" spans="1:12">
      <c r="I45" s="80"/>
    </row>
    <row r="46" spans="1:12">
      <c r="A46" s="69" t="s">
        <v>163</v>
      </c>
      <c r="B46" s="11"/>
      <c r="C46" s="11"/>
      <c r="D46" s="11"/>
      <c r="E46" s="11"/>
      <c r="F46" s="11"/>
      <c r="G46" s="11"/>
      <c r="H46" s="70"/>
      <c r="I46" s="80"/>
    </row>
    <row r="47" spans="1:12">
      <c r="A47" s="86" t="str">
        <f>A33</f>
        <v>Production Costs  2023</v>
      </c>
      <c r="B47" t="s">
        <v>145</v>
      </c>
      <c r="C47" t="s">
        <v>146</v>
      </c>
      <c r="D47" t="s">
        <v>147</v>
      </c>
      <c r="E47" t="s">
        <v>148</v>
      </c>
      <c r="F47" t="s">
        <v>149</v>
      </c>
      <c r="G47" t="s">
        <v>15</v>
      </c>
      <c r="H47" t="s">
        <v>16</v>
      </c>
      <c r="I47" s="80"/>
    </row>
    <row r="48" spans="1:12">
      <c r="A48" s="71" t="s">
        <v>14</v>
      </c>
      <c r="B48" s="26">
        <v>0</v>
      </c>
      <c r="C48" s="26">
        <v>0</v>
      </c>
      <c r="D48" s="26">
        <v>0</v>
      </c>
      <c r="E48" s="26">
        <v>0</v>
      </c>
      <c r="F48" s="26">
        <v>0</v>
      </c>
      <c r="G48" s="26">
        <v>0</v>
      </c>
      <c r="H48" s="77">
        <f>H42</f>
        <v>1</v>
      </c>
      <c r="I48" s="80"/>
    </row>
    <row r="49" spans="1:9">
      <c r="A49" s="71" t="str">
        <f>A37</f>
        <v>Cotton</v>
      </c>
      <c r="B49" s="26">
        <v>0</v>
      </c>
      <c r="C49" s="26">
        <v>0</v>
      </c>
      <c r="D49" s="26">
        <v>0</v>
      </c>
      <c r="E49" s="26">
        <v>0</v>
      </c>
      <c r="F49" s="26">
        <v>0</v>
      </c>
      <c r="G49" s="26">
        <v>0</v>
      </c>
      <c r="H49" s="77">
        <f>H43</f>
        <v>0.1</v>
      </c>
      <c r="I49" s="80"/>
    </row>
    <row r="50" spans="1:9">
      <c r="A50" s="71" t="str">
        <f>A38</f>
        <v>Sorghum</v>
      </c>
      <c r="B50" s="26"/>
      <c r="C50" s="26"/>
      <c r="D50" s="26"/>
      <c r="E50" s="26"/>
      <c r="F50" s="26"/>
      <c r="G50" s="26"/>
      <c r="H50" s="77"/>
      <c r="I50" s="80"/>
    </row>
    <row r="52" spans="1:9">
      <c r="A52" s="3" t="s">
        <v>96</v>
      </c>
      <c r="B52" t="s">
        <v>164</v>
      </c>
      <c r="C52" t="s">
        <v>98</v>
      </c>
    </row>
    <row r="53" spans="1:9">
      <c r="A53" t="str">
        <f>A36</f>
        <v xml:space="preserve">Corn </v>
      </c>
      <c r="B53" s="76">
        <f>[1]Stoch!D30</f>
        <v>131.93</v>
      </c>
      <c r="C53" s="27">
        <f>[1]Stoch!I20</f>
        <v>4.78</v>
      </c>
    </row>
    <row r="54" spans="1:9">
      <c r="A54" t="str">
        <f t="shared" ref="A54" si="0">A37</f>
        <v>Cotton</v>
      </c>
      <c r="B54" s="76">
        <f>[1]Stoch!E30</f>
        <v>916.52266666666674</v>
      </c>
      <c r="C54" s="27">
        <f>[1]Stoch!I21</f>
        <v>0.91</v>
      </c>
    </row>
    <row r="55" spans="1:9">
      <c r="A55" t="str">
        <f>A38</f>
        <v>Sorghum</v>
      </c>
      <c r="B55" s="26"/>
      <c r="C55" s="76"/>
    </row>
    <row r="58" spans="1:9" ht="15" thickBot="1">
      <c r="A58" s="12" t="s">
        <v>151</v>
      </c>
      <c r="B58" s="25"/>
      <c r="C58" s="25"/>
      <c r="D58" s="25"/>
      <c r="E58" s="25"/>
    </row>
    <row r="59" spans="1:9">
      <c r="A59" s="18" t="s">
        <v>86</v>
      </c>
      <c r="B59" s="30" t="s">
        <v>165</v>
      </c>
      <c r="C59" s="30" t="s">
        <v>166</v>
      </c>
      <c r="D59" s="30" t="s">
        <v>167</v>
      </c>
      <c r="E59" s="30" t="s">
        <v>19</v>
      </c>
      <c r="F59" s="3" t="s">
        <v>27</v>
      </c>
    </row>
    <row r="60" spans="1:9">
      <c r="A60" s="17" t="str">
        <f>A36</f>
        <v xml:space="preserve">Corn </v>
      </c>
      <c r="B60" s="26">
        <v>800</v>
      </c>
      <c r="C60" s="26">
        <v>800</v>
      </c>
      <c r="D60" s="26">
        <v>800</v>
      </c>
      <c r="E60" s="26">
        <v>800</v>
      </c>
      <c r="F60" s="3">
        <f ca="1">_xll.SCENARIO(B60:C60)</f>
        <v>800</v>
      </c>
      <c r="G60" t="str">
        <f ca="1">_xll.VFORMULA(F60)</f>
        <v>=SCENARIO(B60:C60)</v>
      </c>
      <c r="H60" s="80"/>
    </row>
    <row r="61" spans="1:9">
      <c r="A61" s="17" t="str">
        <f t="shared" ref="A61:A62" si="1">A37</f>
        <v>Cotton</v>
      </c>
      <c r="B61" s="26">
        <v>2200</v>
      </c>
      <c r="C61" s="26">
        <v>2200</v>
      </c>
      <c r="D61" s="26">
        <v>2200</v>
      </c>
      <c r="E61" s="26">
        <v>2200</v>
      </c>
      <c r="F61" s="3">
        <f ca="1">_xll.SCENARIO(B61:C61)</f>
        <v>2200</v>
      </c>
      <c r="G61" t="str">
        <f ca="1">_xll.VFORMULA(F61)</f>
        <v>=SCENARIO(B61:C61)</v>
      </c>
      <c r="H61" s="80"/>
    </row>
    <row r="62" spans="1:9">
      <c r="A62" s="17" t="str">
        <f t="shared" si="1"/>
        <v>Sorghum</v>
      </c>
      <c r="B62" s="26">
        <v>0</v>
      </c>
      <c r="C62" s="26">
        <v>0</v>
      </c>
      <c r="D62" s="26">
        <v>0</v>
      </c>
      <c r="E62" s="26">
        <v>0</v>
      </c>
      <c r="F62" s="3">
        <f ca="1">_xll.SCENARIO(B62:C62)</f>
        <v>0</v>
      </c>
      <c r="G62" t="str">
        <f ca="1">_xll.VFORMULA(F62)</f>
        <v>=SCENARIO(B62:C62)</v>
      </c>
      <c r="H62" s="80" t="s">
        <v>111</v>
      </c>
      <c r="I62" t="s">
        <v>111</v>
      </c>
    </row>
    <row r="63" spans="1:9">
      <c r="A63" s="87" t="s">
        <v>168</v>
      </c>
      <c r="B63">
        <f>SUM(B60:B62)</f>
        <v>3000</v>
      </c>
      <c r="C63">
        <f t="shared" ref="C63:E63" si="2">SUM(C60:C62)</f>
        <v>3000</v>
      </c>
      <c r="D63">
        <f t="shared" si="2"/>
        <v>3000</v>
      </c>
      <c r="E63">
        <f t="shared" si="2"/>
        <v>3000</v>
      </c>
      <c r="F63" s="3">
        <f ca="1">_xll.SCENARIO(B63:C63)</f>
        <v>3000</v>
      </c>
    </row>
    <row r="64" spans="1:9">
      <c r="A64" s="56" t="s">
        <v>150</v>
      </c>
      <c r="B64" s="3"/>
      <c r="C64" s="3">
        <v>0</v>
      </c>
      <c r="D64" s="3">
        <v>0</v>
      </c>
      <c r="E64" s="3">
        <v>0</v>
      </c>
      <c r="F64" s="3">
        <f ca="1">_xll.SCENARIO(B64:C64)</f>
        <v>0</v>
      </c>
    </row>
    <row r="65" spans="1:7">
      <c r="A65" s="88" t="s">
        <v>169</v>
      </c>
      <c r="B65" s="84">
        <f t="array" ref="B65:B70">_xll.TRANS(B36:G36)</f>
        <v>93.75</v>
      </c>
      <c r="C65" s="84">
        <f t="array" ref="C65:C70">_xll.TRANS(B42:G42)</f>
        <v>93.75</v>
      </c>
      <c r="D65" s="76">
        <v>0</v>
      </c>
      <c r="E65" s="76">
        <v>0</v>
      </c>
      <c r="F65" s="3">
        <f ca="1">_xll.SCENARIO(B65:C65)</f>
        <v>93.75</v>
      </c>
      <c r="G65" t="str">
        <f ca="1">_xll.VFORMULA(F65)</f>
        <v>=SCENARIO(B65:C65)</v>
      </c>
    </row>
    <row r="66" spans="1:7">
      <c r="A66" s="73" t="s">
        <v>170</v>
      </c>
      <c r="B66" s="89">
        <v>122.5595</v>
      </c>
      <c r="C66" s="89">
        <v>122.5595</v>
      </c>
      <c r="D66" s="92">
        <v>0</v>
      </c>
      <c r="E66" s="92">
        <v>0</v>
      </c>
      <c r="F66" s="3">
        <f ca="1">_xll.SCENARIO(B66:C66)</f>
        <v>122.5595</v>
      </c>
      <c r="G66" t="str">
        <f ca="1">_xll.VFORMULA(F66)</f>
        <v>=SCENARIO(B66:C66)</v>
      </c>
    </row>
    <row r="67" spans="1:7">
      <c r="A67" s="73" t="s">
        <v>171</v>
      </c>
      <c r="B67" s="84">
        <v>30.843499999999999</v>
      </c>
      <c r="C67" s="84">
        <v>13.612500000000001</v>
      </c>
      <c r="D67" s="76">
        <v>0</v>
      </c>
      <c r="E67" s="76">
        <v>0</v>
      </c>
      <c r="F67" s="3">
        <f ca="1">_xll.SCENARIO(B67:C67)</f>
        <v>30.843499999999999</v>
      </c>
      <c r="G67" t="str">
        <f ca="1">_xll.VFORMULA(F67)</f>
        <v>=SCENARIO(B67:C67)</v>
      </c>
    </row>
    <row r="68" spans="1:7">
      <c r="A68" s="73" t="s">
        <v>172</v>
      </c>
      <c r="B68" s="89">
        <v>24.897699999999997</v>
      </c>
      <c r="C68" s="89">
        <v>9.6544000000000008</v>
      </c>
      <c r="D68" s="92">
        <v>0</v>
      </c>
      <c r="E68" s="92">
        <v>0</v>
      </c>
      <c r="F68" s="3">
        <f ca="1">_xll.SCENARIO(B68:C68)</f>
        <v>24.897699999999997</v>
      </c>
      <c r="G68" t="str">
        <f ca="1">_xll.VFORMULA(F68)</f>
        <v>=SCENARIO(B68:C68)</v>
      </c>
    </row>
    <row r="69" spans="1:7">
      <c r="A69" s="73" t="s">
        <v>173</v>
      </c>
      <c r="B69" s="90">
        <v>99</v>
      </c>
      <c r="C69" s="90">
        <v>99</v>
      </c>
      <c r="D69" s="76">
        <v>0</v>
      </c>
      <c r="E69" s="76">
        <v>0</v>
      </c>
      <c r="F69" s="3">
        <f ca="1">_xll.SCENARIO(B69:C69)</f>
        <v>99</v>
      </c>
      <c r="G69" t="str">
        <f ca="1">_xll.VFORMULA(F69)</f>
        <v>=SCENARIO(B69:C69)</v>
      </c>
    </row>
    <row r="70" spans="1:7">
      <c r="A70" s="73" t="s">
        <v>174</v>
      </c>
      <c r="B70" s="89">
        <v>132.07386932192847</v>
      </c>
      <c r="C70" s="89">
        <v>84.308688659288322</v>
      </c>
      <c r="D70" s="92">
        <v>0</v>
      </c>
      <c r="E70" s="92">
        <v>0</v>
      </c>
      <c r="F70" s="3">
        <f ca="1">_xll.SCENARIO(B70:C70)</f>
        <v>132.07386932192847</v>
      </c>
      <c r="G70" t="str">
        <f ca="1">_xll.VFORMULA(F70)</f>
        <v>=SCENARIO(B70:C70)</v>
      </c>
    </row>
    <row r="71" spans="1:7">
      <c r="A71" s="93" t="s">
        <v>175</v>
      </c>
      <c r="B71" s="84">
        <f t="array" ref="B71:B76">_xll.TRANS(B37:G37)</f>
        <v>82.05</v>
      </c>
      <c r="C71" s="84">
        <f t="array" ref="C71:C76">_xll.TRANS(B43:G43)</f>
        <v>82.05</v>
      </c>
      <c r="D71" s="76">
        <v>0</v>
      </c>
      <c r="E71" s="76">
        <v>0</v>
      </c>
      <c r="F71" s="3">
        <f ca="1">_xll.SCENARIO(B71:C71)</f>
        <v>82.05</v>
      </c>
      <c r="G71" t="str">
        <f ca="1">_xll.VFORMULA(F71)</f>
        <v>=SCENARIO(B71:C71)</v>
      </c>
    </row>
    <row r="72" spans="1:7">
      <c r="A72" s="73" t="s">
        <v>170</v>
      </c>
      <c r="B72" s="89">
        <v>103.88700000000001</v>
      </c>
      <c r="C72" s="89">
        <v>133.42350000000002</v>
      </c>
      <c r="D72" s="92">
        <v>0</v>
      </c>
      <c r="E72" s="92">
        <v>0</v>
      </c>
      <c r="F72" s="3">
        <f ca="1">_xll.SCENARIO(B72:C72)</f>
        <v>103.88700000000001</v>
      </c>
      <c r="G72" t="str">
        <f ca="1">_xll.VFORMULA(F72)</f>
        <v>=SCENARIO(B72:C72)</v>
      </c>
    </row>
    <row r="73" spans="1:7">
      <c r="A73" s="73" t="s">
        <v>171</v>
      </c>
      <c r="B73" s="84">
        <v>88.427351562500021</v>
      </c>
      <c r="C73" s="94">
        <v>114.0303515625</v>
      </c>
      <c r="D73" s="76">
        <v>0</v>
      </c>
      <c r="E73" s="76">
        <v>0</v>
      </c>
      <c r="F73" s="3">
        <f ca="1">_xll.SCENARIO(B73:C73)</f>
        <v>88.427351562500021</v>
      </c>
      <c r="G73" t="str">
        <f ca="1">_xll.VFORMULA(F73)</f>
        <v>=SCENARIO(B73:C73)</v>
      </c>
    </row>
    <row r="74" spans="1:7">
      <c r="A74" s="73" t="s">
        <v>172</v>
      </c>
      <c r="B74" s="89">
        <v>29.680000000000003</v>
      </c>
      <c r="C74" s="89">
        <v>20.921600000000002</v>
      </c>
      <c r="D74" s="92">
        <v>0</v>
      </c>
      <c r="E74" s="92">
        <v>0</v>
      </c>
      <c r="F74" s="3">
        <f ca="1">_xll.SCENARIO(B74:C74)</f>
        <v>29.680000000000003</v>
      </c>
      <c r="G74" t="str">
        <f ca="1">_xll.VFORMULA(F74)</f>
        <v>=SCENARIO(B74:C74)</v>
      </c>
    </row>
    <row r="75" spans="1:7">
      <c r="A75" s="73" t="s">
        <v>173</v>
      </c>
      <c r="B75" s="84">
        <v>273.08999999999992</v>
      </c>
      <c r="C75" s="84">
        <v>345.35519999999985</v>
      </c>
      <c r="D75" s="76">
        <v>0</v>
      </c>
      <c r="E75" s="76">
        <v>0</v>
      </c>
      <c r="F75" s="3">
        <f ca="1">_xll.SCENARIO(B75:C75)</f>
        <v>273.08999999999992</v>
      </c>
      <c r="G75" t="str">
        <f ca="1">_xll.VFORMULA(F75)</f>
        <v>=SCENARIO(B75:C75)</v>
      </c>
    </row>
    <row r="76" spans="1:7">
      <c r="A76" s="73" t="s">
        <v>174</v>
      </c>
      <c r="B76" s="89">
        <v>183.52655778381092</v>
      </c>
      <c r="C76" s="89">
        <v>160.52320000000003</v>
      </c>
      <c r="D76" s="92">
        <v>0</v>
      </c>
      <c r="E76" s="92">
        <v>0</v>
      </c>
      <c r="F76" s="3">
        <f ca="1">_xll.SCENARIO(B76:C76)</f>
        <v>183.52655778381092</v>
      </c>
      <c r="G76" t="str">
        <f ca="1">_xll.VFORMULA(F76)</f>
        <v>=SCENARIO(B76:C76)</v>
      </c>
    </row>
    <row r="77" spans="1:7">
      <c r="A77" s="73"/>
      <c r="B77" s="76"/>
      <c r="C77" s="76"/>
      <c r="D77" s="76"/>
      <c r="E77" s="76"/>
      <c r="F77" s="3"/>
    </row>
    <row r="78" spans="1:7">
      <c r="A78" s="73" t="s">
        <v>176</v>
      </c>
      <c r="B78" s="4">
        <f>SUM(B65:B70)</f>
        <v>503.12456932192845</v>
      </c>
      <c r="C78" s="4">
        <f t="shared" ref="C78:E78" si="3">SUM(C65:C70)</f>
        <v>422.88508865928839</v>
      </c>
      <c r="D78" s="4">
        <f t="shared" si="3"/>
        <v>0</v>
      </c>
      <c r="E78" s="4">
        <f t="shared" si="3"/>
        <v>0</v>
      </c>
    </row>
    <row r="79" spans="1:7">
      <c r="A79" s="91" t="s">
        <v>177</v>
      </c>
      <c r="B79" s="4">
        <f>SUM(B71:B76)</f>
        <v>760.66090934631075</v>
      </c>
      <c r="C79" s="4">
        <f>SUM(C71:C76)</f>
        <v>856.30385156249986</v>
      </c>
      <c r="D79" s="4">
        <f t="shared" ref="D79:E79" si="4">SUM(D71:D76)</f>
        <v>0</v>
      </c>
      <c r="E79" s="4">
        <f t="shared" si="4"/>
        <v>0</v>
      </c>
      <c r="G79" t="s">
        <v>111</v>
      </c>
    </row>
    <row r="80" spans="1:7">
      <c r="G80" t="s">
        <v>111</v>
      </c>
    </row>
    <row r="81" spans="1:7">
      <c r="A81" s="18" t="s">
        <v>97</v>
      </c>
      <c r="F81" s="3"/>
      <c r="G81" s="3"/>
    </row>
    <row r="82" spans="1:7">
      <c r="A82" s="17" t="s">
        <v>99</v>
      </c>
      <c r="B82" s="27">
        <v>0.85</v>
      </c>
      <c r="C82" s="27">
        <v>0.85</v>
      </c>
      <c r="D82" s="27">
        <v>0.85</v>
      </c>
      <c r="E82" s="27">
        <v>0.85</v>
      </c>
      <c r="F82" s="3">
        <f ca="1">_xll.SCENARIO(B82:E82)</f>
        <v>0.85</v>
      </c>
      <c r="G82" t="str">
        <f ca="1">_xll.VFORMULA(F82)</f>
        <v>=SCENARIO(B82:E82)</v>
      </c>
    </row>
    <row r="83" spans="1:7">
      <c r="A83" s="17" t="s">
        <v>178</v>
      </c>
      <c r="B83" s="27">
        <v>0.85</v>
      </c>
      <c r="C83" s="27">
        <v>0.85</v>
      </c>
      <c r="D83" s="27">
        <v>0.85</v>
      </c>
      <c r="E83" s="27">
        <v>0.85</v>
      </c>
      <c r="F83" s="3">
        <f ca="1">_xll.SCENARIO(B83:E83)</f>
        <v>0.85</v>
      </c>
      <c r="G83" t="str">
        <f ca="1">_xll.VFORMULA(F83)</f>
        <v>=SCENARIO(B83:E83)</v>
      </c>
    </row>
    <row r="84" spans="1:7">
      <c r="A84" s="17" t="s">
        <v>100</v>
      </c>
      <c r="B84" s="27">
        <v>14</v>
      </c>
      <c r="C84" s="27">
        <v>14</v>
      </c>
      <c r="D84" s="27">
        <v>14</v>
      </c>
      <c r="E84" s="27">
        <v>14</v>
      </c>
      <c r="F84" s="29">
        <f ca="1">_xll.SCENARIO(B84:E84)</f>
        <v>14</v>
      </c>
      <c r="G84" t="str">
        <f ca="1">_xll.VFORMULA(F84)</f>
        <v>=SCENARIO(B84:E84)</v>
      </c>
    </row>
    <row r="85" spans="1:7" ht="15" thickBot="1">
      <c r="A85" s="31" t="s">
        <v>179</v>
      </c>
      <c r="B85" s="32">
        <v>12</v>
      </c>
      <c r="C85" s="32">
        <v>12</v>
      </c>
      <c r="D85" s="32">
        <v>12</v>
      </c>
      <c r="E85" s="32">
        <v>12</v>
      </c>
      <c r="F85" s="29">
        <f ca="1">_xll.SCENARIO(B85:E85)</f>
        <v>12</v>
      </c>
      <c r="G85" t="str">
        <f ca="1">_xll.VFORMULA(F85)</f>
        <v>=SCENARIO(B85:E85)</v>
      </c>
    </row>
    <row r="87" spans="1:7">
      <c r="A87" s="3" t="s">
        <v>39</v>
      </c>
      <c r="B87">
        <f>B3</f>
        <v>2024</v>
      </c>
      <c r="C87">
        <f>1+B87</f>
        <v>2025</v>
      </c>
      <c r="D87">
        <f t="shared" ref="D87:F87" si="5">1+C87</f>
        <v>2026</v>
      </c>
      <c r="E87">
        <f t="shared" si="5"/>
        <v>2027</v>
      </c>
      <c r="F87">
        <f t="shared" si="5"/>
        <v>2028</v>
      </c>
    </row>
    <row r="88" spans="1:7">
      <c r="A88" t="s">
        <v>40</v>
      </c>
      <c r="B88" s="26">
        <v>0</v>
      </c>
      <c r="C88" s="26">
        <v>0</v>
      </c>
      <c r="D88" s="26">
        <v>0</v>
      </c>
      <c r="E88" s="26">
        <v>0</v>
      </c>
      <c r="F88" s="26">
        <v>0</v>
      </c>
    </row>
    <row r="89" spans="1:7">
      <c r="A89" t="s">
        <v>17</v>
      </c>
      <c r="B89" s="95">
        <v>-1.01E-2</v>
      </c>
      <c r="C89" s="95">
        <v>-2.18E-2</v>
      </c>
      <c r="D89" s="95">
        <v>-1.0699999999999999E-2</v>
      </c>
      <c r="E89" s="95">
        <v>-1E-3</v>
      </c>
      <c r="F89" s="95">
        <v>5.9999999999999995E-4</v>
      </c>
    </row>
    <row r="90" spans="1:7">
      <c r="A90" t="s">
        <v>41</v>
      </c>
      <c r="B90" s="26">
        <v>3.5000000000000003E-2</v>
      </c>
      <c r="C90" s="26">
        <v>3.6999999999999998E-2</v>
      </c>
      <c r="D90" s="26">
        <v>0.04</v>
      </c>
      <c r="E90" s="26">
        <v>4.1000000000000002E-2</v>
      </c>
      <c r="F90" s="26">
        <v>4.2000000000000003E-2</v>
      </c>
    </row>
    <row r="91" spans="1:7">
      <c r="A91" t="s">
        <v>42</v>
      </c>
      <c r="B91" s="95">
        <v>-1.21E-2</v>
      </c>
      <c r="C91" s="95">
        <v>3.0999999999999999E-3</v>
      </c>
      <c r="D91" s="95">
        <v>1.5599999999999999E-2</v>
      </c>
      <c r="E91" s="95">
        <v>1.8200000000000001E-2</v>
      </c>
      <c r="F91" s="95">
        <v>1.47E-2</v>
      </c>
    </row>
    <row r="92" spans="1:7">
      <c r="A92" t="s">
        <v>43</v>
      </c>
      <c r="B92" s="95">
        <v>-4.4999999999999997E-3</v>
      </c>
      <c r="C92" s="95">
        <v>2.0299999999999999E-2</v>
      </c>
      <c r="D92" s="95">
        <v>0.1182</v>
      </c>
      <c r="E92" s="95">
        <v>7.2300000000000003E-2</v>
      </c>
      <c r="F92" s="95">
        <v>6.3399999999999998E-2</v>
      </c>
    </row>
    <row r="93" spans="1:7">
      <c r="A93" t="s">
        <v>28</v>
      </c>
      <c r="B93" s="95">
        <v>2.7799999999999998E-2</v>
      </c>
      <c r="C93" s="95">
        <v>3.1399999999999997E-2</v>
      </c>
      <c r="D93" s="95">
        <v>3.4599999999999999E-2</v>
      </c>
      <c r="E93" s="95">
        <v>3.5000000000000003E-2</v>
      </c>
      <c r="F93" s="95">
        <v>3.4599999999999999E-2</v>
      </c>
    </row>
    <row r="94" spans="1:7">
      <c r="A94" t="s">
        <v>44</v>
      </c>
      <c r="B94" s="26">
        <v>2E-3</v>
      </c>
      <c r="C94" s="26">
        <v>1.4999999999999999E-2</v>
      </c>
      <c r="D94" s="95">
        <v>2.07E-2</v>
      </c>
      <c r="E94" s="95">
        <v>2.1299999999999999E-2</v>
      </c>
      <c r="F94" s="95">
        <v>2.1499999999999998E-2</v>
      </c>
      <c r="G94" s="7"/>
    </row>
    <row r="95" spans="1:7">
      <c r="A95" t="s">
        <v>29</v>
      </c>
      <c r="B95" s="95">
        <v>1.6683814884108847E-2</v>
      </c>
      <c r="C95" s="95">
        <v>1.9497422427031653E-2</v>
      </c>
      <c r="D95" s="95">
        <v>2.8334347504705377E-2</v>
      </c>
      <c r="E95" s="95">
        <v>2.6058216753105181E-2</v>
      </c>
      <c r="F95" s="95">
        <v>2.395503316073111E-2</v>
      </c>
    </row>
    <row r="97" spans="1:12" s="2" customFormat="1"/>
    <row r="98" spans="1:12">
      <c r="H98" t="s">
        <v>279</v>
      </c>
    </row>
    <row r="99" spans="1:12">
      <c r="A99" s="3" t="s">
        <v>20</v>
      </c>
      <c r="B99">
        <f>B3</f>
        <v>2024</v>
      </c>
      <c r="C99">
        <f>1+B99</f>
        <v>2025</v>
      </c>
      <c r="D99">
        <f t="shared" ref="D99:F99" si="6">1+C99</f>
        <v>2026</v>
      </c>
      <c r="E99">
        <f t="shared" si="6"/>
        <v>2027</v>
      </c>
      <c r="F99">
        <f t="shared" si="6"/>
        <v>2028</v>
      </c>
      <c r="H99" t="s">
        <v>278</v>
      </c>
    </row>
    <row r="100" spans="1:12">
      <c r="A100" t="s">
        <v>264</v>
      </c>
      <c r="B100" s="163">
        <v>4.330844339576462</v>
      </c>
      <c r="C100" s="163">
        <v>4.7172433557366249</v>
      </c>
      <c r="D100" s="163">
        <v>3.5080660495744</v>
      </c>
      <c r="E100" s="163">
        <v>3.3887107551143174</v>
      </c>
      <c r="F100" s="163">
        <v>4.395395770246739</v>
      </c>
      <c r="H100" s="163">
        <v>4.330844339576462</v>
      </c>
      <c r="I100" s="163">
        <v>4.7172433557366249</v>
      </c>
      <c r="J100" s="163">
        <v>3.5080660495744</v>
      </c>
      <c r="K100" s="163">
        <v>3.3887107551143174</v>
      </c>
      <c r="L100" s="163">
        <v>4.395395770246739</v>
      </c>
    </row>
    <row r="101" spans="1:12">
      <c r="A101" t="s">
        <v>265</v>
      </c>
      <c r="B101" s="164">
        <v>0.92315511980960385</v>
      </c>
      <c r="C101" s="164">
        <v>0.91948140442265824</v>
      </c>
      <c r="D101" s="164">
        <v>0.72485409559559222</v>
      </c>
      <c r="E101" s="164">
        <v>0.86322781853166342</v>
      </c>
      <c r="F101" s="164">
        <v>1.002068773429136</v>
      </c>
      <c r="H101" s="164">
        <v>0.92315511980960385</v>
      </c>
      <c r="I101" s="164">
        <v>0.91948140442265824</v>
      </c>
      <c r="J101" s="164">
        <v>0.72485409559559222</v>
      </c>
      <c r="K101" s="164">
        <v>0.86322781853166342</v>
      </c>
      <c r="L101" s="164">
        <v>1.002068773429136</v>
      </c>
    </row>
    <row r="102" spans="1:12">
      <c r="A102" t="s">
        <v>202</v>
      </c>
      <c r="B102" s="165">
        <v>136.22357501455335</v>
      </c>
      <c r="C102" s="165">
        <v>103.62769993168754</v>
      </c>
      <c r="D102" s="165">
        <v>122.88278006569368</v>
      </c>
      <c r="E102" s="165">
        <v>114.91893278398203</v>
      </c>
      <c r="F102" s="163">
        <v>128.39028471740724</v>
      </c>
      <c r="H102" s="165">
        <v>136.22357501455335</v>
      </c>
      <c r="I102" s="165">
        <v>103.62769993168754</v>
      </c>
      <c r="J102" s="165">
        <v>122.88278006569368</v>
      </c>
      <c r="K102" s="165">
        <v>114.91893278398203</v>
      </c>
      <c r="L102" s="163">
        <v>128.39028471740724</v>
      </c>
    </row>
    <row r="103" spans="1:12">
      <c r="A103" t="s">
        <v>266</v>
      </c>
      <c r="B103" s="165">
        <v>919.33145143073705</v>
      </c>
      <c r="C103" s="165">
        <v>1000.7110299452572</v>
      </c>
      <c r="D103" s="165">
        <v>887.95698634662574</v>
      </c>
      <c r="E103" s="165">
        <v>939.57429096999033</v>
      </c>
      <c r="F103" s="163">
        <v>994.35118528446799</v>
      </c>
      <c r="H103" s="165">
        <v>919.33145143073705</v>
      </c>
      <c r="I103" s="165">
        <v>1000.7110299452572</v>
      </c>
      <c r="J103" s="165">
        <v>887.95698634662574</v>
      </c>
      <c r="K103" s="165">
        <v>939.57429096999033</v>
      </c>
      <c r="L103" s="163">
        <v>994.35118528446799</v>
      </c>
    </row>
    <row r="104" spans="1:12">
      <c r="B104" s="79"/>
      <c r="C104" s="79"/>
      <c r="D104" s="79"/>
      <c r="E104" s="79"/>
      <c r="F104" s="57"/>
    </row>
    <row r="105" spans="1:12">
      <c r="B105" s="79"/>
      <c r="C105" s="79"/>
      <c r="D105" s="79"/>
      <c r="E105" s="79"/>
      <c r="F105" s="57"/>
    </row>
    <row r="106" spans="1:12">
      <c r="G106" t="str">
        <f ca="1">_xll.VFORMULA(F106)</f>
        <v/>
      </c>
    </row>
    <row r="107" spans="1:12">
      <c r="A107" s="3" t="s">
        <v>180</v>
      </c>
      <c r="B107" t="s">
        <v>152</v>
      </c>
      <c r="G107" t="s">
        <v>87</v>
      </c>
    </row>
    <row r="108" spans="1:12">
      <c r="A108" t="str">
        <f>A113</f>
        <v xml:space="preserve">Corn </v>
      </c>
      <c r="B108" s="4">
        <f t="shared" ref="B108:F109" si="7">B100+$G108</f>
        <v>5.330844339576462</v>
      </c>
      <c r="C108" s="4">
        <f t="shared" si="7"/>
        <v>5.7172433557366249</v>
      </c>
      <c r="D108" s="4">
        <f t="shared" si="7"/>
        <v>4.5080660495744</v>
      </c>
      <c r="E108" s="4">
        <f t="shared" si="7"/>
        <v>4.3887107551143174</v>
      </c>
      <c r="F108" s="4">
        <f t="shared" si="7"/>
        <v>5.395395770246739</v>
      </c>
      <c r="G108">
        <f>H36</f>
        <v>1</v>
      </c>
      <c r="I108" t="s">
        <v>111</v>
      </c>
    </row>
    <row r="109" spans="1:12">
      <c r="A109" t="str">
        <f>A114</f>
        <v>Cotton</v>
      </c>
      <c r="B109" s="4">
        <f t="shared" si="7"/>
        <v>1.0231551198096038</v>
      </c>
      <c r="C109" s="4">
        <f t="shared" si="7"/>
        <v>1.0194814044226583</v>
      </c>
      <c r="D109" s="4">
        <f t="shared" si="7"/>
        <v>0.8248540955955922</v>
      </c>
      <c r="E109" s="4">
        <f t="shared" si="7"/>
        <v>0.96322781853166339</v>
      </c>
      <c r="F109" s="4">
        <f t="shared" si="7"/>
        <v>1.1020687734291361</v>
      </c>
      <c r="G109" s="4">
        <f>H37</f>
        <v>0.1</v>
      </c>
    </row>
    <row r="110" spans="1:12">
      <c r="A110" t="str">
        <f>A115</f>
        <v>Sorghum</v>
      </c>
      <c r="G110">
        <f>H38</f>
        <v>0</v>
      </c>
      <c r="I110" t="s">
        <v>111</v>
      </c>
    </row>
    <row r="111" spans="1:12">
      <c r="H111" s="75"/>
      <c r="I111" s="75"/>
      <c r="J111" s="75"/>
      <c r="K111" s="75">
        <v>3.3887107551143174</v>
      </c>
      <c r="L111" s="21">
        <v>4.395395770246739</v>
      </c>
    </row>
    <row r="112" spans="1:12">
      <c r="A112" s="3" t="s">
        <v>21</v>
      </c>
      <c r="B112" t="s">
        <v>110</v>
      </c>
      <c r="H112" s="21"/>
      <c r="I112" s="21"/>
      <c r="J112" s="21"/>
      <c r="K112" s="21">
        <v>0.86322781853166342</v>
      </c>
      <c r="L112" s="21">
        <v>1.002068773429136</v>
      </c>
    </row>
    <row r="113" spans="1:12">
      <c r="A113" t="str">
        <f>A36</f>
        <v xml:space="preserve">Corn </v>
      </c>
      <c r="B113">
        <f ca="1">$F$60</f>
        <v>800</v>
      </c>
      <c r="C113">
        <f t="shared" ref="C113:F113" ca="1" si="8">$F$60</f>
        <v>800</v>
      </c>
      <c r="D113">
        <f t="shared" ca="1" si="8"/>
        <v>800</v>
      </c>
      <c r="E113">
        <f t="shared" ca="1" si="8"/>
        <v>800</v>
      </c>
      <c r="F113">
        <f t="shared" ca="1" si="8"/>
        <v>800</v>
      </c>
      <c r="G113" t="str">
        <f ca="1">_xll.VFORMULA(B113)</f>
        <v>=$F$60</v>
      </c>
      <c r="H113" s="1"/>
      <c r="I113" s="1"/>
      <c r="J113" s="1"/>
      <c r="K113" s="1">
        <v>114.91893278398203</v>
      </c>
      <c r="L113" s="21">
        <v>128.39028471740724</v>
      </c>
    </row>
    <row r="114" spans="1:12">
      <c r="A114" t="str">
        <f>A37</f>
        <v>Cotton</v>
      </c>
      <c r="B114">
        <f ca="1">$F$61</f>
        <v>2200</v>
      </c>
      <c r="C114">
        <f t="shared" ref="C114:F114" ca="1" si="9">$F$61</f>
        <v>2200</v>
      </c>
      <c r="D114">
        <f t="shared" ca="1" si="9"/>
        <v>2200</v>
      </c>
      <c r="E114">
        <f t="shared" ca="1" si="9"/>
        <v>2200</v>
      </c>
      <c r="F114">
        <f t="shared" ca="1" si="9"/>
        <v>2200</v>
      </c>
      <c r="G114" t="str">
        <f ca="1">_xll.VFORMULA(B114)</f>
        <v>=$F$61</v>
      </c>
      <c r="H114" s="1"/>
      <c r="I114" s="1"/>
      <c r="J114" s="1"/>
      <c r="K114" s="1">
        <v>939.57429096999033</v>
      </c>
      <c r="L114" s="21">
        <v>994.35118528446799</v>
      </c>
    </row>
    <row r="115" spans="1:12">
      <c r="A115" t="str">
        <f>A38</f>
        <v>Sorghum</v>
      </c>
      <c r="B115">
        <f ca="1">F62</f>
        <v>0</v>
      </c>
      <c r="C115">
        <f t="shared" ref="C115:F115" ca="1" si="10">B115</f>
        <v>0</v>
      </c>
      <c r="D115">
        <f t="shared" ca="1" si="10"/>
        <v>0</v>
      </c>
      <c r="E115">
        <f t="shared" ca="1" si="10"/>
        <v>0</v>
      </c>
      <c r="F115">
        <f t="shared" ca="1" si="10"/>
        <v>0</v>
      </c>
      <c r="G115" t="str">
        <f ca="1">_xll.VFORMULA(B115)</f>
        <v>=F62</v>
      </c>
    </row>
    <row r="117" spans="1:12">
      <c r="A117" s="3" t="s">
        <v>181</v>
      </c>
      <c r="B117" t="s">
        <v>88</v>
      </c>
      <c r="G117" t="str">
        <f ca="1">_xll.VFORMULA(B117)</f>
        <v>Simply Acres Planted * Yield</v>
      </c>
    </row>
    <row r="118" spans="1:12">
      <c r="A118" t="str">
        <f>A113</f>
        <v xml:space="preserve">Corn </v>
      </c>
      <c r="B118" s="1">
        <f t="shared" ref="B118:F119" ca="1" si="11">B113*B102</f>
        <v>108978.86001164268</v>
      </c>
      <c r="C118" s="1">
        <f t="shared" ca="1" si="11"/>
        <v>82902.159945350038</v>
      </c>
      <c r="D118" s="1">
        <f t="shared" ca="1" si="11"/>
        <v>98306.224052554942</v>
      </c>
      <c r="E118" s="1">
        <f t="shared" ca="1" si="11"/>
        <v>91935.146227185629</v>
      </c>
      <c r="F118" s="1">
        <f t="shared" ca="1" si="11"/>
        <v>102712.2277739258</v>
      </c>
      <c r="G118" t="str">
        <f ca="1">_xll.VFORMULA(B118)</f>
        <v>=B113*B102</v>
      </c>
    </row>
    <row r="119" spans="1:12">
      <c r="A119" t="str">
        <f>A114</f>
        <v>Cotton</v>
      </c>
      <c r="B119" s="1">
        <f t="shared" ca="1" si="11"/>
        <v>2022529.1931476216</v>
      </c>
      <c r="C119" s="1">
        <f t="shared" ca="1" si="11"/>
        <v>2201564.2658795658</v>
      </c>
      <c r="D119" s="1">
        <f t="shared" ca="1" si="11"/>
        <v>1953505.3699625765</v>
      </c>
      <c r="E119" s="1">
        <f t="shared" ca="1" si="11"/>
        <v>2067063.4401339786</v>
      </c>
      <c r="F119" s="1">
        <f t="shared" ca="1" si="11"/>
        <v>2187572.6076258295</v>
      </c>
      <c r="G119" t="str">
        <f ca="1">_xll.VFORMULA(B119)</f>
        <v>=B114*B103</v>
      </c>
    </row>
    <row r="120" spans="1:12">
      <c r="A120" t="str">
        <f>A115</f>
        <v>Sorghum</v>
      </c>
      <c r="B120" s="1">
        <f ca="1">B115*B106</f>
        <v>0</v>
      </c>
      <c r="C120" s="1">
        <f t="shared" ref="C120:F120" ca="1" si="12">C115*C106</f>
        <v>0</v>
      </c>
      <c r="D120" s="1">
        <f t="shared" ca="1" si="12"/>
        <v>0</v>
      </c>
      <c r="E120" s="1">
        <f t="shared" ca="1" si="12"/>
        <v>0</v>
      </c>
      <c r="F120" s="1">
        <f t="shared" ca="1" si="12"/>
        <v>0</v>
      </c>
      <c r="G120" t="str">
        <f ca="1">_xll.VFORMULA(B120)</f>
        <v>=B115*B106</v>
      </c>
    </row>
    <row r="121" spans="1:12">
      <c r="B121" s="1"/>
      <c r="C121" s="1"/>
      <c r="D121" s="1"/>
      <c r="E121" s="1"/>
      <c r="F121" s="1"/>
    </row>
    <row r="122" spans="1:12">
      <c r="A122" s="60" t="s">
        <v>153</v>
      </c>
      <c r="B122" s="1"/>
      <c r="C122" s="1"/>
      <c r="D122" s="1"/>
      <c r="E122" s="1"/>
      <c r="F122" s="1"/>
      <c r="G122" t="str">
        <f ca="1">_xll.VFORMULA(B122)</f>
        <v/>
      </c>
      <c r="H122" s="60" t="s">
        <v>154</v>
      </c>
      <c r="I122" s="60"/>
    </row>
    <row r="123" spans="1:12">
      <c r="A123" t="str">
        <f>A118</f>
        <v xml:space="preserve">Corn </v>
      </c>
      <c r="B123" s="75">
        <f t="shared" ref="B123:F125" si="13">1-$I123</f>
        <v>1</v>
      </c>
      <c r="C123" s="75">
        <f t="shared" si="13"/>
        <v>1</v>
      </c>
      <c r="D123" s="75">
        <f t="shared" si="13"/>
        <v>1</v>
      </c>
      <c r="E123" s="75">
        <f t="shared" si="13"/>
        <v>1</v>
      </c>
      <c r="F123" s="75">
        <f t="shared" si="13"/>
        <v>1</v>
      </c>
      <c r="G123" t="str">
        <f ca="1">_xll.VFORMULA(B123)</f>
        <v>=1-$I123</v>
      </c>
      <c r="I123">
        <v>0</v>
      </c>
    </row>
    <row r="124" spans="1:12">
      <c r="A124" t="str">
        <f>A119</f>
        <v>Cotton</v>
      </c>
      <c r="B124" s="75">
        <f t="shared" si="13"/>
        <v>1</v>
      </c>
      <c r="C124" s="75">
        <f t="shared" si="13"/>
        <v>1</v>
      </c>
      <c r="D124" s="75">
        <f t="shared" si="13"/>
        <v>1</v>
      </c>
      <c r="E124" s="75">
        <f t="shared" si="13"/>
        <v>1</v>
      </c>
      <c r="F124" s="75">
        <f t="shared" si="13"/>
        <v>1</v>
      </c>
      <c r="G124" t="str">
        <f ca="1">_xll.VFORMULA(B124)</f>
        <v>=1-$I124</v>
      </c>
      <c r="I124">
        <v>0</v>
      </c>
    </row>
    <row r="125" spans="1:12">
      <c r="A125" t="str">
        <f>A120</f>
        <v>Sorghum</v>
      </c>
      <c r="B125" s="75">
        <f t="shared" si="13"/>
        <v>1</v>
      </c>
      <c r="C125" s="75">
        <f t="shared" si="13"/>
        <v>1</v>
      </c>
      <c r="D125" s="75">
        <f t="shared" si="13"/>
        <v>1</v>
      </c>
      <c r="E125" s="75">
        <f t="shared" si="13"/>
        <v>1</v>
      </c>
      <c r="F125" s="75">
        <f t="shared" si="13"/>
        <v>1</v>
      </c>
      <c r="G125" t="str">
        <f ca="1">_xll.VFORMULA(B125)</f>
        <v>=1-$I125</v>
      </c>
      <c r="I125">
        <v>0</v>
      </c>
    </row>
    <row r="127" spans="1:12">
      <c r="A127" s="3" t="s">
        <v>95</v>
      </c>
      <c r="C127" t="s">
        <v>155</v>
      </c>
      <c r="G127" t="str">
        <f ca="1">_xll.VFORMULA(B127)</f>
        <v/>
      </c>
      <c r="I127" t="str">
        <f ca="1">_xll.VFORMULA(D127)</f>
        <v/>
      </c>
      <c r="J127" t="str">
        <f ca="1">_xll.VFORMULA(E127)</f>
        <v/>
      </c>
    </row>
    <row r="128" spans="1:12">
      <c r="A128" t="str">
        <f>A118</f>
        <v xml:space="preserve">Corn </v>
      </c>
      <c r="B128" s="5">
        <f ca="1">B118*B108*B123</f>
        <v>580949.33902656101</v>
      </c>
      <c r="C128" s="5">
        <f t="shared" ref="C128:F129" ca="1" si="14">C118*C108*C123</f>
        <v>473971.82312376745</v>
      </c>
      <c r="D128" s="5">
        <f t="shared" ca="1" si="14"/>
        <v>443170.95111317723</v>
      </c>
      <c r="E128" s="5">
        <f t="shared" ca="1" si="14"/>
        <v>403476.76502025704</v>
      </c>
      <c r="F128" s="5">
        <f t="shared" ca="1" si="14"/>
        <v>554173.11928405892</v>
      </c>
      <c r="G128" t="str">
        <f ca="1">_xll.VFORMULA(B128)</f>
        <v>=B118*B108*B123</v>
      </c>
    </row>
    <row r="129" spans="1:9">
      <c r="A129" t="str">
        <f>A119</f>
        <v>Cotton</v>
      </c>
      <c r="B129" s="5">
        <f ca="1">B119*B109*B124</f>
        <v>2069361.0989333761</v>
      </c>
      <c r="C129" s="5">
        <f t="shared" ca="1" si="14"/>
        <v>2244453.8297056383</v>
      </c>
      <c r="D129" s="5">
        <f t="shared" ca="1" si="14"/>
        <v>1611356.9051816138</v>
      </c>
      <c r="E129" s="5">
        <f t="shared" ca="1" si="14"/>
        <v>1991053.0082068078</v>
      </c>
      <c r="F129" s="5">
        <f t="shared" ca="1" si="14"/>
        <v>2410855.4604733749</v>
      </c>
      <c r="G129" t="str">
        <f ca="1">_xll.VFORMULA(B129)</f>
        <v>=B119*B109*B124</v>
      </c>
    </row>
    <row r="130" spans="1:9">
      <c r="A130" t="s">
        <v>182</v>
      </c>
      <c r="B130" s="1">
        <f>[1]Prod.Costs!$S$11</f>
        <v>457482.95999999979</v>
      </c>
      <c r="C130" s="1">
        <f>[1]Prod.Costs!$S$11</f>
        <v>457482.95999999979</v>
      </c>
      <c r="D130" s="1">
        <f>[1]Prod.Costs!$S$11</f>
        <v>457482.95999999979</v>
      </c>
      <c r="E130" s="1">
        <f>[1]Prod.Costs!$S$11</f>
        <v>457482.95999999979</v>
      </c>
      <c r="F130" s="1">
        <f>[1]Prod.Costs!$S$11</f>
        <v>457482.95999999979</v>
      </c>
    </row>
    <row r="131" spans="1:9">
      <c r="A131" t="str">
        <f>A120</f>
        <v>Sorghum</v>
      </c>
      <c r="B131" s="5">
        <f ca="1">B120*B110*B125</f>
        <v>0</v>
      </c>
      <c r="C131" s="5">
        <f ca="1">C120*C110*C125</f>
        <v>0</v>
      </c>
      <c r="D131" s="5">
        <f ca="1">D120*D110*D125</f>
        <v>0</v>
      </c>
      <c r="E131" s="5">
        <f ca="1">E120*E110*E125</f>
        <v>0</v>
      </c>
      <c r="F131" s="5">
        <f ca="1">F120*F110*F125</f>
        <v>0</v>
      </c>
      <c r="G131" t="s">
        <v>111</v>
      </c>
    </row>
    <row r="132" spans="1:9">
      <c r="B132" s="5"/>
      <c r="C132" s="5"/>
      <c r="D132" s="5"/>
      <c r="E132" s="5"/>
      <c r="F132" s="5"/>
    </row>
    <row r="133" spans="1:9">
      <c r="A133" s="3" t="s">
        <v>22</v>
      </c>
      <c r="B133" s="5">
        <f ca="1">SUM(B128:B131)</f>
        <v>3107793.3979599373</v>
      </c>
      <c r="C133" s="5">
        <f ca="1">SUM(C128:C131)</f>
        <v>3175908.6128294058</v>
      </c>
      <c r="D133" s="5">
        <f ca="1">SUM(D128:D131)</f>
        <v>2512010.8162947907</v>
      </c>
      <c r="E133" s="5">
        <f ca="1">SUM(E128:E131)</f>
        <v>2852012.7332270648</v>
      </c>
      <c r="F133" s="5">
        <f ca="1">SUM(F128:F131)</f>
        <v>3422511.5397574338</v>
      </c>
      <c r="G133" t="str">
        <f ca="1">_xll.VFORMULA(B133)</f>
        <v>=SUM(B128:B131)</v>
      </c>
    </row>
    <row r="134" spans="1:9">
      <c r="A134" t="s">
        <v>111</v>
      </c>
      <c r="B134" s="5"/>
      <c r="C134" s="5"/>
      <c r="D134" s="5"/>
      <c r="E134" s="5"/>
      <c r="F134" s="5"/>
      <c r="G134" t="str">
        <f ca="1">_xll.VFORMULA(B134)</f>
        <v/>
      </c>
    </row>
    <row r="135" spans="1:9">
      <c r="A135" s="3" t="s">
        <v>101</v>
      </c>
    </row>
    <row r="136" spans="1:9">
      <c r="A136" t="s">
        <v>183</v>
      </c>
      <c r="B136" s="1"/>
      <c r="C136" s="5"/>
      <c r="D136" s="5"/>
      <c r="E136" s="5"/>
      <c r="F136" s="5"/>
    </row>
    <row r="137" spans="1:9">
      <c r="A137" s="6" t="str">
        <f>A53</f>
        <v xml:space="preserve">Corn </v>
      </c>
      <c r="B137" s="79">
        <f>B53</f>
        <v>131.93</v>
      </c>
      <c r="C137" s="5">
        <f>B137</f>
        <v>131.93</v>
      </c>
      <c r="D137" s="5">
        <f t="shared" ref="D137:F138" si="15">C137</f>
        <v>131.93</v>
      </c>
      <c r="E137" s="5">
        <f t="shared" si="15"/>
        <v>131.93</v>
      </c>
      <c r="F137" s="5">
        <f t="shared" si="15"/>
        <v>131.93</v>
      </c>
      <c r="I137" s="5" t="s">
        <v>111</v>
      </c>
    </row>
    <row r="138" spans="1:9">
      <c r="A138" s="6" t="str">
        <f>A54</f>
        <v>Cotton</v>
      </c>
      <c r="B138" s="79">
        <f>B54</f>
        <v>916.52266666666674</v>
      </c>
      <c r="C138" s="5">
        <f>B138</f>
        <v>916.52266666666674</v>
      </c>
      <c r="D138" s="5">
        <f t="shared" si="15"/>
        <v>916.52266666666674</v>
      </c>
      <c r="E138" s="5">
        <f t="shared" si="15"/>
        <v>916.52266666666674</v>
      </c>
      <c r="F138" s="5">
        <f t="shared" si="15"/>
        <v>916.52266666666674</v>
      </c>
      <c r="I138" s="5"/>
    </row>
    <row r="139" spans="1:9">
      <c r="A139" s="6" t="str">
        <f>A55</f>
        <v>Sorghum</v>
      </c>
      <c r="C139" s="5"/>
      <c r="D139" s="5"/>
      <c r="E139" s="5"/>
      <c r="F139" s="5"/>
      <c r="I139" s="5"/>
    </row>
    <row r="140" spans="1:9">
      <c r="A140" s="6"/>
      <c r="C140" s="5"/>
      <c r="D140" s="5"/>
      <c r="E140" s="5"/>
      <c r="F140" s="5"/>
      <c r="I140" s="5"/>
    </row>
    <row r="141" spans="1:9">
      <c r="A141" s="7" t="s">
        <v>103</v>
      </c>
      <c r="C141" s="5"/>
      <c r="D141" s="5"/>
      <c r="E141" s="5"/>
      <c r="F141" s="5"/>
      <c r="G141" t="s">
        <v>104</v>
      </c>
      <c r="I141" s="5"/>
    </row>
    <row r="142" spans="1:9">
      <c r="A142" s="6" t="str">
        <f>A137</f>
        <v xml:space="preserve">Corn </v>
      </c>
      <c r="B142" s="79">
        <f ca="1">B137*$G142</f>
        <v>112.1405</v>
      </c>
      <c r="C142" s="79">
        <f t="shared" ref="C142:F143" ca="1" si="16">C137*$G142</f>
        <v>112.1405</v>
      </c>
      <c r="D142" s="79">
        <f t="shared" ca="1" si="16"/>
        <v>112.1405</v>
      </c>
      <c r="E142" s="79">
        <f t="shared" ca="1" si="16"/>
        <v>112.1405</v>
      </c>
      <c r="F142" s="79">
        <f t="shared" ca="1" si="16"/>
        <v>112.1405</v>
      </c>
      <c r="G142">
        <f ca="1">F82</f>
        <v>0.85</v>
      </c>
      <c r="I142" s="5"/>
    </row>
    <row r="143" spans="1:9">
      <c r="A143" s="6" t="str">
        <f>A138</f>
        <v>Cotton</v>
      </c>
      <c r="B143" s="79">
        <f ca="1">B138*$G143</f>
        <v>779.04426666666666</v>
      </c>
      <c r="C143" s="79">
        <f t="shared" ca="1" si="16"/>
        <v>779.04426666666666</v>
      </c>
      <c r="D143" s="79">
        <f t="shared" ca="1" si="16"/>
        <v>779.04426666666666</v>
      </c>
      <c r="E143" s="79">
        <f t="shared" ca="1" si="16"/>
        <v>779.04426666666666</v>
      </c>
      <c r="F143" s="79">
        <f t="shared" ca="1" si="16"/>
        <v>779.04426666666666</v>
      </c>
      <c r="G143">
        <f ca="1">F83</f>
        <v>0.85</v>
      </c>
      <c r="I143" s="5"/>
    </row>
    <row r="144" spans="1:9">
      <c r="A144" s="6" t="str">
        <f>A139</f>
        <v>Sorghum</v>
      </c>
      <c r="B144" s="1"/>
      <c r="C144" s="5"/>
      <c r="D144" s="5"/>
      <c r="E144" s="5"/>
      <c r="F144" s="5"/>
      <c r="I144" s="5"/>
    </row>
    <row r="145" spans="1:9">
      <c r="A145" t="s">
        <v>102</v>
      </c>
    </row>
    <row r="146" spans="1:9">
      <c r="A146" s="6" t="str">
        <f>A142</f>
        <v xml:space="preserve">Corn </v>
      </c>
      <c r="B146" s="79">
        <f t="shared" ref="B146:F147" si="17">B102</f>
        <v>136.22357501455335</v>
      </c>
      <c r="C146" s="79">
        <f t="shared" si="17"/>
        <v>103.62769993168754</v>
      </c>
      <c r="D146" s="79">
        <f t="shared" si="17"/>
        <v>122.88278006569368</v>
      </c>
      <c r="E146" s="79">
        <f t="shared" si="17"/>
        <v>114.91893278398203</v>
      </c>
      <c r="F146" s="79">
        <f t="shared" si="17"/>
        <v>128.39028471740724</v>
      </c>
    </row>
    <row r="147" spans="1:9">
      <c r="A147" s="6" t="str">
        <f>A143</f>
        <v>Cotton</v>
      </c>
      <c r="B147" s="79">
        <f t="shared" si="17"/>
        <v>919.33145143073705</v>
      </c>
      <c r="C147" s="79">
        <f t="shared" si="17"/>
        <v>1000.7110299452572</v>
      </c>
      <c r="D147" s="79">
        <f t="shared" si="17"/>
        <v>887.95698634662574</v>
      </c>
      <c r="E147" s="79">
        <f t="shared" si="17"/>
        <v>939.57429096999033</v>
      </c>
      <c r="F147" s="79">
        <f t="shared" si="17"/>
        <v>994.35118528446799</v>
      </c>
    </row>
    <row r="148" spans="1:9">
      <c r="A148" s="6" t="str">
        <f>A144</f>
        <v>Sorghum</v>
      </c>
      <c r="B148" s="1"/>
      <c r="C148" s="5"/>
      <c r="D148" s="5"/>
      <c r="E148" s="5"/>
      <c r="F148" s="5"/>
      <c r="I148" s="5"/>
    </row>
    <row r="149" spans="1:9">
      <c r="A149" s="6"/>
      <c r="B149" s="1"/>
      <c r="C149" s="5"/>
      <c r="D149" s="5"/>
      <c r="E149" s="5"/>
      <c r="F149" s="5"/>
      <c r="I149" s="5"/>
    </row>
    <row r="150" spans="1:9">
      <c r="A150" t="s">
        <v>105</v>
      </c>
    </row>
    <row r="151" spans="1:9">
      <c r="A151" s="6" t="str">
        <f>A146</f>
        <v xml:space="preserve">Corn </v>
      </c>
      <c r="B151" s="4">
        <f ca="1">IF(B146&lt;B142,B142-B146,0)</f>
        <v>0</v>
      </c>
      <c r="C151" s="4">
        <f t="shared" ref="C151:F152" ca="1" si="18">IF(C146&lt;C142,C142-C146,0)</f>
        <v>8.5128000683124583</v>
      </c>
      <c r="D151" s="4">
        <f t="shared" ca="1" si="18"/>
        <v>0</v>
      </c>
      <c r="E151" s="4">
        <f t="shared" ca="1" si="18"/>
        <v>0</v>
      </c>
      <c r="F151" s="4">
        <f t="shared" ca="1" si="18"/>
        <v>0</v>
      </c>
    </row>
    <row r="152" spans="1:9">
      <c r="A152" s="6" t="str">
        <f>A147</f>
        <v>Cotton</v>
      </c>
      <c r="B152" s="4">
        <f ca="1">IF(B147&lt;B143,B143-B147,0)</f>
        <v>0</v>
      </c>
      <c r="C152" s="4">
        <f t="shared" ca="1" si="18"/>
        <v>0</v>
      </c>
      <c r="D152" s="4">
        <f t="shared" ca="1" si="18"/>
        <v>0</v>
      </c>
      <c r="E152" s="4">
        <f t="shared" ca="1" si="18"/>
        <v>0</v>
      </c>
      <c r="F152" s="4">
        <f t="shared" ca="1" si="18"/>
        <v>0</v>
      </c>
    </row>
    <row r="153" spans="1:9">
      <c r="A153" s="6" t="str">
        <f>A148</f>
        <v>Sorghum</v>
      </c>
      <c r="B153" s="5"/>
      <c r="C153" s="5"/>
      <c r="D153" s="5"/>
      <c r="E153" s="5"/>
      <c r="F153" s="5"/>
    </row>
    <row r="154" spans="1:9">
      <c r="A154" s="6"/>
      <c r="B154" s="5"/>
      <c r="C154" s="5"/>
      <c r="D154" s="5"/>
      <c r="E154" s="5"/>
      <c r="F154" s="5"/>
    </row>
    <row r="155" spans="1:9">
      <c r="A155" t="s">
        <v>98</v>
      </c>
      <c r="B155" s="1"/>
      <c r="C155" s="1"/>
      <c r="D155" s="1"/>
      <c r="E155" s="1"/>
      <c r="F155" s="1"/>
      <c r="I155" s="5"/>
    </row>
    <row r="156" spans="1:9">
      <c r="A156" s="6" t="str">
        <f>A137</f>
        <v xml:space="preserve">Corn </v>
      </c>
      <c r="B156" s="21">
        <f>C53</f>
        <v>4.78</v>
      </c>
      <c r="C156" s="21">
        <f>B156</f>
        <v>4.78</v>
      </c>
      <c r="D156" s="21">
        <f t="shared" ref="D156:F157" si="19">C156</f>
        <v>4.78</v>
      </c>
      <c r="E156" s="21">
        <f t="shared" si="19"/>
        <v>4.78</v>
      </c>
      <c r="F156" s="21">
        <f t="shared" si="19"/>
        <v>4.78</v>
      </c>
      <c r="I156" s="5"/>
    </row>
    <row r="157" spans="1:9">
      <c r="A157" s="6" t="str">
        <f>A138</f>
        <v>Cotton</v>
      </c>
      <c r="B157" s="21">
        <f>C54</f>
        <v>0.91</v>
      </c>
      <c r="C157" s="21">
        <f>B157</f>
        <v>0.91</v>
      </c>
      <c r="D157" s="21">
        <f t="shared" si="19"/>
        <v>0.91</v>
      </c>
      <c r="E157" s="21">
        <f t="shared" si="19"/>
        <v>0.91</v>
      </c>
      <c r="F157" s="21">
        <f t="shared" si="19"/>
        <v>0.91</v>
      </c>
      <c r="I157" s="5"/>
    </row>
    <row r="158" spans="1:9">
      <c r="A158" s="6" t="str">
        <f>A139</f>
        <v>Sorghum</v>
      </c>
      <c r="B158" s="5"/>
      <c r="C158" s="5"/>
      <c r="D158" s="5"/>
      <c r="E158" s="5"/>
      <c r="F158" s="5"/>
    </row>
    <row r="159" spans="1:9">
      <c r="B159" s="5"/>
      <c r="C159" s="5"/>
      <c r="D159" s="5"/>
      <c r="E159" s="5"/>
      <c r="F159" s="5"/>
    </row>
    <row r="160" spans="1:9">
      <c r="A160" t="s">
        <v>106</v>
      </c>
      <c r="B160" s="5"/>
      <c r="C160" s="5"/>
      <c r="D160" s="5"/>
      <c r="E160" s="5"/>
      <c r="F160" s="5"/>
    </row>
    <row r="161" spans="1:8">
      <c r="A161" s="6" t="str">
        <f>A156</f>
        <v xml:space="preserve">Corn </v>
      </c>
      <c r="B161" s="5">
        <f ca="1">B151*B156*B113</f>
        <v>0</v>
      </c>
      <c r="C161" s="5">
        <f t="shared" ref="C161:F162" ca="1" si="20">C151*C156*C113</f>
        <v>32552.947461226842</v>
      </c>
      <c r="D161" s="5">
        <f t="shared" ca="1" si="20"/>
        <v>0</v>
      </c>
      <c r="E161" s="5">
        <f t="shared" ca="1" si="20"/>
        <v>0</v>
      </c>
      <c r="F161" s="5">
        <f t="shared" ca="1" si="20"/>
        <v>0</v>
      </c>
    </row>
    <row r="162" spans="1:8">
      <c r="A162" s="6" t="str">
        <f>A157</f>
        <v>Cotton</v>
      </c>
      <c r="B162" s="5">
        <f ca="1">B152*B157*B114</f>
        <v>0</v>
      </c>
      <c r="C162" s="5">
        <f t="shared" ca="1" si="20"/>
        <v>0</v>
      </c>
      <c r="D162" s="5">
        <f t="shared" ca="1" si="20"/>
        <v>0</v>
      </c>
      <c r="E162" s="5">
        <f t="shared" ca="1" si="20"/>
        <v>0</v>
      </c>
      <c r="F162" s="5">
        <f t="shared" ca="1" si="20"/>
        <v>0</v>
      </c>
    </row>
    <row r="163" spans="1:8">
      <c r="A163" s="6" t="str">
        <f>A158</f>
        <v>Sorghum</v>
      </c>
      <c r="B163" s="5"/>
      <c r="C163" s="5"/>
      <c r="D163" s="5"/>
      <c r="E163" s="5"/>
      <c r="F163" s="5"/>
    </row>
    <row r="164" spans="1:8">
      <c r="A164" s="6" t="s">
        <v>107</v>
      </c>
      <c r="B164" s="5">
        <f ca="1">SUM(B161:B162)</f>
        <v>0</v>
      </c>
      <c r="C164" s="5">
        <f t="shared" ref="C164:F164" ca="1" si="21">SUM(C161:C162)</f>
        <v>32552.947461226842</v>
      </c>
      <c r="D164" s="5">
        <f t="shared" ca="1" si="21"/>
        <v>0</v>
      </c>
      <c r="E164" s="5">
        <f t="shared" ca="1" si="21"/>
        <v>0</v>
      </c>
      <c r="F164" s="5">
        <f t="shared" ca="1" si="21"/>
        <v>0</v>
      </c>
    </row>
    <row r="165" spans="1:8">
      <c r="A165" s="6"/>
      <c r="B165" s="5"/>
      <c r="C165" s="5"/>
      <c r="D165" s="5"/>
      <c r="E165" s="5"/>
      <c r="F165" s="5"/>
    </row>
    <row r="166" spans="1:8">
      <c r="A166" s="7" t="s">
        <v>108</v>
      </c>
      <c r="B166" s="5"/>
      <c r="C166" s="5"/>
      <c r="D166" s="5"/>
      <c r="E166" s="5"/>
      <c r="F166" s="5"/>
    </row>
    <row r="167" spans="1:8">
      <c r="A167" s="6" t="str">
        <f>A161</f>
        <v xml:space="preserve">Corn </v>
      </c>
      <c r="B167" s="28">
        <f t="shared" ref="B167:F168" ca="1" si="22">$F84</f>
        <v>14</v>
      </c>
      <c r="C167" s="28">
        <f t="shared" ca="1" si="22"/>
        <v>14</v>
      </c>
      <c r="D167" s="28">
        <f t="shared" ca="1" si="22"/>
        <v>14</v>
      </c>
      <c r="E167" s="28">
        <f t="shared" ca="1" si="22"/>
        <v>14</v>
      </c>
      <c r="F167" s="28">
        <f t="shared" ca="1" si="22"/>
        <v>14</v>
      </c>
    </row>
    <row r="168" spans="1:8">
      <c r="A168" s="6" t="str">
        <f>A162</f>
        <v>Cotton</v>
      </c>
      <c r="B168" s="28">
        <f t="shared" ca="1" si="22"/>
        <v>12</v>
      </c>
      <c r="C168" s="28">
        <f t="shared" ca="1" si="22"/>
        <v>12</v>
      </c>
      <c r="D168" s="28">
        <f t="shared" ca="1" si="22"/>
        <v>12</v>
      </c>
      <c r="E168" s="28">
        <f t="shared" ca="1" si="22"/>
        <v>12</v>
      </c>
      <c r="F168" s="28">
        <f t="shared" ca="1" si="22"/>
        <v>12</v>
      </c>
    </row>
    <row r="169" spans="1:8">
      <c r="A169" s="6" t="str">
        <f>A163</f>
        <v>Sorghum</v>
      </c>
      <c r="B169" s="5"/>
      <c r="C169" s="5"/>
      <c r="D169" s="5"/>
      <c r="E169" s="5"/>
      <c r="F169" s="5"/>
    </row>
    <row r="170" spans="1:8">
      <c r="A170" s="6"/>
      <c r="B170" s="5"/>
      <c r="C170" s="5"/>
      <c r="D170" s="5"/>
      <c r="E170" s="5"/>
      <c r="F170" s="5"/>
    </row>
    <row r="171" spans="1:8">
      <c r="A171" s="7" t="s">
        <v>184</v>
      </c>
      <c r="B171" s="5"/>
      <c r="C171" s="5"/>
      <c r="D171" s="5"/>
      <c r="E171" s="5" t="s">
        <v>111</v>
      </c>
      <c r="F171" s="5"/>
    </row>
    <row r="172" spans="1:8">
      <c r="A172" s="6" t="str">
        <f>A167</f>
        <v xml:space="preserve">Corn </v>
      </c>
      <c r="B172" s="5">
        <f ca="1">B167*B113</f>
        <v>11200</v>
      </c>
      <c r="C172" s="5">
        <f t="shared" ref="C172:F174" ca="1" si="23">C167*C113</f>
        <v>11200</v>
      </c>
      <c r="D172" s="5">
        <f t="shared" ca="1" si="23"/>
        <v>11200</v>
      </c>
      <c r="E172" s="5">
        <f t="shared" ca="1" si="23"/>
        <v>11200</v>
      </c>
      <c r="F172" s="5">
        <f t="shared" ca="1" si="23"/>
        <v>11200</v>
      </c>
    </row>
    <row r="173" spans="1:8">
      <c r="A173" s="6" t="str">
        <f>A168</f>
        <v>Cotton</v>
      </c>
      <c r="B173" s="5">
        <f ca="1">B168*B114</f>
        <v>26400</v>
      </c>
      <c r="C173" s="5">
        <f t="shared" ca="1" si="23"/>
        <v>26400</v>
      </c>
      <c r="D173" s="5">
        <f t="shared" ca="1" si="23"/>
        <v>26400</v>
      </c>
      <c r="E173" s="5">
        <f t="shared" ca="1" si="23"/>
        <v>26400</v>
      </c>
      <c r="F173" s="5">
        <f t="shared" ca="1" si="23"/>
        <v>26400</v>
      </c>
    </row>
    <row r="174" spans="1:8">
      <c r="A174" s="6" t="str">
        <f>A169</f>
        <v>Sorghum</v>
      </c>
      <c r="B174" s="5">
        <f ca="1">B169*B115</f>
        <v>0</v>
      </c>
      <c r="C174" s="5">
        <f t="shared" ca="1" si="23"/>
        <v>0</v>
      </c>
      <c r="D174" s="5">
        <f t="shared" ca="1" si="23"/>
        <v>0</v>
      </c>
      <c r="E174" s="5">
        <f t="shared" ca="1" si="23"/>
        <v>0</v>
      </c>
      <c r="F174" s="5">
        <f t="shared" ca="1" si="23"/>
        <v>0</v>
      </c>
    </row>
    <row r="175" spans="1:8">
      <c r="A175" s="6" t="s">
        <v>185</v>
      </c>
      <c r="B175" s="5">
        <f ca="1">SUM(B172:B173)</f>
        <v>37600</v>
      </c>
      <c r="C175" s="5">
        <f t="shared" ref="C175:F175" ca="1" si="24">SUM(C172:C173)</f>
        <v>37600</v>
      </c>
      <c r="D175" s="5">
        <f t="shared" ca="1" si="24"/>
        <v>37600</v>
      </c>
      <c r="E175" s="5">
        <f t="shared" ca="1" si="24"/>
        <v>37600</v>
      </c>
      <c r="F175" s="5">
        <f t="shared" ca="1" si="24"/>
        <v>37600</v>
      </c>
    </row>
    <row r="176" spans="1:8">
      <c r="A176" s="6" t="s">
        <v>111</v>
      </c>
      <c r="B176" s="5"/>
      <c r="C176" s="5"/>
      <c r="D176" s="5"/>
      <c r="E176" s="5"/>
      <c r="F176" s="5"/>
      <c r="H176" t="s">
        <v>111</v>
      </c>
    </row>
    <row r="177" spans="1:8">
      <c r="A177" s="6"/>
      <c r="B177" s="5"/>
      <c r="C177" s="5"/>
      <c r="D177" s="5"/>
      <c r="E177" s="5"/>
      <c r="F177" s="5"/>
    </row>
    <row r="178" spans="1:8">
      <c r="A178" s="3" t="s">
        <v>23</v>
      </c>
      <c r="B178" s="60" t="s">
        <v>268</v>
      </c>
      <c r="C178">
        <f>B87</f>
        <v>2024</v>
      </c>
      <c r="D178">
        <f>C87</f>
        <v>2025</v>
      </c>
      <c r="E178">
        <f>D87</f>
        <v>2026</v>
      </c>
      <c r="F178">
        <f>E87</f>
        <v>2027</v>
      </c>
      <c r="G178">
        <f>F87</f>
        <v>2028</v>
      </c>
    </row>
    <row r="179" spans="1:8">
      <c r="A179" t="str">
        <f t="shared" ref="A179:B181" si="25">A23</f>
        <v>Family Living</v>
      </c>
      <c r="B179" s="9">
        <f t="shared" si="25"/>
        <v>30000</v>
      </c>
      <c r="C179" s="1">
        <f>B179*(1+B95)</f>
        <v>30500.514446523266</v>
      </c>
      <c r="D179" s="1">
        <f>C179*(1+C95)</f>
        <v>31095.195860928914</v>
      </c>
      <c r="E179" s="1">
        <f>D179*(1+D95)</f>
        <v>31976.257946179347</v>
      </c>
      <c r="F179" s="1">
        <f>E179*(1+E95)</f>
        <v>32809.502206694087</v>
      </c>
      <c r="G179" s="1">
        <f>F179*(1+F95)</f>
        <v>33595.454920042524</v>
      </c>
      <c r="H179" t="str">
        <f ca="1">_xll.VFORMULA(B179)</f>
        <v>=B23</v>
      </c>
    </row>
    <row r="180" spans="1:8">
      <c r="A180" t="str">
        <f t="shared" si="25"/>
        <v>Farm's Fixed Costs</v>
      </c>
      <c r="B180" s="9">
        <f t="shared" si="25"/>
        <v>64000</v>
      </c>
      <c r="C180" s="1">
        <f>B180*(1+B94)</f>
        <v>64128</v>
      </c>
      <c r="D180" s="1">
        <f>C180*(1+C94)</f>
        <v>65089.919999999991</v>
      </c>
      <c r="E180" s="1">
        <f>D180*(1+D94)</f>
        <v>66437.281343999988</v>
      </c>
      <c r="F180" s="1">
        <f>E180*(1+E94)</f>
        <v>67852.395436627194</v>
      </c>
      <c r="G180" s="1">
        <f>F180*(1+F94)</f>
        <v>69311.221938514689</v>
      </c>
      <c r="H180" t="str">
        <f ca="1">_xll.VFORMULA(B180)</f>
        <v>=B24</v>
      </c>
    </row>
    <row r="181" spans="1:8">
      <c r="A181" t="str">
        <f t="shared" si="25"/>
        <v>Labor Costs</v>
      </c>
      <c r="B181" s="9">
        <f t="shared" si="25"/>
        <v>0</v>
      </c>
      <c r="C181" s="1">
        <f>B181*(1+B93)</f>
        <v>0</v>
      </c>
      <c r="D181" s="1">
        <f>C181*(1+C93)</f>
        <v>0</v>
      </c>
      <c r="E181" s="1">
        <f>D181*(1+D93)</f>
        <v>0</v>
      </c>
      <c r="F181" s="1">
        <f>E181*(1+E93)</f>
        <v>0</v>
      </c>
      <c r="G181" s="1">
        <f>F181*(1+F93)</f>
        <v>0</v>
      </c>
      <c r="H181" t="str">
        <f ca="1">_xll.VFORMULA(B181)</f>
        <v>=B25</v>
      </c>
    </row>
    <row r="182" spans="1:8">
      <c r="A182" s="88" t="s">
        <v>169</v>
      </c>
      <c r="B182" s="9">
        <f t="shared" ref="B182:B186" ca="1" si="26">F65</f>
        <v>93.75</v>
      </c>
      <c r="C182" s="1">
        <f ca="1">B182*(1+B$91)</f>
        <v>92.615624999999994</v>
      </c>
      <c r="D182" s="1">
        <f t="shared" ref="D182:G184" ca="1" si="27">C182*(1+C$91)</f>
        <v>92.902733437500004</v>
      </c>
      <c r="E182" s="1">
        <f t="shared" ca="1" si="27"/>
        <v>94.352016079125008</v>
      </c>
      <c r="F182" s="1">
        <f t="shared" ca="1" si="27"/>
        <v>96.069222771765084</v>
      </c>
      <c r="G182" s="4">
        <f t="shared" ca="1" si="27"/>
        <v>97.481440346510027</v>
      </c>
      <c r="H182" t="str">
        <f ca="1">_xll.VFORMULA(B182)</f>
        <v>=F65</v>
      </c>
    </row>
    <row r="183" spans="1:8">
      <c r="A183" s="73" t="s">
        <v>170</v>
      </c>
      <c r="B183" s="9">
        <f t="shared" ca="1" si="26"/>
        <v>122.5595</v>
      </c>
      <c r="C183" s="1">
        <f ca="1">B183*(1+B$91)</f>
        <v>121.07653005</v>
      </c>
      <c r="D183" s="1">
        <f t="shared" ca="1" si="27"/>
        <v>121.45186729315502</v>
      </c>
      <c r="E183" s="1">
        <f t="shared" ca="1" si="27"/>
        <v>123.34651642292825</v>
      </c>
      <c r="F183" s="1">
        <f t="shared" ca="1" si="27"/>
        <v>125.59142302182553</v>
      </c>
      <c r="G183" s="4">
        <f t="shared" ca="1" si="27"/>
        <v>127.43761694024636</v>
      </c>
      <c r="H183" t="str">
        <f ca="1">_xll.VFORMULA(B183)</f>
        <v>=F66</v>
      </c>
    </row>
    <row r="184" spans="1:8">
      <c r="A184" s="73" t="s">
        <v>171</v>
      </c>
      <c r="B184" s="9">
        <f t="shared" ca="1" si="26"/>
        <v>30.843499999999999</v>
      </c>
      <c r="C184" s="1">
        <f ca="1">B184*(1+B$91)</f>
        <v>30.470293649999999</v>
      </c>
      <c r="D184" s="1">
        <f t="shared" ca="1" si="27"/>
        <v>30.564751560315003</v>
      </c>
      <c r="E184" s="1">
        <f t="shared" ca="1" si="27"/>
        <v>31.041561684655917</v>
      </c>
      <c r="F184" s="1">
        <f t="shared" ca="1" si="27"/>
        <v>31.606518107316656</v>
      </c>
      <c r="G184" s="4">
        <f t="shared" ca="1" si="27"/>
        <v>32.071133923494209</v>
      </c>
      <c r="H184" t="str">
        <f ca="1">_xll.VFORMULA(B184)</f>
        <v>=F67</v>
      </c>
    </row>
    <row r="185" spans="1:8">
      <c r="A185" s="73" t="s">
        <v>172</v>
      </c>
      <c r="B185" s="9">
        <f t="shared" ca="1" si="26"/>
        <v>24.897699999999997</v>
      </c>
      <c r="C185" s="1">
        <f t="shared" ref="C185:G186" ca="1" si="28">B185*(1+B$91)</f>
        <v>24.596437829999996</v>
      </c>
      <c r="D185" s="1">
        <f t="shared" ca="1" si="28"/>
        <v>24.672686787272998</v>
      </c>
      <c r="E185" s="1">
        <f t="shared" ca="1" si="28"/>
        <v>25.057580701154457</v>
      </c>
      <c r="F185" s="1">
        <f t="shared" ca="1" si="28"/>
        <v>25.51362866991547</v>
      </c>
      <c r="G185" s="4">
        <f t="shared" ca="1" si="28"/>
        <v>25.888679011363227</v>
      </c>
      <c r="H185" t="str">
        <f ca="1">_xll.VFORMULA(B185)</f>
        <v>=F68</v>
      </c>
    </row>
    <row r="186" spans="1:8">
      <c r="A186" s="169" t="s">
        <v>173</v>
      </c>
      <c r="B186" s="96">
        <f t="shared" ca="1" si="26"/>
        <v>99</v>
      </c>
      <c r="C186" s="79">
        <f t="shared" ca="1" si="28"/>
        <v>97.802099999999996</v>
      </c>
      <c r="D186" s="79">
        <f t="shared" ca="1" si="28"/>
        <v>98.105286509999999</v>
      </c>
      <c r="E186" s="79">
        <f t="shared" ca="1" si="28"/>
        <v>99.635728979556006</v>
      </c>
      <c r="F186" s="79">
        <f t="shared" ca="1" si="28"/>
        <v>101.44909924698392</v>
      </c>
      <c r="G186" s="79">
        <f t="shared" ca="1" si="28"/>
        <v>102.94040100591458</v>
      </c>
      <c r="H186" t="str">
        <f ca="1">_xll.VFORMULA(B186)</f>
        <v>=F69</v>
      </c>
    </row>
    <row r="187" spans="1:8">
      <c r="A187" s="73" t="s">
        <v>174</v>
      </c>
      <c r="B187" s="9">
        <f ca="1">F70</f>
        <v>132.07386932192847</v>
      </c>
      <c r="C187" s="1">
        <f t="shared" ref="C187:G189" ca="1" si="29">B187*(1+B$91)</f>
        <v>130.47577550313312</v>
      </c>
      <c r="D187" s="1">
        <f t="shared" ca="1" si="29"/>
        <v>130.88025040719285</v>
      </c>
      <c r="E187" s="1">
        <f t="shared" ca="1" si="29"/>
        <v>132.92198231354507</v>
      </c>
      <c r="F187" s="1">
        <f t="shared" ca="1" si="29"/>
        <v>135.34116239165158</v>
      </c>
      <c r="G187" s="4">
        <f t="shared" ca="1" si="29"/>
        <v>137.33067747880884</v>
      </c>
      <c r="H187" t="str">
        <f ca="1">_xll.VFORMULA(B187)</f>
        <v>=F70</v>
      </c>
    </row>
    <row r="188" spans="1:8">
      <c r="A188" s="93" t="s">
        <v>175</v>
      </c>
      <c r="B188" s="9">
        <f ca="1">F71</f>
        <v>82.05</v>
      </c>
      <c r="C188" s="1">
        <f t="shared" ca="1" si="29"/>
        <v>81.057194999999993</v>
      </c>
      <c r="D188" s="1">
        <f t="shared" ca="1" si="29"/>
        <v>81.3084723045</v>
      </c>
      <c r="E188" s="1">
        <f t="shared" ca="1" si="29"/>
        <v>82.576884472450203</v>
      </c>
      <c r="F188" s="1">
        <f t="shared" ca="1" si="29"/>
        <v>84.079783769848802</v>
      </c>
      <c r="G188" s="4">
        <f t="shared" ca="1" si="29"/>
        <v>85.315756591265568</v>
      </c>
      <c r="H188" t="str">
        <f ca="1">_xll.VFORMULA(B188)</f>
        <v>=F71</v>
      </c>
    </row>
    <row r="189" spans="1:8">
      <c r="A189" s="73" t="s">
        <v>170</v>
      </c>
      <c r="B189" s="9">
        <f ca="1">F72</f>
        <v>103.88700000000001</v>
      </c>
      <c r="C189" s="1">
        <f t="shared" ca="1" si="29"/>
        <v>102.62996730000002</v>
      </c>
      <c r="D189" s="1">
        <f t="shared" ca="1" si="29"/>
        <v>102.94812019863002</v>
      </c>
      <c r="E189" s="1">
        <f t="shared" ca="1" si="29"/>
        <v>104.55411087372866</v>
      </c>
      <c r="F189" s="1">
        <f t="shared" ca="1" si="29"/>
        <v>106.45699569163052</v>
      </c>
      <c r="G189" s="4">
        <f t="shared" ca="1" si="29"/>
        <v>108.02191352829749</v>
      </c>
      <c r="H189" t="str">
        <f ca="1">_xll.VFORMULA(B189)</f>
        <v>=F72</v>
      </c>
    </row>
    <row r="190" spans="1:8">
      <c r="A190" s="73" t="s">
        <v>171</v>
      </c>
      <c r="B190" s="9">
        <f t="shared" ref="B190:B191" ca="1" si="30">F73</f>
        <v>88.427351562500021</v>
      </c>
      <c r="C190" s="1">
        <f t="shared" ref="C190:G190" ca="1" si="31">B190*(1+B$91)</f>
        <v>87.357380608593772</v>
      </c>
      <c r="D190" s="1">
        <f t="shared" ca="1" si="31"/>
        <v>87.628188488480419</v>
      </c>
      <c r="E190" s="1">
        <f t="shared" ca="1" si="31"/>
        <v>88.995188228900716</v>
      </c>
      <c r="F190" s="1">
        <f t="shared" ca="1" si="31"/>
        <v>90.614900654666712</v>
      </c>
      <c r="G190" s="4">
        <f t="shared" ca="1" si="31"/>
        <v>91.946939694290307</v>
      </c>
      <c r="H190" t="str">
        <f ca="1">_xll.VFORMULA(B190)</f>
        <v>=F73</v>
      </c>
    </row>
    <row r="191" spans="1:8">
      <c r="A191" s="73" t="s">
        <v>172</v>
      </c>
      <c r="B191" s="9">
        <f t="shared" ca="1" si="30"/>
        <v>29.680000000000003</v>
      </c>
      <c r="C191" s="1">
        <f t="shared" ref="C191:G191" ca="1" si="32">B191*(1+B$91)</f>
        <v>29.320872000000005</v>
      </c>
      <c r="D191" s="1">
        <f t="shared" ca="1" si="32"/>
        <v>29.411766703200009</v>
      </c>
      <c r="E191" s="1">
        <f t="shared" ca="1" si="32"/>
        <v>29.87059026376993</v>
      </c>
      <c r="F191" s="1">
        <f t="shared" ca="1" si="32"/>
        <v>30.414235006570543</v>
      </c>
      <c r="G191" s="4">
        <f t="shared" ca="1" si="32"/>
        <v>30.861324261167127</v>
      </c>
      <c r="H191" t="str">
        <f ca="1">_xll.VFORMULA(B191)</f>
        <v>=F74</v>
      </c>
    </row>
    <row r="192" spans="1:8">
      <c r="A192" s="169" t="s">
        <v>173</v>
      </c>
      <c r="B192" s="9">
        <f ca="1">F75</f>
        <v>273.08999999999992</v>
      </c>
      <c r="C192" s="1">
        <f t="shared" ref="C192:G193" ca="1" si="33">B192*(1+B$91)</f>
        <v>269.7856109999999</v>
      </c>
      <c r="D192" s="1">
        <f t="shared" ca="1" si="33"/>
        <v>270.62194639409995</v>
      </c>
      <c r="E192" s="1">
        <f t="shared" ca="1" si="33"/>
        <v>274.84364875784792</v>
      </c>
      <c r="F192" s="1">
        <f t="shared" ca="1" si="33"/>
        <v>279.84580316524074</v>
      </c>
      <c r="G192" s="4">
        <f t="shared" ca="1" si="33"/>
        <v>283.95953647176975</v>
      </c>
      <c r="H192" t="str">
        <f ca="1">_xll.VFORMULA(B192)</f>
        <v>=F75</v>
      </c>
    </row>
    <row r="193" spans="1:8">
      <c r="A193" s="73" t="s">
        <v>174</v>
      </c>
      <c r="B193" s="9">
        <f ca="1">F76</f>
        <v>183.52655778381092</v>
      </c>
      <c r="C193" s="1">
        <f t="shared" ca="1" si="33"/>
        <v>181.30588643462681</v>
      </c>
      <c r="D193" s="1">
        <f t="shared" ca="1" si="33"/>
        <v>181.86793468257417</v>
      </c>
      <c r="E193" s="1">
        <f t="shared" ca="1" si="33"/>
        <v>184.70507446362234</v>
      </c>
      <c r="F193" s="1">
        <f t="shared" ca="1" si="33"/>
        <v>188.06670681886027</v>
      </c>
      <c r="G193" s="4">
        <f t="shared" ca="1" si="33"/>
        <v>190.83128740909751</v>
      </c>
      <c r="H193" t="str">
        <f ca="1">_xll.VFORMULA(B193)</f>
        <v>=F76</v>
      </c>
    </row>
    <row r="194" spans="1:8">
      <c r="A194" s="9"/>
      <c r="B194" s="9"/>
      <c r="C194" s="1"/>
      <c r="D194" s="1"/>
      <c r="E194" s="1"/>
      <c r="F194" s="1"/>
      <c r="G194" s="4"/>
    </row>
    <row r="195" spans="1:8">
      <c r="A195" s="170" t="s">
        <v>277</v>
      </c>
      <c r="B195" s="3">
        <f>L36</f>
        <v>0</v>
      </c>
      <c r="C195" s="4">
        <f>B195*(1+B$91)</f>
        <v>0</v>
      </c>
      <c r="D195" s="4">
        <f t="shared" ref="D195:G196" si="34">C195*(1+C$91)</f>
        <v>0</v>
      </c>
      <c r="E195" s="4">
        <f t="shared" si="34"/>
        <v>0</v>
      </c>
      <c r="F195" s="4">
        <f t="shared" si="34"/>
        <v>0</v>
      </c>
      <c r="G195" s="4">
        <f t="shared" si="34"/>
        <v>0</v>
      </c>
      <c r="H195" t="str">
        <f ca="1">_xll.VFORMULA(B195)</f>
        <v>=L36</v>
      </c>
    </row>
    <row r="196" spans="1:8">
      <c r="A196" s="170" t="s">
        <v>283</v>
      </c>
      <c r="B196" s="96">
        <f>L37</f>
        <v>0</v>
      </c>
      <c r="C196" s="79">
        <f>B196*(1+B$91)</f>
        <v>0</v>
      </c>
      <c r="D196" s="79">
        <f t="shared" si="34"/>
        <v>0</v>
      </c>
      <c r="E196" s="79">
        <f t="shared" si="34"/>
        <v>0</v>
      </c>
      <c r="F196" s="79">
        <f t="shared" si="34"/>
        <v>0</v>
      </c>
      <c r="G196" s="79">
        <f t="shared" si="34"/>
        <v>0</v>
      </c>
      <c r="H196" t="str">
        <f ca="1">_xll.VFORMULA(B196)</f>
        <v>=L37</v>
      </c>
    </row>
    <row r="197" spans="1:8">
      <c r="B197" s="3"/>
      <c r="C197" s="4"/>
      <c r="D197" s="4"/>
      <c r="E197" s="4"/>
      <c r="F197" s="4"/>
      <c r="G197" s="4"/>
    </row>
    <row r="198" spans="1:8">
      <c r="B198" s="96"/>
      <c r="C198" s="79"/>
      <c r="D198" s="79"/>
      <c r="E198" s="79"/>
      <c r="F198" s="79"/>
      <c r="G198" s="4"/>
    </row>
    <row r="199" spans="1:8">
      <c r="A199" t="s">
        <v>25</v>
      </c>
      <c r="B199" s="10">
        <f>B12</f>
        <v>100000</v>
      </c>
      <c r="C199" s="1">
        <f t="shared" ref="C199:G200" si="35">B199*(1+B89)</f>
        <v>98990</v>
      </c>
      <c r="D199" s="1">
        <f t="shared" si="35"/>
        <v>96832.017999999996</v>
      </c>
      <c r="E199" s="1">
        <f t="shared" si="35"/>
        <v>95795.915407399996</v>
      </c>
      <c r="F199" s="1">
        <f t="shared" si="35"/>
        <v>95700.119491992591</v>
      </c>
      <c r="G199" s="1">
        <f t="shared" si="35"/>
        <v>95757.53956368778</v>
      </c>
      <c r="H199" t="str">
        <f ca="1">_xll.VFORMULA(B199)</f>
        <v>=B12</v>
      </c>
    </row>
    <row r="200" spans="1:8">
      <c r="A200" t="s">
        <v>35</v>
      </c>
      <c r="B200" s="10">
        <f>B15</f>
        <v>0</v>
      </c>
      <c r="C200" s="1">
        <f t="shared" si="35"/>
        <v>0</v>
      </c>
      <c r="D200" s="1">
        <f t="shared" si="35"/>
        <v>0</v>
      </c>
      <c r="E200" s="1">
        <f t="shared" si="35"/>
        <v>0</v>
      </c>
      <c r="F200" s="1">
        <f t="shared" si="35"/>
        <v>0</v>
      </c>
      <c r="G200" s="1">
        <f t="shared" si="35"/>
        <v>0</v>
      </c>
      <c r="H200" t="str">
        <f ca="1">_xll.VFORMULA(B200)</f>
        <v>=B15</v>
      </c>
    </row>
    <row r="201" spans="1:8">
      <c r="A201" t="s">
        <v>33</v>
      </c>
      <c r="B201" s="10">
        <f>B8*B7</f>
        <v>100000</v>
      </c>
      <c r="C201" s="1">
        <f>B201*(1+B$89)</f>
        <v>98990</v>
      </c>
      <c r="D201" s="1">
        <f t="shared" ref="D201:G201" si="36">C201*(1+C$89)</f>
        <v>96832.017999999996</v>
      </c>
      <c r="E201" s="1">
        <f t="shared" si="36"/>
        <v>95795.915407399996</v>
      </c>
      <c r="F201" s="1">
        <f t="shared" si="36"/>
        <v>95700.119491992591</v>
      </c>
      <c r="G201" s="1">
        <f t="shared" si="36"/>
        <v>95757.53956368778</v>
      </c>
      <c r="H201" t="str">
        <f ca="1">_xll.VFORMULA(B201)</f>
        <v>=B8*B7</v>
      </c>
    </row>
    <row r="202" spans="1:8">
      <c r="B202" s="10"/>
      <c r="C202" s="1"/>
      <c r="D202" s="1"/>
      <c r="E202" s="1"/>
      <c r="F202" s="1"/>
      <c r="G202" s="1"/>
    </row>
    <row r="203" spans="1:8">
      <c r="B203">
        <f>C178</f>
        <v>2024</v>
      </c>
      <c r="C203">
        <f>D178</f>
        <v>2025</v>
      </c>
      <c r="D203">
        <f>E178</f>
        <v>2026</v>
      </c>
      <c r="E203">
        <f>F178</f>
        <v>2027</v>
      </c>
      <c r="F203">
        <f>G178</f>
        <v>2028</v>
      </c>
    </row>
    <row r="204" spans="1:8">
      <c r="A204" s="3" t="s">
        <v>186</v>
      </c>
      <c r="B204" t="s">
        <v>89</v>
      </c>
    </row>
    <row r="205" spans="1:8">
      <c r="A205" s="6" t="s">
        <v>18</v>
      </c>
      <c r="B205" s="74">
        <f ca="1">SUM(C182:C187)*B113</f>
        <v>397629.40962650644</v>
      </c>
      <c r="C205" s="74">
        <f t="shared" ref="C205:F205" ca="1" si="37">SUM(D182:D187)*C113</f>
        <v>398862.06079634867</v>
      </c>
      <c r="D205" s="74">
        <f t="shared" ca="1" si="37"/>
        <v>405084.30894477176</v>
      </c>
      <c r="E205" s="74">
        <f t="shared" ca="1" si="37"/>
        <v>412456.84336756659</v>
      </c>
      <c r="F205" s="74">
        <f t="shared" ca="1" si="37"/>
        <v>418519.95896506979</v>
      </c>
      <c r="G205" t="str">
        <f ca="1">_xll.VFORMULA(B205)</f>
        <v>=SUM(C182:C187)*B113</v>
      </c>
    </row>
    <row r="206" spans="1:8">
      <c r="A206" s="6" t="s">
        <v>160</v>
      </c>
      <c r="B206" s="74">
        <f ca="1">SUM(C188:C193)*B114</f>
        <v>1653205.2071550852</v>
      </c>
      <c r="C206" s="74">
        <f t="shared" ref="C206:F206" ca="1" si="38">SUM(D188:D193)*C114</f>
        <v>1658330.143297266</v>
      </c>
      <c r="D206" s="74">
        <f t="shared" ca="1" si="38"/>
        <v>1684200.0935327036</v>
      </c>
      <c r="E206" s="74">
        <f t="shared" ca="1" si="38"/>
        <v>1714852.5352349989</v>
      </c>
      <c r="F206" s="74">
        <f t="shared" ca="1" si="38"/>
        <v>1740060.8675029529</v>
      </c>
      <c r="G206" t="str">
        <f ca="1">_xll.VFORMULA(B206)</f>
        <v>=SUM(C188:C193)*B114</v>
      </c>
    </row>
    <row r="207" spans="1:8">
      <c r="G207" t="str">
        <f ca="1">_xll.VFORMULA(B207)</f>
        <v/>
      </c>
    </row>
    <row r="208" spans="1:8">
      <c r="A208" s="171" t="s">
        <v>30</v>
      </c>
      <c r="B208" t="s">
        <v>187</v>
      </c>
      <c r="G208" t="str">
        <f ca="1">_xll.VFORMULA(B208)</f>
        <v>Simply = Production * $/bu harvesting cost</v>
      </c>
    </row>
    <row r="209" spans="1:10">
      <c r="A209" s="97" t="str">
        <f>A195</f>
        <v>Crop1 Harvest $/bu</v>
      </c>
      <c r="B209" s="5">
        <f ca="1">B118*C197</f>
        <v>0</v>
      </c>
      <c r="C209" s="5">
        <f ca="1">C118*D197</f>
        <v>0</v>
      </c>
      <c r="D209" s="5">
        <f ca="1">D118*E197</f>
        <v>0</v>
      </c>
      <c r="E209" s="5">
        <f ca="1">E118*F197</f>
        <v>0</v>
      </c>
      <c r="F209" s="5">
        <f ca="1">F118*G197</f>
        <v>0</v>
      </c>
      <c r="G209" t="str">
        <f ca="1">_xll.VFORMULA(B209)</f>
        <v>=B118*C197</v>
      </c>
    </row>
    <row r="210" spans="1:10">
      <c r="A210" s="97" t="str">
        <f>A196</f>
        <v>Crop2 Harvest $/Ac</v>
      </c>
      <c r="B210" s="5">
        <f ca="1">B114*C198</f>
        <v>0</v>
      </c>
      <c r="C210" s="5">
        <f ca="1">C114*D198</f>
        <v>0</v>
      </c>
      <c r="D210" s="5">
        <f ca="1">D114*E198</f>
        <v>0</v>
      </c>
      <c r="E210" s="5">
        <f ca="1">E114*F198</f>
        <v>0</v>
      </c>
      <c r="F210" s="5">
        <f ca="1">F114*G198</f>
        <v>0</v>
      </c>
      <c r="G210" t="str">
        <f ca="1">_xll.VFORMULA(B210)</f>
        <v>=B114*C198</v>
      </c>
    </row>
    <row r="211" spans="1:10">
      <c r="B211" t="s">
        <v>90</v>
      </c>
    </row>
    <row r="212" spans="1:10">
      <c r="A212" s="3" t="s">
        <v>32</v>
      </c>
      <c r="B212" s="23">
        <f>B88+$B$29</f>
        <v>0.02</v>
      </c>
      <c r="C212" s="23">
        <f>C88+$B$29</f>
        <v>0.02</v>
      </c>
      <c r="D212" s="23">
        <f>D88+$B$29</f>
        <v>0.02</v>
      </c>
      <c r="E212" s="23">
        <f>E88+$B$29</f>
        <v>0.02</v>
      </c>
      <c r="F212" s="23">
        <f>F88+$B$29</f>
        <v>0.02</v>
      </c>
      <c r="G212" t="str">
        <f ca="1">_xll.VFORMULA(B212)</f>
        <v>=B88+$B$29</v>
      </c>
    </row>
    <row r="213" spans="1:10">
      <c r="A213" s="3" t="s">
        <v>37</v>
      </c>
      <c r="B213">
        <f>$B$30</f>
        <v>0</v>
      </c>
      <c r="C213">
        <f t="shared" ref="C213:F213" si="39">$B$30</f>
        <v>0</v>
      </c>
      <c r="D213">
        <f t="shared" si="39"/>
        <v>0</v>
      </c>
      <c r="E213">
        <f t="shared" si="39"/>
        <v>0</v>
      </c>
      <c r="F213">
        <f t="shared" si="39"/>
        <v>0</v>
      </c>
      <c r="G213" t="str">
        <f ca="1">_xll.VFORMULA(B213)</f>
        <v>=$B$30</v>
      </c>
    </row>
    <row r="214" spans="1:10">
      <c r="A214" s="3" t="s">
        <v>38</v>
      </c>
      <c r="B214">
        <f>$B$31</f>
        <v>0.02</v>
      </c>
      <c r="C214">
        <f t="shared" ref="C214:F214" si="40">$B$31</f>
        <v>0.02</v>
      </c>
      <c r="D214">
        <f t="shared" si="40"/>
        <v>0.02</v>
      </c>
      <c r="E214">
        <f t="shared" si="40"/>
        <v>0.02</v>
      </c>
      <c r="F214">
        <f t="shared" si="40"/>
        <v>0.02</v>
      </c>
      <c r="G214" t="str">
        <f ca="1">_xll.VFORMULA(B214)</f>
        <v>=$B$31</v>
      </c>
    </row>
    <row r="215" spans="1:10">
      <c r="A215" s="3"/>
    </row>
    <row r="216" spans="1:10">
      <c r="A216" s="3"/>
      <c r="E216" t="s">
        <v>111</v>
      </c>
    </row>
    <row r="217" spans="1:10">
      <c r="G217" t="str">
        <f ca="1">_xll.VFORMULA(B217)</f>
        <v/>
      </c>
    </row>
    <row r="218" spans="1:10">
      <c r="A218" s="11"/>
      <c r="B218" s="11"/>
      <c r="C218" s="11"/>
      <c r="D218" s="11"/>
      <c r="E218" s="11"/>
      <c r="F218" s="11"/>
      <c r="G218" s="11"/>
      <c r="H218" s="11"/>
      <c r="I218" s="11"/>
      <c r="J218" s="11"/>
    </row>
    <row r="219" spans="1:10" ht="15" thickBot="1">
      <c r="A219" s="12" t="s">
        <v>45</v>
      </c>
      <c r="B219" s="12">
        <f>B3</f>
        <v>2024</v>
      </c>
      <c r="C219" s="12">
        <f>1+B219</f>
        <v>2025</v>
      </c>
      <c r="D219" s="12">
        <f t="shared" ref="D219:F219" si="41">1+C219</f>
        <v>2026</v>
      </c>
      <c r="E219" s="12">
        <f t="shared" si="41"/>
        <v>2027</v>
      </c>
      <c r="F219" s="12">
        <f t="shared" si="41"/>
        <v>2028</v>
      </c>
      <c r="G219" t="str">
        <f ca="1">_xll.VFORMULA(B219)</f>
        <v>=B3</v>
      </c>
    </row>
    <row r="220" spans="1:10">
      <c r="A220" s="60" t="s">
        <v>46</v>
      </c>
    </row>
    <row r="221" spans="1:10">
      <c r="A221" s="6" t="s">
        <v>47</v>
      </c>
      <c r="B221" s="5">
        <f ca="1">B128</f>
        <v>580949.33902656101</v>
      </c>
      <c r="C221" s="5">
        <f ca="1">C128</f>
        <v>473971.82312376745</v>
      </c>
      <c r="D221" s="5">
        <f ca="1">D128</f>
        <v>443170.95111317723</v>
      </c>
      <c r="E221" s="5">
        <f ca="1">E128</f>
        <v>403476.76502025704</v>
      </c>
      <c r="F221" s="5">
        <f ca="1">F128</f>
        <v>554173.11928405892</v>
      </c>
      <c r="G221" s="1" t="str">
        <f ca="1">_xll.VFORMULA(F221)</f>
        <v>=F128</v>
      </c>
    </row>
    <row r="222" spans="1:10">
      <c r="A222" s="6" t="s">
        <v>188</v>
      </c>
      <c r="B222" s="5">
        <f ca="1">SUM(B129:B130)</f>
        <v>2526844.0589333759</v>
      </c>
      <c r="C222" s="5">
        <f t="shared" ref="C222:F222" ca="1" si="42">SUM(C129:C130)</f>
        <v>2701936.7897056383</v>
      </c>
      <c r="D222" s="5">
        <f t="shared" ca="1" si="42"/>
        <v>2068839.8651816135</v>
      </c>
      <c r="E222" s="5">
        <f t="shared" ca="1" si="42"/>
        <v>2448535.9682068075</v>
      </c>
      <c r="F222" s="5">
        <f t="shared" ca="1" si="42"/>
        <v>2868338.4204733749</v>
      </c>
      <c r="G222" s="1" t="str">
        <f ca="1">_xll.VFORMULA(F222)</f>
        <v>=SUM(F129:F130)</v>
      </c>
    </row>
    <row r="223" spans="1:10">
      <c r="A223" s="6" t="s">
        <v>48</v>
      </c>
      <c r="B223" s="5">
        <f t="shared" ref="B223:F224" ca="1" si="43">B161</f>
        <v>0</v>
      </c>
      <c r="C223" s="5">
        <f t="shared" ca="1" si="43"/>
        <v>32552.947461226842</v>
      </c>
      <c r="D223" s="5">
        <f t="shared" ca="1" si="43"/>
        <v>0</v>
      </c>
      <c r="E223" s="5">
        <f t="shared" ca="1" si="43"/>
        <v>0</v>
      </c>
      <c r="F223" s="5">
        <f t="shared" ca="1" si="43"/>
        <v>0</v>
      </c>
      <c r="G223" s="1" t="str">
        <f ca="1">_xll.VFORMULA(F223)</f>
        <v>=F161</v>
      </c>
    </row>
    <row r="224" spans="1:10">
      <c r="A224" s="6" t="s">
        <v>189</v>
      </c>
      <c r="B224" s="5">
        <f t="shared" ca="1" si="43"/>
        <v>0</v>
      </c>
      <c r="C224" s="5">
        <f t="shared" ca="1" si="43"/>
        <v>0</v>
      </c>
      <c r="D224" s="5">
        <f t="shared" ca="1" si="43"/>
        <v>0</v>
      </c>
      <c r="E224" s="5">
        <f t="shared" ca="1" si="43"/>
        <v>0</v>
      </c>
      <c r="F224" s="5">
        <f t="shared" ca="1" si="43"/>
        <v>0</v>
      </c>
      <c r="G224" s="1" t="str">
        <f ca="1">_xll.VFORMULA(F224)</f>
        <v>=F162</v>
      </c>
    </row>
    <row r="225" spans="1:18">
      <c r="A225" s="8" t="s">
        <v>49</v>
      </c>
      <c r="B225" s="10">
        <f ca="1">SUM(B221:B224)</f>
        <v>3107793.3979599369</v>
      </c>
      <c r="C225" s="5">
        <f ca="1">SUM(C221:C224)</f>
        <v>3208461.5602906328</v>
      </c>
      <c r="D225" s="5">
        <f ca="1">SUM(D221:D224)</f>
        <v>2512010.8162947907</v>
      </c>
      <c r="E225" s="5">
        <f ca="1">SUM(E221:E224)</f>
        <v>2852012.7332270644</v>
      </c>
      <c r="F225" s="5">
        <f ca="1">SUM(F221:F224)</f>
        <v>3422511.5397574338</v>
      </c>
      <c r="G225" s="1" t="str">
        <f ca="1">_xll.VFORMULA(F225)</f>
        <v>=SUM(F221:F224)</v>
      </c>
    </row>
    <row r="226" spans="1:18">
      <c r="G226" s="1" t="str">
        <f ca="1">_xll.VFORMULA(F226)</f>
        <v/>
      </c>
      <c r="L226" s="1">
        <v>30500.514446523266</v>
      </c>
    </row>
    <row r="227" spans="1:18">
      <c r="A227" s="37" t="s">
        <v>50</v>
      </c>
      <c r="G227" s="1" t="str">
        <f ca="1">_xll.VFORMULA(F227)</f>
        <v/>
      </c>
      <c r="L227" s="1">
        <v>2477.3377746848068</v>
      </c>
    </row>
    <row r="228" spans="1:18">
      <c r="A228" s="6" t="s">
        <v>51</v>
      </c>
      <c r="B228" s="5">
        <f t="shared" ref="B228:F229" ca="1" si="44">B205</f>
        <v>397629.40962650644</v>
      </c>
      <c r="C228" s="5">
        <f t="shared" ca="1" si="44"/>
        <v>398862.06079634867</v>
      </c>
      <c r="D228" s="5">
        <f t="shared" ca="1" si="44"/>
        <v>405084.30894477176</v>
      </c>
      <c r="E228" s="5">
        <f t="shared" ca="1" si="44"/>
        <v>412456.84336756659</v>
      </c>
      <c r="F228" s="5">
        <f t="shared" ca="1" si="44"/>
        <v>418519.95896506979</v>
      </c>
      <c r="G228" s="1" t="str">
        <f ca="1">_xll.VFORMULA(F228)</f>
        <v>=F205</v>
      </c>
      <c r="J228" s="1"/>
      <c r="L228" s="1">
        <v>315420.26635668398</v>
      </c>
    </row>
    <row r="229" spans="1:18">
      <c r="A229" s="6" t="s">
        <v>190</v>
      </c>
      <c r="B229" s="5">
        <f ca="1">B206</f>
        <v>1653205.2071550852</v>
      </c>
      <c r="C229" s="5">
        <f t="shared" ca="1" si="44"/>
        <v>1658330.143297266</v>
      </c>
      <c r="D229" s="5">
        <f t="shared" ca="1" si="44"/>
        <v>1684200.0935327036</v>
      </c>
      <c r="E229" s="5">
        <f t="shared" ca="1" si="44"/>
        <v>1714852.5352349989</v>
      </c>
      <c r="F229" s="5">
        <f t="shared" ca="1" si="44"/>
        <v>1740060.8675029529</v>
      </c>
      <c r="G229" s="1" t="str">
        <f ca="1">_xll.VFORMULA(F229)</f>
        <v>=F206</v>
      </c>
      <c r="J229" s="1"/>
      <c r="L229" s="1">
        <v>0</v>
      </c>
    </row>
    <row r="230" spans="1:18">
      <c r="A230" s="172" t="s">
        <v>24</v>
      </c>
      <c r="B230" s="5">
        <f t="shared" ref="B230:F231" ca="1" si="45">B209</f>
        <v>0</v>
      </c>
      <c r="C230" s="5">
        <f t="shared" ca="1" si="45"/>
        <v>0</v>
      </c>
      <c r="D230" s="5">
        <f t="shared" ca="1" si="45"/>
        <v>0</v>
      </c>
      <c r="E230" s="5">
        <f t="shared" ca="1" si="45"/>
        <v>0</v>
      </c>
      <c r="F230" s="5">
        <f t="shared" ca="1" si="45"/>
        <v>0</v>
      </c>
      <c r="G230" s="1" t="str">
        <f ca="1">_xll.VFORMULA(F230)</f>
        <v>=F209</v>
      </c>
      <c r="J230" s="1"/>
      <c r="L230" s="1">
        <v>348398.11857789208</v>
      </c>
    </row>
    <row r="231" spans="1:18">
      <c r="A231" s="172" t="s">
        <v>191</v>
      </c>
      <c r="B231" s="5">
        <f t="shared" ca="1" si="45"/>
        <v>0</v>
      </c>
      <c r="C231" s="5">
        <f t="shared" ca="1" si="45"/>
        <v>0</v>
      </c>
      <c r="D231" s="5">
        <f t="shared" ca="1" si="45"/>
        <v>0</v>
      </c>
      <c r="E231" s="5">
        <f t="shared" ca="1" si="45"/>
        <v>0</v>
      </c>
      <c r="F231" s="5">
        <f t="shared" ca="1" si="45"/>
        <v>0</v>
      </c>
      <c r="G231" s="1" t="str">
        <f ca="1">_xll.VFORMULA(F231)</f>
        <v>=F210</v>
      </c>
      <c r="J231" s="1"/>
      <c r="L231" s="5">
        <f>SUM(L226:L228)</f>
        <v>348398.11857789208</v>
      </c>
    </row>
    <row r="232" spans="1:18">
      <c r="A232" s="6" t="s">
        <v>52</v>
      </c>
      <c r="B232" s="5">
        <f ca="1">B175</f>
        <v>37600</v>
      </c>
      <c r="C232" s="5">
        <f ca="1">C175</f>
        <v>37600</v>
      </c>
      <c r="D232" s="5">
        <f ca="1">D175</f>
        <v>37600</v>
      </c>
      <c r="E232" s="5">
        <f ca="1">E175</f>
        <v>37600</v>
      </c>
      <c r="F232" s="5">
        <f ca="1">F175</f>
        <v>37600</v>
      </c>
      <c r="G232" s="1" t="str">
        <f ca="1">_xll.VFORMULA(F232)</f>
        <v>=F175</v>
      </c>
      <c r="H232" s="1"/>
      <c r="I232" s="1"/>
      <c r="J232" s="1"/>
    </row>
    <row r="233" spans="1:18">
      <c r="A233" s="6" t="s">
        <v>53</v>
      </c>
      <c r="B233" s="5">
        <f t="shared" ref="B233:F234" si="46">C180</f>
        <v>64128</v>
      </c>
      <c r="C233" s="5">
        <f t="shared" si="46"/>
        <v>65089.919999999991</v>
      </c>
      <c r="D233" s="5">
        <f t="shared" si="46"/>
        <v>66437.281343999988</v>
      </c>
      <c r="E233" s="5">
        <f t="shared" si="46"/>
        <v>67852.395436627194</v>
      </c>
      <c r="F233" s="5">
        <f t="shared" si="46"/>
        <v>69311.221938514689</v>
      </c>
      <c r="G233" s="1" t="str">
        <f ca="1">_xll.VFORMULA(F233)</f>
        <v>=G180</v>
      </c>
      <c r="J233" s="21"/>
    </row>
    <row r="234" spans="1:18" ht="15" thickBot="1">
      <c r="A234" s="6" t="s">
        <v>10</v>
      </c>
      <c r="B234" s="5">
        <f t="shared" si="46"/>
        <v>0</v>
      </c>
      <c r="C234" s="5">
        <f t="shared" si="46"/>
        <v>0</v>
      </c>
      <c r="D234" s="5">
        <f t="shared" si="46"/>
        <v>0</v>
      </c>
      <c r="E234" s="5">
        <f t="shared" si="46"/>
        <v>0</v>
      </c>
      <c r="F234" s="5">
        <f t="shared" si="46"/>
        <v>0</v>
      </c>
      <c r="G234" s="1" t="str">
        <f ca="1">_xll.VFORMULA(F234)</f>
        <v>=G181</v>
      </c>
    </row>
    <row r="235" spans="1:18">
      <c r="A235" s="6" t="s">
        <v>54</v>
      </c>
      <c r="B235" s="5">
        <f>C201</f>
        <v>98990</v>
      </c>
      <c r="C235" s="5">
        <f>D201</f>
        <v>96832.017999999996</v>
      </c>
      <c r="D235" s="5">
        <f>E201</f>
        <v>95795.915407399996</v>
      </c>
      <c r="E235" s="5">
        <f>F201</f>
        <v>95700.119491992591</v>
      </c>
      <c r="F235" s="5">
        <f>G201</f>
        <v>95757.53956368778</v>
      </c>
      <c r="G235" s="1" t="str">
        <f ca="1">_xll.VFORMULA(F235)</f>
        <v>=G201</v>
      </c>
      <c r="I235" s="41"/>
      <c r="J235" s="42"/>
      <c r="K235" s="42"/>
      <c r="L235" s="42"/>
      <c r="M235" s="42"/>
      <c r="N235" s="42"/>
      <c r="O235" s="42"/>
      <c r="P235" s="42"/>
      <c r="Q235" s="42"/>
      <c r="R235" s="43"/>
    </row>
    <row r="236" spans="1:18">
      <c r="A236" s="6" t="s">
        <v>55</v>
      </c>
      <c r="B236" s="5">
        <f>C200</f>
        <v>0</v>
      </c>
      <c r="C236" s="5">
        <f>D200</f>
        <v>0</v>
      </c>
      <c r="D236" s="5">
        <f>E200</f>
        <v>0</v>
      </c>
      <c r="E236" s="5">
        <f>F200</f>
        <v>0</v>
      </c>
      <c r="F236" s="5">
        <f>G200</f>
        <v>0</v>
      </c>
      <c r="G236" s="1" t="str">
        <f ca="1">_xll.VFORMULA(F236)</f>
        <v>=G200</v>
      </c>
      <c r="I236" s="44"/>
      <c r="O236" s="98">
        <f>B18</f>
        <v>50000</v>
      </c>
      <c r="P236" t="s">
        <v>192</v>
      </c>
      <c r="R236" s="45"/>
    </row>
    <row r="237" spans="1:18">
      <c r="A237" s="6" t="s">
        <v>56</v>
      </c>
      <c r="B237" s="5">
        <f ca="1">SUM(B228:B236)</f>
        <v>2251552.6167815914</v>
      </c>
      <c r="C237" s="5">
        <f ca="1">SUM(C228:C236)</f>
        <v>2256714.1420936147</v>
      </c>
      <c r="D237" s="5">
        <f ca="1">SUM(D228:D236)</f>
        <v>2289117.5992288752</v>
      </c>
      <c r="E237" s="5">
        <f ca="1">SUM(E228:E236)</f>
        <v>2328461.8935311851</v>
      </c>
      <c r="F237" s="5">
        <f ca="1">SUM(F228:F236)</f>
        <v>2361249.5879702251</v>
      </c>
      <c r="G237" s="1" t="str">
        <f ca="1">_xll.VFORMULA(F237)</f>
        <v>=SUM(F228:F236)</v>
      </c>
      <c r="I237" s="44"/>
      <c r="N237" s="99" t="s">
        <v>193</v>
      </c>
      <c r="O237" s="98">
        <f>B235</f>
        <v>98990</v>
      </c>
      <c r="P237" t="s">
        <v>194</v>
      </c>
      <c r="R237" s="45"/>
    </row>
    <row r="238" spans="1:18" ht="15" thickBot="1">
      <c r="A238" s="6" t="s">
        <v>57</v>
      </c>
      <c r="B238" s="1">
        <f ca="1">B237*B212*B213</f>
        <v>0</v>
      </c>
      <c r="C238" s="1">
        <f ca="1">C237*C212*C213</f>
        <v>0</v>
      </c>
      <c r="D238" s="1">
        <f ca="1">D237*D212*D213</f>
        <v>0</v>
      </c>
      <c r="E238" s="1">
        <f ca="1">E237*E212*E213</f>
        <v>0</v>
      </c>
      <c r="F238" s="1">
        <f ca="1">F237*F212*F213</f>
        <v>0</v>
      </c>
      <c r="G238" s="1" t="str">
        <f ca="1">_xll.VFORMULA(F238)</f>
        <v>=F237*F212*F213</v>
      </c>
      <c r="I238" s="44"/>
      <c r="O238">
        <v>0</v>
      </c>
      <c r="P238" t="s">
        <v>195</v>
      </c>
      <c r="R238" s="45"/>
    </row>
    <row r="239" spans="1:18" ht="15" thickBot="1">
      <c r="A239" s="100" t="s">
        <v>58</v>
      </c>
      <c r="B239" s="168"/>
      <c r="C239" s="22">
        <f ca="1">C212*B263</f>
        <v>0</v>
      </c>
      <c r="D239" s="22">
        <f ca="1">D212*C263</f>
        <v>0</v>
      </c>
      <c r="E239" s="22">
        <f ca="1">E212*D263</f>
        <v>0</v>
      </c>
      <c r="F239" s="22">
        <f ca="1">F212*E263</f>
        <v>0</v>
      </c>
      <c r="G239" s="1" t="str">
        <f ca="1">_xll.VFORMULA(F239)</f>
        <v>=F212*E263</v>
      </c>
      <c r="I239" s="44"/>
      <c r="J239" s="34" t="s">
        <v>143</v>
      </c>
      <c r="K239" s="35"/>
      <c r="L239" s="36"/>
      <c r="R239" s="45"/>
    </row>
    <row r="240" spans="1:18">
      <c r="A240" s="6" t="s">
        <v>59</v>
      </c>
      <c r="B240" s="1">
        <f>'Finance_HistPrice&amp;Yld'!K42</f>
        <v>1333.2345726028038</v>
      </c>
      <c r="C240" s="1">
        <f>'Finance_HistPrice&amp;Yld'!L42</f>
        <v>1224.2317105166724</v>
      </c>
      <c r="D240" s="1">
        <f>'Finance_HistPrice&amp;Yld'!M42</f>
        <v>1110.432722498751</v>
      </c>
      <c r="E240" s="1">
        <f>'Finance_HistPrice&amp;Yld'!N42</f>
        <v>991.62657900804129</v>
      </c>
      <c r="F240" s="1">
        <f>'Finance_HistPrice&amp;Yld'!O42</f>
        <v>867.59296520374028</v>
      </c>
      <c r="G240" s="1" t="str">
        <f ca="1">_xll.VFORMULA(F240)</f>
        <v>='Finance_HistPrice&amp;Yld'!O42</v>
      </c>
      <c r="I240" s="44"/>
      <c r="N240" s="3" t="s">
        <v>196</v>
      </c>
      <c r="O240" s="10">
        <f>SUM(O236:O239)</f>
        <v>148990</v>
      </c>
      <c r="R240" s="45"/>
    </row>
    <row r="241" spans="1:18">
      <c r="A241" s="18" t="s">
        <v>60</v>
      </c>
      <c r="B241" s="5">
        <f ca="1">SUM(B237:B240)</f>
        <v>2252885.8513541943</v>
      </c>
      <c r="C241" s="5">
        <f ca="1">SUM(C237:C240)</f>
        <v>2257938.3738041315</v>
      </c>
      <c r="D241" s="5">
        <f ca="1">SUM(D237:D240)</f>
        <v>2290228.0319513739</v>
      </c>
      <c r="E241" s="5">
        <f ca="1">SUM(E237:E240)</f>
        <v>2329453.5201101932</v>
      </c>
      <c r="F241" s="5">
        <f ca="1">SUM(F237:F240)</f>
        <v>2362117.1809354289</v>
      </c>
      <c r="G241" s="1" t="str">
        <f ca="1">_xll.VFORMULA(F241)</f>
        <v>=SUM(F237:F240)</v>
      </c>
      <c r="I241" s="44"/>
      <c r="P241" s="46"/>
      <c r="Q241" s="5"/>
      <c r="R241" s="45"/>
    </row>
    <row r="242" spans="1:18" ht="15" thickBot="1">
      <c r="A242" s="13" t="s">
        <v>61</v>
      </c>
      <c r="B242" s="101">
        <f ca="1">B225-B241</f>
        <v>854907.54660574254</v>
      </c>
      <c r="C242" s="14">
        <f ca="1">C225-C241</f>
        <v>950523.18648650125</v>
      </c>
      <c r="D242" s="14">
        <f ca="1">D225-D241</f>
        <v>221782.7843434168</v>
      </c>
      <c r="E242" s="14">
        <f ca="1">E225-E241</f>
        <v>522559.21311687119</v>
      </c>
      <c r="F242" s="14">
        <f ca="1">F225-F241</f>
        <v>1060394.3588220049</v>
      </c>
      <c r="G242" s="1" t="str">
        <f ca="1">_xll.VFORMULA(F242)</f>
        <v>=F225-F241</v>
      </c>
      <c r="I242" s="44"/>
      <c r="J242" s="3" t="s">
        <v>114</v>
      </c>
      <c r="K242" s="2">
        <f>B27</f>
        <v>2.5000000000000001E-2</v>
      </c>
      <c r="M242" s="3" t="s">
        <v>6</v>
      </c>
      <c r="N242" s="2">
        <f>B31</f>
        <v>0.02</v>
      </c>
      <c r="R242" s="45"/>
    </row>
    <row r="243" spans="1:18" ht="15" thickBot="1">
      <c r="G243" s="1" t="str">
        <f ca="1">_xll.VFORMULA(F243)</f>
        <v/>
      </c>
      <c r="I243" s="44"/>
      <c r="J243" s="25"/>
      <c r="K243" s="25" t="s">
        <v>115</v>
      </c>
      <c r="L243" s="25" t="s">
        <v>116</v>
      </c>
      <c r="M243" s="25" t="s">
        <v>117</v>
      </c>
      <c r="N243" s="25" t="s">
        <v>118</v>
      </c>
      <c r="O243" s="25" t="s">
        <v>119</v>
      </c>
      <c r="P243" s="25" t="s">
        <v>120</v>
      </c>
      <c r="Q243" t="s">
        <v>121</v>
      </c>
      <c r="R243" s="45"/>
    </row>
    <row r="244" spans="1:18">
      <c r="A244" s="8" t="s">
        <v>62</v>
      </c>
      <c r="B244" s="3">
        <f>B219</f>
        <v>2024</v>
      </c>
      <c r="C244" s="3">
        <f>C219</f>
        <v>2025</v>
      </c>
      <c r="D244" s="3">
        <f>D219</f>
        <v>2026</v>
      </c>
      <c r="E244" s="3">
        <f>E219</f>
        <v>2027</v>
      </c>
      <c r="F244" s="3">
        <f>F219</f>
        <v>2028</v>
      </c>
      <c r="G244" s="1" t="str">
        <f ca="1">_xll.VFORMULA(F244)</f>
        <v>=F219</v>
      </c>
      <c r="I244" s="44"/>
      <c r="J244">
        <v>1</v>
      </c>
      <c r="K244" s="47">
        <f>1/(1+$K$242)^J244</f>
        <v>0.97560975609756106</v>
      </c>
      <c r="L244" s="48">
        <f>O240</f>
        <v>148990</v>
      </c>
      <c r="M244" s="48">
        <f t="array" aca="1" ref="M244:M248" ca="1">TRANSPOSE(B246:F246)</f>
        <v>854907.54660574254</v>
      </c>
      <c r="N244" s="48">
        <f ca="1">M244*K244</f>
        <v>834056.14302999282</v>
      </c>
      <c r="O244" s="48">
        <f>L244</f>
        <v>148990</v>
      </c>
      <c r="P244" s="5">
        <f>-O244</f>
        <v>-148990</v>
      </c>
      <c r="Q244" s="5" t="s">
        <v>122</v>
      </c>
      <c r="R244" s="45"/>
    </row>
    <row r="245" spans="1:18">
      <c r="A245" s="6" t="s">
        <v>63</v>
      </c>
      <c r="B245" s="1">
        <f>B11</f>
        <v>50000</v>
      </c>
      <c r="C245" s="22">
        <f ca="1">B258</f>
        <v>602171.12853858201</v>
      </c>
      <c r="D245" s="22">
        <f t="shared" ref="D245:F245" ca="1" si="47">C258</f>
        <v>1224033.5540186821</v>
      </c>
      <c r="E245" s="22">
        <f t="shared" ca="1" si="47"/>
        <v>1372141.0370274156</v>
      </c>
      <c r="F245" s="22">
        <f t="shared" ca="1" si="47"/>
        <v>1719763.9313983386</v>
      </c>
      <c r="G245" s="1" t="str">
        <f ca="1">_xll.VFORMULA(F245)</f>
        <v>=E258</v>
      </c>
      <c r="I245" s="44"/>
      <c r="J245">
        <v>2</v>
      </c>
      <c r="K245" s="47">
        <f>1/(1+$K$242)^J245</f>
        <v>0.95181439619274244</v>
      </c>
      <c r="L245" s="48"/>
      <c r="M245" s="48">
        <f ca="1"/>
        <v>950523.18648650125</v>
      </c>
      <c r="N245" s="48">
        <f t="shared" ref="N245:N248" ca="1" si="48">M245*K245</f>
        <v>904721.65281285066</v>
      </c>
      <c r="O245" s="48"/>
      <c r="P245" s="5">
        <f ca="1">M244</f>
        <v>854907.54660574254</v>
      </c>
      <c r="Q245" s="5" t="s">
        <v>123</v>
      </c>
      <c r="R245" s="45"/>
    </row>
    <row r="246" spans="1:18">
      <c r="A246" s="6" t="str">
        <f>A242</f>
        <v>Net cash Farm Income</v>
      </c>
      <c r="B246" s="1">
        <f ca="1">B242</f>
        <v>854907.54660574254</v>
      </c>
      <c r="C246" s="1">
        <f t="shared" ref="C246:F246" ca="1" si="49">C242</f>
        <v>950523.18648650125</v>
      </c>
      <c r="D246" s="1">
        <f t="shared" ca="1" si="49"/>
        <v>221782.7843434168</v>
      </c>
      <c r="E246" s="1">
        <f t="shared" ca="1" si="49"/>
        <v>522559.21311687119</v>
      </c>
      <c r="F246" s="1">
        <f t="shared" ca="1" si="49"/>
        <v>1060394.3588220049</v>
      </c>
      <c r="G246" s="1" t="str">
        <f ca="1">_xll.VFORMULA(F246)</f>
        <v>=F242</v>
      </c>
      <c r="I246" s="44"/>
      <c r="J246">
        <v>3</v>
      </c>
      <c r="K246" s="47">
        <f>1/(1+$K$242)^J246</f>
        <v>0.92859941091974885</v>
      </c>
      <c r="L246" s="48"/>
      <c r="M246" s="48">
        <f ca="1"/>
        <v>221782.7843434168</v>
      </c>
      <c r="N246" s="48">
        <f t="shared" ca="1" si="48"/>
        <v>205947.36289343855</v>
      </c>
      <c r="O246" s="48"/>
      <c r="P246" s="5">
        <f t="shared" ref="P246:P249" ca="1" si="50">M245</f>
        <v>950523.18648650125</v>
      </c>
      <c r="Q246" s="5" t="s">
        <v>124</v>
      </c>
      <c r="R246" s="45"/>
    </row>
    <row r="247" spans="1:18">
      <c r="A247" s="6" t="s">
        <v>31</v>
      </c>
      <c r="B247" s="1">
        <f>B245*B214</f>
        <v>1000</v>
      </c>
      <c r="C247" s="1">
        <f ca="1">C245*C214</f>
        <v>12043.42257077164</v>
      </c>
      <c r="D247" s="1">
        <f ca="1">D245*D214</f>
        <v>24480.671080373642</v>
      </c>
      <c r="E247" s="1">
        <f ca="1">E245*E214</f>
        <v>27442.820740548312</v>
      </c>
      <c r="F247" s="1">
        <f ca="1">F245*F214</f>
        <v>34395.278627966771</v>
      </c>
      <c r="G247" s="1" t="str">
        <f ca="1">_xll.VFORMULA(F247)</f>
        <v>=F245*F214</v>
      </c>
      <c r="I247" s="44"/>
      <c r="J247">
        <v>4</v>
      </c>
      <c r="K247" s="47">
        <f>1/(1+$K$242)^J247</f>
        <v>0.90595064479975507</v>
      </c>
      <c r="L247" s="48"/>
      <c r="M247" s="48">
        <f ca="1"/>
        <v>522559.21311687119</v>
      </c>
      <c r="N247" s="48">
        <f t="shared" ca="1" si="48"/>
        <v>473412.8560692821</v>
      </c>
      <c r="O247" s="48"/>
      <c r="P247" s="5">
        <f t="shared" ca="1" si="50"/>
        <v>221782.7843434168</v>
      </c>
      <c r="Q247" s="5" t="s">
        <v>125</v>
      </c>
      <c r="R247" s="45"/>
    </row>
    <row r="248" spans="1:18">
      <c r="A248" s="102" t="s">
        <v>65</v>
      </c>
      <c r="B248" s="1">
        <f ca="1">SUM(B245:B247)</f>
        <v>905907.54660574254</v>
      </c>
      <c r="C248" s="1">
        <f t="shared" ref="C248:F248" ca="1" si="51">SUM(C245:C247)</f>
        <v>1564737.7375958548</v>
      </c>
      <c r="D248" s="1">
        <f t="shared" ca="1" si="51"/>
        <v>1470297.0094424726</v>
      </c>
      <c r="E248" s="1">
        <f t="shared" ca="1" si="51"/>
        <v>1922143.070884835</v>
      </c>
      <c r="F248" s="1">
        <f t="shared" ca="1" si="51"/>
        <v>2814553.5688483105</v>
      </c>
      <c r="G248" s="1" t="str">
        <f ca="1">_xll.VFORMULA(F248)</f>
        <v>=SUM(F245:F247)</v>
      </c>
      <c r="I248" s="44"/>
      <c r="J248">
        <v>5</v>
      </c>
      <c r="K248" s="47">
        <f>1/(1+$K$242)^J248</f>
        <v>0.88385428760951712</v>
      </c>
      <c r="L248" s="48"/>
      <c r="M248" s="48">
        <f ca="1"/>
        <v>1060394.3588220049</v>
      </c>
      <c r="N248" s="48">
        <f t="shared" ca="1" si="48"/>
        <v>937234.10060177383</v>
      </c>
      <c r="O248" s="48"/>
      <c r="P248" s="5">
        <f ca="1">M247</f>
        <v>522559.21311687119</v>
      </c>
      <c r="Q248" s="5" t="s">
        <v>126</v>
      </c>
      <c r="R248" s="45"/>
    </row>
    <row r="249" spans="1:18" ht="15" thickBot="1">
      <c r="A249" s="17"/>
      <c r="B249" s="1"/>
      <c r="C249" s="1"/>
      <c r="D249" s="1"/>
      <c r="E249" s="1"/>
      <c r="F249" s="1"/>
      <c r="G249" s="1"/>
      <c r="I249" s="44"/>
      <c r="J249" s="25" t="s">
        <v>112</v>
      </c>
      <c r="K249" s="16"/>
      <c r="L249" s="16">
        <f>SUM(L244:L248)</f>
        <v>148990</v>
      </c>
      <c r="M249" s="16">
        <f ca="1">SUM(M244:M248)</f>
        <v>3610167.0893745366</v>
      </c>
      <c r="N249" s="16">
        <f ca="1">SUM(N244:N248)</f>
        <v>3355372.1154073379</v>
      </c>
      <c r="O249" s="16">
        <f>SUM(O244:O248)</f>
        <v>148990</v>
      </c>
      <c r="P249" s="14">
        <f t="shared" ca="1" si="50"/>
        <v>1060394.3588220049</v>
      </c>
      <c r="Q249" s="5" t="s">
        <v>127</v>
      </c>
      <c r="R249" s="45"/>
    </row>
    <row r="250" spans="1:18">
      <c r="A250" s="6" t="s">
        <v>66</v>
      </c>
      <c r="B250" s="1">
        <f>C179</f>
        <v>30500.514446523266</v>
      </c>
      <c r="C250" s="1">
        <f>D179</f>
        <v>31095.195860928914</v>
      </c>
      <c r="D250" s="1">
        <f>E179</f>
        <v>31976.257946179347</v>
      </c>
      <c r="E250" s="1">
        <f>F179</f>
        <v>32809.502206694087</v>
      </c>
      <c r="F250" s="1">
        <f>G179</f>
        <v>33595.454920042524</v>
      </c>
      <c r="G250" s="1" t="str">
        <f ca="1">_xll.VFORMULA(F250)</f>
        <v>=G179</v>
      </c>
      <c r="I250" s="44"/>
      <c r="R250" s="45"/>
    </row>
    <row r="251" spans="1:18">
      <c r="A251" s="6" t="s">
        <v>91</v>
      </c>
      <c r="B251" s="1">
        <f>'Finance_HistPrice&amp;Yld'!K43</f>
        <v>2477.3377746848068</v>
      </c>
      <c r="C251" s="1">
        <f>'Finance_HistPrice&amp;Yld'!L43</f>
        <v>2586.3406367709385</v>
      </c>
      <c r="D251" s="1">
        <f>'Finance_HistPrice&amp;Yld'!M43</f>
        <v>2700.1396247888597</v>
      </c>
      <c r="E251" s="1">
        <f>'Finance_HistPrice&amp;Yld'!N43</f>
        <v>2818.9457682795692</v>
      </c>
      <c r="F251" s="1">
        <f>'Finance_HistPrice&amp;Yld'!O43</f>
        <v>2942.9793820838704</v>
      </c>
      <c r="G251" s="1" t="str">
        <f ca="1">_xll.VFORMULA(F251)</f>
        <v>='Finance_HistPrice&amp;Yld'!O43</v>
      </c>
      <c r="I251" s="44"/>
      <c r="J251" s="3" t="s">
        <v>83</v>
      </c>
      <c r="K251" s="5">
        <f ca="1">-L249+N249</f>
        <v>3206382.1154073379</v>
      </c>
      <c r="L251" t="str" cm="1">
        <f t="array" aca="1" ref="L251" ca="1">_xll.VFORMULA(K251)</f>
        <v>=-L249+N249</v>
      </c>
      <c r="R251" s="45"/>
    </row>
    <row r="252" spans="1:18">
      <c r="A252" s="6" t="s">
        <v>67</v>
      </c>
      <c r="B252" s="15">
        <f ca="1">Taxes!D25</f>
        <v>270758.56584595249</v>
      </c>
      <c r="C252" s="15">
        <f ca="1">Taxes!E25</f>
        <v>307022.64707947278</v>
      </c>
      <c r="D252" s="15">
        <f ca="1">Taxes!F25</f>
        <v>63479.574844088755</v>
      </c>
      <c r="E252" s="15">
        <f ca="1">Taxes!G25</f>
        <v>166750.69151152263</v>
      </c>
      <c r="F252" s="15">
        <f ca="1">Taxes!H25</f>
        <v>351978.47673299036</v>
      </c>
      <c r="G252" s="1" t="str">
        <f ca="1">_xll.VFORMULA(F252)</f>
        <v>=Taxes!H25</v>
      </c>
      <c r="I252" s="44"/>
      <c r="J252" s="3" t="s">
        <v>128</v>
      </c>
      <c r="K252" s="57">
        <f ca="1">N249/O249</f>
        <v>22.520787404573046</v>
      </c>
      <c r="L252" t="str" cm="1">
        <f t="array" aca="1" ref="L252" ca="1">_xll.VFORMULA(K252)</f>
        <v>=N249/O249</v>
      </c>
      <c r="R252" s="45"/>
    </row>
    <row r="253" spans="1:18">
      <c r="A253" s="100" t="s">
        <v>92</v>
      </c>
      <c r="B253" s="166"/>
      <c r="C253" s="167">
        <f ca="1">B263</f>
        <v>0</v>
      </c>
      <c r="D253" s="167">
        <f t="shared" ref="D253:F253" ca="1" si="52">C263</f>
        <v>0</v>
      </c>
      <c r="E253" s="167">
        <f t="shared" ca="1" si="52"/>
        <v>0</v>
      </c>
      <c r="F253" s="167">
        <f t="shared" ca="1" si="52"/>
        <v>0</v>
      </c>
      <c r="G253" s="1" t="str">
        <f ca="1">_xll.VFORMULA(F253)</f>
        <v>=E263</v>
      </c>
      <c r="I253" s="44"/>
      <c r="J253" s="3" t="s">
        <v>113</v>
      </c>
      <c r="K253" s="49">
        <f ca="1">IRR(P244:P249,1.5)</f>
        <v>5.7333012006071202</v>
      </c>
      <c r="L253" t="str" cm="1">
        <f t="array" aca="1" ref="L253" ca="1">_xll.VFORMULA(K253)</f>
        <v>=IRR(P244:P249,1.5)</v>
      </c>
      <c r="R253" s="45"/>
    </row>
    <row r="254" spans="1:18">
      <c r="A254" s="102" t="s">
        <v>68</v>
      </c>
      <c r="B254" s="5">
        <f t="shared" ref="B254:F254" ca="1" si="53">SUM(B250:B253)</f>
        <v>303736.41806716053</v>
      </c>
      <c r="C254" s="5">
        <f t="shared" ca="1" si="53"/>
        <v>340704.18357717263</v>
      </c>
      <c r="D254" s="5">
        <f t="shared" ca="1" si="53"/>
        <v>98155.972415056953</v>
      </c>
      <c r="E254" s="5">
        <f t="shared" ca="1" si="53"/>
        <v>202379.13948649628</v>
      </c>
      <c r="F254" s="5">
        <f t="shared" ca="1" si="53"/>
        <v>388516.91103511676</v>
      </c>
      <c r="G254" s="1" t="str">
        <f ca="1">_xll.VFORMULA(F254)</f>
        <v>=SUM(F250:F253)</v>
      </c>
      <c r="I254" s="44"/>
      <c r="J254" s="3" t="s">
        <v>133</v>
      </c>
      <c r="K254" s="50" t="s">
        <v>129</v>
      </c>
      <c r="L254" t="s">
        <v>130</v>
      </c>
      <c r="R254" s="45"/>
    </row>
    <row r="255" spans="1:18" ht="15" thickBot="1">
      <c r="A255" s="13" t="s">
        <v>69</v>
      </c>
      <c r="B255" s="101">
        <f ca="1">B248-B254</f>
        <v>602171.12853858201</v>
      </c>
      <c r="C255" s="14">
        <f ca="1">C248-C254</f>
        <v>1224033.5540186821</v>
      </c>
      <c r="D255" s="14">
        <f t="shared" ref="D255:F255" ca="1" si="54">D248-D254</f>
        <v>1372141.0370274156</v>
      </c>
      <c r="E255" s="14">
        <f t="shared" ca="1" si="54"/>
        <v>1719763.9313983386</v>
      </c>
      <c r="F255" s="14">
        <f t="shared" ca="1" si="54"/>
        <v>2426036.6578131937</v>
      </c>
      <c r="G255" s="1" t="str">
        <f ca="1">_xll.VFORMULA(F255)</f>
        <v>=F248-F254</v>
      </c>
      <c r="I255" s="44"/>
      <c r="K255" s="51"/>
      <c r="R255" s="45"/>
    </row>
    <row r="256" spans="1:18" ht="15" thickBot="1">
      <c r="G256" s="1" t="str">
        <f ca="1">_xll.VFORMULA(F256)</f>
        <v/>
      </c>
      <c r="I256" s="52"/>
      <c r="J256" s="25"/>
      <c r="K256" s="25"/>
      <c r="L256" s="25"/>
      <c r="M256" s="25"/>
      <c r="N256" s="25"/>
      <c r="O256" s="25"/>
      <c r="P256" s="25"/>
      <c r="Q256" s="25"/>
      <c r="R256" s="53"/>
    </row>
    <row r="257" spans="1:7">
      <c r="A257" s="8" t="s">
        <v>70</v>
      </c>
      <c r="B257" s="3">
        <f>B244</f>
        <v>2024</v>
      </c>
      <c r="C257" s="3">
        <f>C244</f>
        <v>2025</v>
      </c>
      <c r="D257" s="3">
        <f>D244</f>
        <v>2026</v>
      </c>
      <c r="E257" s="3">
        <f>E244</f>
        <v>2027</v>
      </c>
      <c r="F257" s="3">
        <f>F244</f>
        <v>2028</v>
      </c>
      <c r="G257" s="1" t="str">
        <f ca="1">_xll.VFORMULA(F257)</f>
        <v>=F244</v>
      </c>
    </row>
    <row r="258" spans="1:7">
      <c r="A258" s="6" t="s">
        <v>93</v>
      </c>
      <c r="B258" s="1">
        <f ca="1">IF(B255&gt;0,B255,0)</f>
        <v>602171.12853858201</v>
      </c>
      <c r="C258" s="1">
        <f ca="1">IF(C255&gt;0,C255,0)</f>
        <v>1224033.5540186821</v>
      </c>
      <c r="D258" s="1">
        <f ca="1">IF(D255&gt;0,D255,0)</f>
        <v>1372141.0370274156</v>
      </c>
      <c r="E258" s="1">
        <f ca="1">IF(E255&gt;0,E255,0)</f>
        <v>1719763.9313983386</v>
      </c>
      <c r="F258" s="1">
        <f ca="1">IF(F255&gt;0,F255,0)</f>
        <v>2426036.6578131937</v>
      </c>
      <c r="G258" s="1" t="str">
        <f ca="1">_xll.VFORMULA(F258)</f>
        <v>=IF(F255&gt;0,F255,0)</v>
      </c>
    </row>
    <row r="259" spans="1:7">
      <c r="A259" s="6" t="s">
        <v>25</v>
      </c>
      <c r="B259" s="1">
        <f>C199</f>
        <v>98990</v>
      </c>
      <c r="C259" s="1">
        <f>D199</f>
        <v>96832.017999999996</v>
      </c>
      <c r="D259" s="1">
        <f>E199</f>
        <v>95795.915407399996</v>
      </c>
      <c r="E259" s="1">
        <f>F199</f>
        <v>95700.119491992591</v>
      </c>
      <c r="F259" s="1">
        <f>G199</f>
        <v>95757.53956368778</v>
      </c>
      <c r="G259" s="1" t="str">
        <f ca="1">_xll.VFORMULA(F259)</f>
        <v>=G199</v>
      </c>
    </row>
    <row r="260" spans="1:7">
      <c r="A260" s="18" t="s">
        <v>71</v>
      </c>
      <c r="B260" s="9">
        <f ca="1">SUM(B258:B259)</f>
        <v>701161.12853858201</v>
      </c>
      <c r="C260" s="1">
        <f ca="1">SUM(C258:C259)</f>
        <v>1320865.572018682</v>
      </c>
      <c r="D260" s="1">
        <f ca="1">SUM(D258:D259)</f>
        <v>1467936.9524348155</v>
      </c>
      <c r="E260" s="1">
        <f ca="1">SUM(E258:E259)</f>
        <v>1815464.0508903312</v>
      </c>
      <c r="F260" s="1">
        <f ca="1">SUM(F258:F259)</f>
        <v>2521794.1973768817</v>
      </c>
      <c r="G260" s="1" t="str">
        <f ca="1">_xll.VFORMULA(F260)</f>
        <v>=SUM(F258:F259)</v>
      </c>
    </row>
    <row r="261" spans="1:7">
      <c r="A261" s="6" t="s">
        <v>261</v>
      </c>
      <c r="B261" s="1">
        <f>'Finance_HistPrice&amp;Yld'!K44</f>
        <v>27823.447966288011</v>
      </c>
      <c r="C261" s="1">
        <f>'Finance_HistPrice&amp;Yld'!L44</f>
        <v>25237.107329517072</v>
      </c>
      <c r="D261" s="1">
        <f>'Finance_HistPrice&amp;Yld'!M44</f>
        <v>22536.967704728213</v>
      </c>
      <c r="E261" s="1">
        <f>'Finance_HistPrice&amp;Yld'!N44</f>
        <v>19718.021936448644</v>
      </c>
      <c r="F261" s="1">
        <f>'Finance_HistPrice&amp;Yld'!O44</f>
        <v>16775.042554364773</v>
      </c>
      <c r="G261" s="1" t="str">
        <f ca="1">_xll.VFORMULA(F261)</f>
        <v>='Finance_HistPrice&amp;Yld'!O44</v>
      </c>
    </row>
    <row r="262" spans="1:7">
      <c r="A262" s="6" t="s">
        <v>73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 t="str">
        <f ca="1">_xll.VFORMULA(F262)</f>
        <v>0</v>
      </c>
    </row>
    <row r="263" spans="1:7">
      <c r="A263" s="100" t="s">
        <v>74</v>
      </c>
      <c r="B263" s="1">
        <f ca="1">IF(B255&lt;0,-B255,0)</f>
        <v>0</v>
      </c>
      <c r="C263" s="1">
        <f ca="1">IF(C255&lt;0,-C255,0)</f>
        <v>0</v>
      </c>
      <c r="D263" s="1">
        <f ca="1">IF(D255&lt;0,-D255,0)</f>
        <v>0</v>
      </c>
      <c r="E263" s="1">
        <f ca="1">IF(E255&lt;0,-E255,0)</f>
        <v>0</v>
      </c>
      <c r="F263" s="1">
        <f ca="1">IF(F255&lt;0,-F255,0)</f>
        <v>0</v>
      </c>
      <c r="G263" s="103" t="str">
        <f ca="1">_xll.VFORMULA(F263)</f>
        <v>=IF(F255&lt;0,-F255,0)</v>
      </c>
    </row>
    <row r="264" spans="1:7">
      <c r="A264" s="18" t="s">
        <v>75</v>
      </c>
      <c r="B264" s="9">
        <f ca="1">SUM(B261:B263)</f>
        <v>27823.447966288011</v>
      </c>
      <c r="C264" s="1">
        <f t="shared" ref="C264:F264" ca="1" si="55">SUM(C261:C263)</f>
        <v>25237.107329517072</v>
      </c>
      <c r="D264" s="1">
        <f t="shared" ca="1" si="55"/>
        <v>22536.967704728213</v>
      </c>
      <c r="E264" s="1">
        <f t="shared" ca="1" si="55"/>
        <v>19718.021936448644</v>
      </c>
      <c r="F264" s="1">
        <f t="shared" ca="1" si="55"/>
        <v>16775.042554364773</v>
      </c>
      <c r="G264" s="1" t="str">
        <f ca="1">_xll.VFORMULA(F264)</f>
        <v>=SUM(F261:F263)</v>
      </c>
    </row>
    <row r="265" spans="1:7" ht="15" thickBot="1">
      <c r="A265" s="12" t="s">
        <v>76</v>
      </c>
      <c r="B265" s="104">
        <f ca="1">B260-B264</f>
        <v>673337.68057229405</v>
      </c>
      <c r="C265" s="16">
        <f t="shared" ref="C265:F265" ca="1" si="56">C260-C264</f>
        <v>1295628.4646891649</v>
      </c>
      <c r="D265" s="16">
        <f t="shared" ca="1" si="56"/>
        <v>1445399.9847300872</v>
      </c>
      <c r="E265" s="16">
        <f t="shared" ca="1" si="56"/>
        <v>1795746.0289538824</v>
      </c>
      <c r="F265" s="16">
        <f t="shared" ca="1" si="56"/>
        <v>2505019.1548225172</v>
      </c>
      <c r="G265" s="1" t="str">
        <f ca="1">_xll.VFORMULA(F265)</f>
        <v>=F260-F264</v>
      </c>
    </row>
    <row r="266" spans="1:7">
      <c r="A266" s="6" t="s">
        <v>9</v>
      </c>
      <c r="B266">
        <f>B27</f>
        <v>2.5000000000000001E-2</v>
      </c>
      <c r="G266" s="1" t="str">
        <f ca="1">_xll.VFORMULA(F266)</f>
        <v/>
      </c>
    </row>
    <row r="267" spans="1:7">
      <c r="B267">
        <v>1</v>
      </c>
      <c r="C267">
        <v>2</v>
      </c>
      <c r="D267">
        <v>3</v>
      </c>
      <c r="E267">
        <v>4</v>
      </c>
      <c r="F267">
        <v>5</v>
      </c>
      <c r="G267" s="1"/>
    </row>
    <row r="268" spans="1:7">
      <c r="A268" t="s">
        <v>77</v>
      </c>
      <c r="B268" s="23">
        <f>1/(1+$B$266)^B267</f>
        <v>0.97560975609756106</v>
      </c>
      <c r="C268" s="23">
        <f t="shared" ref="C268:F268" si="57">1/(1+$B$266)^C267</f>
        <v>0.95181439619274244</v>
      </c>
      <c r="D268" s="23">
        <f t="shared" si="57"/>
        <v>0.92859941091974885</v>
      </c>
      <c r="E268" s="23">
        <f t="shared" si="57"/>
        <v>0.90595064479975507</v>
      </c>
      <c r="F268" s="23">
        <f t="shared" si="57"/>
        <v>0.88385428760951712</v>
      </c>
      <c r="G268" s="1" t="str">
        <f ca="1">_xll.VFORMULA(F268)</f>
        <v>=1/(1+$B$266)^F267</v>
      </c>
    </row>
    <row r="269" spans="1:7">
      <c r="A269" t="s">
        <v>78</v>
      </c>
      <c r="B269" s="5">
        <f>B268*B250</f>
        <v>29756.599460022702</v>
      </c>
      <c r="C269" s="5">
        <f>C268*C250</f>
        <v>29596.855072865117</v>
      </c>
      <c r="D269" s="5">
        <f>D268*D250</f>
        <v>29693.13429224008</v>
      </c>
      <c r="E269" s="5">
        <f>E268*E250</f>
        <v>29723.789679713496</v>
      </c>
      <c r="F269" s="5">
        <f>F268*F250</f>
        <v>29693.486875271832</v>
      </c>
      <c r="G269" s="1" t="str">
        <f ca="1">_xll.VFORMULA(F269)</f>
        <v>=F268*F250</v>
      </c>
    </row>
    <row r="270" spans="1:7">
      <c r="A270" t="s">
        <v>94</v>
      </c>
      <c r="F270" s="5">
        <f ca="1">F265*F268</f>
        <v>2214071.9205338508</v>
      </c>
      <c r="G270" s="1" t="str">
        <f ca="1">_xll.VFORMULA(F270)</f>
        <v>=F265*F268</v>
      </c>
    </row>
    <row r="271" spans="1:7">
      <c r="A271" t="s">
        <v>79</v>
      </c>
    </row>
    <row r="272" spans="1:7">
      <c r="A272" s="6" t="s">
        <v>80</v>
      </c>
      <c r="B272" s="1">
        <f>B11</f>
        <v>50000</v>
      </c>
      <c r="C272" t="str">
        <f ca="1">_xll.VFORMULA(B272)</f>
        <v>=B11</v>
      </c>
    </row>
    <row r="273" spans="1:7">
      <c r="A273" s="6" t="s">
        <v>81</v>
      </c>
      <c r="B273" s="1">
        <f>B12</f>
        <v>100000</v>
      </c>
      <c r="C273" t="str">
        <f ca="1">_xll.VFORMULA(B273)</f>
        <v>=B12</v>
      </c>
    </row>
    <row r="274" spans="1:7">
      <c r="A274" s="6" t="s">
        <v>72</v>
      </c>
      <c r="B274" s="1">
        <f>'Finance_HistPrice&amp;Yld'!K41</f>
        <v>30300.785740972817</v>
      </c>
      <c r="C274" t="str">
        <f ca="1">_xll.VFORMULA(B274)</f>
        <v>='Finance_HistPrice&amp;Yld'!K41</v>
      </c>
    </row>
    <row r="275" spans="1:7">
      <c r="A275" s="6" t="s">
        <v>82</v>
      </c>
      <c r="B275" s="1">
        <f>SUM(B272:B273)-B274</f>
        <v>119699.21425902718</v>
      </c>
      <c r="C275" t="str">
        <f ca="1">_xll.VFORMULA(B275)</f>
        <v>=SUM(B272:B273)-B274</v>
      </c>
    </row>
    <row r="276" spans="1:7">
      <c r="A276" s="18" t="s">
        <v>197</v>
      </c>
      <c r="B276" s="9">
        <f ca="1">-B275+SUM(B269:F269)+F270</f>
        <v>2242836.5716549368</v>
      </c>
      <c r="C276" t="str">
        <f ca="1">_xll.VFORMULA(B276)</f>
        <v>=-B275+SUM(B269:F269)+F270</v>
      </c>
    </row>
    <row r="278" spans="1:7">
      <c r="A278" s="6"/>
      <c r="B278" s="5"/>
    </row>
    <row r="279" spans="1:7">
      <c r="A279" s="54" t="s">
        <v>135</v>
      </c>
      <c r="B279" s="5"/>
    </row>
    <row r="280" spans="1:7" s="38" customFormat="1" ht="15.5">
      <c r="A280" s="39" t="s">
        <v>198</v>
      </c>
      <c r="B280" s="61">
        <f ca="1">IF(B255&lt;0,1,0)</f>
        <v>0</v>
      </c>
      <c r="C280" s="61">
        <f ca="1">IF(C255&lt;0,1,0)</f>
        <v>0</v>
      </c>
      <c r="D280" s="61">
        <f ca="1">IF(D255&lt;0,1,0)</f>
        <v>0</v>
      </c>
      <c r="E280" s="61">
        <f ca="1">IF(E255&lt;0,1,0)</f>
        <v>0</v>
      </c>
      <c r="F280" s="61">
        <f ca="1">IF(F255&lt;0,1,0)</f>
        <v>0</v>
      </c>
    </row>
    <row r="281" spans="1:7" s="40" customFormat="1" ht="15.5">
      <c r="A281" s="39" t="s">
        <v>134</v>
      </c>
      <c r="B281" s="62"/>
      <c r="C281" s="63">
        <f ca="1">IF(AND(B280=1,C280=1),1,0)</f>
        <v>0</v>
      </c>
      <c r="D281" s="63">
        <f t="shared" ref="D281:F281" ca="1" si="58">IF(AND(C280=1,D280=1),1,0)</f>
        <v>0</v>
      </c>
      <c r="E281" s="63">
        <f t="shared" ca="1" si="58"/>
        <v>0</v>
      </c>
      <c r="F281" s="63">
        <f t="shared" ca="1" si="58"/>
        <v>0</v>
      </c>
    </row>
    <row r="282" spans="1:7" s="38" customFormat="1" ht="15.5"/>
    <row r="283" spans="1:7">
      <c r="A283" s="64" t="s">
        <v>269</v>
      </c>
      <c r="C283" t="str">
        <f ca="1">_xll.VFORMULA(B283)</f>
        <v/>
      </c>
    </row>
    <row r="284" spans="1:7">
      <c r="A284" s="19" t="s">
        <v>83</v>
      </c>
      <c r="B284" s="20">
        <f ca="1">B276</f>
        <v>2242836.5716549368</v>
      </c>
      <c r="C284" t="str">
        <f ca="1">_xll.VFORMULA(B284)</f>
        <v>=B276</v>
      </c>
    </row>
    <row r="285" spans="1:7">
      <c r="A285" s="19" t="s">
        <v>84</v>
      </c>
      <c r="B285" s="20">
        <f ca="1">F270</f>
        <v>2214071.9205338508</v>
      </c>
      <c r="C285" t="str">
        <f ca="1">_xll.VFORMULA(B285)</f>
        <v>=F270</v>
      </c>
    </row>
    <row r="286" spans="1:7">
      <c r="A286" s="19" t="str">
        <f>"EC "&amp;B$257</f>
        <v>EC 2024</v>
      </c>
      <c r="B286" s="20">
        <f t="array" aca="1" ref="B286:B290" ca="1">_xll.TRANS(B255:F255)</f>
        <v>602171.12853858201</v>
      </c>
      <c r="C286" t="str">
        <f ca="1">_xll.VFORMULA(B286)</f>
        <v>=TRANS(B255:F255)</v>
      </c>
      <c r="D286" t="str">
        <f ca="1">_xll.VFORMULA(A286)</f>
        <v>="EC "&amp;B$257</v>
      </c>
      <c r="G286" t="s">
        <v>111</v>
      </c>
    </row>
    <row r="287" spans="1:7">
      <c r="A287" s="19" t="str">
        <f>"EC "&amp;C$257</f>
        <v>EC 2025</v>
      </c>
      <c r="B287" s="24">
        <f ca="1"/>
        <v>1224033.5540186821</v>
      </c>
      <c r="C287" t="str">
        <f ca="1">_xll.VFORMULA(B287)</f>
        <v>=TRANS(B255:F255)</v>
      </c>
      <c r="D287" t="str">
        <f ca="1">_xll.VFORMULA(A287)</f>
        <v>="EC "&amp;C$257</v>
      </c>
    </row>
    <row r="288" spans="1:7">
      <c r="A288" s="19" t="str">
        <f>"EC "&amp;D$257</f>
        <v>EC 2026</v>
      </c>
      <c r="B288" s="24">
        <f ca="1"/>
        <v>1372141.0370274156</v>
      </c>
      <c r="C288" t="str">
        <f ca="1">_xll.VFORMULA(B288)</f>
        <v>=TRANS(B255:F255)</v>
      </c>
      <c r="D288" t="str">
        <f ca="1">_xll.VFORMULA(A288)</f>
        <v>="EC "&amp;D$257</v>
      </c>
    </row>
    <row r="289" spans="1:13">
      <c r="A289" s="19" t="str">
        <f>"EC "&amp;E$257</f>
        <v>EC 2027</v>
      </c>
      <c r="B289" s="24">
        <f ca="1"/>
        <v>1719763.9313983386</v>
      </c>
      <c r="C289" t="str">
        <f ca="1">_xll.VFORMULA(B289)</f>
        <v>=TRANS(B255:F255)</v>
      </c>
      <c r="D289" t="str">
        <f ca="1">_xll.VFORMULA(A289)</f>
        <v>="EC "&amp;E$257</v>
      </c>
    </row>
    <row r="290" spans="1:13">
      <c r="A290" s="19" t="str">
        <f>"EC "&amp;F$257</f>
        <v>EC 2028</v>
      </c>
      <c r="B290" s="24">
        <f ca="1"/>
        <v>2426036.6578131937</v>
      </c>
      <c r="C290" t="str">
        <f ca="1">_xll.VFORMULA(B290)</f>
        <v>=TRANS(B255:F255)</v>
      </c>
      <c r="D290" t="str">
        <f ca="1">_xll.VFORMULA(A290)</f>
        <v>="EC "&amp;F$257</v>
      </c>
    </row>
    <row r="291" spans="1:13">
      <c r="A291" s="56" t="str">
        <f>"NCFI "&amp;B257</f>
        <v>NCFI 2024</v>
      </c>
      <c r="B291" s="10">
        <f t="array" aca="1" ref="B291:B295" ca="1">_xll.TRANS(B242:F242)</f>
        <v>854907.54660574254</v>
      </c>
      <c r="C291" t="str">
        <f ca="1">_xll.VFORMULA(B291)</f>
        <v>=TRANS(B242:F242)</v>
      </c>
    </row>
    <row r="292" spans="1:13">
      <c r="A292" s="56" t="str">
        <f>"NCFI "&amp;C257</f>
        <v>NCFI 2025</v>
      </c>
      <c r="B292" s="10">
        <f ca="1"/>
        <v>950523.18648650125</v>
      </c>
      <c r="C292" t="str">
        <f ca="1">_xll.VFORMULA(B292)</f>
        <v>=TRANS(B242:F242)</v>
      </c>
    </row>
    <row r="293" spans="1:13">
      <c r="A293" s="56" t="str">
        <f>"NCFI "&amp;D257</f>
        <v>NCFI 2026</v>
      </c>
      <c r="B293" s="10">
        <f ca="1"/>
        <v>221782.7843434168</v>
      </c>
      <c r="C293" t="str">
        <f ca="1">_xll.VFORMULA(B293)</f>
        <v>=TRANS(B242:F242)</v>
      </c>
    </row>
    <row r="294" spans="1:13">
      <c r="A294" s="56" t="str">
        <f>"NCFI "&amp;E257</f>
        <v>NCFI 2027</v>
      </c>
      <c r="B294" s="10">
        <f ca="1"/>
        <v>522559.21311687119</v>
      </c>
      <c r="C294" t="str">
        <f ca="1">_xll.VFORMULA(B294)</f>
        <v>=TRANS(B242:F242)</v>
      </c>
      <c r="D294" t="s">
        <v>111</v>
      </c>
    </row>
    <row r="295" spans="1:13">
      <c r="A295" s="56" t="str">
        <f>"NCFI "&amp;F257</f>
        <v>NCFI 2028</v>
      </c>
      <c r="B295" s="10">
        <f ca="1"/>
        <v>1060394.3588220049</v>
      </c>
      <c r="C295" t="str">
        <f ca="1">_xll.VFORMULA(B295)</f>
        <v>=TRANS(B242:F242)</v>
      </c>
      <c r="E295" t="s">
        <v>111</v>
      </c>
    </row>
    <row r="296" spans="1:13">
      <c r="A296" s="65" t="s">
        <v>131</v>
      </c>
      <c r="B296" s="3">
        <f t="array" aca="1" ref="B296:B300" ca="1">_xll.TRANS(B280:F280)</f>
        <v>0</v>
      </c>
      <c r="C296" t="str">
        <f ca="1">_xll.VFORMULA(B296)</f>
        <v>=TRANS(B280:F280)</v>
      </c>
      <c r="M296" t="s">
        <v>111</v>
      </c>
    </row>
    <row r="297" spans="1:13">
      <c r="A297" s="65" t="s">
        <v>132</v>
      </c>
      <c r="B297" s="3">
        <f ca="1"/>
        <v>0</v>
      </c>
      <c r="C297" t="str">
        <f ca="1">_xll.VFORMULA(B297)</f>
        <v>=TRANS(B280:F280)</v>
      </c>
    </row>
    <row r="298" spans="1:13">
      <c r="A298" s="65" t="s">
        <v>136</v>
      </c>
      <c r="B298" s="3">
        <f ca="1"/>
        <v>0</v>
      </c>
      <c r="C298" t="str">
        <f ca="1">_xll.VFORMULA(B298)</f>
        <v>=TRANS(B280:F280)</v>
      </c>
    </row>
    <row r="299" spans="1:13">
      <c r="A299" s="65" t="s">
        <v>137</v>
      </c>
      <c r="B299" s="3">
        <f ca="1"/>
        <v>0</v>
      </c>
      <c r="C299" t="str">
        <f ca="1">_xll.VFORMULA(B299)</f>
        <v>=TRANS(B280:F280)</v>
      </c>
    </row>
    <row r="300" spans="1:13">
      <c r="A300" s="65" t="s">
        <v>138</v>
      </c>
      <c r="B300" s="3">
        <f ca="1"/>
        <v>0</v>
      </c>
      <c r="C300" t="str">
        <f ca="1">_xll.VFORMULA(B300)</f>
        <v>=TRANS(B280:F280)</v>
      </c>
    </row>
    <row r="301" spans="1:13">
      <c r="A301" s="65" t="s">
        <v>139</v>
      </c>
      <c r="B301" s="3">
        <f t="array" aca="1" ref="B301:B304" ca="1">_xll.TRANS(C281:F281)</f>
        <v>0</v>
      </c>
      <c r="C301" t="str">
        <f ca="1">_xll.VFORMULA(B301)</f>
        <v>=TRANS(C281:F281)</v>
      </c>
    </row>
    <row r="302" spans="1:13">
      <c r="A302" s="65" t="s">
        <v>140</v>
      </c>
      <c r="B302" s="3">
        <f ca="1"/>
        <v>0</v>
      </c>
      <c r="C302" t="str">
        <f ca="1">_xll.VFORMULA(B302)</f>
        <v>=TRANS(C281:F281)</v>
      </c>
    </row>
    <row r="303" spans="1:13">
      <c r="A303" s="65" t="s">
        <v>141</v>
      </c>
      <c r="B303" s="3">
        <f ca="1"/>
        <v>0</v>
      </c>
      <c r="C303" t="str">
        <f ca="1">_xll.VFORMULA(B303)</f>
        <v>=TRANS(C281:F281)</v>
      </c>
    </row>
    <row r="304" spans="1:13">
      <c r="A304" s="65" t="s">
        <v>142</v>
      </c>
      <c r="B304" s="3">
        <f ca="1"/>
        <v>0</v>
      </c>
      <c r="C304" t="str">
        <f ca="1">_xll.VFORMULA(B304)</f>
        <v>=TRANS(C281:F281)</v>
      </c>
    </row>
    <row r="305" spans="1:4">
      <c r="A305" s="55" t="s">
        <v>128</v>
      </c>
      <c r="B305" s="58">
        <f ca="1">K252</f>
        <v>22.520787404573046</v>
      </c>
      <c r="C305" t="str">
        <f ca="1">_xll.VFORMULA(B305)</f>
        <v>=K252</v>
      </c>
    </row>
    <row r="306" spans="1:4">
      <c r="A306" s="55" t="s">
        <v>113</v>
      </c>
      <c r="B306" s="58">
        <f ca="1">K253</f>
        <v>5.7333012006071202</v>
      </c>
      <c r="C306" t="str">
        <f ca="1">_xll.VFORMULA(B306)</f>
        <v>=K253</v>
      </c>
    </row>
    <row r="308" spans="1:4">
      <c r="D308" t="s">
        <v>111</v>
      </c>
    </row>
    <row r="310" spans="1:4">
      <c r="A310" s="99"/>
      <c r="B310" s="3"/>
      <c r="C310" s="3"/>
    </row>
    <row r="311" spans="1:4">
      <c r="A311" s="3"/>
      <c r="B311" s="5"/>
      <c r="C311" s="5"/>
    </row>
  </sheetData>
  <printOptions headings="1" gridLines="1"/>
  <pageMargins left="0.7" right="0.7" top="0" bottom="0" header="0.3" footer="0.3"/>
  <pageSetup scale="76" fitToHeight="5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E1254-923F-4F84-87BA-1D2EBCCE71A1}">
  <dimension ref="A2:H97"/>
  <sheetViews>
    <sheetView tabSelected="1" workbookViewId="0"/>
  </sheetViews>
  <sheetFormatPr defaultRowHeight="14.5"/>
  <cols>
    <col min="2" max="2" width="14.90625" customWidth="1"/>
    <col min="3" max="3" width="16" customWidth="1"/>
    <col min="4" max="4" width="17" customWidth="1"/>
    <col min="5" max="5" width="17.453125" customWidth="1"/>
    <col min="6" max="6" width="12.81640625" customWidth="1"/>
  </cols>
  <sheetData>
    <row r="2" spans="1:5">
      <c r="B2" t="s">
        <v>205</v>
      </c>
    </row>
    <row r="3" spans="1:5">
      <c r="A3" t="s">
        <v>284</v>
      </c>
      <c r="B3" t="s">
        <v>264</v>
      </c>
      <c r="C3" t="s">
        <v>265</v>
      </c>
      <c r="D3" t="s">
        <v>202</v>
      </c>
      <c r="E3" t="s">
        <v>266</v>
      </c>
    </row>
    <row r="4" spans="1:5">
      <c r="A4">
        <v>2014</v>
      </c>
      <c r="B4">
        <v>4.53</v>
      </c>
      <c r="C4">
        <v>0.61299999999999999</v>
      </c>
      <c r="D4">
        <v>148</v>
      </c>
      <c r="E4" s="1">
        <v>824.32</v>
      </c>
    </row>
    <row r="5" spans="1:5">
      <c r="A5">
        <v>2015</v>
      </c>
      <c r="B5" s="4">
        <v>3.705833333333334</v>
      </c>
      <c r="C5">
        <v>0.61199999999999999</v>
      </c>
      <c r="D5">
        <v>135</v>
      </c>
      <c r="E5" s="1">
        <v>780.80000000000007</v>
      </c>
    </row>
    <row r="6" spans="1:5">
      <c r="A6">
        <v>2016</v>
      </c>
      <c r="B6" s="4">
        <v>3.4783333333333339</v>
      </c>
      <c r="C6">
        <v>0.68</v>
      </c>
      <c r="D6">
        <v>127</v>
      </c>
      <c r="E6" s="1">
        <v>957.44</v>
      </c>
    </row>
    <row r="7" spans="1:5">
      <c r="A7">
        <v>2017</v>
      </c>
      <c r="B7" s="4">
        <v>3.3591666666666664</v>
      </c>
      <c r="C7">
        <v>0.68599999999999994</v>
      </c>
      <c r="D7">
        <v>140</v>
      </c>
      <c r="E7" s="1">
        <v>1035.52</v>
      </c>
    </row>
    <row r="8" spans="1:5">
      <c r="A8">
        <v>2018</v>
      </c>
      <c r="B8" s="4">
        <v>3.4683333333333333</v>
      </c>
      <c r="C8">
        <v>0.70299999999999996</v>
      </c>
      <c r="D8">
        <v>108</v>
      </c>
      <c r="E8" s="1">
        <v>1002.24</v>
      </c>
    </row>
    <row r="9" spans="1:5">
      <c r="A9">
        <v>2019</v>
      </c>
      <c r="B9" s="4">
        <v>3.7033333333333331</v>
      </c>
      <c r="C9">
        <v>0.59599999999999997</v>
      </c>
      <c r="D9">
        <v>133</v>
      </c>
      <c r="E9" s="1">
        <v>753.92</v>
      </c>
    </row>
    <row r="10" spans="1:5">
      <c r="A10">
        <v>2020</v>
      </c>
      <c r="B10" s="4">
        <v>3.5491666666666664</v>
      </c>
      <c r="C10">
        <v>0.66299999999999992</v>
      </c>
      <c r="D10">
        <v>128</v>
      </c>
      <c r="E10" s="1">
        <v>890.88</v>
      </c>
    </row>
    <row r="11" spans="1:5">
      <c r="A11">
        <v>2021</v>
      </c>
      <c r="B11" s="4">
        <v>5.3966666666666674</v>
      </c>
      <c r="C11">
        <v>0.91</v>
      </c>
      <c r="D11">
        <v>128</v>
      </c>
      <c r="E11" s="1">
        <v>852.48</v>
      </c>
    </row>
    <row r="12" spans="1:5">
      <c r="A12">
        <v>2022</v>
      </c>
      <c r="B12" s="4">
        <v>6.7566666666666668</v>
      </c>
      <c r="C12">
        <v>0.871</v>
      </c>
      <c r="D12">
        <v>95</v>
      </c>
      <c r="E12" s="1">
        <v>1018.88</v>
      </c>
    </row>
    <row r="13" spans="1:5">
      <c r="A13">
        <v>2023</v>
      </c>
      <c r="B13" s="4">
        <v>5.9483333333333333</v>
      </c>
      <c r="C13">
        <v>0.7609999999999999</v>
      </c>
      <c r="D13" s="79">
        <v>177.3</v>
      </c>
      <c r="E13" s="1">
        <v>1048.7466666666662</v>
      </c>
    </row>
    <row r="16" spans="1:5">
      <c r="A16" t="s">
        <v>285</v>
      </c>
    </row>
    <row r="17" spans="1:6">
      <c r="A17" t="s">
        <v>286</v>
      </c>
    </row>
    <row r="18" spans="1:6">
      <c r="A18" t="s">
        <v>287</v>
      </c>
    </row>
    <row r="19" spans="1:6">
      <c r="A19" t="s">
        <v>288</v>
      </c>
      <c r="B19" t="s">
        <v>264</v>
      </c>
      <c r="C19" t="s">
        <v>265</v>
      </c>
      <c r="D19" t="s">
        <v>202</v>
      </c>
      <c r="E19" t="s">
        <v>266</v>
      </c>
    </row>
    <row r="20" spans="1:6">
      <c r="A20">
        <v>1</v>
      </c>
      <c r="B20">
        <v>1.3545303030303031</v>
      </c>
      <c r="C20">
        <v>1.5836363636363537E-2</v>
      </c>
      <c r="D20">
        <v>15.46181818181816</v>
      </c>
      <c r="E20">
        <v>-24.583757575757772</v>
      </c>
    </row>
    <row r="21" spans="1:6">
      <c r="A21">
        <v>2</v>
      </c>
      <c r="B21">
        <v>0.26056060606060649</v>
      </c>
      <c r="C21">
        <v>-1.0127272727272763E-2</v>
      </c>
      <c r="D21">
        <v>2.596969696969694</v>
      </c>
      <c r="E21">
        <v>-83.130181818181995</v>
      </c>
    </row>
    <row r="22" spans="1:6">
      <c r="A22">
        <v>3</v>
      </c>
      <c r="B22">
        <v>-0.23674242424242342</v>
      </c>
      <c r="C22">
        <v>3.2909090909090888E-2</v>
      </c>
      <c r="D22">
        <v>-5.2678787878788</v>
      </c>
      <c r="E22">
        <v>78.483393939393864</v>
      </c>
    </row>
    <row r="23" spans="1:6">
      <c r="A23">
        <v>4</v>
      </c>
      <c r="B23">
        <v>-0.62571212121212172</v>
      </c>
      <c r="C23">
        <v>1.3945454545454483E-2</v>
      </c>
      <c r="D23">
        <v>7.8672727272727059</v>
      </c>
      <c r="E23">
        <v>141.53696969696955</v>
      </c>
    </row>
    <row r="24" spans="1:6">
      <c r="A24">
        <v>5</v>
      </c>
      <c r="B24">
        <v>-0.78634848484848474</v>
      </c>
      <c r="C24">
        <v>5.9818181818180882E-3</v>
      </c>
      <c r="D24">
        <v>-23.99757575757576</v>
      </c>
      <c r="E24">
        <v>93.230545454545336</v>
      </c>
    </row>
    <row r="25" spans="1:6">
      <c r="A25">
        <v>6</v>
      </c>
      <c r="B25">
        <v>-0.82115151515151474</v>
      </c>
      <c r="C25">
        <v>-0.12598181818181819</v>
      </c>
      <c r="D25">
        <v>1.1375757575757461</v>
      </c>
      <c r="E25">
        <v>-170.11587878787884</v>
      </c>
    </row>
    <row r="26" spans="1:6">
      <c r="A26">
        <v>7</v>
      </c>
      <c r="B26">
        <v>-1.2451212121212123</v>
      </c>
      <c r="C26">
        <v>-8.3945454545454656E-2</v>
      </c>
      <c r="D26">
        <v>-3.7272727272727479</v>
      </c>
      <c r="E26">
        <v>-48.182303030303046</v>
      </c>
    </row>
    <row r="27" spans="1:6">
      <c r="A27">
        <v>8</v>
      </c>
      <c r="B27">
        <v>0.33257575757575797</v>
      </c>
      <c r="C27">
        <v>0.13809090909090915</v>
      </c>
      <c r="D27">
        <v>-3.592121212121242</v>
      </c>
      <c r="E27">
        <v>-101.60872727272726</v>
      </c>
    </row>
    <row r="28" spans="1:6">
      <c r="A28">
        <v>9</v>
      </c>
      <c r="B28">
        <v>1.4227727272727275</v>
      </c>
      <c r="C28">
        <v>7.4127272727272708E-2</v>
      </c>
      <c r="D28">
        <v>-36.456969696969708</v>
      </c>
      <c r="E28">
        <v>49.764848484848471</v>
      </c>
    </row>
    <row r="29" spans="1:6">
      <c r="A29">
        <v>10</v>
      </c>
      <c r="B29">
        <v>0.34463636363636407</v>
      </c>
      <c r="C29">
        <v>-6.0836363636363688E-2</v>
      </c>
      <c r="D29">
        <v>45.97818181818181</v>
      </c>
      <c r="E29" s="173">
        <v>64.60509090909045</v>
      </c>
      <c r="F29" t="s">
        <v>300</v>
      </c>
    </row>
    <row r="30" spans="1:6">
      <c r="A30" t="s">
        <v>271</v>
      </c>
      <c r="B30">
        <v>4.3895833333333334</v>
      </c>
      <c r="C30">
        <v>0.70950000000000002</v>
      </c>
      <c r="D30">
        <v>131.93</v>
      </c>
      <c r="E30">
        <v>916.52266666666674</v>
      </c>
    </row>
    <row r="31" spans="1:6">
      <c r="A31" t="s">
        <v>289</v>
      </c>
      <c r="B31">
        <v>0.26980303030303027</v>
      </c>
      <c r="C31">
        <v>2.4963636363636358E-2</v>
      </c>
      <c r="D31">
        <v>-0.13515151515151452</v>
      </c>
      <c r="E31">
        <v>15.026424242424213</v>
      </c>
    </row>
    <row r="32" spans="1:6">
      <c r="A32" t="s">
        <v>290</v>
      </c>
      <c r="B32">
        <v>2.9056666666666668</v>
      </c>
      <c r="C32">
        <v>0.57220000000000004</v>
      </c>
      <c r="D32">
        <v>132.67333333333335</v>
      </c>
      <c r="E32">
        <v>833.87733333333358</v>
      </c>
    </row>
    <row r="33" spans="1:8">
      <c r="A33" t="s">
        <v>291</v>
      </c>
      <c r="B33">
        <v>0.49240956990724699</v>
      </c>
      <c r="C33">
        <v>8.1241742339153891E-2</v>
      </c>
      <c r="D33">
        <v>-0.63804118806132015</v>
      </c>
      <c r="E33">
        <v>0.17497546007801343</v>
      </c>
      <c r="H33" t="s">
        <v>111</v>
      </c>
    </row>
    <row r="35" spans="1:8">
      <c r="A35" t="s">
        <v>292</v>
      </c>
    </row>
    <row r="36" spans="1:8">
      <c r="A36" t="s">
        <v>288</v>
      </c>
      <c r="B36" t="s">
        <v>264</v>
      </c>
      <c r="C36" t="s">
        <v>265</v>
      </c>
      <c r="D36" t="s">
        <v>202</v>
      </c>
      <c r="E36" t="s">
        <v>266</v>
      </c>
    </row>
    <row r="37" spans="1:8">
      <c r="A37">
        <v>1</v>
      </c>
      <c r="B37">
        <v>0.42656061379609794</v>
      </c>
      <c r="C37">
        <v>2.6519303373523154E-2</v>
      </c>
      <c r="D37">
        <v>0.11665935030728691</v>
      </c>
      <c r="E37" s="173">
        <v>-2.8959416608029174E-2</v>
      </c>
      <c r="F37" t="s">
        <v>299</v>
      </c>
    </row>
    <row r="38" spans="1:8">
      <c r="A38">
        <v>2</v>
      </c>
      <c r="B38">
        <v>7.5628441254595793E-2</v>
      </c>
      <c r="C38">
        <v>-1.6278458076394831E-2</v>
      </c>
      <c r="D38">
        <v>1.9614125832513193E-2</v>
      </c>
      <c r="E38">
        <v>-9.6223263832767802E-2</v>
      </c>
    </row>
    <row r="39" spans="1:8">
      <c r="A39">
        <v>3</v>
      </c>
      <c r="B39">
        <v>-6.3724790472888704E-2</v>
      </c>
      <c r="C39">
        <v>5.0856982298398391E-2</v>
      </c>
      <c r="D39">
        <v>-3.9827347623280669E-2</v>
      </c>
      <c r="E39">
        <v>8.9291545678402057E-2</v>
      </c>
    </row>
    <row r="40" spans="1:8">
      <c r="A40">
        <v>4</v>
      </c>
      <c r="B40">
        <v>-0.15702161960745559</v>
      </c>
      <c r="C40">
        <v>2.0750480209939578E-2</v>
      </c>
      <c r="D40">
        <v>5.9540682234117036E-2</v>
      </c>
      <c r="E40">
        <v>0.15832176327663985</v>
      </c>
    </row>
    <row r="41" spans="1:8">
      <c r="A41">
        <v>5</v>
      </c>
      <c r="B41">
        <v>-0.18481957487117576</v>
      </c>
      <c r="C41">
        <v>8.5820116861434377E-3</v>
      </c>
      <c r="D41">
        <v>-0.1818031552461937</v>
      </c>
      <c r="E41">
        <v>0.10256278962595033</v>
      </c>
    </row>
    <row r="42" spans="1:8">
      <c r="A42">
        <v>6</v>
      </c>
      <c r="B42">
        <v>-0.18149061001419878</v>
      </c>
      <c r="C42">
        <v>-0.17449444710267195</v>
      </c>
      <c r="D42">
        <v>8.6269895621238889E-3</v>
      </c>
      <c r="E42">
        <v>-0.18410094531289359</v>
      </c>
      <c r="G42" t="s">
        <v>111</v>
      </c>
    </row>
    <row r="43" spans="1:8">
      <c r="A43">
        <v>7</v>
      </c>
      <c r="B43">
        <v>-0.25970931316623636</v>
      </c>
      <c r="C43">
        <v>-0.1123849861253105</v>
      </c>
      <c r="D43">
        <v>-2.8295376121463229E-2</v>
      </c>
      <c r="E43">
        <v>-5.1308952425010962E-2</v>
      </c>
    </row>
    <row r="44" spans="1:8">
      <c r="A44">
        <v>8</v>
      </c>
      <c r="B44">
        <v>6.5673338718846383E-2</v>
      </c>
      <c r="C44">
        <v>0.17889530090684264</v>
      </c>
      <c r="D44">
        <v>-2.7297388164530659E-2</v>
      </c>
      <c r="E44">
        <v>-0.10649819494584836</v>
      </c>
    </row>
    <row r="45" spans="1:8">
      <c r="A45">
        <v>9</v>
      </c>
      <c r="B45">
        <v>0.26674184815800617</v>
      </c>
      <c r="C45">
        <v>9.3022725198503214E-2</v>
      </c>
      <c r="D45">
        <v>-0.27733006306937635</v>
      </c>
      <c r="E45">
        <v>5.1350810486291761E-2</v>
      </c>
    </row>
    <row r="46" spans="1:8">
      <c r="A46">
        <v>10</v>
      </c>
      <c r="B46">
        <v>6.1501606082564622E-2</v>
      </c>
      <c r="C46">
        <v>-7.4024910953297565E-2</v>
      </c>
      <c r="D46">
        <v>0.35011837678430491</v>
      </c>
      <c r="E46">
        <v>6.5646135170499761E-2</v>
      </c>
    </row>
    <row r="48" spans="1:8">
      <c r="A48" t="s">
        <v>293</v>
      </c>
    </row>
    <row r="49" spans="1:5">
      <c r="B49" t="s">
        <v>264</v>
      </c>
      <c r="C49" t="s">
        <v>265</v>
      </c>
      <c r="D49" t="s">
        <v>202</v>
      </c>
      <c r="E49" t="s">
        <v>266</v>
      </c>
    </row>
    <row r="50" spans="1:5">
      <c r="A50" t="s">
        <v>264</v>
      </c>
      <c r="B50">
        <v>1</v>
      </c>
      <c r="C50">
        <v>0.53557192942782772</v>
      </c>
      <c r="D50">
        <v>1.8283603037728805E-2</v>
      </c>
      <c r="E50">
        <v>2.8661845901521276E-2</v>
      </c>
    </row>
    <row r="51" spans="1:5">
      <c r="A51" t="s">
        <v>265</v>
      </c>
      <c r="C51">
        <v>1</v>
      </c>
      <c r="D51">
        <v>-0.38207007417114919</v>
      </c>
      <c r="E51">
        <v>0.24231144518652714</v>
      </c>
    </row>
    <row r="52" spans="1:5">
      <c r="A52" t="s">
        <v>202</v>
      </c>
      <c r="D52">
        <v>1</v>
      </c>
      <c r="E52">
        <v>-3.1410988474615847E-2</v>
      </c>
    </row>
    <row r="53" spans="1:5">
      <c r="A53" t="s">
        <v>266</v>
      </c>
      <c r="E53">
        <v>1</v>
      </c>
    </row>
    <row r="55" spans="1:5">
      <c r="A55" t="s">
        <v>294</v>
      </c>
    </row>
    <row r="56" spans="1:5">
      <c r="A56" t="s">
        <v>295</v>
      </c>
      <c r="B56" t="s">
        <v>264</v>
      </c>
      <c r="C56" t="s">
        <v>265</v>
      </c>
      <c r="D56" t="s">
        <v>202</v>
      </c>
      <c r="E56" t="s">
        <v>266</v>
      </c>
    </row>
    <row r="57" spans="1:5">
      <c r="A57">
        <v>0</v>
      </c>
      <c r="B57">
        <v>-0.25973528409755298</v>
      </c>
      <c r="C57">
        <v>-0.17451189654738222</v>
      </c>
      <c r="D57">
        <v>-0.27735779607568328</v>
      </c>
      <c r="E57">
        <v>-0.18411935540742488</v>
      </c>
    </row>
    <row r="58" spans="1:5">
      <c r="A58">
        <v>5.000000074505806E-2</v>
      </c>
      <c r="B58">
        <v>-0.25970931316623636</v>
      </c>
      <c r="C58">
        <v>-0.17449444710267195</v>
      </c>
      <c r="D58">
        <v>-0.27733006306937635</v>
      </c>
      <c r="E58">
        <v>-0.18410094531289359</v>
      </c>
    </row>
    <row r="59" spans="1:5">
      <c r="A59">
        <v>0.15000000596046448</v>
      </c>
      <c r="B59">
        <v>-0.18481957487117576</v>
      </c>
      <c r="C59">
        <v>-0.1123849861253105</v>
      </c>
      <c r="D59">
        <v>-0.1818031552461937</v>
      </c>
      <c r="E59">
        <v>-0.10649819494584836</v>
      </c>
    </row>
    <row r="60" spans="1:5">
      <c r="A60">
        <v>0.25</v>
      </c>
      <c r="B60">
        <v>-0.18149061001419878</v>
      </c>
      <c r="C60">
        <v>-7.4024910953297565E-2</v>
      </c>
      <c r="D60">
        <v>-3.9827347623280669E-2</v>
      </c>
      <c r="E60">
        <v>-9.6223263832767802E-2</v>
      </c>
    </row>
    <row r="61" spans="1:5">
      <c r="A61">
        <v>0.34999999403953552</v>
      </c>
      <c r="B61">
        <v>-0.15702161960745559</v>
      </c>
      <c r="C61">
        <v>-1.6278458076394831E-2</v>
      </c>
      <c r="D61">
        <v>-2.8295376121463229E-2</v>
      </c>
      <c r="E61">
        <v>-5.1308952425010962E-2</v>
      </c>
    </row>
    <row r="62" spans="1:5">
      <c r="A62">
        <v>0.44999998807907104</v>
      </c>
      <c r="B62">
        <v>-6.3724790472888704E-2</v>
      </c>
      <c r="C62">
        <v>8.5820116861434377E-3</v>
      </c>
      <c r="D62">
        <v>-2.7297388164530659E-2</v>
      </c>
      <c r="E62">
        <v>-2.8959416608029174E-2</v>
      </c>
    </row>
    <row r="63" spans="1:5">
      <c r="A63">
        <v>0.55000001192092896</v>
      </c>
      <c r="B63">
        <v>6.1501606082564622E-2</v>
      </c>
      <c r="C63">
        <v>2.0750480209939578E-2</v>
      </c>
      <c r="D63">
        <v>8.6269895621238889E-3</v>
      </c>
      <c r="E63">
        <v>5.1350810486291761E-2</v>
      </c>
    </row>
    <row r="64" spans="1:5">
      <c r="A64">
        <v>0.65000003576278687</v>
      </c>
      <c r="B64">
        <v>6.5673338718846383E-2</v>
      </c>
      <c r="C64">
        <v>2.6519303373523154E-2</v>
      </c>
      <c r="D64">
        <v>1.9614125832513193E-2</v>
      </c>
      <c r="E64">
        <v>6.5646135170499761E-2</v>
      </c>
    </row>
    <row r="65" spans="1:5">
      <c r="A65">
        <v>0.75000005960464478</v>
      </c>
      <c r="B65">
        <v>7.5628441254595793E-2</v>
      </c>
      <c r="C65">
        <v>5.0856982298398391E-2</v>
      </c>
      <c r="D65">
        <v>5.9540682234117036E-2</v>
      </c>
      <c r="E65">
        <v>8.9291545678402057E-2</v>
      </c>
    </row>
    <row r="66" spans="1:5">
      <c r="A66">
        <v>0.85000008344650269</v>
      </c>
      <c r="B66">
        <v>0.26674184815800617</v>
      </c>
      <c r="C66">
        <v>9.3022725198503214E-2</v>
      </c>
      <c r="D66">
        <v>0.11665935030728691</v>
      </c>
      <c r="E66">
        <v>0.10256278962595033</v>
      </c>
    </row>
    <row r="67" spans="1:5">
      <c r="A67">
        <v>0.9500001072883606</v>
      </c>
      <c r="B67">
        <v>0.42656061379609794</v>
      </c>
      <c r="C67">
        <v>0.17889530090684264</v>
      </c>
      <c r="D67">
        <v>0.35011837678430491</v>
      </c>
      <c r="E67">
        <v>0.15832176327663985</v>
      </c>
    </row>
    <row r="68" spans="1:5">
      <c r="A68">
        <v>1</v>
      </c>
      <c r="B68">
        <v>0.42660326985747754</v>
      </c>
      <c r="C68">
        <v>0.17891319043693332</v>
      </c>
      <c r="D68">
        <v>0.35015338862198331</v>
      </c>
      <c r="E68">
        <v>0.15833759545296752</v>
      </c>
    </row>
    <row r="70" spans="1:5">
      <c r="A70" t="s">
        <v>296</v>
      </c>
    </row>
    <row r="71" spans="1:5">
      <c r="A71">
        <v>1</v>
      </c>
      <c r="B71">
        <v>0.20356475257880902</v>
      </c>
      <c r="C71">
        <v>1.6622014401186158E-2</v>
      </c>
      <c r="D71">
        <v>0.66237042298584115</v>
      </c>
      <c r="E71">
        <v>3.4515322898669099E-2</v>
      </c>
    </row>
    <row r="72" spans="1:5">
      <c r="A72">
        <v>2</v>
      </c>
      <c r="B72">
        <v>0.73728302769566045</v>
      </c>
      <c r="C72">
        <v>0.6147210088689754</v>
      </c>
      <c r="D72">
        <v>0.94357491826279105</v>
      </c>
      <c r="E72">
        <v>0.18292233478841657</v>
      </c>
    </row>
    <row r="73" spans="1:5">
      <c r="A73">
        <v>3</v>
      </c>
      <c r="B73">
        <v>0.84588087157000569</v>
      </c>
      <c r="C73">
        <v>0.89178164540578875</v>
      </c>
      <c r="D73">
        <v>0.50585458454451904</v>
      </c>
      <c r="E73">
        <v>0.48937983310283872</v>
      </c>
    </row>
    <row r="74" spans="1:5">
      <c r="A74">
        <v>4</v>
      </c>
      <c r="B74">
        <v>0.16460391197440694</v>
      </c>
      <c r="C74">
        <v>0.27599822872991275</v>
      </c>
      <c r="D74">
        <v>0.71389472023568534</v>
      </c>
      <c r="E74">
        <v>0.94110106676796701</v>
      </c>
    </row>
    <row r="75" spans="1:5">
      <c r="A75">
        <v>5</v>
      </c>
      <c r="B75">
        <v>0.5530698440475259</v>
      </c>
      <c r="C75">
        <v>0.41158955473962622</v>
      </c>
      <c r="D75">
        <v>0.46556613404455371</v>
      </c>
      <c r="E75">
        <v>6.1370863355686978E-2</v>
      </c>
    </row>
    <row r="77" spans="1:5">
      <c r="A77" t="s">
        <v>297</v>
      </c>
    </row>
    <row r="78" spans="1:5">
      <c r="A78">
        <v>1</v>
      </c>
      <c r="B78">
        <v>-0.18303642317423818</v>
      </c>
      <c r="C78">
        <v>-0.17450609564904332</v>
      </c>
      <c r="D78">
        <v>2.4553194286657073E-2</v>
      </c>
      <c r="E78">
        <v>-0.1841066468004674</v>
      </c>
    </row>
    <row r="79" spans="1:5">
      <c r="A79">
        <v>2</v>
      </c>
      <c r="B79">
        <v>7.4362447990388741E-2</v>
      </c>
      <c r="C79">
        <v>2.4484119183411802E-2</v>
      </c>
      <c r="D79">
        <v>0.3351181966122237</v>
      </c>
      <c r="E79">
        <v>-0.103115448136327</v>
      </c>
    </row>
    <row r="80" spans="1:5">
      <c r="A80">
        <v>3</v>
      </c>
      <c r="B80">
        <v>0.25886948388018077</v>
      </c>
      <c r="C80">
        <v>0.12890162006992276</v>
      </c>
      <c r="D80">
        <v>-7.2319767365513661E-3</v>
      </c>
      <c r="E80">
        <v>2.6666188197158637E-3</v>
      </c>
    </row>
    <row r="81" spans="1:5">
      <c r="A81">
        <v>4</v>
      </c>
      <c r="B81">
        <v>-0.18433341594324834</v>
      </c>
      <c r="C81">
        <v>-5.9011855156101252E-2</v>
      </c>
      <c r="D81">
        <v>4.5125066983929478E-2</v>
      </c>
      <c r="E81">
        <v>0.15335975080074538</v>
      </c>
    </row>
    <row r="82" spans="1:5">
      <c r="A82">
        <v>5</v>
      </c>
      <c r="B82">
        <v>6.1629671240735817E-2</v>
      </c>
      <c r="C82">
        <v>-9.6700304903479285E-4</v>
      </c>
      <c r="D82">
        <v>-2.1705348423654437E-2</v>
      </c>
      <c r="E82">
        <v>-0.17527684364680032</v>
      </c>
    </row>
    <row r="84" spans="1:5">
      <c r="A84" t="s">
        <v>298</v>
      </c>
    </row>
    <row r="85" spans="1:5">
      <c r="A85">
        <v>1</v>
      </c>
      <c r="B85">
        <v>4.78</v>
      </c>
      <c r="C85">
        <v>0.91</v>
      </c>
      <c r="D85">
        <v>132.53818181818184</v>
      </c>
      <c r="E85">
        <v>848.90375757575782</v>
      </c>
    </row>
    <row r="86" spans="1:5">
      <c r="A86">
        <v>2</v>
      </c>
      <c r="B86">
        <v>4.3899999999999997</v>
      </c>
      <c r="C86">
        <v>0.83000000000000007</v>
      </c>
      <c r="D86">
        <v>132.40303030303031</v>
      </c>
      <c r="E86">
        <v>863.93018181818206</v>
      </c>
    </row>
    <row r="87" spans="1:5">
      <c r="A87">
        <v>3</v>
      </c>
      <c r="B87">
        <v>4.2</v>
      </c>
      <c r="C87">
        <v>0.83000000000000007</v>
      </c>
      <c r="D87">
        <v>132.2678787878788</v>
      </c>
      <c r="E87">
        <v>878.95660606060619</v>
      </c>
    </row>
    <row r="88" spans="1:5">
      <c r="A88">
        <v>4</v>
      </c>
      <c r="B88">
        <v>4.1500000000000004</v>
      </c>
      <c r="C88">
        <v>0.84</v>
      </c>
      <c r="D88">
        <v>132.13272727272729</v>
      </c>
      <c r="E88">
        <v>893.98303030303043</v>
      </c>
    </row>
    <row r="89" spans="1:5">
      <c r="A89">
        <v>5</v>
      </c>
      <c r="B89">
        <v>4.13</v>
      </c>
      <c r="C89">
        <v>0.85</v>
      </c>
      <c r="D89">
        <v>131.99757575757576</v>
      </c>
      <c r="E89">
        <v>909.00945454545467</v>
      </c>
    </row>
    <row r="91" spans="1:5">
      <c r="A91" t="s">
        <v>20</v>
      </c>
    </row>
    <row r="92" spans="1:5">
      <c r="B92" t="s">
        <v>264</v>
      </c>
      <c r="C92" t="s">
        <v>265</v>
      </c>
      <c r="D92" t="s">
        <v>202</v>
      </c>
      <c r="E92" t="s">
        <v>266</v>
      </c>
    </row>
    <row r="93" spans="1:5">
      <c r="A93">
        <v>1</v>
      </c>
      <c r="B93" s="4">
        <v>3.9050858972271416</v>
      </c>
      <c r="C93" s="4">
        <v>0.75119945295937063</v>
      </c>
      <c r="D93" s="79">
        <v>135.79241754676394</v>
      </c>
      <c r="E93" s="79">
        <v>692.6149333121682</v>
      </c>
    </row>
    <row r="94" spans="1:5">
      <c r="A94">
        <v>2</v>
      </c>
      <c r="B94" s="4">
        <v>4.716451146677807</v>
      </c>
      <c r="C94" s="4">
        <v>0.8503218189222318</v>
      </c>
      <c r="D94" s="79">
        <v>176.77369504417541</v>
      </c>
      <c r="E94" s="79">
        <v>774.84563396150179</v>
      </c>
    </row>
    <row r="95" spans="1:5">
      <c r="A95">
        <v>3</v>
      </c>
      <c r="B95" s="4">
        <v>5.2872518322967599</v>
      </c>
      <c r="C95" s="4">
        <v>0.93698834465803593</v>
      </c>
      <c r="D95" s="79">
        <v>131.31132056549185</v>
      </c>
      <c r="E95" s="79">
        <v>881.30044828804103</v>
      </c>
    </row>
    <row r="96" spans="1:5">
      <c r="A96">
        <v>4</v>
      </c>
      <c r="B96" s="4">
        <v>3.3850163238355195</v>
      </c>
      <c r="C96" s="4">
        <v>0.79043004166887487</v>
      </c>
      <c r="D96" s="79">
        <v>138.09522544167839</v>
      </c>
      <c r="E96" s="79">
        <v>1031.0840450503983</v>
      </c>
    </row>
    <row r="97" spans="1:5">
      <c r="A97">
        <v>5</v>
      </c>
      <c r="B97" s="4">
        <v>4.3845305422242387</v>
      </c>
      <c r="C97" s="4">
        <v>0.84917804740832048</v>
      </c>
      <c r="D97" s="79">
        <v>129.13252238467985</v>
      </c>
      <c r="E97" s="79">
        <v>749.68114650762777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9A946-A750-48A5-B9E0-7CFDB40FDA3B}">
  <dimension ref="A2:AN82"/>
  <sheetViews>
    <sheetView topLeftCell="A16" workbookViewId="0">
      <selection activeCell="G26" sqref="G26"/>
    </sheetView>
  </sheetViews>
  <sheetFormatPr defaultRowHeight="14.5"/>
  <cols>
    <col min="1" max="1" width="15.90625" bestFit="1" customWidth="1"/>
    <col min="2" max="2" width="15.6328125" bestFit="1" customWidth="1"/>
    <col min="3" max="3" width="14.08984375" bestFit="1" customWidth="1"/>
    <col min="4" max="4" width="12.90625" bestFit="1" customWidth="1"/>
    <col min="5" max="5" width="15.81640625" bestFit="1" customWidth="1"/>
    <col min="6" max="6" width="14.6328125" bestFit="1" customWidth="1"/>
    <col min="7" max="7" width="11.81640625" customWidth="1"/>
    <col min="8" max="8" width="13.08984375" customWidth="1"/>
    <col min="9" max="9" width="8.81640625" bestFit="1" customWidth="1"/>
    <col min="10" max="10" width="15.81640625" customWidth="1"/>
    <col min="11" max="11" width="10.54296875" customWidth="1"/>
    <col min="12" max="12" width="9.08984375" bestFit="1" customWidth="1"/>
  </cols>
  <sheetData>
    <row r="2" spans="1:40">
      <c r="A2" s="120" t="s">
        <v>205</v>
      </c>
      <c r="B2" s="121"/>
      <c r="C2" s="121"/>
      <c r="D2" s="119"/>
      <c r="E2" s="119"/>
      <c r="F2" s="119"/>
      <c r="G2" s="119"/>
      <c r="H2" s="119"/>
      <c r="I2" s="119"/>
      <c r="J2" s="119"/>
      <c r="K2" s="119"/>
      <c r="AC2" s="105" t="s">
        <v>203</v>
      </c>
    </row>
    <row r="3" spans="1:40">
      <c r="AE3" s="3">
        <v>2014</v>
      </c>
      <c r="AF3" s="3">
        <v>2015</v>
      </c>
      <c r="AG3" s="3">
        <v>2016</v>
      </c>
      <c r="AH3" s="3">
        <v>2017</v>
      </c>
      <c r="AI3" s="3">
        <v>2018</v>
      </c>
      <c r="AJ3" s="3">
        <v>2019</v>
      </c>
      <c r="AK3" s="3">
        <v>2020</v>
      </c>
      <c r="AL3" s="3">
        <v>2021</v>
      </c>
      <c r="AM3" s="3">
        <v>2022</v>
      </c>
      <c r="AN3" s="3">
        <v>2023</v>
      </c>
    </row>
    <row r="4" spans="1:40">
      <c r="A4" s="105" t="s">
        <v>203</v>
      </c>
      <c r="AD4" s="3" t="s">
        <v>199</v>
      </c>
      <c r="AE4">
        <v>0.61299999999999999</v>
      </c>
      <c r="AF4">
        <v>0.61199999999999999</v>
      </c>
      <c r="AG4">
        <v>0.68</v>
      </c>
      <c r="AH4">
        <v>0.68599999999999994</v>
      </c>
      <c r="AI4">
        <v>0.70299999999999996</v>
      </c>
      <c r="AJ4">
        <v>0.59599999999999997</v>
      </c>
      <c r="AK4">
        <v>0.66299999999999992</v>
      </c>
      <c r="AL4">
        <v>0.91</v>
      </c>
      <c r="AM4">
        <v>0.871</v>
      </c>
      <c r="AN4">
        <v>0.7609999999999999</v>
      </c>
    </row>
    <row r="5" spans="1:40">
      <c r="B5" s="3" t="s">
        <v>199</v>
      </c>
      <c r="C5" s="3" t="s">
        <v>200</v>
      </c>
      <c r="D5" s="3" t="s">
        <v>201</v>
      </c>
      <c r="E5" s="3" t="s">
        <v>202</v>
      </c>
      <c r="AD5" s="3" t="s">
        <v>200</v>
      </c>
      <c r="AE5" s="21">
        <v>4.53</v>
      </c>
      <c r="AF5" s="21">
        <v>3.705833333333334</v>
      </c>
      <c r="AG5" s="21">
        <v>3.4783333333333339</v>
      </c>
      <c r="AH5" s="21">
        <v>3.3591666666666664</v>
      </c>
      <c r="AI5" s="21">
        <v>3.4683333333333333</v>
      </c>
      <c r="AJ5" s="21">
        <v>3.7033333333333331</v>
      </c>
      <c r="AK5" s="21">
        <v>3.5491666666666664</v>
      </c>
      <c r="AL5" s="21">
        <v>5.3966666666666674</v>
      </c>
      <c r="AM5" s="21">
        <v>6.7566666666666668</v>
      </c>
      <c r="AN5" s="21">
        <v>5.9483333333333333</v>
      </c>
    </row>
    <row r="6" spans="1:40">
      <c r="A6" s="3">
        <v>2014</v>
      </c>
      <c r="B6">
        <v>0.61299999999999999</v>
      </c>
      <c r="C6" s="21">
        <v>4.53</v>
      </c>
      <c r="D6">
        <v>644</v>
      </c>
      <c r="E6">
        <v>148</v>
      </c>
      <c r="AD6" s="3" t="s">
        <v>201</v>
      </c>
      <c r="AE6">
        <v>644</v>
      </c>
      <c r="AF6">
        <v>610</v>
      </c>
      <c r="AG6">
        <v>748</v>
      </c>
      <c r="AH6">
        <v>809</v>
      </c>
      <c r="AI6">
        <v>783</v>
      </c>
      <c r="AJ6">
        <v>589</v>
      </c>
      <c r="AK6">
        <v>696</v>
      </c>
      <c r="AL6">
        <v>666</v>
      </c>
      <c r="AM6">
        <v>796</v>
      </c>
      <c r="AN6">
        <v>819.33333333333303</v>
      </c>
    </row>
    <row r="7" spans="1:40">
      <c r="A7" s="3">
        <v>2015</v>
      </c>
      <c r="B7">
        <v>0.61199999999999999</v>
      </c>
      <c r="C7" s="21">
        <v>3.705833333333334</v>
      </c>
      <c r="D7">
        <v>610</v>
      </c>
      <c r="E7">
        <v>135</v>
      </c>
      <c r="H7" t="s">
        <v>111</v>
      </c>
      <c r="AD7" s="3" t="s">
        <v>202</v>
      </c>
      <c r="AE7">
        <v>148</v>
      </c>
      <c r="AF7">
        <v>135</v>
      </c>
      <c r="AG7">
        <v>127</v>
      </c>
      <c r="AH7">
        <v>140</v>
      </c>
      <c r="AI7">
        <v>108</v>
      </c>
      <c r="AJ7">
        <v>133</v>
      </c>
      <c r="AK7">
        <v>128</v>
      </c>
      <c r="AL7">
        <v>128</v>
      </c>
      <c r="AM7">
        <v>95</v>
      </c>
      <c r="AN7">
        <v>177.3</v>
      </c>
    </row>
    <row r="8" spans="1:40">
      <c r="A8" s="3">
        <v>2016</v>
      </c>
      <c r="B8">
        <v>0.68</v>
      </c>
      <c r="C8" s="21">
        <v>3.4783333333333339</v>
      </c>
      <c r="D8">
        <v>748</v>
      </c>
      <c r="E8">
        <v>127</v>
      </c>
      <c r="AD8" s="3"/>
    </row>
    <row r="9" spans="1:40">
      <c r="A9" s="3">
        <v>2017</v>
      </c>
      <c r="B9">
        <v>0.68599999999999994</v>
      </c>
      <c r="C9" s="21">
        <v>3.3591666666666664</v>
      </c>
      <c r="D9">
        <v>809</v>
      </c>
      <c r="E9">
        <v>140</v>
      </c>
      <c r="AC9" s="105" t="s">
        <v>204</v>
      </c>
      <c r="AD9" s="3"/>
    </row>
    <row r="10" spans="1:40">
      <c r="A10" s="3">
        <v>2018</v>
      </c>
      <c r="B10">
        <v>0.70299999999999996</v>
      </c>
      <c r="C10" s="21">
        <v>3.4683333333333333</v>
      </c>
      <c r="D10">
        <v>783</v>
      </c>
      <c r="E10">
        <v>108</v>
      </c>
      <c r="AD10" s="3"/>
      <c r="AE10" s="3">
        <v>2014</v>
      </c>
      <c r="AF10" s="3">
        <v>2015</v>
      </c>
      <c r="AG10" s="3">
        <v>2016</v>
      </c>
      <c r="AH10" s="3">
        <v>2017</v>
      </c>
      <c r="AI10" s="3">
        <v>2018</v>
      </c>
      <c r="AJ10" s="3">
        <v>2019</v>
      </c>
      <c r="AK10" s="3">
        <v>2020</v>
      </c>
      <c r="AL10" s="3">
        <v>2021</v>
      </c>
      <c r="AM10" s="3">
        <v>2022</v>
      </c>
      <c r="AN10" s="3">
        <v>2023</v>
      </c>
    </row>
    <row r="11" spans="1:40">
      <c r="A11" s="3">
        <v>2019</v>
      </c>
      <c r="B11">
        <v>0.59599999999999997</v>
      </c>
      <c r="C11" s="21">
        <v>3.7033333333333331</v>
      </c>
      <c r="D11">
        <v>589</v>
      </c>
      <c r="E11">
        <v>133</v>
      </c>
      <c r="AD11" s="3" t="s">
        <v>199</v>
      </c>
      <c r="AE11">
        <v>0.61299999999999999</v>
      </c>
      <c r="AF11">
        <v>0.61199999999999999</v>
      </c>
      <c r="AG11">
        <v>0.68</v>
      </c>
      <c r="AH11">
        <v>0.68599999999999994</v>
      </c>
      <c r="AI11">
        <v>0.70299999999999996</v>
      </c>
      <c r="AJ11">
        <v>0.59599999999999997</v>
      </c>
      <c r="AK11">
        <v>0.66299999999999992</v>
      </c>
      <c r="AL11">
        <v>0.91</v>
      </c>
      <c r="AM11">
        <v>0.871</v>
      </c>
      <c r="AN11">
        <v>0.7609999999999999</v>
      </c>
    </row>
    <row r="12" spans="1:40">
      <c r="A12" s="3">
        <v>2020</v>
      </c>
      <c r="B12">
        <v>0.66299999999999992</v>
      </c>
      <c r="C12" s="21">
        <v>3.5491666666666664</v>
      </c>
      <c r="D12">
        <v>696</v>
      </c>
      <c r="E12">
        <v>128</v>
      </c>
      <c r="AD12" s="3" t="s">
        <v>200</v>
      </c>
      <c r="AE12" s="21">
        <v>4.53</v>
      </c>
      <c r="AF12" s="21">
        <v>3.705833333333334</v>
      </c>
      <c r="AG12" s="21">
        <v>3.4783333333333339</v>
      </c>
      <c r="AH12" s="21">
        <v>3.3591666666666664</v>
      </c>
      <c r="AI12" s="21">
        <v>3.4683333333333333</v>
      </c>
      <c r="AJ12" s="21">
        <v>3.7033333333333331</v>
      </c>
      <c r="AK12" s="21">
        <v>3.5491666666666664</v>
      </c>
      <c r="AL12" s="21">
        <v>5.3966666666666674</v>
      </c>
      <c r="AM12" s="21">
        <v>6.7566666666666668</v>
      </c>
      <c r="AN12" s="21">
        <v>5.9483333333333333</v>
      </c>
    </row>
    <row r="13" spans="1:40">
      <c r="A13" s="3">
        <v>2021</v>
      </c>
      <c r="B13">
        <v>0.91</v>
      </c>
      <c r="C13" s="21">
        <v>5.3966666666666674</v>
      </c>
      <c r="D13">
        <v>666</v>
      </c>
      <c r="E13">
        <v>128</v>
      </c>
      <c r="AD13" s="3" t="s">
        <v>201</v>
      </c>
      <c r="AE13" s="1">
        <v>824.32</v>
      </c>
      <c r="AF13" s="1">
        <v>780.80000000000007</v>
      </c>
      <c r="AG13" s="1">
        <v>957.44</v>
      </c>
      <c r="AH13" s="1">
        <v>1035.52</v>
      </c>
      <c r="AI13" s="1">
        <v>1002.24</v>
      </c>
      <c r="AJ13" s="1">
        <v>753.92</v>
      </c>
      <c r="AK13" s="1">
        <v>890.88</v>
      </c>
      <c r="AL13" s="1">
        <v>852.48</v>
      </c>
      <c r="AM13" s="1">
        <v>1018.88</v>
      </c>
      <c r="AN13" s="1">
        <v>1048.7466666666662</v>
      </c>
    </row>
    <row r="14" spans="1:40">
      <c r="A14" s="3">
        <v>2022</v>
      </c>
      <c r="B14">
        <v>0.871</v>
      </c>
      <c r="C14" s="21">
        <v>6.7566666666666668</v>
      </c>
      <c r="D14">
        <v>796</v>
      </c>
      <c r="E14">
        <v>95</v>
      </c>
      <c r="AD14" s="3" t="s">
        <v>202</v>
      </c>
      <c r="AE14">
        <v>148</v>
      </c>
      <c r="AF14">
        <v>135</v>
      </c>
      <c r="AG14">
        <v>127</v>
      </c>
      <c r="AH14">
        <v>140</v>
      </c>
      <c r="AI14">
        <v>108</v>
      </c>
      <c r="AJ14">
        <v>133</v>
      </c>
      <c r="AK14">
        <v>128</v>
      </c>
      <c r="AL14">
        <v>128</v>
      </c>
      <c r="AM14">
        <v>95</v>
      </c>
      <c r="AN14">
        <v>177.3</v>
      </c>
    </row>
    <row r="15" spans="1:40">
      <c r="A15" s="3">
        <v>2023</v>
      </c>
      <c r="B15">
        <v>0.7609999999999999</v>
      </c>
      <c r="C15" s="21">
        <v>5.9483333333333333</v>
      </c>
      <c r="D15" s="79">
        <v>819.33333333333303</v>
      </c>
      <c r="E15" s="79">
        <v>177.3</v>
      </c>
    </row>
    <row r="18" spans="1:12">
      <c r="A18" s="105" t="s">
        <v>204</v>
      </c>
    </row>
    <row r="19" spans="1:12">
      <c r="A19" s="3"/>
      <c r="B19" s="3" t="s">
        <v>199</v>
      </c>
      <c r="C19" s="3" t="s">
        <v>200</v>
      </c>
      <c r="D19" s="3" t="s">
        <v>201</v>
      </c>
      <c r="E19" s="3" t="s">
        <v>202</v>
      </c>
    </row>
    <row r="20" spans="1:12">
      <c r="A20" s="3">
        <v>2014</v>
      </c>
      <c r="B20">
        <v>0.61299999999999999</v>
      </c>
      <c r="C20" s="21">
        <v>4.53</v>
      </c>
      <c r="D20" s="1">
        <v>824.32</v>
      </c>
      <c r="E20">
        <v>148</v>
      </c>
    </row>
    <row r="21" spans="1:12">
      <c r="A21" s="3">
        <v>2015</v>
      </c>
      <c r="B21">
        <v>0.61199999999999999</v>
      </c>
      <c r="C21" s="21">
        <v>3.705833333333334</v>
      </c>
      <c r="D21" s="1">
        <v>780.80000000000007</v>
      </c>
      <c r="E21">
        <v>135</v>
      </c>
    </row>
    <row r="22" spans="1:12">
      <c r="A22" s="3">
        <v>2016</v>
      </c>
      <c r="B22">
        <v>0.68</v>
      </c>
      <c r="C22" s="21">
        <v>3.4783333333333339</v>
      </c>
      <c r="D22" s="1">
        <v>957.44</v>
      </c>
      <c r="E22">
        <v>127</v>
      </c>
    </row>
    <row r="23" spans="1:12">
      <c r="A23" s="3">
        <v>2017</v>
      </c>
      <c r="B23">
        <v>0.68599999999999994</v>
      </c>
      <c r="C23" s="21">
        <v>3.3591666666666664</v>
      </c>
      <c r="D23" s="1">
        <v>1035.52</v>
      </c>
      <c r="E23">
        <v>140</v>
      </c>
    </row>
    <row r="24" spans="1:12">
      <c r="A24" s="3">
        <v>2018</v>
      </c>
      <c r="B24">
        <v>0.70299999999999996</v>
      </c>
      <c r="C24" s="21">
        <v>3.4683333333333333</v>
      </c>
      <c r="D24" s="1">
        <v>1002.24</v>
      </c>
      <c r="E24">
        <v>108</v>
      </c>
    </row>
    <row r="25" spans="1:12">
      <c r="A25" s="3">
        <v>2019</v>
      </c>
      <c r="B25">
        <v>0.59599999999999997</v>
      </c>
      <c r="C25" s="21">
        <v>3.7033333333333331</v>
      </c>
      <c r="D25" s="1">
        <v>753.92</v>
      </c>
      <c r="E25">
        <v>133</v>
      </c>
    </row>
    <row r="26" spans="1:12">
      <c r="A26" s="3">
        <v>2020</v>
      </c>
      <c r="B26">
        <v>0.66299999999999992</v>
      </c>
      <c r="C26" s="21">
        <v>3.5491666666666664</v>
      </c>
      <c r="D26" s="1">
        <v>890.88</v>
      </c>
      <c r="E26">
        <v>128</v>
      </c>
    </row>
    <row r="27" spans="1:12">
      <c r="A27" s="3">
        <v>2021</v>
      </c>
      <c r="B27">
        <v>0.91</v>
      </c>
      <c r="C27" s="21">
        <v>5.3966666666666674</v>
      </c>
      <c r="D27" s="1">
        <v>852.48</v>
      </c>
      <c r="E27">
        <v>128</v>
      </c>
    </row>
    <row r="28" spans="1:12">
      <c r="A28" s="3">
        <v>2022</v>
      </c>
      <c r="B28">
        <v>0.871</v>
      </c>
      <c r="C28" s="21">
        <v>6.7566666666666668</v>
      </c>
      <c r="D28" s="1">
        <v>1018.88</v>
      </c>
      <c r="E28">
        <v>95</v>
      </c>
    </row>
    <row r="29" spans="1:12">
      <c r="A29" s="3">
        <v>2023</v>
      </c>
      <c r="B29">
        <v>0.7609999999999999</v>
      </c>
      <c r="C29" s="21">
        <v>5.9483333333333333</v>
      </c>
      <c r="D29" s="1">
        <v>1048.7466666666662</v>
      </c>
      <c r="E29" s="79">
        <v>177.3</v>
      </c>
    </row>
    <row r="32" spans="1:12">
      <c r="A32" s="122" t="s">
        <v>228</v>
      </c>
      <c r="B32" s="119"/>
      <c r="C32" s="119"/>
      <c r="D32" s="119"/>
      <c r="E32" s="119"/>
      <c r="F32" s="119"/>
      <c r="G32" s="119"/>
      <c r="H32" s="119"/>
      <c r="I32" s="119"/>
      <c r="J32" s="119"/>
      <c r="K32" s="119"/>
      <c r="L32" s="119"/>
    </row>
    <row r="34" spans="1:15" ht="15" thickBot="1">
      <c r="A34" s="117" t="s">
        <v>262</v>
      </c>
      <c r="B34" s="106"/>
      <c r="C34" s="106"/>
      <c r="D34" s="106"/>
      <c r="E34" s="106"/>
    </row>
    <row r="35" spans="1:15">
      <c r="A35" s="107" t="s">
        <v>206</v>
      </c>
      <c r="B35" s="108" t="s">
        <v>207</v>
      </c>
      <c r="C35" s="108" t="s">
        <v>208</v>
      </c>
      <c r="D35" s="109" t="s">
        <v>209</v>
      </c>
      <c r="E35" s="106"/>
    </row>
    <row r="36" spans="1:15">
      <c r="A36" s="110" t="s">
        <v>210</v>
      </c>
      <c r="B36" s="118" t="s">
        <v>211</v>
      </c>
      <c r="C36" s="118" t="s">
        <v>6</v>
      </c>
      <c r="D36" s="111" t="s">
        <v>212</v>
      </c>
      <c r="E36" s="112"/>
    </row>
    <row r="37" spans="1:15" ht="15" thickBot="1">
      <c r="A37" s="113">
        <f>'Model - Econ Data'!B18</f>
        <v>50000</v>
      </c>
      <c r="B37" s="114">
        <f>'Model - Econ Data'!B20</f>
        <v>20</v>
      </c>
      <c r="C37" s="114">
        <f>'Model - Econ Data'!B21</f>
        <v>4.3999999999999997E-2</v>
      </c>
      <c r="D37" s="115">
        <f>'Model - Econ Data'!B19</f>
        <v>2014</v>
      </c>
      <c r="E37" s="106"/>
    </row>
    <row r="38" spans="1:15">
      <c r="A38" s="106"/>
      <c r="B38" s="106"/>
      <c r="C38" s="106"/>
      <c r="D38" s="106"/>
      <c r="E38" s="106"/>
    </row>
    <row r="39" spans="1:15">
      <c r="A39" s="123" t="s">
        <v>213</v>
      </c>
      <c r="B39" s="124"/>
      <c r="C39" s="124"/>
      <c r="D39" s="124"/>
      <c r="E39" s="124"/>
      <c r="F39" s="124"/>
      <c r="G39" s="124"/>
      <c r="H39" s="125"/>
      <c r="J39" s="140" t="s">
        <v>233</v>
      </c>
      <c r="K39" s="140"/>
    </row>
    <row r="40" spans="1:15">
      <c r="A40" s="126"/>
      <c r="B40" s="127"/>
      <c r="C40" s="106" t="s">
        <v>214</v>
      </c>
      <c r="D40" s="106" t="s">
        <v>215</v>
      </c>
      <c r="E40" s="106" t="s">
        <v>215</v>
      </c>
      <c r="F40" s="127" t="s">
        <v>215</v>
      </c>
      <c r="G40" s="127" t="s">
        <v>216</v>
      </c>
      <c r="H40" s="128"/>
      <c r="K40" s="3">
        <f>'Model - Econ Data'!B3</f>
        <v>2024</v>
      </c>
      <c r="L40" s="3">
        <f>1+K40</f>
        <v>2025</v>
      </c>
      <c r="M40" s="3">
        <f t="shared" ref="M40:O40" si="0">1+L40</f>
        <v>2026</v>
      </c>
      <c r="N40" s="3">
        <f t="shared" si="0"/>
        <v>2027</v>
      </c>
      <c r="O40" s="3">
        <f t="shared" si="0"/>
        <v>2028</v>
      </c>
    </row>
    <row r="41" spans="1:15">
      <c r="A41" s="116"/>
      <c r="B41" s="127"/>
      <c r="C41" s="106" t="s">
        <v>208</v>
      </c>
      <c r="D41" s="106" t="s">
        <v>217</v>
      </c>
      <c r="E41" s="106" t="s">
        <v>218</v>
      </c>
      <c r="F41" s="106" t="s">
        <v>219</v>
      </c>
      <c r="G41" s="127" t="s">
        <v>220</v>
      </c>
      <c r="H41" s="128"/>
      <c r="J41" s="8" t="s">
        <v>229</v>
      </c>
      <c r="K41" s="1">
        <f>VLOOKUP($K$40,$A$43:$G$82,2)</f>
        <v>30300.785740972817</v>
      </c>
      <c r="L41" s="1"/>
      <c r="M41" s="1"/>
      <c r="N41" s="1"/>
      <c r="O41" s="1"/>
    </row>
    <row r="42" spans="1:15" ht="15" thickBot="1">
      <c r="A42" s="129" t="s">
        <v>221</v>
      </c>
      <c r="B42" s="130" t="s">
        <v>222</v>
      </c>
      <c r="C42" s="130" t="s">
        <v>223</v>
      </c>
      <c r="D42" s="130" t="s">
        <v>224</v>
      </c>
      <c r="E42" s="130" t="s">
        <v>223</v>
      </c>
      <c r="F42" s="130" t="s">
        <v>225</v>
      </c>
      <c r="G42" s="130" t="s">
        <v>226</v>
      </c>
      <c r="H42" s="131" t="s">
        <v>227</v>
      </c>
      <c r="J42" s="117" t="s">
        <v>230</v>
      </c>
      <c r="K42" s="1">
        <f>VLOOKUP(K$40,$A$43:$G$82,4)</f>
        <v>1333.2345726028038</v>
      </c>
      <c r="L42" s="1">
        <f t="shared" ref="L42:O42" si="1">VLOOKUP(L$40,$A$43:$G$82,4)</f>
        <v>1224.2317105166724</v>
      </c>
      <c r="M42" s="1">
        <f t="shared" si="1"/>
        <v>1110.432722498751</v>
      </c>
      <c r="N42" s="1">
        <f t="shared" si="1"/>
        <v>991.62657900804129</v>
      </c>
      <c r="O42" s="1">
        <f t="shared" si="1"/>
        <v>867.59296520374028</v>
      </c>
    </row>
    <row r="43" spans="1:15">
      <c r="A43" s="132">
        <f>D37</f>
        <v>2014</v>
      </c>
      <c r="B43" s="133">
        <f>A37</f>
        <v>50000</v>
      </c>
      <c r="C43" s="133">
        <f>IF(B43&gt;0.5,PMT(C37,B37,-(B43)),0)</f>
        <v>3810.5723472876107</v>
      </c>
      <c r="D43" s="133">
        <f>B43*C37</f>
        <v>2200</v>
      </c>
      <c r="E43" s="133">
        <f t="shared" ref="E43:E62" si="2">C43-D43</f>
        <v>1610.5723472876107</v>
      </c>
      <c r="F43" s="133">
        <f t="shared" ref="F43:F62" si="3">IF(B43-E43&gt;0,B43-E43,0)</f>
        <v>48389.427652712387</v>
      </c>
      <c r="G43" s="133">
        <f>C43</f>
        <v>3810.5723472876107</v>
      </c>
      <c r="H43" s="134">
        <v>1</v>
      </c>
      <c r="J43" s="8" t="s">
        <v>231</v>
      </c>
      <c r="K43" s="1">
        <f>VLOOKUP(K$40,$A$43:$G$82,5)</f>
        <v>2477.3377746848068</v>
      </c>
      <c r="L43" s="1">
        <f t="shared" ref="L43:O43" si="4">VLOOKUP(L$40,$A$43:$G$82,5)</f>
        <v>2586.3406367709385</v>
      </c>
      <c r="M43" s="1">
        <f t="shared" si="4"/>
        <v>2700.1396247888597</v>
      </c>
      <c r="N43" s="1">
        <f t="shared" si="4"/>
        <v>2818.9457682795692</v>
      </c>
      <c r="O43" s="1">
        <f t="shared" si="4"/>
        <v>2942.9793820838704</v>
      </c>
    </row>
    <row r="44" spans="1:15">
      <c r="A44" s="126">
        <f>1+A43</f>
        <v>2015</v>
      </c>
      <c r="B44" s="135">
        <f t="shared" ref="B44:B62" si="5">F43</f>
        <v>48389.427652712387</v>
      </c>
      <c r="C44" s="135">
        <f>IF(B44&gt;0.5,PMT(C37,B37,-(B43)),0)</f>
        <v>3810.5723472876107</v>
      </c>
      <c r="D44" s="135">
        <f>B44*C37</f>
        <v>2129.1348167193451</v>
      </c>
      <c r="E44" s="135">
        <f t="shared" si="2"/>
        <v>1681.4375305682656</v>
      </c>
      <c r="F44" s="135">
        <f t="shared" si="3"/>
        <v>46707.990122144125</v>
      </c>
      <c r="G44" s="135">
        <f>IF(B44&gt;0,C44+G43,0)</f>
        <v>7621.1446945752214</v>
      </c>
      <c r="H44" s="128">
        <f>1+H43</f>
        <v>2</v>
      </c>
      <c r="J44" s="8" t="s">
        <v>232</v>
      </c>
      <c r="K44" s="1">
        <f>VLOOKUP(K$40,$A$43:$G$82,6)</f>
        <v>27823.447966288011</v>
      </c>
      <c r="L44" s="1">
        <f t="shared" ref="L44:O44" si="6">VLOOKUP(L$40,$A$43:$G$82,6)</f>
        <v>25237.107329517072</v>
      </c>
      <c r="M44" s="1">
        <f t="shared" si="6"/>
        <v>22536.967704728213</v>
      </c>
      <c r="N44" s="1">
        <f t="shared" si="6"/>
        <v>19718.021936448644</v>
      </c>
      <c r="O44" s="1">
        <f t="shared" si="6"/>
        <v>16775.042554364773</v>
      </c>
    </row>
    <row r="45" spans="1:15">
      <c r="A45" s="126">
        <f t="shared" ref="A45:A79" si="7">1+A44</f>
        <v>2016</v>
      </c>
      <c r="B45" s="135">
        <f t="shared" si="5"/>
        <v>46707.990122144125</v>
      </c>
      <c r="C45" s="135">
        <f>IF(B45&gt;0.5,PMT(C37,B37,-(B43)),0)</f>
        <v>3810.5723472876107</v>
      </c>
      <c r="D45" s="135">
        <f>B45*C37</f>
        <v>2055.1515653743413</v>
      </c>
      <c r="E45" s="135">
        <f t="shared" si="2"/>
        <v>1755.4207819132694</v>
      </c>
      <c r="F45" s="135">
        <f t="shared" si="3"/>
        <v>44952.569340230853</v>
      </c>
      <c r="G45" s="135">
        <f t="shared" ref="G45:G62" si="8">IF(B45&gt;0,C45+G44,0)</f>
        <v>11431.717041862832</v>
      </c>
      <c r="H45" s="128">
        <f t="shared" ref="H45:H79" si="9">1+H44</f>
        <v>3</v>
      </c>
    </row>
    <row r="46" spans="1:15">
      <c r="A46" s="126">
        <f t="shared" si="7"/>
        <v>2017</v>
      </c>
      <c r="B46" s="135">
        <f t="shared" si="5"/>
        <v>44952.569340230853</v>
      </c>
      <c r="C46" s="135">
        <f>IF(B46&gt;0.5,PMT(C37,B37,-(B43)),0)</f>
        <v>3810.5723472876107</v>
      </c>
      <c r="D46" s="135">
        <f>B46*C37</f>
        <v>1977.9130509701574</v>
      </c>
      <c r="E46" s="135">
        <f t="shared" si="2"/>
        <v>1832.6592963174533</v>
      </c>
      <c r="F46" s="135">
        <f t="shared" si="3"/>
        <v>43119.910043913398</v>
      </c>
      <c r="G46" s="135">
        <f t="shared" si="8"/>
        <v>15242.289389150443</v>
      </c>
      <c r="H46" s="128">
        <f t="shared" si="9"/>
        <v>4</v>
      </c>
    </row>
    <row r="47" spans="1:15">
      <c r="A47" s="126">
        <f t="shared" si="7"/>
        <v>2018</v>
      </c>
      <c r="B47" s="135">
        <f t="shared" si="5"/>
        <v>43119.910043913398</v>
      </c>
      <c r="C47" s="135">
        <f>IF(B47&gt;0.5,PMT(C37,B37,-(B43)),0)</f>
        <v>3810.5723472876107</v>
      </c>
      <c r="D47" s="135">
        <f>B47*C37</f>
        <v>1897.2760419321894</v>
      </c>
      <c r="E47" s="135">
        <f t="shared" si="2"/>
        <v>1913.2963053554213</v>
      </c>
      <c r="F47" s="135">
        <f t="shared" si="3"/>
        <v>41206.613738557979</v>
      </c>
      <c r="G47" s="135">
        <f t="shared" si="8"/>
        <v>19052.861736438055</v>
      </c>
      <c r="H47" s="128">
        <f t="shared" si="9"/>
        <v>5</v>
      </c>
    </row>
    <row r="48" spans="1:15">
      <c r="A48" s="126">
        <f t="shared" si="7"/>
        <v>2019</v>
      </c>
      <c r="B48" s="135">
        <f t="shared" si="5"/>
        <v>41206.613738557979</v>
      </c>
      <c r="C48" s="135">
        <f>IF(B48&gt;0.5,PMT(C37,B37,-(B43)),0)</f>
        <v>3810.5723472876107</v>
      </c>
      <c r="D48" s="135">
        <f>B48*C37</f>
        <v>1813.091004496551</v>
      </c>
      <c r="E48" s="135">
        <f t="shared" si="2"/>
        <v>1997.4813427910597</v>
      </c>
      <c r="F48" s="135">
        <f t="shared" si="3"/>
        <v>39209.132395766916</v>
      </c>
      <c r="G48" s="135">
        <f t="shared" si="8"/>
        <v>22863.434083725668</v>
      </c>
      <c r="H48" s="128">
        <f t="shared" si="9"/>
        <v>6</v>
      </c>
    </row>
    <row r="49" spans="1:8">
      <c r="A49" s="126">
        <f t="shared" si="7"/>
        <v>2020</v>
      </c>
      <c r="B49" s="135">
        <f t="shared" si="5"/>
        <v>39209.132395766916</v>
      </c>
      <c r="C49" s="135">
        <f>IF(B49&gt;0.5,PMT(C37,B37,-(B43)),0)</f>
        <v>3810.5723472876107</v>
      </c>
      <c r="D49" s="135">
        <f>B49*C37</f>
        <v>1725.2018254137442</v>
      </c>
      <c r="E49" s="135">
        <f t="shared" si="2"/>
        <v>2085.3705218738664</v>
      </c>
      <c r="F49" s="135">
        <f t="shared" si="3"/>
        <v>37123.761873893047</v>
      </c>
      <c r="G49" s="135">
        <f t="shared" si="8"/>
        <v>26674.00643101328</v>
      </c>
      <c r="H49" s="128">
        <f t="shared" si="9"/>
        <v>7</v>
      </c>
    </row>
    <row r="50" spans="1:8">
      <c r="A50" s="126">
        <f t="shared" si="7"/>
        <v>2021</v>
      </c>
      <c r="B50" s="135">
        <f t="shared" si="5"/>
        <v>37123.761873893047</v>
      </c>
      <c r="C50" s="135">
        <f>IF(B50&gt;0.5,PMT(C37,B37,-(B43)),0)</f>
        <v>3810.5723472876107</v>
      </c>
      <c r="D50" s="135">
        <f>B50*C37</f>
        <v>1633.445522451294</v>
      </c>
      <c r="E50" s="135">
        <f t="shared" si="2"/>
        <v>2177.1268248363167</v>
      </c>
      <c r="F50" s="135">
        <f t="shared" si="3"/>
        <v>34946.635049056727</v>
      </c>
      <c r="G50" s="135">
        <f t="shared" si="8"/>
        <v>30484.578778300893</v>
      </c>
      <c r="H50" s="128">
        <f t="shared" si="9"/>
        <v>8</v>
      </c>
    </row>
    <row r="51" spans="1:8">
      <c r="A51" s="126">
        <f t="shared" si="7"/>
        <v>2022</v>
      </c>
      <c r="B51" s="136">
        <f t="shared" si="5"/>
        <v>34946.635049056727</v>
      </c>
      <c r="C51" s="136">
        <f>IF(B51&gt;0.5,PMT(C37,B37,-(B43)),0)</f>
        <v>3810.5723472876107</v>
      </c>
      <c r="D51" s="136">
        <f>B51*C37</f>
        <v>1537.651942158496</v>
      </c>
      <c r="E51" s="136">
        <f t="shared" si="2"/>
        <v>2272.9204051291144</v>
      </c>
      <c r="F51" s="136">
        <f t="shared" si="3"/>
        <v>32673.714643927611</v>
      </c>
      <c r="G51" s="136">
        <f t="shared" si="8"/>
        <v>34295.151125588505</v>
      </c>
      <c r="H51" s="137">
        <f t="shared" si="9"/>
        <v>9</v>
      </c>
    </row>
    <row r="52" spans="1:8">
      <c r="A52" s="126">
        <f t="shared" si="7"/>
        <v>2023</v>
      </c>
      <c r="B52" s="136">
        <f t="shared" si="5"/>
        <v>32673.714643927611</v>
      </c>
      <c r="C52" s="136">
        <f>IF(B52&gt;0.5,PMT(C37,B37,-(B43)),0)</f>
        <v>3810.5723472876107</v>
      </c>
      <c r="D52" s="136">
        <f>B52*C37</f>
        <v>1437.6434443328149</v>
      </c>
      <c r="E52" s="136">
        <f t="shared" si="2"/>
        <v>2372.9289029547958</v>
      </c>
      <c r="F52" s="136">
        <f t="shared" si="3"/>
        <v>30300.785740972817</v>
      </c>
      <c r="G52" s="136">
        <f t="shared" si="8"/>
        <v>38105.723472876118</v>
      </c>
      <c r="H52" s="137">
        <f t="shared" si="9"/>
        <v>10</v>
      </c>
    </row>
    <row r="53" spans="1:8">
      <c r="A53" s="126">
        <f t="shared" si="7"/>
        <v>2024</v>
      </c>
      <c r="B53" s="136">
        <f t="shared" si="5"/>
        <v>30300.785740972817</v>
      </c>
      <c r="C53" s="136">
        <f>IF(B53&gt;0.5,PMT(C37,B37,-(B43)),0)</f>
        <v>3810.5723472876107</v>
      </c>
      <c r="D53" s="136">
        <f>B53*C37</f>
        <v>1333.2345726028038</v>
      </c>
      <c r="E53" s="136">
        <f t="shared" si="2"/>
        <v>2477.3377746848068</v>
      </c>
      <c r="F53" s="136">
        <f t="shared" si="3"/>
        <v>27823.447966288011</v>
      </c>
      <c r="G53" s="136">
        <f t="shared" si="8"/>
        <v>41916.29582016373</v>
      </c>
      <c r="H53" s="137">
        <f t="shared" si="9"/>
        <v>11</v>
      </c>
    </row>
    <row r="54" spans="1:8">
      <c r="A54" s="126">
        <f t="shared" si="7"/>
        <v>2025</v>
      </c>
      <c r="B54" s="136">
        <f t="shared" si="5"/>
        <v>27823.447966288011</v>
      </c>
      <c r="C54" s="136">
        <f>IF(B54&gt;0.5,PMT(C37,B37,-(B43)),0)</f>
        <v>3810.5723472876107</v>
      </c>
      <c r="D54" s="136">
        <f>B54*C37</f>
        <v>1224.2317105166724</v>
      </c>
      <c r="E54" s="136">
        <f t="shared" si="2"/>
        <v>2586.3406367709385</v>
      </c>
      <c r="F54" s="136">
        <f t="shared" si="3"/>
        <v>25237.107329517072</v>
      </c>
      <c r="G54" s="136">
        <f t="shared" si="8"/>
        <v>45726.868167451343</v>
      </c>
      <c r="H54" s="137">
        <f t="shared" si="9"/>
        <v>12</v>
      </c>
    </row>
    <row r="55" spans="1:8">
      <c r="A55" s="126">
        <f t="shared" si="7"/>
        <v>2026</v>
      </c>
      <c r="B55" s="136">
        <f t="shared" si="5"/>
        <v>25237.107329517072</v>
      </c>
      <c r="C55" s="136">
        <f>IF(B55&gt;0.5,PMT(C37,B37,-(B43)),0)</f>
        <v>3810.5723472876107</v>
      </c>
      <c r="D55" s="136">
        <f>B55*C37</f>
        <v>1110.432722498751</v>
      </c>
      <c r="E55" s="136">
        <f t="shared" si="2"/>
        <v>2700.1396247888597</v>
      </c>
      <c r="F55" s="136">
        <f t="shared" si="3"/>
        <v>22536.967704728213</v>
      </c>
      <c r="G55" s="136">
        <f t="shared" si="8"/>
        <v>49537.440514738955</v>
      </c>
      <c r="H55" s="137">
        <f t="shared" si="9"/>
        <v>13</v>
      </c>
    </row>
    <row r="56" spans="1:8">
      <c r="A56" s="126">
        <f t="shared" si="7"/>
        <v>2027</v>
      </c>
      <c r="B56" s="135">
        <f t="shared" si="5"/>
        <v>22536.967704728213</v>
      </c>
      <c r="C56" s="135">
        <f>IF(B56&gt;0.5,PMT(C37,B37,-(B43)),0)</f>
        <v>3810.5723472876107</v>
      </c>
      <c r="D56" s="135">
        <f>B56*C37</f>
        <v>991.62657900804129</v>
      </c>
      <c r="E56" s="135">
        <f t="shared" si="2"/>
        <v>2818.9457682795692</v>
      </c>
      <c r="F56" s="135">
        <f t="shared" si="3"/>
        <v>19718.021936448644</v>
      </c>
      <c r="G56" s="135">
        <f t="shared" si="8"/>
        <v>53348.012862026568</v>
      </c>
      <c r="H56" s="128">
        <f t="shared" si="9"/>
        <v>14</v>
      </c>
    </row>
    <row r="57" spans="1:8">
      <c r="A57" s="126">
        <f t="shared" si="7"/>
        <v>2028</v>
      </c>
      <c r="B57" s="135">
        <f t="shared" si="5"/>
        <v>19718.021936448644</v>
      </c>
      <c r="C57" s="135">
        <f>IF(B57&gt;0.5,PMT(C37,B37,-(B43)),0)</f>
        <v>3810.5723472876107</v>
      </c>
      <c r="D57" s="135">
        <f>B57*C37</f>
        <v>867.59296520374028</v>
      </c>
      <c r="E57" s="135">
        <f t="shared" si="2"/>
        <v>2942.9793820838704</v>
      </c>
      <c r="F57" s="135">
        <f t="shared" si="3"/>
        <v>16775.042554364773</v>
      </c>
      <c r="G57" s="135">
        <f t="shared" si="8"/>
        <v>57158.58520931418</v>
      </c>
      <c r="H57" s="128">
        <f t="shared" si="9"/>
        <v>15</v>
      </c>
    </row>
    <row r="58" spans="1:8">
      <c r="A58" s="126">
        <f t="shared" si="7"/>
        <v>2029</v>
      </c>
      <c r="B58" s="135">
        <f t="shared" si="5"/>
        <v>16775.042554364773</v>
      </c>
      <c r="C58" s="135">
        <f>IF(B58&gt;0.5,PMT(C37,B37,-(B43)),0)</f>
        <v>3810.5723472876107</v>
      </c>
      <c r="D58" s="135">
        <f>B58*C37</f>
        <v>738.10187239204993</v>
      </c>
      <c r="E58" s="135">
        <f t="shared" si="2"/>
        <v>3072.470474895561</v>
      </c>
      <c r="F58" s="135">
        <f t="shared" si="3"/>
        <v>13702.572079469212</v>
      </c>
      <c r="G58" s="135">
        <f t="shared" si="8"/>
        <v>60969.157556601793</v>
      </c>
      <c r="H58" s="128">
        <f t="shared" si="9"/>
        <v>16</v>
      </c>
    </row>
    <row r="59" spans="1:8">
      <c r="A59" s="126">
        <f t="shared" si="7"/>
        <v>2030</v>
      </c>
      <c r="B59" s="135">
        <f t="shared" si="5"/>
        <v>13702.572079469212</v>
      </c>
      <c r="C59" s="135">
        <f>IF(B59&gt;0.5,PMT(C37,B37,-(B43)),0)</f>
        <v>3810.5723472876107</v>
      </c>
      <c r="D59" s="135">
        <f>B59*C37</f>
        <v>602.9131714966453</v>
      </c>
      <c r="E59" s="135">
        <f t="shared" si="2"/>
        <v>3207.6591757909655</v>
      </c>
      <c r="F59" s="135">
        <f t="shared" si="3"/>
        <v>10494.912903678247</v>
      </c>
      <c r="G59" s="135">
        <f t="shared" si="8"/>
        <v>64779.729903889405</v>
      </c>
      <c r="H59" s="128">
        <f t="shared" si="9"/>
        <v>17</v>
      </c>
    </row>
    <row r="60" spans="1:8">
      <c r="A60" s="126">
        <f t="shared" si="7"/>
        <v>2031</v>
      </c>
      <c r="B60" s="135">
        <f t="shared" si="5"/>
        <v>10494.912903678247</v>
      </c>
      <c r="C60" s="135">
        <f>IF(B60&gt;0.5,PMT(C37,B37,-(B43)),0)</f>
        <v>3810.5723472876107</v>
      </c>
      <c r="D60" s="135">
        <f>B60*C37</f>
        <v>461.77616776184283</v>
      </c>
      <c r="E60" s="135">
        <f t="shared" si="2"/>
        <v>3348.7961795257679</v>
      </c>
      <c r="F60" s="135">
        <f t="shared" si="3"/>
        <v>7146.116724152479</v>
      </c>
      <c r="G60" s="135">
        <f t="shared" si="8"/>
        <v>68590.30225117701</v>
      </c>
      <c r="H60" s="128">
        <f t="shared" si="9"/>
        <v>18</v>
      </c>
    </row>
    <row r="61" spans="1:8">
      <c r="A61" s="126">
        <f t="shared" si="7"/>
        <v>2032</v>
      </c>
      <c r="B61" s="135">
        <f t="shared" si="5"/>
        <v>7146.116724152479</v>
      </c>
      <c r="C61" s="135">
        <f>IF(B61&gt;0.5,PMT(C37,B37,-(B43)),0)</f>
        <v>3810.5723472876107</v>
      </c>
      <c r="D61" s="135">
        <f>B61*C37</f>
        <v>314.42913586270907</v>
      </c>
      <c r="E61" s="135">
        <f t="shared" si="2"/>
        <v>3496.1432114249014</v>
      </c>
      <c r="F61" s="135">
        <f t="shared" si="3"/>
        <v>3649.9735127275776</v>
      </c>
      <c r="G61" s="135">
        <f t="shared" si="8"/>
        <v>72400.874598464623</v>
      </c>
      <c r="H61" s="128">
        <f t="shared" si="9"/>
        <v>19</v>
      </c>
    </row>
    <row r="62" spans="1:8">
      <c r="A62" s="126">
        <f t="shared" si="7"/>
        <v>2033</v>
      </c>
      <c r="B62" s="135">
        <f t="shared" si="5"/>
        <v>3649.9735127275776</v>
      </c>
      <c r="C62" s="135">
        <f>IF(B62&gt;0.5,PMT(C37,B37,-(B43)),0)</f>
        <v>3810.5723472876107</v>
      </c>
      <c r="D62" s="135">
        <f>B62*C37</f>
        <v>160.59883456001342</v>
      </c>
      <c r="E62" s="135">
        <f t="shared" si="2"/>
        <v>3649.9735127275972</v>
      </c>
      <c r="F62" s="135">
        <f t="shared" si="3"/>
        <v>0</v>
      </c>
      <c r="G62" s="135">
        <f t="shared" si="8"/>
        <v>76211.446945752235</v>
      </c>
      <c r="H62" s="128">
        <f t="shared" si="9"/>
        <v>20</v>
      </c>
    </row>
    <row r="63" spans="1:8">
      <c r="A63" s="126">
        <f t="shared" si="7"/>
        <v>2034</v>
      </c>
      <c r="B63" s="135">
        <f>F62</f>
        <v>0</v>
      </c>
      <c r="C63" s="135">
        <f>IF(B63&gt;0.5,PMT(C37,B37,-(B43)),0)</f>
        <v>0</v>
      </c>
      <c r="D63" s="135">
        <f>B63*C37</f>
        <v>0</v>
      </c>
      <c r="E63" s="135">
        <f>C63-D63</f>
        <v>0</v>
      </c>
      <c r="F63" s="135">
        <f>IF(B63-E63&gt;0,B63-E63,0)</f>
        <v>0</v>
      </c>
      <c r="G63" s="135">
        <f>IF(B63&gt;0,C63+G62,0)</f>
        <v>0</v>
      </c>
      <c r="H63" s="128">
        <f t="shared" si="9"/>
        <v>21</v>
      </c>
    </row>
    <row r="64" spans="1:8">
      <c r="A64" s="126">
        <f t="shared" si="7"/>
        <v>2035</v>
      </c>
      <c r="B64" s="135">
        <f t="shared" ref="B64:B79" si="10">F63</f>
        <v>0</v>
      </c>
      <c r="C64" s="135">
        <f>IF(B64&gt;0.5,PMT(C37,B37,-(B43)),0)</f>
        <v>0</v>
      </c>
      <c r="D64" s="135">
        <f>B64*C37</f>
        <v>0</v>
      </c>
      <c r="E64" s="135">
        <f t="shared" ref="E64:E79" si="11">C64-D64</f>
        <v>0</v>
      </c>
      <c r="F64" s="135">
        <f t="shared" ref="F64:F79" si="12">IF(B64-E64&gt;0,B64-E64,0)</f>
        <v>0</v>
      </c>
      <c r="G64" s="135">
        <f t="shared" ref="G64:G79" si="13">IF(B64&gt;0,C64+G63,0)</f>
        <v>0</v>
      </c>
      <c r="H64" s="128">
        <f t="shared" si="9"/>
        <v>22</v>
      </c>
    </row>
    <row r="65" spans="1:8">
      <c r="A65" s="126">
        <f t="shared" si="7"/>
        <v>2036</v>
      </c>
      <c r="B65" s="135">
        <f t="shared" si="10"/>
        <v>0</v>
      </c>
      <c r="C65" s="135">
        <f>IF(B65&gt;0.5,PMT(C37,B37,-(B43)),0)</f>
        <v>0</v>
      </c>
      <c r="D65" s="135">
        <f>B65*C37</f>
        <v>0</v>
      </c>
      <c r="E65" s="135">
        <f t="shared" si="11"/>
        <v>0</v>
      </c>
      <c r="F65" s="135">
        <f t="shared" si="12"/>
        <v>0</v>
      </c>
      <c r="G65" s="135">
        <f t="shared" si="13"/>
        <v>0</v>
      </c>
      <c r="H65" s="128">
        <f t="shared" si="9"/>
        <v>23</v>
      </c>
    </row>
    <row r="66" spans="1:8">
      <c r="A66" s="126">
        <f t="shared" si="7"/>
        <v>2037</v>
      </c>
      <c r="B66" s="135">
        <f t="shared" si="10"/>
        <v>0</v>
      </c>
      <c r="C66" s="135">
        <f>IF(B66&gt;0.5,PMT(C37,B37,-(B43)),0)</f>
        <v>0</v>
      </c>
      <c r="D66" s="135">
        <f>B66*C37</f>
        <v>0</v>
      </c>
      <c r="E66" s="135">
        <f t="shared" si="11"/>
        <v>0</v>
      </c>
      <c r="F66" s="135">
        <f t="shared" si="12"/>
        <v>0</v>
      </c>
      <c r="G66" s="135">
        <f t="shared" si="13"/>
        <v>0</v>
      </c>
      <c r="H66" s="128">
        <f t="shared" si="9"/>
        <v>24</v>
      </c>
    </row>
    <row r="67" spans="1:8">
      <c r="A67" s="126">
        <f t="shared" si="7"/>
        <v>2038</v>
      </c>
      <c r="B67" s="135">
        <f t="shared" si="10"/>
        <v>0</v>
      </c>
      <c r="C67" s="135">
        <f>IF(B67&gt;0.5,PMT(C37,B37,-(B43)),0)</f>
        <v>0</v>
      </c>
      <c r="D67" s="135">
        <f>B67*C37</f>
        <v>0</v>
      </c>
      <c r="E67" s="135">
        <f t="shared" si="11"/>
        <v>0</v>
      </c>
      <c r="F67" s="135">
        <f t="shared" si="12"/>
        <v>0</v>
      </c>
      <c r="G67" s="135">
        <f t="shared" si="13"/>
        <v>0</v>
      </c>
      <c r="H67" s="128">
        <f t="shared" si="9"/>
        <v>25</v>
      </c>
    </row>
    <row r="68" spans="1:8">
      <c r="A68" s="126">
        <f t="shared" si="7"/>
        <v>2039</v>
      </c>
      <c r="B68" s="135">
        <f t="shared" si="10"/>
        <v>0</v>
      </c>
      <c r="C68" s="135">
        <f>IF(B68&gt;0.5,PMT(C37,B37,-(B43)),0)</f>
        <v>0</v>
      </c>
      <c r="D68" s="135">
        <f>B68*C37</f>
        <v>0</v>
      </c>
      <c r="E68" s="135">
        <f t="shared" si="11"/>
        <v>0</v>
      </c>
      <c r="F68" s="135">
        <f t="shared" si="12"/>
        <v>0</v>
      </c>
      <c r="G68" s="135">
        <f t="shared" si="13"/>
        <v>0</v>
      </c>
      <c r="H68" s="128">
        <f t="shared" si="9"/>
        <v>26</v>
      </c>
    </row>
    <row r="69" spans="1:8">
      <c r="A69" s="126">
        <f t="shared" si="7"/>
        <v>2040</v>
      </c>
      <c r="B69" s="135">
        <f t="shared" si="10"/>
        <v>0</v>
      </c>
      <c r="C69" s="135">
        <f>IF(B69&gt;0.5,PMT(C37,B37,-(B43)),0)</f>
        <v>0</v>
      </c>
      <c r="D69" s="135">
        <f>B69*C37</f>
        <v>0</v>
      </c>
      <c r="E69" s="135">
        <f t="shared" si="11"/>
        <v>0</v>
      </c>
      <c r="F69" s="135">
        <f t="shared" si="12"/>
        <v>0</v>
      </c>
      <c r="G69" s="135">
        <f t="shared" si="13"/>
        <v>0</v>
      </c>
      <c r="H69" s="128">
        <f t="shared" si="9"/>
        <v>27</v>
      </c>
    </row>
    <row r="70" spans="1:8">
      <c r="A70" s="126">
        <f t="shared" si="7"/>
        <v>2041</v>
      </c>
      <c r="B70" s="135">
        <f t="shared" si="10"/>
        <v>0</v>
      </c>
      <c r="C70" s="135">
        <f>IF(B70&gt;0.5,PMT(C37,B37,-(B43)),0)</f>
        <v>0</v>
      </c>
      <c r="D70" s="135">
        <f>B70*C37</f>
        <v>0</v>
      </c>
      <c r="E70" s="135">
        <f t="shared" si="11"/>
        <v>0</v>
      </c>
      <c r="F70" s="135">
        <f t="shared" si="12"/>
        <v>0</v>
      </c>
      <c r="G70" s="135">
        <f t="shared" si="13"/>
        <v>0</v>
      </c>
      <c r="H70" s="128">
        <f t="shared" si="9"/>
        <v>28</v>
      </c>
    </row>
    <row r="71" spans="1:8">
      <c r="A71" s="126">
        <f t="shared" si="7"/>
        <v>2042</v>
      </c>
      <c r="B71" s="135">
        <f t="shared" si="10"/>
        <v>0</v>
      </c>
      <c r="C71" s="135">
        <f>IF(B71&gt;0.5,PMT(C37,B37,-(B43)),0)</f>
        <v>0</v>
      </c>
      <c r="D71" s="135">
        <f>B71*C37</f>
        <v>0</v>
      </c>
      <c r="E71" s="135">
        <f t="shared" si="11"/>
        <v>0</v>
      </c>
      <c r="F71" s="135">
        <f t="shared" si="12"/>
        <v>0</v>
      </c>
      <c r="G71" s="135">
        <f t="shared" si="13"/>
        <v>0</v>
      </c>
      <c r="H71" s="128">
        <f t="shared" si="9"/>
        <v>29</v>
      </c>
    </row>
    <row r="72" spans="1:8">
      <c r="A72" s="126">
        <f t="shared" si="7"/>
        <v>2043</v>
      </c>
      <c r="B72" s="135">
        <f t="shared" si="10"/>
        <v>0</v>
      </c>
      <c r="C72" s="135">
        <f>IF(B72&gt;0.5,PMT(C37,B37,-(B43)),0)</f>
        <v>0</v>
      </c>
      <c r="D72" s="135">
        <f>B72*C37</f>
        <v>0</v>
      </c>
      <c r="E72" s="135">
        <f t="shared" si="11"/>
        <v>0</v>
      </c>
      <c r="F72" s="135">
        <f t="shared" si="12"/>
        <v>0</v>
      </c>
      <c r="G72" s="135">
        <f t="shared" si="13"/>
        <v>0</v>
      </c>
      <c r="H72" s="128">
        <f t="shared" si="9"/>
        <v>30</v>
      </c>
    </row>
    <row r="73" spans="1:8">
      <c r="A73" s="126">
        <f t="shared" si="7"/>
        <v>2044</v>
      </c>
      <c r="B73" s="135">
        <f t="shared" si="10"/>
        <v>0</v>
      </c>
      <c r="C73" s="135">
        <f>IF(B73&gt;0.5,PMT(C37,B37,-(B43)),0)</f>
        <v>0</v>
      </c>
      <c r="D73" s="135">
        <f>B73*C37</f>
        <v>0</v>
      </c>
      <c r="E73" s="135">
        <f t="shared" si="11"/>
        <v>0</v>
      </c>
      <c r="F73" s="135">
        <f t="shared" si="12"/>
        <v>0</v>
      </c>
      <c r="G73" s="135">
        <f t="shared" si="13"/>
        <v>0</v>
      </c>
      <c r="H73" s="128">
        <f t="shared" si="9"/>
        <v>31</v>
      </c>
    </row>
    <row r="74" spans="1:8">
      <c r="A74" s="126">
        <f t="shared" si="7"/>
        <v>2045</v>
      </c>
      <c r="B74" s="135">
        <f t="shared" si="10"/>
        <v>0</v>
      </c>
      <c r="C74" s="135">
        <f>IF(B74&gt;0.5,PMT(C37,B37,-(B43)),0)</f>
        <v>0</v>
      </c>
      <c r="D74" s="135">
        <f>B74*C37</f>
        <v>0</v>
      </c>
      <c r="E74" s="135">
        <f t="shared" si="11"/>
        <v>0</v>
      </c>
      <c r="F74" s="135">
        <f t="shared" si="12"/>
        <v>0</v>
      </c>
      <c r="G74" s="135">
        <f t="shared" si="13"/>
        <v>0</v>
      </c>
      <c r="H74" s="128">
        <f t="shared" si="9"/>
        <v>32</v>
      </c>
    </row>
    <row r="75" spans="1:8">
      <c r="A75" s="126">
        <f t="shared" si="7"/>
        <v>2046</v>
      </c>
      <c r="B75" s="135">
        <f t="shared" si="10"/>
        <v>0</v>
      </c>
      <c r="C75" s="135">
        <f>IF(B75&gt;0.5,PMT(C37,B37,-(B43)),0)</f>
        <v>0</v>
      </c>
      <c r="D75" s="135">
        <f>B75*C37</f>
        <v>0</v>
      </c>
      <c r="E75" s="135">
        <f t="shared" si="11"/>
        <v>0</v>
      </c>
      <c r="F75" s="135">
        <f t="shared" si="12"/>
        <v>0</v>
      </c>
      <c r="G75" s="135">
        <f t="shared" si="13"/>
        <v>0</v>
      </c>
      <c r="H75" s="128">
        <f t="shared" si="9"/>
        <v>33</v>
      </c>
    </row>
    <row r="76" spans="1:8">
      <c r="A76" s="126">
        <f t="shared" si="7"/>
        <v>2047</v>
      </c>
      <c r="B76" s="135">
        <f t="shared" si="10"/>
        <v>0</v>
      </c>
      <c r="C76" s="135">
        <f>IF(B76&gt;0.5,PMT(C37,B37,-(B43)),0)</f>
        <v>0</v>
      </c>
      <c r="D76" s="135">
        <f>B76*C37</f>
        <v>0</v>
      </c>
      <c r="E76" s="135">
        <f t="shared" si="11"/>
        <v>0</v>
      </c>
      <c r="F76" s="135">
        <f t="shared" si="12"/>
        <v>0</v>
      </c>
      <c r="G76" s="135">
        <f t="shared" si="13"/>
        <v>0</v>
      </c>
      <c r="H76" s="128">
        <f t="shared" si="9"/>
        <v>34</v>
      </c>
    </row>
    <row r="77" spans="1:8">
      <c r="A77" s="126">
        <f t="shared" si="7"/>
        <v>2048</v>
      </c>
      <c r="B77" s="135">
        <f t="shared" si="10"/>
        <v>0</v>
      </c>
      <c r="C77" s="135">
        <f>IF(B77&gt;0.5,PMT(C37,B37,-(B43)),0)</f>
        <v>0</v>
      </c>
      <c r="D77" s="135">
        <f>B77*C37</f>
        <v>0</v>
      </c>
      <c r="E77" s="135">
        <f t="shared" si="11"/>
        <v>0</v>
      </c>
      <c r="F77" s="135">
        <f t="shared" si="12"/>
        <v>0</v>
      </c>
      <c r="G77" s="135">
        <f t="shared" si="13"/>
        <v>0</v>
      </c>
      <c r="H77" s="128">
        <f t="shared" si="9"/>
        <v>35</v>
      </c>
    </row>
    <row r="78" spans="1:8">
      <c r="A78" s="126">
        <f t="shared" si="7"/>
        <v>2049</v>
      </c>
      <c r="B78" s="135">
        <f t="shared" si="10"/>
        <v>0</v>
      </c>
      <c r="C78" s="135">
        <f>IF(B78&gt;0.5,PMT(C37,B37,-(B43)),0)</f>
        <v>0</v>
      </c>
      <c r="D78" s="135">
        <f>B78*C37</f>
        <v>0</v>
      </c>
      <c r="E78" s="135">
        <f t="shared" si="11"/>
        <v>0</v>
      </c>
      <c r="F78" s="135">
        <f t="shared" si="12"/>
        <v>0</v>
      </c>
      <c r="G78" s="135">
        <f t="shared" si="13"/>
        <v>0</v>
      </c>
      <c r="H78" s="128">
        <f t="shared" si="9"/>
        <v>36</v>
      </c>
    </row>
    <row r="79" spans="1:8">
      <c r="A79" s="126">
        <f t="shared" si="7"/>
        <v>2050</v>
      </c>
      <c r="B79" s="135">
        <f t="shared" si="10"/>
        <v>0</v>
      </c>
      <c r="C79" s="135">
        <f>IF(B79&gt;0.5,PMT(C37,B37,-(B43)),0)</f>
        <v>0</v>
      </c>
      <c r="D79" s="135">
        <f>B79*C37</f>
        <v>0</v>
      </c>
      <c r="E79" s="135">
        <f t="shared" si="11"/>
        <v>0</v>
      </c>
      <c r="F79" s="135">
        <f t="shared" si="12"/>
        <v>0</v>
      </c>
      <c r="G79" s="135">
        <f t="shared" si="13"/>
        <v>0</v>
      </c>
      <c r="H79" s="128">
        <f t="shared" si="9"/>
        <v>37</v>
      </c>
    </row>
    <row r="80" spans="1:8">
      <c r="A80" s="126">
        <f>1+A79</f>
        <v>2051</v>
      </c>
      <c r="B80" s="135">
        <f>F79</f>
        <v>0</v>
      </c>
      <c r="C80" s="135">
        <f>IF(B80&gt;0.5,PMT(C37,B37,-(B43)),0)</f>
        <v>0</v>
      </c>
      <c r="D80" s="135">
        <f>B80*C37</f>
        <v>0</v>
      </c>
      <c r="E80" s="135">
        <f>C80-D80</f>
        <v>0</v>
      </c>
      <c r="F80" s="135">
        <f>IF(B80-E80&gt;0,B80-E80,0)</f>
        <v>0</v>
      </c>
      <c r="G80" s="135">
        <f>IF(B80&gt;0,C80+G79,0)</f>
        <v>0</v>
      </c>
      <c r="H80" s="128">
        <f>1+H79</f>
        <v>38</v>
      </c>
    </row>
    <row r="81" spans="1:8">
      <c r="A81" s="126">
        <f>1+A80</f>
        <v>2052</v>
      </c>
      <c r="B81" s="135">
        <f>F80</f>
        <v>0</v>
      </c>
      <c r="C81" s="135">
        <f>IF(B81&gt;0.5,PMT(C37,B37,-(B43)),0)</f>
        <v>0</v>
      </c>
      <c r="D81" s="135">
        <f>B81*C37</f>
        <v>0</v>
      </c>
      <c r="E81" s="135">
        <f>C81-D81</f>
        <v>0</v>
      </c>
      <c r="F81" s="135">
        <f>IF(B81-E81&gt;0,B81-E81,0)</f>
        <v>0</v>
      </c>
      <c r="G81" s="135">
        <f>IF(B81&gt;0,C81+G80,0)</f>
        <v>0</v>
      </c>
      <c r="H81" s="128">
        <f>1+H80</f>
        <v>39</v>
      </c>
    </row>
    <row r="82" spans="1:8" ht="15" thickBot="1">
      <c r="A82" s="138">
        <f>1+A81</f>
        <v>2053</v>
      </c>
      <c r="B82" s="139">
        <f>F81</f>
        <v>0</v>
      </c>
      <c r="C82" s="139">
        <f>IF(B82&gt;0.5,PMT(C37,B37,-(B43)),0)</f>
        <v>0</v>
      </c>
      <c r="D82" s="139">
        <f>B82*C37</f>
        <v>0</v>
      </c>
      <c r="E82" s="139">
        <f>C82-D82</f>
        <v>0</v>
      </c>
      <c r="F82" s="139">
        <f>IF(B82-E82&gt;0,B82-E82,0)</f>
        <v>0</v>
      </c>
      <c r="G82" s="139">
        <f>IF(B82&gt;0,C82+G81,0)</f>
        <v>0</v>
      </c>
      <c r="H82" s="131">
        <f>1+H81</f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5CA68-979B-4CE6-8117-557C55428DAD}">
  <dimension ref="A1:M26"/>
  <sheetViews>
    <sheetView workbookViewId="0">
      <selection activeCell="F28" sqref="F28"/>
    </sheetView>
  </sheetViews>
  <sheetFormatPr defaultRowHeight="14.5"/>
  <cols>
    <col min="1" max="1" width="57.26953125" customWidth="1"/>
    <col min="2" max="2" width="12.36328125" customWidth="1"/>
    <col min="3" max="3" width="10.90625" customWidth="1"/>
    <col min="4" max="4" width="11" customWidth="1"/>
    <col min="5" max="5" width="10.453125" customWidth="1"/>
    <col min="6" max="6" width="13.08984375" customWidth="1"/>
  </cols>
  <sheetData>
    <row r="1" spans="1:13" ht="15" thickBot="1">
      <c r="A1" s="141"/>
      <c r="B1" s="142" t="s">
        <v>234</v>
      </c>
      <c r="C1" s="141" t="s">
        <v>235</v>
      </c>
      <c r="D1" s="141" t="s">
        <v>236</v>
      </c>
      <c r="E1" s="141" t="s">
        <v>237</v>
      </c>
      <c r="F1" s="141" t="s">
        <v>238</v>
      </c>
      <c r="G1" s="141"/>
      <c r="H1" s="141"/>
      <c r="I1" s="141"/>
      <c r="J1" s="141"/>
      <c r="K1" s="141"/>
      <c r="L1" s="143"/>
      <c r="M1" s="143"/>
    </row>
    <row r="2" spans="1:13" ht="15" thickTop="1">
      <c r="A2" s="143" t="s">
        <v>239</v>
      </c>
      <c r="B2" s="144">
        <f ca="1">'Model - Econ Data'!B242</f>
        <v>854907.54660574254</v>
      </c>
      <c r="C2" s="144">
        <f ca="1">'Model - Econ Data'!C242</f>
        <v>950523.18648650125</v>
      </c>
      <c r="D2" s="144">
        <f ca="1">'Model - Econ Data'!D242</f>
        <v>221782.7843434168</v>
      </c>
      <c r="E2" s="144">
        <f ca="1">'Model - Econ Data'!E242</f>
        <v>522559.21311687119</v>
      </c>
      <c r="F2" s="144">
        <f ca="1">'Model - Econ Data'!F242</f>
        <v>1060394.3588220049</v>
      </c>
      <c r="G2" s="144"/>
      <c r="H2" s="144"/>
      <c r="I2" s="144"/>
      <c r="J2" s="144"/>
      <c r="K2" s="144"/>
      <c r="L2" s="143"/>
      <c r="M2" s="143"/>
    </row>
    <row r="3" spans="1:13">
      <c r="A3" s="143" t="s">
        <v>31</v>
      </c>
      <c r="B3" s="144">
        <f>'Model - Econ Data'!B247</f>
        <v>1000</v>
      </c>
      <c r="C3" s="144">
        <f ca="1">'Model - Econ Data'!C247</f>
        <v>12043.42257077164</v>
      </c>
      <c r="D3" s="144">
        <f ca="1">'Model - Econ Data'!D247</f>
        <v>24480.671080373642</v>
      </c>
      <c r="E3" s="144">
        <f ca="1">'Model - Econ Data'!E247</f>
        <v>27442.820740548312</v>
      </c>
      <c r="F3" s="144">
        <f ca="1">'Model - Econ Data'!F247</f>
        <v>34395.278627966771</v>
      </c>
      <c r="G3" s="144"/>
      <c r="H3" s="144"/>
      <c r="I3" s="144"/>
      <c r="J3" s="144"/>
      <c r="K3" s="144"/>
      <c r="L3" s="143"/>
      <c r="M3" s="143"/>
    </row>
    <row r="4" spans="1:13">
      <c r="A4" s="143" t="s">
        <v>240</v>
      </c>
      <c r="B4" s="144">
        <f>'Model - Econ Data'!B14</f>
        <v>25000</v>
      </c>
      <c r="C4" s="144">
        <f>'Model - Econ Data'!B14</f>
        <v>25000</v>
      </c>
      <c r="D4" s="144">
        <f>'Model - Econ Data'!B14</f>
        <v>25000</v>
      </c>
      <c r="E4" s="144">
        <f>'Model - Econ Data'!B14</f>
        <v>25000</v>
      </c>
      <c r="F4" s="144">
        <f>'Model - Econ Data'!B14</f>
        <v>25000</v>
      </c>
      <c r="G4" s="144"/>
      <c r="H4" s="144"/>
      <c r="I4" s="144"/>
      <c r="J4" s="144"/>
      <c r="K4" s="144"/>
      <c r="L4" s="143"/>
      <c r="M4" s="143"/>
    </row>
    <row r="5" spans="1:13">
      <c r="A5" s="143" t="s">
        <v>241</v>
      </c>
      <c r="B5" s="144"/>
      <c r="C5" s="144"/>
      <c r="D5" s="144"/>
      <c r="E5" s="144"/>
      <c r="F5" s="144"/>
      <c r="G5" s="144"/>
      <c r="H5" s="144"/>
      <c r="I5" s="144"/>
      <c r="J5" s="144"/>
      <c r="K5" s="144"/>
      <c r="L5" s="143"/>
      <c r="M5" s="143"/>
    </row>
    <row r="6" spans="1:13">
      <c r="A6" s="145" t="s">
        <v>242</v>
      </c>
      <c r="B6" s="145">
        <f ca="1">B2+B3-B4-B5</f>
        <v>830907.54660574254</v>
      </c>
      <c r="C6" s="145">
        <f t="shared" ref="C6:F6" ca="1" si="0">C2+C3-C4-C5</f>
        <v>937566.6090572729</v>
      </c>
      <c r="D6" s="145">
        <f t="shared" ca="1" si="0"/>
        <v>221263.45542379044</v>
      </c>
      <c r="E6" s="145">
        <f t="shared" ca="1" si="0"/>
        <v>525002.0338574195</v>
      </c>
      <c r="F6" s="145">
        <f t="shared" ca="1" si="0"/>
        <v>1069789.6374499716</v>
      </c>
      <c r="G6" s="145"/>
      <c r="H6" s="145"/>
      <c r="I6" s="145"/>
      <c r="J6" s="145"/>
      <c r="K6" s="145"/>
      <c r="L6" s="145"/>
      <c r="M6" s="145"/>
    </row>
    <row r="7" spans="1:13" ht="15" thickBot="1">
      <c r="A7" s="143"/>
      <c r="B7" s="143"/>
      <c r="C7" s="143"/>
      <c r="D7" s="143"/>
      <c r="E7" s="145"/>
      <c r="F7" s="145"/>
      <c r="G7" s="145"/>
      <c r="H7" s="145"/>
      <c r="I7" s="145"/>
      <c r="J7" s="142"/>
      <c r="K7" s="142"/>
      <c r="L7" s="143"/>
      <c r="M7" s="143"/>
    </row>
    <row r="8" spans="1:13" ht="15" thickTop="1">
      <c r="A8" s="146"/>
      <c r="B8" s="146"/>
      <c r="C8" s="146"/>
      <c r="D8" s="146"/>
      <c r="E8" s="146"/>
      <c r="F8" s="146"/>
      <c r="G8" s="146"/>
      <c r="H8" s="146"/>
      <c r="I8" s="146"/>
      <c r="J8" s="143"/>
      <c r="K8" s="143"/>
      <c r="L8" s="143"/>
      <c r="M8" s="143"/>
    </row>
    <row r="9" spans="1:13">
      <c r="A9" s="147" t="s">
        <v>243</v>
      </c>
      <c r="B9" s="143"/>
      <c r="C9" s="143"/>
      <c r="D9" s="143"/>
      <c r="E9" s="143"/>
      <c r="F9" s="143"/>
      <c r="G9" s="143"/>
      <c r="H9" s="143"/>
      <c r="I9" s="143"/>
      <c r="J9" s="143"/>
      <c r="K9" s="143"/>
      <c r="L9" s="143"/>
      <c r="M9" s="143"/>
    </row>
    <row r="10" spans="1:13">
      <c r="A10" s="147" t="s">
        <v>244</v>
      </c>
      <c r="B10" s="143"/>
      <c r="C10" s="143"/>
      <c r="D10" s="143"/>
      <c r="E10" s="143"/>
      <c r="F10" s="143"/>
      <c r="G10" s="143"/>
      <c r="H10" s="143"/>
      <c r="I10" s="143"/>
      <c r="J10" s="143"/>
      <c r="K10" s="143"/>
      <c r="L10" s="143"/>
      <c r="M10" s="143"/>
    </row>
    <row r="11" spans="1:13">
      <c r="A11" s="143" t="s">
        <v>245</v>
      </c>
      <c r="B11" s="143" t="s">
        <v>246</v>
      </c>
      <c r="C11" s="143" t="s">
        <v>247</v>
      </c>
      <c r="D11" s="143" t="s">
        <v>248</v>
      </c>
      <c r="E11" s="143"/>
      <c r="F11" s="143"/>
      <c r="G11" s="143"/>
      <c r="H11" s="143"/>
      <c r="I11" s="143"/>
      <c r="J11" s="143"/>
      <c r="K11" s="143"/>
      <c r="L11" s="143"/>
      <c r="M11" s="143"/>
    </row>
    <row r="12" spans="1:13" ht="15" thickBot="1">
      <c r="A12" s="141" t="s">
        <v>249</v>
      </c>
      <c r="B12" s="141" t="s">
        <v>250</v>
      </c>
      <c r="C12" s="141" t="s">
        <v>251</v>
      </c>
      <c r="D12" s="141" t="s">
        <v>252</v>
      </c>
      <c r="E12" s="143"/>
      <c r="F12" s="143"/>
      <c r="G12" s="143"/>
      <c r="H12" s="143"/>
      <c r="I12" s="143"/>
      <c r="J12" s="143"/>
      <c r="K12" s="143"/>
      <c r="L12" s="143"/>
      <c r="M12" s="143"/>
    </row>
    <row r="13" spans="1:13" ht="15" thickTop="1">
      <c r="A13" s="148">
        <v>0</v>
      </c>
      <c r="B13" s="148">
        <v>50000</v>
      </c>
      <c r="C13" s="149">
        <v>0</v>
      </c>
      <c r="D13" s="147">
        <v>0.15</v>
      </c>
      <c r="E13" s="145"/>
      <c r="F13" s="145"/>
      <c r="G13" s="145"/>
      <c r="H13" s="143"/>
      <c r="I13" s="143"/>
      <c r="J13" s="143"/>
      <c r="K13" s="143"/>
      <c r="L13" s="143"/>
      <c r="M13" s="143"/>
    </row>
    <row r="14" spans="1:13">
      <c r="A14" s="148">
        <v>50000</v>
      </c>
      <c r="B14" s="148">
        <v>75000</v>
      </c>
      <c r="C14" s="150">
        <v>7500</v>
      </c>
      <c r="D14" s="147">
        <v>0.25</v>
      </c>
      <c r="E14" s="145"/>
      <c r="F14" s="145"/>
      <c r="G14" s="145"/>
      <c r="H14" s="143"/>
      <c r="I14" s="143"/>
      <c r="J14" s="143"/>
      <c r="K14" s="143"/>
      <c r="L14" s="143"/>
      <c r="M14" s="143"/>
    </row>
    <row r="15" spans="1:13">
      <c r="A15" s="148">
        <v>75000</v>
      </c>
      <c r="B15" s="148">
        <v>10000000</v>
      </c>
      <c r="C15" s="150">
        <v>13750</v>
      </c>
      <c r="D15" s="147">
        <v>0.34</v>
      </c>
      <c r="E15" s="145"/>
      <c r="F15" s="145"/>
      <c r="G15" s="145"/>
      <c r="H15" s="143"/>
      <c r="I15" s="143"/>
      <c r="J15" s="143"/>
      <c r="K15" s="143"/>
      <c r="L15" s="143"/>
      <c r="M15" s="143"/>
    </row>
    <row r="16" spans="1:13" ht="15" thickBot="1">
      <c r="A16" s="151">
        <f>B15</f>
        <v>10000000</v>
      </c>
      <c r="B16" s="151">
        <v>1000000000</v>
      </c>
      <c r="C16" s="152">
        <v>388250</v>
      </c>
      <c r="D16" s="153">
        <v>0.35</v>
      </c>
      <c r="E16" s="145"/>
      <c r="F16" s="145"/>
      <c r="G16" s="145"/>
      <c r="H16" s="143"/>
      <c r="I16" s="143"/>
      <c r="J16" s="143"/>
      <c r="K16" s="143"/>
      <c r="L16" s="143"/>
      <c r="M16" s="143"/>
    </row>
    <row r="17" spans="1:13">
      <c r="A17" s="148"/>
      <c r="B17" s="148"/>
      <c r="C17" s="150"/>
      <c r="D17" s="147"/>
      <c r="E17" s="145"/>
      <c r="F17" s="145"/>
      <c r="G17" s="145"/>
      <c r="H17" s="143"/>
      <c r="I17" s="143"/>
      <c r="J17" s="143"/>
      <c r="K17" s="143"/>
      <c r="L17" s="143"/>
      <c r="M17" s="143"/>
    </row>
    <row r="18" spans="1:13">
      <c r="A18" s="154" t="s">
        <v>253</v>
      </c>
      <c r="B18" s="148"/>
      <c r="C18" s="150"/>
      <c r="D18" s="147"/>
      <c r="E18" s="143"/>
      <c r="F18" s="155"/>
      <c r="G18" s="143"/>
      <c r="H18" s="143"/>
      <c r="I18" s="143"/>
      <c r="J18" s="143"/>
      <c r="K18" s="143"/>
      <c r="L18" s="143"/>
      <c r="M18" s="143"/>
    </row>
    <row r="19" spans="1:13">
      <c r="A19" s="156"/>
      <c r="B19" s="156"/>
      <c r="C19" s="156"/>
      <c r="D19" s="157" t="s">
        <v>254</v>
      </c>
      <c r="E19" s="157" t="s">
        <v>254</v>
      </c>
      <c r="F19" s="157" t="s">
        <v>254</v>
      </c>
      <c r="G19" s="157" t="s">
        <v>254</v>
      </c>
      <c r="H19" s="157" t="s">
        <v>254</v>
      </c>
      <c r="I19" s="157" t="s">
        <v>254</v>
      </c>
      <c r="J19" s="157" t="s">
        <v>254</v>
      </c>
      <c r="K19" s="157" t="s">
        <v>254</v>
      </c>
      <c r="L19" s="157" t="s">
        <v>254</v>
      </c>
      <c r="M19" s="157" t="s">
        <v>254</v>
      </c>
    </row>
    <row r="20" spans="1:13" ht="15" thickBot="1">
      <c r="A20" s="143"/>
      <c r="B20" s="158"/>
      <c r="C20" s="158"/>
      <c r="D20" s="159" t="str">
        <f t="shared" ref="D20:H20" si="1">B1</f>
        <v>Year 1</v>
      </c>
      <c r="E20" s="159" t="str">
        <f t="shared" si="1"/>
        <v>Year 2</v>
      </c>
      <c r="F20" s="159" t="str">
        <f t="shared" si="1"/>
        <v>Year 3</v>
      </c>
      <c r="G20" s="159" t="str">
        <f t="shared" si="1"/>
        <v>Year 4</v>
      </c>
      <c r="H20" s="159" t="str">
        <f t="shared" si="1"/>
        <v>Year 5</v>
      </c>
      <c r="I20" s="159"/>
      <c r="J20" s="159"/>
      <c r="K20" s="159"/>
      <c r="L20" s="159"/>
      <c r="M20" s="159"/>
    </row>
    <row r="21" spans="1:13" ht="15" thickTop="1">
      <c r="A21" s="143"/>
      <c r="B21" s="143" t="str">
        <f ca="1">_xll.VFORMULA(D21)</f>
        <v>=IF(B6&gt;0,B6,0)</v>
      </c>
      <c r="C21" s="160" t="s">
        <v>242</v>
      </c>
      <c r="D21" s="145">
        <f t="shared" ref="D21:H21" ca="1" si="2">IF(B6&gt;0,B6,0)</f>
        <v>830907.54660574254</v>
      </c>
      <c r="E21" s="145">
        <f t="shared" ca="1" si="2"/>
        <v>937566.6090572729</v>
      </c>
      <c r="F21" s="145">
        <f t="shared" ca="1" si="2"/>
        <v>221263.45542379044</v>
      </c>
      <c r="G21" s="145">
        <f t="shared" ca="1" si="2"/>
        <v>525002.0338574195</v>
      </c>
      <c r="H21" s="145">
        <f t="shared" ca="1" si="2"/>
        <v>1069789.6374499716</v>
      </c>
      <c r="I21" s="145"/>
      <c r="J21" s="145"/>
      <c r="K21" s="145"/>
      <c r="L21" s="145"/>
      <c r="M21" s="145"/>
    </row>
    <row r="22" spans="1:13">
      <c r="A22" s="155"/>
      <c r="B22" s="143" t="str">
        <f ca="1">_xll.VFORMULA(D22)</f>
        <v>=VLOOKUP(D21,A13:D16,1)</v>
      </c>
      <c r="C22" s="160" t="s">
        <v>255</v>
      </c>
      <c r="D22" s="145">
        <f ca="1">VLOOKUP(D21,A13:D16,1)</f>
        <v>75000</v>
      </c>
      <c r="E22" s="145">
        <f ca="1">VLOOKUP(E21,A13:D16,1)</f>
        <v>75000</v>
      </c>
      <c r="F22" s="145">
        <f ca="1">VLOOKUP(F21,A13:D16,1)</f>
        <v>75000</v>
      </c>
      <c r="G22" s="145">
        <f ca="1">VLOOKUP(G21,A13:D16,1)</f>
        <v>75000</v>
      </c>
      <c r="H22" s="145">
        <f ca="1">VLOOKUP(H21,A13:D16,1)</f>
        <v>75000</v>
      </c>
      <c r="I22" s="145"/>
      <c r="J22" s="145"/>
      <c r="K22" s="145"/>
      <c r="L22" s="145"/>
      <c r="M22" s="145"/>
    </row>
    <row r="23" spans="1:13">
      <c r="A23" s="155"/>
      <c r="B23" s="143" t="str">
        <f ca="1">_xll.VFORMULA(D23)</f>
        <v>=VLOOKUP(D21,A13:D16,3)</v>
      </c>
      <c r="C23" s="160" t="s">
        <v>256</v>
      </c>
      <c r="D23" s="145">
        <f ca="1">VLOOKUP(D21,A13:D16,3)</f>
        <v>13750</v>
      </c>
      <c r="E23" s="145">
        <f ca="1">VLOOKUP(E21,A13:D16,3)</f>
        <v>13750</v>
      </c>
      <c r="F23" s="145">
        <f ca="1">VLOOKUP(F21,A13:D16,3)</f>
        <v>13750</v>
      </c>
      <c r="G23" s="145">
        <f ca="1">VLOOKUP(G21,A13:D16,3)</f>
        <v>13750</v>
      </c>
      <c r="H23" s="145">
        <f ca="1">VLOOKUP(H21,A13:D16,3)</f>
        <v>13750</v>
      </c>
      <c r="I23" s="145"/>
      <c r="J23" s="145"/>
      <c r="K23" s="145"/>
      <c r="L23" s="145"/>
      <c r="M23" s="145"/>
    </row>
    <row r="24" spans="1:13">
      <c r="A24" s="155" t="s">
        <v>257</v>
      </c>
      <c r="B24" s="143" t="str">
        <f ca="1">_xll.VFORMULA(D24)</f>
        <v>=VLOOKUP(D21,A13:D16,4)</v>
      </c>
      <c r="C24" s="160" t="s">
        <v>258</v>
      </c>
      <c r="D24" s="161">
        <f ca="1">VLOOKUP(D21,A13:D16,4)</f>
        <v>0.34</v>
      </c>
      <c r="E24" s="161">
        <f ca="1">VLOOKUP(E21,A13:D16,4)</f>
        <v>0.34</v>
      </c>
      <c r="F24" s="161">
        <f ca="1">VLOOKUP(F21,A13:D16,4)</f>
        <v>0.34</v>
      </c>
      <c r="G24" s="161">
        <f ca="1">VLOOKUP(G21,A13:D16,4)</f>
        <v>0.34</v>
      </c>
      <c r="H24" s="161">
        <f ca="1">VLOOKUP(H21,A13:D16,4)</f>
        <v>0.34</v>
      </c>
      <c r="I24" s="161"/>
      <c r="J24" s="161"/>
      <c r="K24" s="161"/>
      <c r="L24" s="161"/>
      <c r="M24" s="161"/>
    </row>
    <row r="25" spans="1:13" ht="15" thickBot="1">
      <c r="A25" s="162" t="s">
        <v>259</v>
      </c>
      <c r="B25" s="142" t="str">
        <f ca="1">_xll.VFORMULA(D25)</f>
        <v>=D23+(D21-D22)*D24</v>
      </c>
      <c r="C25" s="162" t="s">
        <v>260</v>
      </c>
      <c r="D25" s="162">
        <f ca="1">D23+(D21-D22)*D24</f>
        <v>270758.56584595249</v>
      </c>
      <c r="E25" s="162">
        <f t="shared" ref="E25:H25" ca="1" si="3">E23+(E21-E22)*E24</f>
        <v>307022.64707947278</v>
      </c>
      <c r="F25" s="162">
        <f t="shared" ca="1" si="3"/>
        <v>63479.574844088755</v>
      </c>
      <c r="G25" s="162">
        <f t="shared" ca="1" si="3"/>
        <v>166750.69151152263</v>
      </c>
      <c r="H25" s="162">
        <f t="shared" ca="1" si="3"/>
        <v>351978.47673299036</v>
      </c>
      <c r="I25" s="162"/>
      <c r="J25" s="162"/>
      <c r="K25" s="162"/>
      <c r="L25" s="162"/>
      <c r="M25" s="162"/>
    </row>
    <row r="26" spans="1:13" ht="15" thickTop="1">
      <c r="A26" s="143"/>
      <c r="B26" s="143"/>
      <c r="C26" s="143"/>
      <c r="D26" s="143"/>
      <c r="E26" s="143"/>
      <c r="F26" s="143"/>
      <c r="G26" s="143"/>
      <c r="H26" s="143"/>
      <c r="I26" s="143"/>
      <c r="J26" s="143"/>
      <c r="K26" s="143"/>
      <c r="L26" s="143"/>
      <c r="M26" s="14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F9DCB-C5A2-48E0-80CA-432D4ECA8F50}">
  <sheetPr>
    <tabColor theme="5" tint="0.39997558519241921"/>
  </sheetPr>
  <dimension ref="A1:H508"/>
  <sheetViews>
    <sheetView workbookViewId="0">
      <selection activeCell="J19" sqref="J19"/>
    </sheetView>
  </sheetViews>
  <sheetFormatPr defaultRowHeight="14.5"/>
  <cols>
    <col min="1" max="1" width="10.90625" bestFit="1" customWidth="1"/>
    <col min="2" max="2" width="12.54296875" customWidth="1"/>
    <col min="4" max="4" width="10.1796875" customWidth="1"/>
  </cols>
  <sheetData>
    <row r="1" spans="1:8">
      <c r="A1" s="99" t="s">
        <v>270</v>
      </c>
      <c r="B1" s="122" t="s">
        <v>281</v>
      </c>
      <c r="D1" s="122" t="s">
        <v>280</v>
      </c>
    </row>
    <row r="2" spans="1:8">
      <c r="A2" s="3" t="s">
        <v>271</v>
      </c>
      <c r="B2" s="5">
        <f t="shared" ref="B2:D2" si="0">AVERAGE(B9:B508)</f>
        <v>2083952.3806542137</v>
      </c>
      <c r="D2" s="5">
        <f t="shared" si="0"/>
        <v>816473.39280912234</v>
      </c>
    </row>
    <row r="3" spans="1:8">
      <c r="A3" s="3" t="s">
        <v>272</v>
      </c>
      <c r="B3" s="1">
        <f t="shared" ref="B3:D3" si="1">STDEV(B9:B508)</f>
        <v>398320.33009844157</v>
      </c>
      <c r="D3" s="1">
        <f t="shared" si="1"/>
        <v>295225.92016210017</v>
      </c>
    </row>
    <row r="4" spans="1:8">
      <c r="A4" s="3" t="s">
        <v>273</v>
      </c>
      <c r="B4" s="75">
        <f t="shared" ref="B4:D4" si="2">100*B3/B2</f>
        <v>19.113696349117014</v>
      </c>
      <c r="D4" s="75">
        <f t="shared" si="2"/>
        <v>36.158670051250404</v>
      </c>
    </row>
    <row r="5" spans="1:8">
      <c r="A5" s="3" t="s">
        <v>274</v>
      </c>
      <c r="B5" s="5">
        <f t="shared" ref="B5:D5" si="3">MIN(B9:B508)</f>
        <v>807715.28337301966</v>
      </c>
      <c r="D5" s="5">
        <f t="shared" si="3"/>
        <v>169962.96152681159</v>
      </c>
    </row>
    <row r="6" spans="1:8">
      <c r="A6" s="3" t="s">
        <v>275</v>
      </c>
      <c r="B6" s="5">
        <f t="shared" ref="B6:D6" si="4">MAX(B9:B508)</f>
        <v>3310572.304714351</v>
      </c>
      <c r="D6" s="5">
        <f t="shared" si="4"/>
        <v>1697600.2423861837</v>
      </c>
    </row>
    <row r="7" spans="1:8">
      <c r="B7" s="5"/>
      <c r="D7" s="5"/>
    </row>
    <row r="8" spans="1:8">
      <c r="A8" s="99" t="s">
        <v>282</v>
      </c>
      <c r="B8" s="119" t="s">
        <v>281</v>
      </c>
      <c r="D8" s="122" t="s">
        <v>280</v>
      </c>
    </row>
    <row r="9" spans="1:8">
      <c r="A9">
        <v>1</v>
      </c>
      <c r="B9" s="1">
        <v>1977301.6985362615</v>
      </c>
      <c r="D9" s="1">
        <v>682074.34956928343</v>
      </c>
    </row>
    <row r="10" spans="1:8">
      <c r="A10">
        <v>2</v>
      </c>
      <c r="B10" s="1">
        <v>1812284.7713587068</v>
      </c>
      <c r="D10" s="1">
        <v>461938.61736678798</v>
      </c>
      <c r="H10" t="s">
        <v>111</v>
      </c>
    </row>
    <row r="11" spans="1:8">
      <c r="A11">
        <v>3</v>
      </c>
      <c r="B11" s="1">
        <v>2278618.1596979718</v>
      </c>
      <c r="D11" s="1">
        <v>761138.2128509772</v>
      </c>
    </row>
    <row r="12" spans="1:8">
      <c r="A12">
        <v>4</v>
      </c>
      <c r="B12" s="1">
        <v>1638936.3507509271</v>
      </c>
      <c r="D12" s="1">
        <v>638809.18649850367</v>
      </c>
    </row>
    <row r="13" spans="1:8">
      <c r="A13">
        <v>5</v>
      </c>
      <c r="B13" s="1">
        <v>2766790.1621934539</v>
      </c>
      <c r="D13" s="1">
        <v>876644.34971058788</v>
      </c>
    </row>
    <row r="14" spans="1:8">
      <c r="A14">
        <v>6</v>
      </c>
      <c r="B14" s="1">
        <v>1500676.4480505544</v>
      </c>
      <c r="D14" s="1">
        <v>619040.37540747505</v>
      </c>
    </row>
    <row r="15" spans="1:8">
      <c r="A15">
        <v>7</v>
      </c>
      <c r="B15" s="1">
        <v>1765445.8536256556</v>
      </c>
      <c r="D15" s="1">
        <v>657297.05904027866</v>
      </c>
    </row>
    <row r="16" spans="1:8">
      <c r="A16">
        <v>8</v>
      </c>
      <c r="B16" s="1">
        <v>2134871.8736099107</v>
      </c>
      <c r="D16" s="1">
        <v>571884.46211488824</v>
      </c>
    </row>
    <row r="17" spans="1:4">
      <c r="A17">
        <v>9</v>
      </c>
      <c r="B17" s="1">
        <v>2317048.7957137679</v>
      </c>
      <c r="D17" s="1">
        <v>996902.40823883703</v>
      </c>
    </row>
    <row r="18" spans="1:4">
      <c r="A18">
        <v>10</v>
      </c>
      <c r="B18" s="1">
        <v>2658411.2165544517</v>
      </c>
      <c r="D18" s="1">
        <v>1127271.1066352613</v>
      </c>
    </row>
    <row r="19" spans="1:4">
      <c r="A19">
        <v>11</v>
      </c>
      <c r="B19" s="1">
        <v>2284449.8853772446</v>
      </c>
      <c r="D19" s="1">
        <v>534854.19264367409</v>
      </c>
    </row>
    <row r="20" spans="1:4">
      <c r="A20">
        <v>12</v>
      </c>
      <c r="B20" s="1">
        <v>3047436.7733955537</v>
      </c>
      <c r="D20" s="1">
        <v>1243290.576225074</v>
      </c>
    </row>
    <row r="21" spans="1:4">
      <c r="A21">
        <v>13</v>
      </c>
      <c r="B21" s="1">
        <v>2333301.4301956445</v>
      </c>
      <c r="D21" s="1">
        <v>508694.23123197537</v>
      </c>
    </row>
    <row r="22" spans="1:4">
      <c r="A22">
        <v>14</v>
      </c>
      <c r="B22" s="1">
        <v>2179746.0603685132</v>
      </c>
      <c r="D22" s="1">
        <v>1103234.2392016384</v>
      </c>
    </row>
    <row r="23" spans="1:4">
      <c r="A23">
        <v>15</v>
      </c>
      <c r="B23" s="1">
        <v>1846912.1079761242</v>
      </c>
      <c r="D23" s="1">
        <v>879072.18786219694</v>
      </c>
    </row>
    <row r="24" spans="1:4">
      <c r="A24">
        <v>16</v>
      </c>
      <c r="B24" s="1">
        <v>2187377.2282363661</v>
      </c>
      <c r="D24" s="1">
        <v>781895.90653291857</v>
      </c>
    </row>
    <row r="25" spans="1:4">
      <c r="A25">
        <v>17</v>
      </c>
      <c r="B25" s="1">
        <v>2671392.1174228843</v>
      </c>
      <c r="D25" s="1">
        <v>1254530.7223666646</v>
      </c>
    </row>
    <row r="26" spans="1:4">
      <c r="A26">
        <v>18</v>
      </c>
      <c r="B26" s="1">
        <v>2306128.714060198</v>
      </c>
      <c r="D26" s="1">
        <v>502962.34809938213</v>
      </c>
    </row>
    <row r="27" spans="1:4">
      <c r="A27">
        <v>19</v>
      </c>
      <c r="B27" s="1">
        <v>2213242.5469814441</v>
      </c>
      <c r="D27" s="1">
        <v>762628.88384256326</v>
      </c>
    </row>
    <row r="28" spans="1:4">
      <c r="A28">
        <v>20</v>
      </c>
      <c r="B28" s="1">
        <v>1617465.3280660403</v>
      </c>
      <c r="D28" s="1">
        <v>915425.03941199835</v>
      </c>
    </row>
    <row r="29" spans="1:4">
      <c r="A29">
        <v>21</v>
      </c>
      <c r="B29" s="1">
        <v>2046622.3876359947</v>
      </c>
      <c r="D29" s="1">
        <v>926290.59819140751</v>
      </c>
    </row>
    <row r="30" spans="1:4">
      <c r="A30">
        <v>22</v>
      </c>
      <c r="B30" s="1">
        <v>2537687.9706944795</v>
      </c>
      <c r="D30" s="1">
        <v>885320.88856164832</v>
      </c>
    </row>
    <row r="31" spans="1:4">
      <c r="A31">
        <v>23</v>
      </c>
      <c r="B31" s="1">
        <v>2141609.7152382382</v>
      </c>
      <c r="D31" s="1">
        <v>850310.23961334489</v>
      </c>
    </row>
    <row r="32" spans="1:4">
      <c r="A32">
        <v>24</v>
      </c>
      <c r="B32" s="1">
        <v>1995576.2052349765</v>
      </c>
      <c r="D32" s="1">
        <v>1013158.0725386878</v>
      </c>
    </row>
    <row r="33" spans="1:4">
      <c r="A33">
        <v>25</v>
      </c>
      <c r="B33" s="1">
        <v>2121623.2321220823</v>
      </c>
      <c r="D33" s="1">
        <v>954065.19769816753</v>
      </c>
    </row>
    <row r="34" spans="1:4">
      <c r="A34">
        <v>26</v>
      </c>
      <c r="B34" s="1">
        <v>2565436.4598356374</v>
      </c>
      <c r="D34" s="1">
        <v>1278256.5525120166</v>
      </c>
    </row>
    <row r="35" spans="1:4">
      <c r="A35">
        <v>27</v>
      </c>
      <c r="B35" s="1">
        <v>1517809.0291045592</v>
      </c>
      <c r="D35" s="1">
        <v>829904.89552389085</v>
      </c>
    </row>
    <row r="36" spans="1:4">
      <c r="A36">
        <v>28</v>
      </c>
      <c r="B36" s="1">
        <v>1868887.7540341781</v>
      </c>
      <c r="D36" s="1">
        <v>1337591.5159234861</v>
      </c>
    </row>
    <row r="37" spans="1:4">
      <c r="A37">
        <v>29</v>
      </c>
      <c r="B37" s="1">
        <v>2377735.5134128174</v>
      </c>
      <c r="D37" s="1">
        <v>567751.81178990658</v>
      </c>
    </row>
    <row r="38" spans="1:4">
      <c r="A38">
        <v>30</v>
      </c>
      <c r="B38" s="1">
        <v>2340574.0776045569</v>
      </c>
      <c r="D38" s="1">
        <v>463367.01866509346</v>
      </c>
    </row>
    <row r="39" spans="1:4">
      <c r="A39">
        <v>31</v>
      </c>
      <c r="B39" s="1">
        <v>1548062.338193757</v>
      </c>
      <c r="D39" s="1">
        <v>771034.15181814786</v>
      </c>
    </row>
    <row r="40" spans="1:4">
      <c r="A40">
        <v>32</v>
      </c>
      <c r="B40" s="1">
        <v>2772542.2843196276</v>
      </c>
      <c r="D40" s="1">
        <v>1517219.2775307633</v>
      </c>
    </row>
    <row r="41" spans="1:4">
      <c r="A41">
        <v>33</v>
      </c>
      <c r="B41" s="1">
        <v>1400790.6333068167</v>
      </c>
      <c r="D41" s="1">
        <v>422151.27945649019</v>
      </c>
    </row>
    <row r="42" spans="1:4">
      <c r="A42">
        <v>34</v>
      </c>
      <c r="B42" s="1">
        <v>2374759.0289508873</v>
      </c>
      <c r="D42" s="1">
        <v>807693.74787756987</v>
      </c>
    </row>
    <row r="43" spans="1:4">
      <c r="A43">
        <v>35</v>
      </c>
      <c r="B43" s="1">
        <v>1829824.5002044307</v>
      </c>
      <c r="D43" s="1">
        <v>874231.07042024937</v>
      </c>
    </row>
    <row r="44" spans="1:4">
      <c r="A44">
        <v>36</v>
      </c>
      <c r="B44" s="1">
        <v>1549977.8257054952</v>
      </c>
      <c r="D44" s="1">
        <v>275301.63403543271</v>
      </c>
    </row>
    <row r="45" spans="1:4">
      <c r="A45">
        <v>37</v>
      </c>
      <c r="B45" s="1">
        <v>1782594.6160457199</v>
      </c>
      <c r="D45" s="1">
        <v>922590.69034741679</v>
      </c>
    </row>
    <row r="46" spans="1:4">
      <c r="A46">
        <v>38</v>
      </c>
      <c r="B46" s="1">
        <v>2016584.0238394628</v>
      </c>
      <c r="D46" s="1">
        <v>1048826.0705408356</v>
      </c>
    </row>
    <row r="47" spans="1:4">
      <c r="A47">
        <v>39</v>
      </c>
      <c r="B47" s="1">
        <v>2465975.1158562661</v>
      </c>
      <c r="D47" s="1">
        <v>791971.90609967569</v>
      </c>
    </row>
    <row r="48" spans="1:4">
      <c r="A48">
        <v>40</v>
      </c>
      <c r="B48" s="1">
        <v>1973807.5538250271</v>
      </c>
      <c r="D48" s="1">
        <v>682212.66435557604</v>
      </c>
    </row>
    <row r="49" spans="1:4">
      <c r="A49">
        <v>41</v>
      </c>
      <c r="B49" s="1">
        <v>2082640.3322859148</v>
      </c>
      <c r="D49" s="1">
        <v>1226249.3331660675</v>
      </c>
    </row>
    <row r="50" spans="1:4">
      <c r="A50">
        <v>42</v>
      </c>
      <c r="B50" s="1">
        <v>1905608.6018343144</v>
      </c>
      <c r="D50" s="1">
        <v>879814.79421509895</v>
      </c>
    </row>
    <row r="51" spans="1:4">
      <c r="A51">
        <v>43</v>
      </c>
      <c r="B51" s="1">
        <v>2102999.8319584313</v>
      </c>
      <c r="D51" s="1">
        <v>721417.98276655143</v>
      </c>
    </row>
    <row r="52" spans="1:4">
      <c r="A52">
        <v>44</v>
      </c>
      <c r="B52" s="1">
        <v>1284234.1636293738</v>
      </c>
      <c r="D52" s="1">
        <v>343386.88585020928</v>
      </c>
    </row>
    <row r="53" spans="1:4">
      <c r="A53">
        <v>45</v>
      </c>
      <c r="B53" s="1">
        <v>1907333.2069135648</v>
      </c>
      <c r="D53" s="1">
        <v>648187.82117831521</v>
      </c>
    </row>
    <row r="54" spans="1:4">
      <c r="A54">
        <v>46</v>
      </c>
      <c r="B54" s="1">
        <v>2608097.2253864799</v>
      </c>
      <c r="D54" s="1">
        <v>825316.54652641946</v>
      </c>
    </row>
    <row r="55" spans="1:4">
      <c r="A55">
        <v>47</v>
      </c>
      <c r="B55" s="1">
        <v>1711460.0888126818</v>
      </c>
      <c r="D55" s="1">
        <v>538943.52904229099</v>
      </c>
    </row>
    <row r="56" spans="1:4">
      <c r="A56">
        <v>48</v>
      </c>
      <c r="B56" s="1">
        <v>1918300.2215108029</v>
      </c>
      <c r="D56" s="1">
        <v>619933.84082679218</v>
      </c>
    </row>
    <row r="57" spans="1:4">
      <c r="A57">
        <v>49</v>
      </c>
      <c r="B57" s="1">
        <v>2921109.8015328036</v>
      </c>
      <c r="D57" s="1">
        <v>933739.31040124455</v>
      </c>
    </row>
    <row r="58" spans="1:4">
      <c r="A58">
        <v>50</v>
      </c>
      <c r="B58" s="1">
        <v>1701798.1258303146</v>
      </c>
      <c r="D58" s="1">
        <v>721751.0534536005</v>
      </c>
    </row>
    <row r="59" spans="1:4">
      <c r="A59">
        <v>51</v>
      </c>
      <c r="B59" s="1">
        <v>2070744.3539723316</v>
      </c>
      <c r="D59" s="1">
        <v>592628.30093530798</v>
      </c>
    </row>
    <row r="60" spans="1:4">
      <c r="A60">
        <v>52</v>
      </c>
      <c r="B60" s="1">
        <v>2221481.0639983676</v>
      </c>
      <c r="D60" s="1">
        <v>893120.20369055634</v>
      </c>
    </row>
    <row r="61" spans="1:4">
      <c r="A61">
        <v>53</v>
      </c>
      <c r="B61" s="1">
        <v>2069184.6708153756</v>
      </c>
      <c r="D61" s="1">
        <v>1100326.9203831367</v>
      </c>
    </row>
    <row r="62" spans="1:4">
      <c r="A62">
        <v>54</v>
      </c>
      <c r="B62" s="1">
        <v>2527218.7813816206</v>
      </c>
      <c r="D62" s="1">
        <v>595646.62615024345</v>
      </c>
    </row>
    <row r="63" spans="1:4">
      <c r="A63">
        <v>55</v>
      </c>
      <c r="B63" s="1">
        <v>2573546.9087458225</v>
      </c>
      <c r="D63" s="1">
        <v>741174.27986438852</v>
      </c>
    </row>
    <row r="64" spans="1:4">
      <c r="A64">
        <v>56</v>
      </c>
      <c r="B64" s="1">
        <v>1524117.4641304791</v>
      </c>
      <c r="D64" s="1">
        <v>477067.76868337952</v>
      </c>
    </row>
    <row r="65" spans="1:4">
      <c r="A65">
        <v>57</v>
      </c>
      <c r="B65" s="1">
        <v>1849826.65982022</v>
      </c>
      <c r="D65" s="1">
        <v>683123.58358425694</v>
      </c>
    </row>
    <row r="66" spans="1:4">
      <c r="A66">
        <v>58</v>
      </c>
      <c r="B66" s="1">
        <v>1768452.8813517427</v>
      </c>
      <c r="D66" s="1">
        <v>454389.65562376007</v>
      </c>
    </row>
    <row r="67" spans="1:4">
      <c r="A67">
        <v>59</v>
      </c>
      <c r="B67" s="1">
        <v>2218608.1913788528</v>
      </c>
      <c r="D67" s="1">
        <v>1155446.7682422395</v>
      </c>
    </row>
    <row r="68" spans="1:4">
      <c r="A68">
        <v>60</v>
      </c>
      <c r="B68" s="1">
        <v>1857774.6960620012</v>
      </c>
      <c r="D68" s="1">
        <v>821267.53670717822</v>
      </c>
    </row>
    <row r="69" spans="1:4">
      <c r="A69">
        <v>61</v>
      </c>
      <c r="B69" s="1">
        <v>2259107.9409601521</v>
      </c>
      <c r="D69" s="1">
        <v>1264335.737853677</v>
      </c>
    </row>
    <row r="70" spans="1:4">
      <c r="A70">
        <v>62</v>
      </c>
      <c r="B70" s="1">
        <v>1850857.5645274639</v>
      </c>
      <c r="D70" s="1">
        <v>566924.19543240732</v>
      </c>
    </row>
    <row r="71" spans="1:4">
      <c r="A71">
        <v>63</v>
      </c>
      <c r="B71" s="1">
        <v>1784539.0826894382</v>
      </c>
      <c r="D71" s="1">
        <v>803411.71761722071</v>
      </c>
    </row>
    <row r="72" spans="1:4">
      <c r="A72">
        <v>64</v>
      </c>
      <c r="B72" s="1">
        <v>2492302.5143046058</v>
      </c>
      <c r="D72" s="1">
        <v>1227346.6242120466</v>
      </c>
    </row>
    <row r="73" spans="1:4">
      <c r="A73">
        <v>65</v>
      </c>
      <c r="B73" s="1">
        <v>2113441.5375444125</v>
      </c>
      <c r="D73" s="1">
        <v>934311.91124228248</v>
      </c>
    </row>
    <row r="74" spans="1:4">
      <c r="A74">
        <v>66</v>
      </c>
      <c r="B74" s="1">
        <v>1863658.3096272491</v>
      </c>
      <c r="D74" s="1">
        <v>1175312.752418831</v>
      </c>
    </row>
    <row r="75" spans="1:4">
      <c r="A75">
        <v>67</v>
      </c>
      <c r="B75" s="1">
        <v>2383972.7961533656</v>
      </c>
      <c r="D75" s="1">
        <v>1350609.6127253594</v>
      </c>
    </row>
    <row r="76" spans="1:4">
      <c r="A76">
        <v>68</v>
      </c>
      <c r="B76" s="1">
        <v>1767149.8248064476</v>
      </c>
      <c r="D76" s="1">
        <v>626766.228037077</v>
      </c>
    </row>
    <row r="77" spans="1:4">
      <c r="A77">
        <v>69</v>
      </c>
      <c r="B77" s="1">
        <v>1745379.3004110025</v>
      </c>
      <c r="D77" s="1">
        <v>732829.08999450644</v>
      </c>
    </row>
    <row r="78" spans="1:4">
      <c r="A78">
        <v>70</v>
      </c>
      <c r="B78" s="1">
        <v>1440525.223395884</v>
      </c>
      <c r="D78" s="1">
        <v>302215.97721326957</v>
      </c>
    </row>
    <row r="79" spans="1:4">
      <c r="A79">
        <v>71</v>
      </c>
      <c r="B79" s="1">
        <v>2083116.6987016322</v>
      </c>
      <c r="D79" s="1">
        <v>781830.43744860496</v>
      </c>
    </row>
    <row r="80" spans="1:4">
      <c r="A80">
        <v>72</v>
      </c>
      <c r="B80" s="1">
        <v>1986139.3539743305</v>
      </c>
      <c r="D80" s="1">
        <v>1078744.1333765462</v>
      </c>
    </row>
    <row r="81" spans="1:4">
      <c r="A81">
        <v>73</v>
      </c>
      <c r="B81" s="1">
        <v>2045006.2131503646</v>
      </c>
      <c r="D81" s="1">
        <v>862206.53701200522</v>
      </c>
    </row>
    <row r="82" spans="1:4">
      <c r="A82">
        <v>74</v>
      </c>
      <c r="B82" s="1">
        <v>1643215.1023542231</v>
      </c>
      <c r="D82" s="1">
        <v>705239.86704883352</v>
      </c>
    </row>
    <row r="83" spans="1:4">
      <c r="A83">
        <v>75</v>
      </c>
      <c r="B83" s="1">
        <v>2282729.9536467143</v>
      </c>
      <c r="D83" s="1">
        <v>980652.30175781623</v>
      </c>
    </row>
    <row r="84" spans="1:4">
      <c r="A84">
        <v>76</v>
      </c>
      <c r="B84" s="1">
        <v>1674416.4571090378</v>
      </c>
      <c r="D84" s="1">
        <v>958506.95075907325</v>
      </c>
    </row>
    <row r="85" spans="1:4">
      <c r="A85">
        <v>77</v>
      </c>
      <c r="B85" s="1">
        <v>2293288.4289342831</v>
      </c>
      <c r="D85" s="1">
        <v>1179090.3664504951</v>
      </c>
    </row>
    <row r="86" spans="1:4">
      <c r="A86">
        <v>78</v>
      </c>
      <c r="B86" s="1">
        <v>2081028.8353933624</v>
      </c>
      <c r="D86" s="1">
        <v>654671.19772591908</v>
      </c>
    </row>
    <row r="87" spans="1:4">
      <c r="A87">
        <v>79</v>
      </c>
      <c r="B87" s="1">
        <v>2115462.5136542302</v>
      </c>
      <c r="D87" s="1">
        <v>557192.47203872725</v>
      </c>
    </row>
    <row r="88" spans="1:4">
      <c r="A88">
        <v>80</v>
      </c>
      <c r="B88" s="1">
        <v>1779150.0367808333</v>
      </c>
      <c r="D88" s="1">
        <v>602087.84572471771</v>
      </c>
    </row>
    <row r="89" spans="1:4">
      <c r="A89">
        <v>81</v>
      </c>
      <c r="B89" s="1">
        <v>2240406.912028478</v>
      </c>
      <c r="D89" s="1">
        <v>1002568.1032571346</v>
      </c>
    </row>
    <row r="90" spans="1:4">
      <c r="A90">
        <v>82</v>
      </c>
      <c r="B90" s="1">
        <v>2018175.0225922901</v>
      </c>
      <c r="D90" s="1">
        <v>498207.81716704043</v>
      </c>
    </row>
    <row r="91" spans="1:4">
      <c r="A91">
        <v>83</v>
      </c>
      <c r="B91" s="1">
        <v>2464102.721064481</v>
      </c>
      <c r="D91" s="1">
        <v>1070560.2277563545</v>
      </c>
    </row>
    <row r="92" spans="1:4">
      <c r="A92">
        <v>84</v>
      </c>
      <c r="B92" s="1">
        <v>1830427.9154554131</v>
      </c>
      <c r="D92" s="1">
        <v>944480.54580824403</v>
      </c>
    </row>
    <row r="93" spans="1:4">
      <c r="A93">
        <v>85</v>
      </c>
      <c r="B93" s="1">
        <v>2298237.1677057222</v>
      </c>
      <c r="D93" s="1">
        <v>872106.67402979545</v>
      </c>
    </row>
    <row r="94" spans="1:4">
      <c r="A94">
        <v>86</v>
      </c>
      <c r="B94" s="1">
        <v>1474320.4141586332</v>
      </c>
      <c r="D94" s="1">
        <v>538560.32983356481</v>
      </c>
    </row>
    <row r="95" spans="1:4">
      <c r="A95">
        <v>87</v>
      </c>
      <c r="B95" s="1">
        <v>2170458.4552735919</v>
      </c>
      <c r="D95" s="1">
        <v>524220.24683689</v>
      </c>
    </row>
    <row r="96" spans="1:4">
      <c r="A96">
        <v>88</v>
      </c>
      <c r="B96" s="1">
        <v>1863636.0062352747</v>
      </c>
      <c r="D96" s="1">
        <v>836544.4609997971</v>
      </c>
    </row>
    <row r="97" spans="1:4">
      <c r="A97">
        <v>89</v>
      </c>
      <c r="B97" s="1">
        <v>1820362.3461160008</v>
      </c>
      <c r="D97" s="1">
        <v>752928.63982222788</v>
      </c>
    </row>
    <row r="98" spans="1:4">
      <c r="A98">
        <v>90</v>
      </c>
      <c r="B98" s="1">
        <v>2527540.1655904599</v>
      </c>
      <c r="D98" s="1">
        <v>756253.43916058447</v>
      </c>
    </row>
    <row r="99" spans="1:4">
      <c r="A99">
        <v>91</v>
      </c>
      <c r="B99" s="1">
        <v>1827432.393186992</v>
      </c>
      <c r="D99" s="1">
        <v>605485.70904341061</v>
      </c>
    </row>
    <row r="100" spans="1:4">
      <c r="A100">
        <v>92</v>
      </c>
      <c r="B100" s="1">
        <v>2084601.9025693543</v>
      </c>
      <c r="D100" s="1">
        <v>589413.63793133758</v>
      </c>
    </row>
    <row r="101" spans="1:4">
      <c r="A101">
        <v>93</v>
      </c>
      <c r="B101" s="1">
        <v>1546375.0133951807</v>
      </c>
      <c r="D101" s="1">
        <v>502072.33580956561</v>
      </c>
    </row>
    <row r="102" spans="1:4">
      <c r="A102">
        <v>94</v>
      </c>
      <c r="B102" s="1">
        <v>1728512.6972510044</v>
      </c>
      <c r="D102" s="1">
        <v>926302.30133192427</v>
      </c>
    </row>
    <row r="103" spans="1:4">
      <c r="A103">
        <v>95</v>
      </c>
      <c r="B103" s="1">
        <v>2259823.2043800885</v>
      </c>
      <c r="D103" s="1">
        <v>681807.22107580537</v>
      </c>
    </row>
    <row r="104" spans="1:4">
      <c r="A104">
        <v>96</v>
      </c>
      <c r="B104" s="1">
        <v>2709657.7024349743</v>
      </c>
      <c r="D104" s="1">
        <v>792591.80952391773</v>
      </c>
    </row>
    <row r="105" spans="1:4">
      <c r="A105">
        <v>97</v>
      </c>
      <c r="B105" s="1">
        <v>2618535.8042913675</v>
      </c>
      <c r="D105" s="1">
        <v>1186102.029301485</v>
      </c>
    </row>
    <row r="106" spans="1:4">
      <c r="A106">
        <v>98</v>
      </c>
      <c r="B106" s="1">
        <v>2534773.4873355567</v>
      </c>
      <c r="D106" s="1">
        <v>1156959.0125113921</v>
      </c>
    </row>
    <row r="107" spans="1:4">
      <c r="A107">
        <v>99</v>
      </c>
      <c r="B107" s="1">
        <v>1818154.0302910551</v>
      </c>
      <c r="D107" s="1">
        <v>719320.7912870273</v>
      </c>
    </row>
    <row r="108" spans="1:4">
      <c r="A108">
        <v>100</v>
      </c>
      <c r="B108" s="1">
        <v>2245731.5854662261</v>
      </c>
      <c r="D108" s="1">
        <v>899354.27208083216</v>
      </c>
    </row>
    <row r="109" spans="1:4">
      <c r="A109">
        <v>101</v>
      </c>
      <c r="B109" s="1">
        <v>1959393.5339857766</v>
      </c>
      <c r="D109" s="1">
        <v>821603.9164880095</v>
      </c>
    </row>
    <row r="110" spans="1:4">
      <c r="A110">
        <v>102</v>
      </c>
      <c r="B110" s="1">
        <v>1880426.2740639213</v>
      </c>
      <c r="D110" s="1">
        <v>699088.65858814027</v>
      </c>
    </row>
    <row r="111" spans="1:4">
      <c r="A111">
        <v>103</v>
      </c>
      <c r="B111" s="1">
        <v>2136478.0786798117</v>
      </c>
      <c r="D111" s="1">
        <v>900267.0846571424</v>
      </c>
    </row>
    <row r="112" spans="1:4">
      <c r="A112">
        <v>104</v>
      </c>
      <c r="B112" s="1">
        <v>1758036.7332755511</v>
      </c>
      <c r="D112" s="1">
        <v>508078.26480322983</v>
      </c>
    </row>
    <row r="113" spans="1:4">
      <c r="A113">
        <v>105</v>
      </c>
      <c r="B113" s="1">
        <v>1906148.4165952131</v>
      </c>
      <c r="D113" s="1">
        <v>1384740.6441776576</v>
      </c>
    </row>
    <row r="114" spans="1:4">
      <c r="A114">
        <v>106</v>
      </c>
      <c r="B114" s="1">
        <v>1619782.7457493113</v>
      </c>
      <c r="D114" s="1">
        <v>485157.05085631926</v>
      </c>
    </row>
    <row r="115" spans="1:4">
      <c r="A115">
        <v>107</v>
      </c>
      <c r="B115" s="1">
        <v>1781026.7450194042</v>
      </c>
      <c r="D115" s="1">
        <v>772272.99293029215</v>
      </c>
    </row>
    <row r="116" spans="1:4">
      <c r="A116">
        <v>108</v>
      </c>
      <c r="B116" s="1">
        <v>1635602.3742989853</v>
      </c>
      <c r="D116" s="1">
        <v>841231.71197290998</v>
      </c>
    </row>
    <row r="117" spans="1:4">
      <c r="A117">
        <v>109</v>
      </c>
      <c r="B117" s="1">
        <v>1962852.1467318914</v>
      </c>
      <c r="D117" s="1">
        <v>453729.24831393175</v>
      </c>
    </row>
    <row r="118" spans="1:4">
      <c r="A118">
        <v>110</v>
      </c>
      <c r="B118" s="1">
        <v>1734262.4216283341</v>
      </c>
      <c r="D118" s="1">
        <v>614337.13121214649</v>
      </c>
    </row>
    <row r="119" spans="1:4">
      <c r="A119">
        <v>111</v>
      </c>
      <c r="B119" s="1">
        <v>2229592.305523064</v>
      </c>
      <c r="D119" s="1">
        <v>433196.70502363518</v>
      </c>
    </row>
    <row r="120" spans="1:4">
      <c r="A120">
        <v>112</v>
      </c>
      <c r="B120" s="1">
        <v>1973287.5464367736</v>
      </c>
      <c r="D120" s="1">
        <v>1297552.7562469314</v>
      </c>
    </row>
    <row r="121" spans="1:4">
      <c r="A121">
        <v>113</v>
      </c>
      <c r="B121" s="1">
        <v>1851686.5799367237</v>
      </c>
      <c r="D121" s="1">
        <v>358190.38637633715</v>
      </c>
    </row>
    <row r="122" spans="1:4">
      <c r="A122">
        <v>114</v>
      </c>
      <c r="B122" s="1">
        <v>2270006.5575696351</v>
      </c>
      <c r="D122" s="1">
        <v>1003312.6903407094</v>
      </c>
    </row>
    <row r="123" spans="1:4">
      <c r="A123">
        <v>115</v>
      </c>
      <c r="B123" s="1">
        <v>2568035.4360228004</v>
      </c>
      <c r="D123" s="1">
        <v>1136540.7018373837</v>
      </c>
    </row>
    <row r="124" spans="1:4">
      <c r="A124">
        <v>116</v>
      </c>
      <c r="B124" s="1">
        <v>2273181.7382989265</v>
      </c>
      <c r="D124" s="1">
        <v>938546.87411027262</v>
      </c>
    </row>
    <row r="125" spans="1:4">
      <c r="A125">
        <v>117</v>
      </c>
      <c r="B125" s="1">
        <v>1942823.4129286895</v>
      </c>
      <c r="D125" s="1">
        <v>1252877.9703076659</v>
      </c>
    </row>
    <row r="126" spans="1:4">
      <c r="A126">
        <v>118</v>
      </c>
      <c r="B126" s="1">
        <v>1773963.476557187</v>
      </c>
      <c r="D126" s="1">
        <v>496024.60265779728</v>
      </c>
    </row>
    <row r="127" spans="1:4">
      <c r="A127">
        <v>119</v>
      </c>
      <c r="B127" s="1">
        <v>2232196.738246961</v>
      </c>
      <c r="D127" s="1">
        <v>349118.12917294353</v>
      </c>
    </row>
    <row r="128" spans="1:4">
      <c r="A128">
        <v>120</v>
      </c>
      <c r="B128" s="1">
        <v>2255727.534686862</v>
      </c>
      <c r="D128" s="1">
        <v>1059006.0577711025</v>
      </c>
    </row>
    <row r="129" spans="1:4">
      <c r="A129">
        <v>121</v>
      </c>
      <c r="B129" s="1">
        <v>2431201.6687684897</v>
      </c>
      <c r="D129" s="1">
        <v>669464.78164496366</v>
      </c>
    </row>
    <row r="130" spans="1:4">
      <c r="A130">
        <v>122</v>
      </c>
      <c r="B130" s="1">
        <v>1978935.4009601409</v>
      </c>
      <c r="D130" s="1">
        <v>873925.07330989325</v>
      </c>
    </row>
    <row r="131" spans="1:4">
      <c r="A131">
        <v>123</v>
      </c>
      <c r="B131" s="1">
        <v>2475468.9777163886</v>
      </c>
      <c r="D131" s="1">
        <v>960312.25195897743</v>
      </c>
    </row>
    <row r="132" spans="1:4">
      <c r="A132">
        <v>124</v>
      </c>
      <c r="B132" s="1">
        <v>1193543.5532694997</v>
      </c>
      <c r="D132" s="1">
        <v>871953.54373575747</v>
      </c>
    </row>
    <row r="133" spans="1:4">
      <c r="A133">
        <v>125</v>
      </c>
      <c r="B133" s="1">
        <v>1940619.556784454</v>
      </c>
      <c r="D133" s="1">
        <v>775868.17256728141</v>
      </c>
    </row>
    <row r="134" spans="1:4">
      <c r="A134">
        <v>126</v>
      </c>
      <c r="B134" s="1">
        <v>2069955.6617824128</v>
      </c>
      <c r="D134" s="1">
        <v>1144465.0740646105</v>
      </c>
    </row>
    <row r="135" spans="1:4">
      <c r="A135">
        <v>127</v>
      </c>
      <c r="B135" s="1">
        <v>1906660.9050862156</v>
      </c>
      <c r="D135" s="1">
        <v>515548.05187505437</v>
      </c>
    </row>
    <row r="136" spans="1:4">
      <c r="A136">
        <v>128</v>
      </c>
      <c r="B136" s="1">
        <v>2614208.988574395</v>
      </c>
      <c r="D136" s="1">
        <v>1238770.8645594935</v>
      </c>
    </row>
    <row r="137" spans="1:4">
      <c r="A137">
        <v>129</v>
      </c>
      <c r="B137" s="1">
        <v>2165377.0121853878</v>
      </c>
      <c r="D137" s="1">
        <v>637578.00357770734</v>
      </c>
    </row>
    <row r="138" spans="1:4">
      <c r="A138">
        <v>130</v>
      </c>
      <c r="B138" s="1">
        <v>2036740.0576792641</v>
      </c>
      <c r="D138" s="1">
        <v>985412.7710993588</v>
      </c>
    </row>
    <row r="139" spans="1:4">
      <c r="A139">
        <v>131</v>
      </c>
      <c r="B139" s="1">
        <v>1786423.5510575585</v>
      </c>
      <c r="D139" s="1">
        <v>806721.00214803685</v>
      </c>
    </row>
    <row r="140" spans="1:4">
      <c r="A140">
        <v>132</v>
      </c>
      <c r="B140" s="1">
        <v>2672776.0708838948</v>
      </c>
      <c r="D140" s="1">
        <v>1525059.642877453</v>
      </c>
    </row>
    <row r="141" spans="1:4">
      <c r="A141">
        <v>133</v>
      </c>
      <c r="B141" s="1">
        <v>2095236.1663455709</v>
      </c>
      <c r="D141" s="1">
        <v>1320905.7993734619</v>
      </c>
    </row>
    <row r="142" spans="1:4">
      <c r="A142">
        <v>134</v>
      </c>
      <c r="B142" s="1">
        <v>1850226.4751740915</v>
      </c>
      <c r="D142" s="1">
        <v>794642.7134081875</v>
      </c>
    </row>
    <row r="143" spans="1:4">
      <c r="A143">
        <v>135</v>
      </c>
      <c r="B143" s="1">
        <v>1881157.0521821736</v>
      </c>
      <c r="D143" s="1">
        <v>900503.65520520648</v>
      </c>
    </row>
    <row r="144" spans="1:4">
      <c r="A144">
        <v>136</v>
      </c>
      <c r="B144" s="1">
        <v>1495812.7329388785</v>
      </c>
      <c r="D144" s="1">
        <v>986961.79760078993</v>
      </c>
    </row>
    <row r="145" spans="1:4">
      <c r="A145">
        <v>137</v>
      </c>
      <c r="B145" s="1">
        <v>2034180.6999231628</v>
      </c>
      <c r="D145" s="1">
        <v>503772.76089929091</v>
      </c>
    </row>
    <row r="146" spans="1:4">
      <c r="A146">
        <v>138</v>
      </c>
      <c r="B146" s="1">
        <v>1764768.6231017653</v>
      </c>
      <c r="D146" s="1">
        <v>876156.46102195792</v>
      </c>
    </row>
    <row r="147" spans="1:4">
      <c r="A147">
        <v>139</v>
      </c>
      <c r="B147" s="1">
        <v>1896044.0146101164</v>
      </c>
      <c r="D147" s="1">
        <v>462771.71503470745</v>
      </c>
    </row>
    <row r="148" spans="1:4">
      <c r="A148">
        <v>140</v>
      </c>
      <c r="B148" s="1">
        <v>1960132.8739234002</v>
      </c>
      <c r="D148" s="1">
        <v>994218.62741356855</v>
      </c>
    </row>
    <row r="149" spans="1:4">
      <c r="A149">
        <v>141</v>
      </c>
      <c r="B149" s="1">
        <v>2236248.4776239051</v>
      </c>
      <c r="D149" s="1">
        <v>445406.54375213198</v>
      </c>
    </row>
    <row r="150" spans="1:4">
      <c r="A150">
        <v>142</v>
      </c>
      <c r="B150" s="1">
        <v>1971611.598086688</v>
      </c>
      <c r="D150" s="1">
        <v>244506.84414888918</v>
      </c>
    </row>
    <row r="151" spans="1:4">
      <c r="A151">
        <v>143</v>
      </c>
      <c r="B151" s="1">
        <v>1711423.7609331065</v>
      </c>
      <c r="D151" s="1">
        <v>667464.88380095595</v>
      </c>
    </row>
    <row r="152" spans="1:4">
      <c r="A152">
        <v>144</v>
      </c>
      <c r="B152" s="1">
        <v>2618901.528261764</v>
      </c>
      <c r="D152" s="1">
        <v>1697600.2423861837</v>
      </c>
    </row>
    <row r="153" spans="1:4">
      <c r="A153">
        <v>145</v>
      </c>
      <c r="B153" s="1">
        <v>1355289.5574284904</v>
      </c>
      <c r="D153" s="1">
        <v>301196.77885494381</v>
      </c>
    </row>
    <row r="154" spans="1:4">
      <c r="A154">
        <v>146</v>
      </c>
      <c r="B154" s="1">
        <v>1859205.0303613835</v>
      </c>
      <c r="D154" s="1">
        <v>556455.22453775397</v>
      </c>
    </row>
    <row r="155" spans="1:4">
      <c r="A155">
        <v>147</v>
      </c>
      <c r="B155" s="1">
        <v>2144497.1651907018</v>
      </c>
      <c r="D155" s="1">
        <v>699445.94788128976</v>
      </c>
    </row>
    <row r="156" spans="1:4">
      <c r="A156">
        <v>148</v>
      </c>
      <c r="B156" s="1">
        <v>2038658.3362295309</v>
      </c>
      <c r="D156" s="1">
        <v>833489.72323846584</v>
      </c>
    </row>
    <row r="157" spans="1:4">
      <c r="A157">
        <v>149</v>
      </c>
      <c r="B157" s="1">
        <v>1781608.4279208959</v>
      </c>
      <c r="D157" s="1">
        <v>685409.32106876001</v>
      </c>
    </row>
    <row r="158" spans="1:4">
      <c r="A158">
        <v>150</v>
      </c>
      <c r="B158" s="1">
        <v>1303114.2652936324</v>
      </c>
      <c r="D158" s="1">
        <v>461945.79368656641</v>
      </c>
    </row>
    <row r="159" spans="1:4">
      <c r="A159">
        <v>151</v>
      </c>
      <c r="B159" s="1">
        <v>1914262.175401862</v>
      </c>
      <c r="D159" s="1">
        <v>1157656.2084152093</v>
      </c>
    </row>
    <row r="160" spans="1:4">
      <c r="A160">
        <v>152</v>
      </c>
      <c r="B160" s="1">
        <v>2350331.5332117425</v>
      </c>
      <c r="D160" s="1">
        <v>1121896.9199834904</v>
      </c>
    </row>
    <row r="161" spans="1:4">
      <c r="A161">
        <v>153</v>
      </c>
      <c r="B161" s="1">
        <v>2504891.4230780387</v>
      </c>
      <c r="D161" s="1">
        <v>669277.0670554284</v>
      </c>
    </row>
    <row r="162" spans="1:4">
      <c r="A162">
        <v>154</v>
      </c>
      <c r="B162" s="1">
        <v>1775564.9911517117</v>
      </c>
      <c r="D162" s="1">
        <v>625769.62122366671</v>
      </c>
    </row>
    <row r="163" spans="1:4">
      <c r="A163">
        <v>155</v>
      </c>
      <c r="B163" s="1">
        <v>2248042.9026769847</v>
      </c>
      <c r="D163" s="1">
        <v>811673.39463624964</v>
      </c>
    </row>
    <row r="164" spans="1:4">
      <c r="A164">
        <v>156</v>
      </c>
      <c r="B164" s="1">
        <v>2954726.6878755735</v>
      </c>
      <c r="D164" s="1">
        <v>1496631.1366520626</v>
      </c>
    </row>
    <row r="165" spans="1:4">
      <c r="A165">
        <v>157</v>
      </c>
      <c r="B165" s="1">
        <v>2488216.619749337</v>
      </c>
      <c r="D165" s="1">
        <v>1087805.5971632591</v>
      </c>
    </row>
    <row r="166" spans="1:4">
      <c r="A166">
        <v>158</v>
      </c>
      <c r="B166" s="1">
        <v>2497664.4910124708</v>
      </c>
      <c r="D166" s="1">
        <v>739788.16845981916</v>
      </c>
    </row>
    <row r="167" spans="1:4">
      <c r="A167">
        <v>159</v>
      </c>
      <c r="B167" s="1">
        <v>2214263.3077932778</v>
      </c>
      <c r="D167" s="1">
        <v>1137801.9028744157</v>
      </c>
    </row>
    <row r="168" spans="1:4">
      <c r="A168">
        <v>160</v>
      </c>
      <c r="B168" s="1">
        <v>2042221.1230098922</v>
      </c>
      <c r="D168" s="1">
        <v>1312050.2119465256</v>
      </c>
    </row>
    <row r="169" spans="1:4">
      <c r="A169">
        <v>161</v>
      </c>
      <c r="B169" s="1">
        <v>2453661.9222278367</v>
      </c>
      <c r="D169" s="1">
        <v>1130416.2090133587</v>
      </c>
    </row>
    <row r="170" spans="1:4">
      <c r="A170">
        <v>162</v>
      </c>
      <c r="B170" s="1">
        <v>1680215.4053415318</v>
      </c>
      <c r="D170" s="1">
        <v>308970.88744046725</v>
      </c>
    </row>
    <row r="171" spans="1:4">
      <c r="A171">
        <v>163</v>
      </c>
      <c r="B171" s="1">
        <v>1528530.1770292935</v>
      </c>
      <c r="D171" s="1">
        <v>900874.14462689543</v>
      </c>
    </row>
    <row r="172" spans="1:4">
      <c r="A172">
        <v>164</v>
      </c>
      <c r="B172" s="1">
        <v>1761907.4754719534</v>
      </c>
      <c r="D172" s="1">
        <v>582521.87603620812</v>
      </c>
    </row>
    <row r="173" spans="1:4">
      <c r="A173">
        <v>165</v>
      </c>
      <c r="B173" s="1">
        <v>2324556.6692444594</v>
      </c>
      <c r="D173" s="1">
        <v>891828.42561279377</v>
      </c>
    </row>
    <row r="174" spans="1:4">
      <c r="A174">
        <v>166</v>
      </c>
      <c r="B174" s="1">
        <v>1658169.4543955103</v>
      </c>
      <c r="D174" s="1">
        <v>1059347.2260651039</v>
      </c>
    </row>
    <row r="175" spans="1:4">
      <c r="A175">
        <v>167</v>
      </c>
      <c r="B175" s="1">
        <v>2033086.2519218621</v>
      </c>
      <c r="D175" s="1">
        <v>1297542.0665750117</v>
      </c>
    </row>
    <row r="176" spans="1:4">
      <c r="A176">
        <v>168</v>
      </c>
      <c r="B176" s="1">
        <v>1631244.6576363454</v>
      </c>
      <c r="D176" s="1">
        <v>870514.94568396267</v>
      </c>
    </row>
    <row r="177" spans="1:4">
      <c r="A177">
        <v>169</v>
      </c>
      <c r="B177" s="1">
        <v>1912238.0254343073</v>
      </c>
      <c r="D177" s="1">
        <v>581062.78555921372</v>
      </c>
    </row>
    <row r="178" spans="1:4">
      <c r="A178">
        <v>170</v>
      </c>
      <c r="B178" s="1">
        <v>2287722.0840349165</v>
      </c>
      <c r="D178" s="1">
        <v>1327718.7111211456</v>
      </c>
    </row>
    <row r="179" spans="1:4">
      <c r="A179">
        <v>171</v>
      </c>
      <c r="B179" s="1">
        <v>2330344.2099355739</v>
      </c>
      <c r="D179" s="1">
        <v>1012858.7131279027</v>
      </c>
    </row>
    <row r="180" spans="1:4">
      <c r="A180">
        <v>172</v>
      </c>
      <c r="B180" s="1">
        <v>2153441.1330878194</v>
      </c>
      <c r="D180" s="1">
        <v>952705.99054706795</v>
      </c>
    </row>
    <row r="181" spans="1:4">
      <c r="A181">
        <v>173</v>
      </c>
      <c r="B181" s="1">
        <v>2105249.769874685</v>
      </c>
      <c r="D181" s="1">
        <v>1107733.3113373453</v>
      </c>
    </row>
    <row r="182" spans="1:4">
      <c r="A182">
        <v>174</v>
      </c>
      <c r="B182" s="1">
        <v>2265344.5016097068</v>
      </c>
      <c r="D182" s="1">
        <v>497112.66869448265</v>
      </c>
    </row>
    <row r="183" spans="1:4">
      <c r="A183">
        <v>175</v>
      </c>
      <c r="B183" s="1">
        <v>1864677.7250743241</v>
      </c>
      <c r="D183" s="1">
        <v>1013028.2161229872</v>
      </c>
    </row>
    <row r="184" spans="1:4">
      <c r="A184">
        <v>176</v>
      </c>
      <c r="B184" s="1">
        <v>2054611.6746923015</v>
      </c>
      <c r="D184" s="1">
        <v>1297213.2755758902</v>
      </c>
    </row>
    <row r="185" spans="1:4">
      <c r="A185">
        <v>177</v>
      </c>
      <c r="B185" s="1">
        <v>2062744.5798739444</v>
      </c>
      <c r="D185" s="1">
        <v>1328695.6761225816</v>
      </c>
    </row>
    <row r="186" spans="1:4">
      <c r="A186">
        <v>178</v>
      </c>
      <c r="B186" s="1">
        <v>1957592.4579597199</v>
      </c>
      <c r="D186" s="1">
        <v>630976.897561091</v>
      </c>
    </row>
    <row r="187" spans="1:4">
      <c r="A187">
        <v>179</v>
      </c>
      <c r="B187" s="1">
        <v>2072249.6595846468</v>
      </c>
      <c r="D187" s="1">
        <v>1012680.4145507952</v>
      </c>
    </row>
    <row r="188" spans="1:4">
      <c r="A188">
        <v>180</v>
      </c>
      <c r="B188" s="1">
        <v>2020218.5878598474</v>
      </c>
      <c r="D188" s="1">
        <v>930408.72841805033</v>
      </c>
    </row>
    <row r="189" spans="1:4">
      <c r="A189">
        <v>181</v>
      </c>
      <c r="B189" s="1">
        <v>1785974.7144096629</v>
      </c>
      <c r="D189" s="1">
        <v>880803.41465955041</v>
      </c>
    </row>
    <row r="190" spans="1:4">
      <c r="A190">
        <v>182</v>
      </c>
      <c r="B190" s="1">
        <v>1894962.6805199434</v>
      </c>
      <c r="D190" s="1">
        <v>887974.96993706701</v>
      </c>
    </row>
    <row r="191" spans="1:4">
      <c r="A191">
        <v>183</v>
      </c>
      <c r="B191" s="1">
        <v>2443555.0846304321</v>
      </c>
      <c r="D191" s="1">
        <v>675591.00474682823</v>
      </c>
    </row>
    <row r="192" spans="1:4">
      <c r="A192">
        <v>184</v>
      </c>
      <c r="B192" s="1">
        <v>2427368.1266849507</v>
      </c>
      <c r="D192" s="1">
        <v>630671.98157512816</v>
      </c>
    </row>
    <row r="193" spans="1:4">
      <c r="A193">
        <v>185</v>
      </c>
      <c r="B193" s="1">
        <v>1891709.9943816217</v>
      </c>
      <c r="D193" s="1">
        <v>530988.76079267357</v>
      </c>
    </row>
    <row r="194" spans="1:4">
      <c r="A194">
        <v>186</v>
      </c>
      <c r="B194" s="1">
        <v>2442812.8175141746</v>
      </c>
      <c r="D194" s="1">
        <v>796481.28449032083</v>
      </c>
    </row>
    <row r="195" spans="1:4">
      <c r="A195">
        <v>187</v>
      </c>
      <c r="B195" s="1">
        <v>2113445.8899693438</v>
      </c>
      <c r="D195" s="1">
        <v>918513.25684709335</v>
      </c>
    </row>
    <row r="196" spans="1:4">
      <c r="A196">
        <v>188</v>
      </c>
      <c r="B196" s="1">
        <v>2457290.6588047068</v>
      </c>
      <c r="D196" s="1">
        <v>1073430.6544725266</v>
      </c>
    </row>
    <row r="197" spans="1:4">
      <c r="A197">
        <v>189</v>
      </c>
      <c r="B197" s="1">
        <v>1939540.4965755183</v>
      </c>
      <c r="D197" s="1">
        <v>817310.53378685471</v>
      </c>
    </row>
    <row r="198" spans="1:4">
      <c r="A198">
        <v>190</v>
      </c>
      <c r="B198" s="1">
        <v>1970998.5830733562</v>
      </c>
      <c r="D198" s="1">
        <v>1106123.2778912694</v>
      </c>
    </row>
    <row r="199" spans="1:4">
      <c r="A199">
        <v>191</v>
      </c>
      <c r="B199" s="1">
        <v>1933687.0480698675</v>
      </c>
      <c r="D199" s="1">
        <v>504865.89241928514</v>
      </c>
    </row>
    <row r="200" spans="1:4">
      <c r="A200">
        <v>192</v>
      </c>
      <c r="B200" s="1">
        <v>2457284.0654077753</v>
      </c>
      <c r="D200" s="1">
        <v>639474.22860451741</v>
      </c>
    </row>
    <row r="201" spans="1:4">
      <c r="A201">
        <v>193</v>
      </c>
      <c r="B201" s="1">
        <v>2516594.3840189702</v>
      </c>
      <c r="D201" s="1">
        <v>821815.74967521429</v>
      </c>
    </row>
    <row r="202" spans="1:4">
      <c r="A202">
        <v>194</v>
      </c>
      <c r="B202" s="1">
        <v>2401865.2787161362</v>
      </c>
      <c r="D202" s="1">
        <v>1142804.4157975838</v>
      </c>
    </row>
    <row r="203" spans="1:4">
      <c r="A203">
        <v>195</v>
      </c>
      <c r="B203" s="1">
        <v>2229525.1717415131</v>
      </c>
      <c r="D203" s="1">
        <v>923497.5560197453</v>
      </c>
    </row>
    <row r="204" spans="1:4">
      <c r="A204">
        <v>196</v>
      </c>
      <c r="B204" s="1">
        <v>1606059.9562906914</v>
      </c>
      <c r="D204" s="1">
        <v>1083498.4596926374</v>
      </c>
    </row>
    <row r="205" spans="1:4">
      <c r="A205">
        <v>197</v>
      </c>
      <c r="B205" s="1">
        <v>1817904.2082042058</v>
      </c>
      <c r="D205" s="1">
        <v>638311.94317301922</v>
      </c>
    </row>
    <row r="206" spans="1:4">
      <c r="A206">
        <v>198</v>
      </c>
      <c r="B206" s="1">
        <v>1658290.8322954997</v>
      </c>
      <c r="D206" s="1">
        <v>426316.88773497799</v>
      </c>
    </row>
    <row r="207" spans="1:4">
      <c r="A207">
        <v>199</v>
      </c>
      <c r="B207" s="1">
        <v>1694138.9256637413</v>
      </c>
      <c r="D207" s="1">
        <v>628976.14950536378</v>
      </c>
    </row>
    <row r="208" spans="1:4">
      <c r="A208">
        <v>200</v>
      </c>
      <c r="B208" s="1">
        <v>2057411.3753502134</v>
      </c>
      <c r="D208" s="1">
        <v>755792.95068588527</v>
      </c>
    </row>
    <row r="209" spans="1:4">
      <c r="A209">
        <v>201</v>
      </c>
      <c r="B209" s="1">
        <v>1780523.4937595993</v>
      </c>
      <c r="D209" s="1">
        <v>566471.16852132278</v>
      </c>
    </row>
    <row r="210" spans="1:4">
      <c r="A210">
        <v>202</v>
      </c>
      <c r="B210" s="1">
        <v>1870419.9782343218</v>
      </c>
      <c r="D210" s="1">
        <v>1023560.8779987944</v>
      </c>
    </row>
    <row r="211" spans="1:4">
      <c r="A211">
        <v>203</v>
      </c>
      <c r="B211" s="1">
        <v>1848446.80908232</v>
      </c>
      <c r="D211" s="1">
        <v>468768.65560144186</v>
      </c>
    </row>
    <row r="212" spans="1:4">
      <c r="A212">
        <v>204</v>
      </c>
      <c r="B212" s="1">
        <v>2014029.2480367159</v>
      </c>
      <c r="D212" s="1">
        <v>693696.23311216198</v>
      </c>
    </row>
    <row r="213" spans="1:4">
      <c r="A213">
        <v>205</v>
      </c>
      <c r="B213" s="1">
        <v>1894263.6234382859</v>
      </c>
      <c r="D213" s="1">
        <v>607318.99421928916</v>
      </c>
    </row>
    <row r="214" spans="1:4">
      <c r="A214">
        <v>206</v>
      </c>
      <c r="B214" s="1">
        <v>2007968.9294157031</v>
      </c>
      <c r="D214" s="1">
        <v>404985.5503075053</v>
      </c>
    </row>
    <row r="215" spans="1:4">
      <c r="A215">
        <v>207</v>
      </c>
      <c r="B215" s="1">
        <v>1802059.8054732068</v>
      </c>
      <c r="D215" s="1">
        <v>318614.52126891632</v>
      </c>
    </row>
    <row r="216" spans="1:4">
      <c r="A216">
        <v>208</v>
      </c>
      <c r="B216" s="1">
        <v>2013765.2306046858</v>
      </c>
      <c r="D216" s="1">
        <v>1291910.1386185321</v>
      </c>
    </row>
    <row r="217" spans="1:4">
      <c r="A217">
        <v>209</v>
      </c>
      <c r="B217" s="1">
        <v>2374810.1453766963</v>
      </c>
      <c r="D217" s="1">
        <v>553422.94233222725</v>
      </c>
    </row>
    <row r="218" spans="1:4">
      <c r="A218">
        <v>210</v>
      </c>
      <c r="B218" s="1">
        <v>1548436.4204434091</v>
      </c>
      <c r="D218" s="1">
        <v>349810.20805729553</v>
      </c>
    </row>
    <row r="219" spans="1:4">
      <c r="A219">
        <v>211</v>
      </c>
      <c r="B219" s="1">
        <v>1550620.7597220081</v>
      </c>
      <c r="D219" s="1">
        <v>1077525.9436370977</v>
      </c>
    </row>
    <row r="220" spans="1:4">
      <c r="A220">
        <v>212</v>
      </c>
      <c r="B220" s="1">
        <v>2257168.2512963121</v>
      </c>
      <c r="D220" s="1">
        <v>980528.2383959177</v>
      </c>
    </row>
    <row r="221" spans="1:4">
      <c r="A221">
        <v>213</v>
      </c>
      <c r="B221" s="1">
        <v>2070946.1913734905</v>
      </c>
      <c r="D221" s="1">
        <v>994772.41002711281</v>
      </c>
    </row>
    <row r="222" spans="1:4">
      <c r="A222">
        <v>214</v>
      </c>
      <c r="B222" s="1">
        <v>2270323.982922317</v>
      </c>
      <c r="D222" s="1">
        <v>812729.97216035333</v>
      </c>
    </row>
    <row r="223" spans="1:4">
      <c r="A223">
        <v>215</v>
      </c>
      <c r="B223" s="1">
        <v>1904404.6814188967</v>
      </c>
      <c r="D223" s="1">
        <v>621520.53489455068</v>
      </c>
    </row>
    <row r="224" spans="1:4">
      <c r="A224">
        <v>216</v>
      </c>
      <c r="B224" s="1">
        <v>1367820.8358575958</v>
      </c>
      <c r="D224" s="1">
        <v>527229.53239590582</v>
      </c>
    </row>
    <row r="225" spans="1:4">
      <c r="A225">
        <v>217</v>
      </c>
      <c r="B225" s="1">
        <v>2091510.1192382611</v>
      </c>
      <c r="D225" s="1">
        <v>445163.43118728139</v>
      </c>
    </row>
    <row r="226" spans="1:4">
      <c r="A226">
        <v>218</v>
      </c>
      <c r="B226" s="1">
        <v>1701045.2862760839</v>
      </c>
      <c r="D226" s="1">
        <v>588676.37821719795</v>
      </c>
    </row>
    <row r="227" spans="1:4">
      <c r="A227">
        <v>219</v>
      </c>
      <c r="B227" s="1">
        <v>2928210.7105521373</v>
      </c>
      <c r="D227" s="1">
        <v>1094952.7324900511</v>
      </c>
    </row>
    <row r="228" spans="1:4">
      <c r="A228">
        <v>220</v>
      </c>
      <c r="B228" s="1">
        <v>1604763.5500887227</v>
      </c>
      <c r="D228" s="1">
        <v>688212.46451696567</v>
      </c>
    </row>
    <row r="229" spans="1:4">
      <c r="A229">
        <v>221</v>
      </c>
      <c r="B229" s="1">
        <v>2024826.6145325969</v>
      </c>
      <c r="D229" s="1">
        <v>1133192.1255739355</v>
      </c>
    </row>
    <row r="230" spans="1:4">
      <c r="A230">
        <v>222</v>
      </c>
      <c r="B230" s="1">
        <v>2511018.7449784204</v>
      </c>
      <c r="D230" s="1">
        <v>314595.58137014974</v>
      </c>
    </row>
    <row r="231" spans="1:4">
      <c r="A231">
        <v>223</v>
      </c>
      <c r="B231" s="1">
        <v>2202438.7692773379</v>
      </c>
      <c r="D231" s="1">
        <v>1137698.2793997945</v>
      </c>
    </row>
    <row r="232" spans="1:4">
      <c r="A232">
        <v>224</v>
      </c>
      <c r="B232" s="1">
        <v>2214420.3670285139</v>
      </c>
      <c r="D232" s="1">
        <v>952901.34576861793</v>
      </c>
    </row>
    <row r="233" spans="1:4">
      <c r="A233">
        <v>225</v>
      </c>
      <c r="B233" s="1">
        <v>1651446.8887712297</v>
      </c>
      <c r="D233" s="1">
        <v>1061412.7588518918</v>
      </c>
    </row>
    <row r="234" spans="1:4">
      <c r="A234">
        <v>226</v>
      </c>
      <c r="B234" s="1">
        <v>2060482.653368691</v>
      </c>
      <c r="D234" s="1">
        <v>791814.37605541106</v>
      </c>
    </row>
    <row r="235" spans="1:4">
      <c r="A235">
        <v>227</v>
      </c>
      <c r="B235" s="1">
        <v>1525105.7406912365</v>
      </c>
      <c r="D235" s="1">
        <v>509453.70513946097</v>
      </c>
    </row>
    <row r="236" spans="1:4">
      <c r="A236">
        <v>228</v>
      </c>
      <c r="B236" s="1">
        <v>1809659.9183289749</v>
      </c>
      <c r="D236" s="1">
        <v>643432.87451722659</v>
      </c>
    </row>
    <row r="237" spans="1:4">
      <c r="A237">
        <v>229</v>
      </c>
      <c r="B237" s="1">
        <v>1574078.3187595273</v>
      </c>
      <c r="D237" s="1">
        <v>599853.86761164758</v>
      </c>
    </row>
    <row r="238" spans="1:4">
      <c r="A238">
        <v>230</v>
      </c>
      <c r="B238" s="1">
        <v>2054990.4965276739</v>
      </c>
      <c r="D238" s="1">
        <v>610543.07057589665</v>
      </c>
    </row>
    <row r="239" spans="1:4">
      <c r="A239">
        <v>231</v>
      </c>
      <c r="B239" s="1">
        <v>2834730.7651033648</v>
      </c>
      <c r="D239" s="1">
        <v>1080185.949533565</v>
      </c>
    </row>
    <row r="240" spans="1:4">
      <c r="A240">
        <v>232</v>
      </c>
      <c r="B240" s="1">
        <v>2225185.8863148494</v>
      </c>
      <c r="D240" s="1">
        <v>729480.76636428293</v>
      </c>
    </row>
    <row r="241" spans="1:4">
      <c r="A241">
        <v>233</v>
      </c>
      <c r="B241" s="1">
        <v>2098738.421317366</v>
      </c>
      <c r="D241" s="1">
        <v>684588.56059614755</v>
      </c>
    </row>
    <row r="242" spans="1:4">
      <c r="A242">
        <v>234</v>
      </c>
      <c r="B242" s="1">
        <v>1356805.9613501912</v>
      </c>
      <c r="D242" s="1">
        <v>584780.78368737409</v>
      </c>
    </row>
    <row r="243" spans="1:4">
      <c r="A243">
        <v>235</v>
      </c>
      <c r="B243" s="1">
        <v>1458740.5891781438</v>
      </c>
      <c r="D243" s="1">
        <v>169962.96152681159</v>
      </c>
    </row>
    <row r="244" spans="1:4">
      <c r="A244">
        <v>236</v>
      </c>
      <c r="B244" s="1">
        <v>2462386.4789200588</v>
      </c>
      <c r="D244" s="1">
        <v>692247.18078502221</v>
      </c>
    </row>
    <row r="245" spans="1:4">
      <c r="A245">
        <v>237</v>
      </c>
      <c r="B245" s="1">
        <v>1796335.0880122546</v>
      </c>
      <c r="D245" s="1">
        <v>651449.4409483145</v>
      </c>
    </row>
    <row r="246" spans="1:4">
      <c r="A246">
        <v>238</v>
      </c>
      <c r="B246" s="1">
        <v>2451049.3117781621</v>
      </c>
      <c r="D246" s="1">
        <v>763544.52081779577</v>
      </c>
    </row>
    <row r="247" spans="1:4">
      <c r="A247">
        <v>239</v>
      </c>
      <c r="B247" s="1">
        <v>2322700.7638012017</v>
      </c>
      <c r="D247" s="1">
        <v>717229.35629535606</v>
      </c>
    </row>
    <row r="248" spans="1:4">
      <c r="A248">
        <v>240</v>
      </c>
      <c r="B248" s="1">
        <v>2559680.0516135539</v>
      </c>
      <c r="D248" s="1">
        <v>889537.81607066374</v>
      </c>
    </row>
    <row r="249" spans="1:4">
      <c r="A249">
        <v>241</v>
      </c>
      <c r="B249" s="1">
        <v>3147084.3681581304</v>
      </c>
      <c r="D249" s="1">
        <v>1592974.165070137</v>
      </c>
    </row>
    <row r="250" spans="1:4">
      <c r="A250">
        <v>242</v>
      </c>
      <c r="B250" s="1">
        <v>1325208.9535080944</v>
      </c>
      <c r="D250" s="1">
        <v>355882.12425920833</v>
      </c>
    </row>
    <row r="251" spans="1:4">
      <c r="A251">
        <v>243</v>
      </c>
      <c r="B251" s="1">
        <v>2361505.8651407738</v>
      </c>
      <c r="D251" s="1">
        <v>994831.42295576306</v>
      </c>
    </row>
    <row r="252" spans="1:4">
      <c r="A252">
        <v>244</v>
      </c>
      <c r="B252" s="1">
        <v>887326.91677383357</v>
      </c>
      <c r="D252" s="1">
        <v>549441.55870189704</v>
      </c>
    </row>
    <row r="253" spans="1:4">
      <c r="A253">
        <v>245</v>
      </c>
      <c r="B253" s="1">
        <v>1797842.9728561507</v>
      </c>
      <c r="D253" s="1">
        <v>879336.96740666125</v>
      </c>
    </row>
    <row r="254" spans="1:4">
      <c r="A254">
        <v>246</v>
      </c>
      <c r="B254" s="1">
        <v>2620282.1793212318</v>
      </c>
      <c r="D254" s="1">
        <v>1052989.6544569107</v>
      </c>
    </row>
    <row r="255" spans="1:4">
      <c r="A255">
        <v>247</v>
      </c>
      <c r="B255" s="1">
        <v>1540575.0692491371</v>
      </c>
      <c r="D255" s="1">
        <v>520408.85547758779</v>
      </c>
    </row>
    <row r="256" spans="1:4">
      <c r="A256">
        <v>248</v>
      </c>
      <c r="B256" s="1">
        <v>1610227.9435144293</v>
      </c>
      <c r="D256" s="1">
        <v>866155.33182321442</v>
      </c>
    </row>
    <row r="257" spans="1:4">
      <c r="A257">
        <v>249</v>
      </c>
      <c r="B257" s="1">
        <v>2457832.2278514626</v>
      </c>
      <c r="D257" s="1">
        <v>653849.19128953898</v>
      </c>
    </row>
    <row r="258" spans="1:4">
      <c r="A258">
        <v>250</v>
      </c>
      <c r="B258" s="1">
        <v>2501354.6309624799</v>
      </c>
      <c r="D258" s="1">
        <v>1007837.1441095974</v>
      </c>
    </row>
    <row r="259" spans="1:4">
      <c r="A259">
        <v>251</v>
      </c>
      <c r="B259" s="1">
        <v>1700600.5887920284</v>
      </c>
      <c r="D259" s="1">
        <v>503379.06206541089</v>
      </c>
    </row>
    <row r="260" spans="1:4">
      <c r="A260">
        <v>252</v>
      </c>
      <c r="B260" s="1">
        <v>1620595.3420733591</v>
      </c>
      <c r="D260" s="1">
        <v>461395.87861667946</v>
      </c>
    </row>
    <row r="261" spans="1:4">
      <c r="A261">
        <v>253</v>
      </c>
      <c r="B261" s="1">
        <v>2432369.3951157802</v>
      </c>
      <c r="D261" s="1">
        <v>568184.67960532242</v>
      </c>
    </row>
    <row r="262" spans="1:4">
      <c r="A262">
        <v>254</v>
      </c>
      <c r="B262" s="1">
        <v>2422866.9300831067</v>
      </c>
      <c r="D262" s="1">
        <v>1230561.1644780599</v>
      </c>
    </row>
    <row r="263" spans="1:4">
      <c r="A263">
        <v>255</v>
      </c>
      <c r="B263" s="1">
        <v>1854333.6875378168</v>
      </c>
      <c r="D263" s="1">
        <v>429055.93697838346</v>
      </c>
    </row>
    <row r="264" spans="1:4">
      <c r="A264">
        <v>256</v>
      </c>
      <c r="B264" s="1">
        <v>1692385.4324029486</v>
      </c>
      <c r="D264" s="1">
        <v>528898.29352549696</v>
      </c>
    </row>
    <row r="265" spans="1:4">
      <c r="A265">
        <v>257</v>
      </c>
      <c r="B265" s="1">
        <v>2166447.934879608</v>
      </c>
      <c r="D265" s="1">
        <v>527373.38099383237</v>
      </c>
    </row>
    <row r="266" spans="1:4">
      <c r="A266">
        <v>258</v>
      </c>
      <c r="B266" s="1">
        <v>2366684.4010063959</v>
      </c>
      <c r="D266" s="1">
        <v>365735.09904620284</v>
      </c>
    </row>
    <row r="267" spans="1:4">
      <c r="A267">
        <v>259</v>
      </c>
      <c r="B267" s="1">
        <v>2424730.0655020513</v>
      </c>
      <c r="D267" s="1">
        <v>1205897.711887165</v>
      </c>
    </row>
    <row r="268" spans="1:4">
      <c r="A268">
        <v>260</v>
      </c>
      <c r="B268" s="1">
        <v>2143528.4122608337</v>
      </c>
      <c r="D268" s="1">
        <v>737655.66590436455</v>
      </c>
    </row>
    <row r="269" spans="1:4">
      <c r="A269">
        <v>261</v>
      </c>
      <c r="B269" s="1">
        <v>1613126.1946058592</v>
      </c>
      <c r="D269" s="1">
        <v>930584.06017554738</v>
      </c>
    </row>
    <row r="270" spans="1:4">
      <c r="A270">
        <v>262</v>
      </c>
      <c r="B270" s="1">
        <v>1757511.1928531302</v>
      </c>
      <c r="D270" s="1">
        <v>740866.64917272888</v>
      </c>
    </row>
    <row r="271" spans="1:4">
      <c r="A271">
        <v>263</v>
      </c>
      <c r="B271" s="1">
        <v>1845748.2381023956</v>
      </c>
      <c r="D271" s="1">
        <v>474225.20817142772</v>
      </c>
    </row>
    <row r="272" spans="1:4">
      <c r="A272">
        <v>264</v>
      </c>
      <c r="B272" s="1">
        <v>2277722.6951395227</v>
      </c>
      <c r="D272" s="1">
        <v>704191.15538853826</v>
      </c>
    </row>
    <row r="273" spans="1:4">
      <c r="A273">
        <v>265</v>
      </c>
      <c r="B273" s="1">
        <v>1589075.5030000964</v>
      </c>
      <c r="D273" s="1">
        <v>801749.34590416634</v>
      </c>
    </row>
    <row r="274" spans="1:4">
      <c r="A274">
        <v>266</v>
      </c>
      <c r="B274" s="1">
        <v>2208349.3775377655</v>
      </c>
      <c r="D274" s="1">
        <v>880597.93825440574</v>
      </c>
    </row>
    <row r="275" spans="1:4">
      <c r="A275">
        <v>267</v>
      </c>
      <c r="B275" s="1">
        <v>2823703.6694253376</v>
      </c>
      <c r="D275" s="1">
        <v>1247342.8318282077</v>
      </c>
    </row>
    <row r="276" spans="1:4">
      <c r="A276">
        <v>268</v>
      </c>
      <c r="B276" s="1">
        <v>1761132.6896033178</v>
      </c>
      <c r="D276" s="1">
        <v>945870.50124979438</v>
      </c>
    </row>
    <row r="277" spans="1:4">
      <c r="A277">
        <v>269</v>
      </c>
      <c r="B277" s="1">
        <v>2694696.8650134634</v>
      </c>
      <c r="D277" s="1">
        <v>1248854.4986990858</v>
      </c>
    </row>
    <row r="278" spans="1:4">
      <c r="A278">
        <v>270</v>
      </c>
      <c r="B278" s="1">
        <v>1770095.8184503587</v>
      </c>
      <c r="D278" s="1">
        <v>777856.02751829475</v>
      </c>
    </row>
    <row r="279" spans="1:4">
      <c r="A279">
        <v>271</v>
      </c>
      <c r="B279" s="1">
        <v>3108938.0653605671</v>
      </c>
      <c r="D279" s="1">
        <v>1409170.3892289875</v>
      </c>
    </row>
    <row r="280" spans="1:4">
      <c r="A280">
        <v>272</v>
      </c>
      <c r="B280" s="1">
        <v>2329691.1064825859</v>
      </c>
      <c r="D280" s="1">
        <v>733536.56565974886</v>
      </c>
    </row>
    <row r="281" spans="1:4">
      <c r="A281">
        <v>273</v>
      </c>
      <c r="B281" s="1">
        <v>2664667.2253014785</v>
      </c>
      <c r="D281" s="1">
        <v>851163.0355297979</v>
      </c>
    </row>
    <row r="282" spans="1:4">
      <c r="A282">
        <v>274</v>
      </c>
      <c r="B282" s="1">
        <v>878572.83234962844</v>
      </c>
      <c r="D282" s="1">
        <v>274835.98658311041</v>
      </c>
    </row>
    <row r="283" spans="1:4">
      <c r="A283">
        <v>275</v>
      </c>
      <c r="B283" s="1">
        <v>3310572.304714351</v>
      </c>
      <c r="D283" s="1">
        <v>1305075.0649365745</v>
      </c>
    </row>
    <row r="284" spans="1:4">
      <c r="A284">
        <v>276</v>
      </c>
      <c r="B284" s="1">
        <v>2039703.0484426881</v>
      </c>
      <c r="D284" s="1">
        <v>995192.19869481726</v>
      </c>
    </row>
    <row r="285" spans="1:4">
      <c r="A285">
        <v>277</v>
      </c>
      <c r="B285" s="1">
        <v>1987207.5815139401</v>
      </c>
      <c r="D285" s="1">
        <v>800963.93475392414</v>
      </c>
    </row>
    <row r="286" spans="1:4">
      <c r="A286">
        <v>278</v>
      </c>
      <c r="B286" s="1">
        <v>2465686.2426844859</v>
      </c>
      <c r="D286" s="1">
        <v>1060359.7833774351</v>
      </c>
    </row>
    <row r="287" spans="1:4">
      <c r="A287">
        <v>279</v>
      </c>
      <c r="B287" s="1">
        <v>2587186.755045631</v>
      </c>
      <c r="D287" s="1">
        <v>992311.03438645694</v>
      </c>
    </row>
    <row r="288" spans="1:4">
      <c r="A288">
        <v>280</v>
      </c>
      <c r="B288" s="1">
        <v>2646438.8830672968</v>
      </c>
      <c r="D288" s="1">
        <v>983626.00121962558</v>
      </c>
    </row>
    <row r="289" spans="1:4">
      <c r="A289">
        <v>281</v>
      </c>
      <c r="B289" s="1">
        <v>2661197.1528963363</v>
      </c>
      <c r="D289" s="1">
        <v>1461012.5259367907</v>
      </c>
    </row>
    <row r="290" spans="1:4">
      <c r="A290">
        <v>282</v>
      </c>
      <c r="B290" s="1">
        <v>2009244.0500606352</v>
      </c>
      <c r="D290" s="1">
        <v>890570.99139793124</v>
      </c>
    </row>
    <row r="291" spans="1:4">
      <c r="A291">
        <v>283</v>
      </c>
      <c r="B291" s="1">
        <v>2278357.0134585775</v>
      </c>
      <c r="D291" s="1">
        <v>1007320.2900426909</v>
      </c>
    </row>
    <row r="292" spans="1:4">
      <c r="A292">
        <v>284</v>
      </c>
      <c r="B292" s="1">
        <v>2449419.8597804829</v>
      </c>
      <c r="D292" s="1">
        <v>817063.84734369256</v>
      </c>
    </row>
    <row r="293" spans="1:4">
      <c r="A293">
        <v>285</v>
      </c>
      <c r="B293" s="1">
        <v>2334665.5831751074</v>
      </c>
      <c r="D293" s="1">
        <v>671777.33530846704</v>
      </c>
    </row>
    <row r="294" spans="1:4">
      <c r="A294">
        <v>286</v>
      </c>
      <c r="B294" s="1">
        <v>1555119.3651219923</v>
      </c>
      <c r="D294" s="1">
        <v>941579.38974949997</v>
      </c>
    </row>
    <row r="295" spans="1:4">
      <c r="A295">
        <v>287</v>
      </c>
      <c r="B295" s="1">
        <v>2024380.5335074735</v>
      </c>
      <c r="D295" s="1">
        <v>712207.51318520261</v>
      </c>
    </row>
    <row r="296" spans="1:4">
      <c r="A296">
        <v>288</v>
      </c>
      <c r="B296" s="1">
        <v>2879432.4758437453</v>
      </c>
      <c r="D296" s="1">
        <v>1423321.7501169643</v>
      </c>
    </row>
    <row r="297" spans="1:4">
      <c r="A297">
        <v>289</v>
      </c>
      <c r="B297" s="1">
        <v>1726231.8531014756</v>
      </c>
      <c r="D297" s="1">
        <v>528015.48154683551</v>
      </c>
    </row>
    <row r="298" spans="1:4">
      <c r="A298">
        <v>290</v>
      </c>
      <c r="B298" s="1">
        <v>2842487.984849174</v>
      </c>
      <c r="D298" s="1">
        <v>1230686.3156998004</v>
      </c>
    </row>
    <row r="299" spans="1:4">
      <c r="A299">
        <v>291</v>
      </c>
      <c r="B299" s="1">
        <v>2045601.3910748812</v>
      </c>
      <c r="D299" s="1">
        <v>1110422.574417646</v>
      </c>
    </row>
    <row r="300" spans="1:4">
      <c r="A300">
        <v>292</v>
      </c>
      <c r="B300" s="1">
        <v>2300619.4048433225</v>
      </c>
      <c r="D300" s="1">
        <v>686584.9839032921</v>
      </c>
    </row>
    <row r="301" spans="1:4">
      <c r="A301">
        <v>293</v>
      </c>
      <c r="B301" s="1">
        <v>2557064.7301567565</v>
      </c>
      <c r="D301" s="1">
        <v>1140832.4451407888</v>
      </c>
    </row>
    <row r="302" spans="1:4">
      <c r="A302">
        <v>294</v>
      </c>
      <c r="B302" s="1">
        <v>2133220.5393622206</v>
      </c>
      <c r="D302" s="1">
        <v>796077.34617547411</v>
      </c>
    </row>
    <row r="303" spans="1:4">
      <c r="A303">
        <v>295</v>
      </c>
      <c r="B303" s="1">
        <v>1964836.2135636383</v>
      </c>
      <c r="D303" s="1">
        <v>664237.34296874842</v>
      </c>
    </row>
    <row r="304" spans="1:4">
      <c r="A304">
        <v>296</v>
      </c>
      <c r="B304" s="1">
        <v>2315588.3221220383</v>
      </c>
      <c r="D304" s="1">
        <v>856993.23085454525</v>
      </c>
    </row>
    <row r="305" spans="1:4">
      <c r="A305">
        <v>297</v>
      </c>
      <c r="B305" s="1">
        <v>2183768.455205611</v>
      </c>
      <c r="D305" s="1">
        <v>318536.46568819648</v>
      </c>
    </row>
    <row r="306" spans="1:4">
      <c r="A306">
        <v>298</v>
      </c>
      <c r="B306" s="1">
        <v>2215824.5827599722</v>
      </c>
      <c r="D306" s="1">
        <v>1107425.936177772</v>
      </c>
    </row>
    <row r="307" spans="1:4">
      <c r="A307">
        <v>299</v>
      </c>
      <c r="B307" s="1">
        <v>2472236.4120468176</v>
      </c>
      <c r="D307" s="1">
        <v>309315.20713097416</v>
      </c>
    </row>
    <row r="308" spans="1:4">
      <c r="A308">
        <v>300</v>
      </c>
      <c r="B308" s="1">
        <v>1841492.7958020023</v>
      </c>
      <c r="D308" s="1">
        <v>311589.33778592758</v>
      </c>
    </row>
    <row r="309" spans="1:4">
      <c r="A309">
        <v>301</v>
      </c>
      <c r="B309" s="1">
        <v>1680442.6052882201</v>
      </c>
      <c r="D309" s="1">
        <v>655317.88521395298</v>
      </c>
    </row>
    <row r="310" spans="1:4">
      <c r="A310">
        <v>302</v>
      </c>
      <c r="B310" s="1">
        <v>2529652.0467187855</v>
      </c>
      <c r="D310" s="1">
        <v>1336715.0180771681</v>
      </c>
    </row>
    <row r="311" spans="1:4">
      <c r="A311">
        <v>303</v>
      </c>
      <c r="B311" s="1">
        <v>1731923.3544242457</v>
      </c>
      <c r="D311" s="1">
        <v>733419.64179969532</v>
      </c>
    </row>
    <row r="312" spans="1:4">
      <c r="A312">
        <v>304</v>
      </c>
      <c r="B312" s="1">
        <v>2073245.1173517401</v>
      </c>
      <c r="D312" s="1">
        <v>904683.95953287836</v>
      </c>
    </row>
    <row r="313" spans="1:4">
      <c r="A313">
        <v>305</v>
      </c>
      <c r="B313" s="1">
        <v>2552267.2878964106</v>
      </c>
      <c r="D313" s="1">
        <v>1334573.802052631</v>
      </c>
    </row>
    <row r="314" spans="1:4">
      <c r="A314">
        <v>306</v>
      </c>
      <c r="B314" s="1">
        <v>1752438.7114194729</v>
      </c>
      <c r="D314" s="1">
        <v>1275578.7625243925</v>
      </c>
    </row>
    <row r="315" spans="1:4">
      <c r="A315">
        <v>307</v>
      </c>
      <c r="B315" s="1">
        <v>1413141.771236382</v>
      </c>
      <c r="D315" s="1">
        <v>678384.47531458316</v>
      </c>
    </row>
    <row r="316" spans="1:4">
      <c r="A316">
        <v>308</v>
      </c>
      <c r="B316" s="1">
        <v>1948627.2252007902</v>
      </c>
      <c r="D316" s="1">
        <v>509086.32965541119</v>
      </c>
    </row>
    <row r="317" spans="1:4">
      <c r="A317">
        <v>309</v>
      </c>
      <c r="B317" s="1">
        <v>2498180.4700499675</v>
      </c>
      <c r="D317" s="1">
        <v>1118029.7406033454</v>
      </c>
    </row>
    <row r="318" spans="1:4">
      <c r="A318">
        <v>310</v>
      </c>
      <c r="B318" s="1">
        <v>2445502.3391993768</v>
      </c>
      <c r="D318" s="1">
        <v>716171.05693228776</v>
      </c>
    </row>
    <row r="319" spans="1:4">
      <c r="A319">
        <v>311</v>
      </c>
      <c r="B319" s="1">
        <v>2234735.2384812818</v>
      </c>
      <c r="D319" s="1">
        <v>785372.83595553506</v>
      </c>
    </row>
    <row r="320" spans="1:4">
      <c r="A320">
        <v>312</v>
      </c>
      <c r="B320" s="1">
        <v>2100121.5574354664</v>
      </c>
      <c r="D320" s="1">
        <v>1078636.0766254361</v>
      </c>
    </row>
    <row r="321" spans="1:4">
      <c r="A321">
        <v>313</v>
      </c>
      <c r="B321" s="1">
        <v>2619207.623852815</v>
      </c>
      <c r="D321" s="1">
        <v>929172.02441884344</v>
      </c>
    </row>
    <row r="322" spans="1:4">
      <c r="A322">
        <v>314</v>
      </c>
      <c r="B322" s="1">
        <v>1995383.5279547588</v>
      </c>
      <c r="D322" s="1">
        <v>748797.11360564735</v>
      </c>
    </row>
    <row r="323" spans="1:4">
      <c r="A323">
        <v>315</v>
      </c>
      <c r="B323" s="1">
        <v>2585741.7285195659</v>
      </c>
      <c r="D323" s="1">
        <v>827764.3302257536</v>
      </c>
    </row>
    <row r="324" spans="1:4">
      <c r="A324">
        <v>316</v>
      </c>
      <c r="B324" s="1">
        <v>2013923.6743067435</v>
      </c>
      <c r="D324" s="1">
        <v>1201042.9242513734</v>
      </c>
    </row>
    <row r="325" spans="1:4">
      <c r="A325">
        <v>317</v>
      </c>
      <c r="B325" s="1">
        <v>1573927.769913533</v>
      </c>
      <c r="D325" s="1">
        <v>557536.05779763637</v>
      </c>
    </row>
    <row r="326" spans="1:4">
      <c r="A326">
        <v>318</v>
      </c>
      <c r="B326" s="1">
        <v>807715.28337301966</v>
      </c>
      <c r="D326" s="1">
        <v>754481.52650126535</v>
      </c>
    </row>
    <row r="327" spans="1:4">
      <c r="A327">
        <v>319</v>
      </c>
      <c r="B327" s="1">
        <v>2548912.0709903911</v>
      </c>
      <c r="D327" s="1">
        <v>972489.760742696</v>
      </c>
    </row>
    <row r="328" spans="1:4">
      <c r="A328">
        <v>320</v>
      </c>
      <c r="B328" s="1">
        <v>1630294.4958889044</v>
      </c>
      <c r="D328" s="1">
        <v>883476.55373118632</v>
      </c>
    </row>
    <row r="329" spans="1:4">
      <c r="A329">
        <v>321</v>
      </c>
      <c r="B329" s="1">
        <v>2327191.8676750376</v>
      </c>
      <c r="D329" s="1">
        <v>815135.05108787864</v>
      </c>
    </row>
    <row r="330" spans="1:4">
      <c r="A330">
        <v>322</v>
      </c>
      <c r="B330" s="1">
        <v>1859690.809784767</v>
      </c>
      <c r="D330" s="1">
        <v>931591.2520747697</v>
      </c>
    </row>
    <row r="331" spans="1:4">
      <c r="A331">
        <v>323</v>
      </c>
      <c r="B331" s="1">
        <v>1726899.9507471423</v>
      </c>
      <c r="D331" s="1">
        <v>1048356.5324391779</v>
      </c>
    </row>
    <row r="332" spans="1:4">
      <c r="A332">
        <v>324</v>
      </c>
      <c r="B332" s="1">
        <v>1528283.0901769607</v>
      </c>
      <c r="D332" s="1">
        <v>265655.97143811593</v>
      </c>
    </row>
    <row r="333" spans="1:4">
      <c r="A333">
        <v>325</v>
      </c>
      <c r="B333" s="1">
        <v>1913559.2885513352</v>
      </c>
      <c r="D333" s="1">
        <v>183438.05898959562</v>
      </c>
    </row>
    <row r="334" spans="1:4">
      <c r="A334">
        <v>326</v>
      </c>
      <c r="B334" s="1">
        <v>1453916.2489126159</v>
      </c>
      <c r="D334" s="1">
        <v>545966.77139901277</v>
      </c>
    </row>
    <row r="335" spans="1:4">
      <c r="A335">
        <v>327</v>
      </c>
      <c r="B335" s="1">
        <v>1753331.5343267419</v>
      </c>
      <c r="D335" s="1">
        <v>295085.67386437533</v>
      </c>
    </row>
    <row r="336" spans="1:4">
      <c r="A336">
        <v>328</v>
      </c>
      <c r="B336" s="1">
        <v>1764182.8113522369</v>
      </c>
      <c r="D336" s="1">
        <v>862134.40572443604</v>
      </c>
    </row>
    <row r="337" spans="1:4">
      <c r="A337">
        <v>329</v>
      </c>
      <c r="B337" s="1">
        <v>2000082.8352606122</v>
      </c>
      <c r="D337" s="1">
        <v>979946.17397935037</v>
      </c>
    </row>
    <row r="338" spans="1:4">
      <c r="A338">
        <v>330</v>
      </c>
      <c r="B338" s="1">
        <v>2675645.5947221131</v>
      </c>
      <c r="D338" s="1">
        <v>953943.53310493426</v>
      </c>
    </row>
    <row r="339" spans="1:4">
      <c r="A339">
        <v>331</v>
      </c>
      <c r="B339" s="1">
        <v>2650478.1899855654</v>
      </c>
      <c r="D339" s="1">
        <v>1280430.4013969256</v>
      </c>
    </row>
    <row r="340" spans="1:4">
      <c r="A340">
        <v>332</v>
      </c>
      <c r="B340" s="1">
        <v>2714099.7796341898</v>
      </c>
      <c r="D340" s="1">
        <v>1166455.0030427594</v>
      </c>
    </row>
    <row r="341" spans="1:4">
      <c r="A341">
        <v>333</v>
      </c>
      <c r="B341" s="1">
        <v>2340785.1812502826</v>
      </c>
      <c r="D341" s="1">
        <v>1515692.4964471166</v>
      </c>
    </row>
    <row r="342" spans="1:4">
      <c r="A342">
        <v>334</v>
      </c>
      <c r="B342" s="1">
        <v>2223453.2367633837</v>
      </c>
      <c r="D342" s="1">
        <v>1087716.6769160423</v>
      </c>
    </row>
    <row r="343" spans="1:4">
      <c r="A343">
        <v>335</v>
      </c>
      <c r="B343" s="1">
        <v>1526769.3915131639</v>
      </c>
      <c r="D343" s="1">
        <v>608787.0914666038</v>
      </c>
    </row>
    <row r="344" spans="1:4">
      <c r="A344">
        <v>336</v>
      </c>
      <c r="B344" s="1">
        <v>2777464.6728717303</v>
      </c>
      <c r="D344" s="1">
        <v>1254073.9110692414</v>
      </c>
    </row>
    <row r="345" spans="1:4">
      <c r="A345">
        <v>337</v>
      </c>
      <c r="B345" s="1">
        <v>2281306.376960014</v>
      </c>
      <c r="D345" s="1">
        <v>954467.28337101871</v>
      </c>
    </row>
    <row r="346" spans="1:4">
      <c r="A346">
        <v>338</v>
      </c>
      <c r="B346" s="1">
        <v>2472411.1887198631</v>
      </c>
      <c r="D346" s="1">
        <v>847676.15764445346</v>
      </c>
    </row>
    <row r="347" spans="1:4">
      <c r="A347">
        <v>339</v>
      </c>
      <c r="B347" s="1">
        <v>2872997.9433841002</v>
      </c>
      <c r="D347" s="1">
        <v>1296083.3471978931</v>
      </c>
    </row>
    <row r="348" spans="1:4">
      <c r="A348">
        <v>340</v>
      </c>
      <c r="B348" s="1">
        <v>1272094.6477739154</v>
      </c>
      <c r="D348" s="1">
        <v>556514.74384548422</v>
      </c>
    </row>
    <row r="349" spans="1:4">
      <c r="A349">
        <v>341</v>
      </c>
      <c r="B349" s="1">
        <v>2167009.0260978122</v>
      </c>
      <c r="D349" s="1">
        <v>538011.83819666039</v>
      </c>
    </row>
    <row r="350" spans="1:4">
      <c r="A350">
        <v>342</v>
      </c>
      <c r="B350" s="1">
        <v>1407939.1726188334</v>
      </c>
      <c r="D350" s="1">
        <v>934275.16085183108</v>
      </c>
    </row>
    <row r="351" spans="1:4">
      <c r="A351">
        <v>343</v>
      </c>
      <c r="B351" s="1">
        <v>2008225.201632207</v>
      </c>
      <c r="D351" s="1">
        <v>1204609.5004781531</v>
      </c>
    </row>
    <row r="352" spans="1:4">
      <c r="A352">
        <v>344</v>
      </c>
      <c r="B352" s="1">
        <v>1689432.3426452384</v>
      </c>
      <c r="D352" s="1">
        <v>343726.72836884996</v>
      </c>
    </row>
    <row r="353" spans="1:4">
      <c r="A353">
        <v>345</v>
      </c>
      <c r="B353" s="1">
        <v>3189685.5689670686</v>
      </c>
      <c r="D353" s="1">
        <v>1325212.448362974</v>
      </c>
    </row>
    <row r="354" spans="1:4">
      <c r="A354">
        <v>346</v>
      </c>
      <c r="B354" s="1">
        <v>1889619.7172406663</v>
      </c>
      <c r="D354" s="1">
        <v>182183.55363063607</v>
      </c>
    </row>
    <row r="355" spans="1:4">
      <c r="A355">
        <v>347</v>
      </c>
      <c r="B355" s="1">
        <v>2209448.3808913631</v>
      </c>
      <c r="D355" s="1">
        <v>746180.8605633215</v>
      </c>
    </row>
    <row r="356" spans="1:4">
      <c r="A356">
        <v>348</v>
      </c>
      <c r="B356" s="1">
        <v>1928560.8197774598</v>
      </c>
      <c r="D356" s="1">
        <v>513099.18351892382</v>
      </c>
    </row>
    <row r="357" spans="1:4">
      <c r="A357">
        <v>349</v>
      </c>
      <c r="B357" s="1">
        <v>2104311.7641767506</v>
      </c>
      <c r="D357" s="1">
        <v>934836.1678779535</v>
      </c>
    </row>
    <row r="358" spans="1:4">
      <c r="A358">
        <v>350</v>
      </c>
      <c r="B358" s="1">
        <v>3007432.8749975776</v>
      </c>
      <c r="D358" s="1">
        <v>1204821.2704340378</v>
      </c>
    </row>
    <row r="359" spans="1:4">
      <c r="A359">
        <v>351</v>
      </c>
      <c r="B359" s="1">
        <v>1956557.0459966299</v>
      </c>
      <c r="D359" s="1">
        <v>1088084.6892238543</v>
      </c>
    </row>
    <row r="360" spans="1:4">
      <c r="A360">
        <v>352</v>
      </c>
      <c r="B360" s="1">
        <v>1937072.359402078</v>
      </c>
      <c r="D360" s="1">
        <v>1153568.1440287782</v>
      </c>
    </row>
    <row r="361" spans="1:4">
      <c r="A361">
        <v>353</v>
      </c>
      <c r="B361" s="1">
        <v>3006531.1715652607</v>
      </c>
      <c r="D361" s="1">
        <v>1133210.8350020684</v>
      </c>
    </row>
    <row r="362" spans="1:4">
      <c r="A362">
        <v>354</v>
      </c>
      <c r="B362" s="1">
        <v>1754958.0317186567</v>
      </c>
      <c r="D362" s="1">
        <v>834208.65137079079</v>
      </c>
    </row>
    <row r="363" spans="1:4">
      <c r="A363">
        <v>355</v>
      </c>
      <c r="B363" s="1">
        <v>2248104.8802782334</v>
      </c>
      <c r="D363" s="1">
        <v>864920.11482518259</v>
      </c>
    </row>
    <row r="364" spans="1:4">
      <c r="A364">
        <v>356</v>
      </c>
      <c r="B364" s="1">
        <v>1890558.1385570448</v>
      </c>
      <c r="D364" s="1">
        <v>814665.30933921365</v>
      </c>
    </row>
    <row r="365" spans="1:4">
      <c r="A365">
        <v>357</v>
      </c>
      <c r="B365" s="1">
        <v>2178598.215895128</v>
      </c>
      <c r="D365" s="1">
        <v>917692.20123603661</v>
      </c>
    </row>
    <row r="366" spans="1:4">
      <c r="A366">
        <v>358</v>
      </c>
      <c r="B366" s="1">
        <v>2312993.9755111509</v>
      </c>
      <c r="D366" s="1">
        <v>635501.56637241412</v>
      </c>
    </row>
    <row r="367" spans="1:4">
      <c r="A367">
        <v>359</v>
      </c>
      <c r="B367" s="1">
        <v>1530811.3248074846</v>
      </c>
      <c r="D367" s="1">
        <v>408784.29057920398</v>
      </c>
    </row>
    <row r="368" spans="1:4">
      <c r="A368">
        <v>360</v>
      </c>
      <c r="B368" s="1">
        <v>1871210.4463460904</v>
      </c>
      <c r="D368" s="1">
        <v>567205.85821923194</v>
      </c>
    </row>
    <row r="369" spans="1:4">
      <c r="A369">
        <v>361</v>
      </c>
      <c r="B369" s="1">
        <v>2221211.523419823</v>
      </c>
      <c r="D369" s="1">
        <v>798542.59661217034</v>
      </c>
    </row>
    <row r="370" spans="1:4">
      <c r="A370">
        <v>362</v>
      </c>
      <c r="B370" s="1">
        <v>2220662.4276763434</v>
      </c>
      <c r="D370" s="1">
        <v>1045787.2016326236</v>
      </c>
    </row>
    <row r="371" spans="1:4">
      <c r="A371">
        <v>363</v>
      </c>
      <c r="B371" s="1">
        <v>1660333.8487092</v>
      </c>
      <c r="D371" s="1">
        <v>1006987.8925895621</v>
      </c>
    </row>
    <row r="372" spans="1:4">
      <c r="A372">
        <v>364</v>
      </c>
      <c r="B372" s="1">
        <v>1672242.6802897411</v>
      </c>
      <c r="D372" s="1">
        <v>971221.08283856511</v>
      </c>
    </row>
    <row r="373" spans="1:4">
      <c r="A373">
        <v>365</v>
      </c>
      <c r="B373" s="1">
        <v>1998812.8961470532</v>
      </c>
      <c r="D373" s="1">
        <v>530663.87700154958</v>
      </c>
    </row>
    <row r="374" spans="1:4">
      <c r="A374">
        <v>366</v>
      </c>
      <c r="B374" s="1">
        <v>2128290.7008460453</v>
      </c>
      <c r="D374" s="1">
        <v>993143.84953430668</v>
      </c>
    </row>
    <row r="375" spans="1:4">
      <c r="A375">
        <v>367</v>
      </c>
      <c r="B375" s="1">
        <v>2076989.627645263</v>
      </c>
      <c r="D375" s="1">
        <v>631476.66003651218</v>
      </c>
    </row>
    <row r="376" spans="1:4">
      <c r="A376">
        <v>368</v>
      </c>
      <c r="B376" s="1">
        <v>1138940.8310541776</v>
      </c>
      <c r="D376" s="1">
        <v>422647.69384677615</v>
      </c>
    </row>
    <row r="377" spans="1:4">
      <c r="A377">
        <v>369</v>
      </c>
      <c r="B377" s="1">
        <v>2886956.1463986519</v>
      </c>
      <c r="D377" s="1">
        <v>1399631.7108079786</v>
      </c>
    </row>
    <row r="378" spans="1:4">
      <c r="A378">
        <v>370</v>
      </c>
      <c r="B378" s="1">
        <v>2014721.5811913281</v>
      </c>
      <c r="D378" s="1">
        <v>443925.8891496975</v>
      </c>
    </row>
    <row r="379" spans="1:4">
      <c r="A379">
        <v>371</v>
      </c>
      <c r="B379" s="1">
        <v>1973309.9601162302</v>
      </c>
      <c r="D379" s="1">
        <v>458374.85411875648</v>
      </c>
    </row>
    <row r="380" spans="1:4">
      <c r="A380">
        <v>372</v>
      </c>
      <c r="B380" s="1">
        <v>2872422.1720980136</v>
      </c>
      <c r="D380" s="1">
        <v>752207.3366060378</v>
      </c>
    </row>
    <row r="381" spans="1:4">
      <c r="A381">
        <v>373</v>
      </c>
      <c r="B381" s="1">
        <v>1674066.021241355</v>
      </c>
      <c r="D381" s="1">
        <v>674196.01091627404</v>
      </c>
    </row>
    <row r="382" spans="1:4">
      <c r="A382">
        <v>374</v>
      </c>
      <c r="B382" s="1">
        <v>2646054.4124238901</v>
      </c>
      <c r="D382" s="1">
        <v>984531.61067721061</v>
      </c>
    </row>
    <row r="383" spans="1:4">
      <c r="A383">
        <v>375</v>
      </c>
      <c r="B383" s="1">
        <v>2430447.1187008563</v>
      </c>
      <c r="D383" s="1">
        <v>1214022.6980992374</v>
      </c>
    </row>
    <row r="384" spans="1:4">
      <c r="A384">
        <v>376</v>
      </c>
      <c r="B384" s="1">
        <v>1484505.0740940382</v>
      </c>
      <c r="D384" s="1">
        <v>531362.80989111215</v>
      </c>
    </row>
    <row r="385" spans="1:4">
      <c r="A385">
        <v>377</v>
      </c>
      <c r="B385" s="1">
        <v>2087016.4340643277</v>
      </c>
      <c r="D385" s="1">
        <v>1107655.1778549971</v>
      </c>
    </row>
    <row r="386" spans="1:4">
      <c r="A386">
        <v>378</v>
      </c>
      <c r="B386" s="1">
        <v>1937993.332747486</v>
      </c>
      <c r="D386" s="1">
        <v>833186.00885428488</v>
      </c>
    </row>
    <row r="387" spans="1:4">
      <c r="A387">
        <v>379</v>
      </c>
      <c r="B387" s="1">
        <v>1626089.2042258305</v>
      </c>
      <c r="D387" s="1">
        <v>534287.4786993512</v>
      </c>
    </row>
    <row r="388" spans="1:4">
      <c r="A388">
        <v>380</v>
      </c>
      <c r="B388" s="1">
        <v>1947501.1894971661</v>
      </c>
      <c r="D388" s="1">
        <v>740744.04151972244</v>
      </c>
    </row>
    <row r="389" spans="1:4">
      <c r="A389">
        <v>381</v>
      </c>
      <c r="B389" s="1">
        <v>2265452.1737789735</v>
      </c>
      <c r="D389" s="1">
        <v>528432.38272554614</v>
      </c>
    </row>
    <row r="390" spans="1:4">
      <c r="A390">
        <v>382</v>
      </c>
      <c r="B390" s="1">
        <v>2536847.7358368132</v>
      </c>
      <c r="D390" s="1">
        <v>1063003.1092435918</v>
      </c>
    </row>
    <row r="391" spans="1:4">
      <c r="A391">
        <v>383</v>
      </c>
      <c r="B391" s="1">
        <v>2220363.8912515622</v>
      </c>
      <c r="D391" s="1">
        <v>1124505.1603799732</v>
      </c>
    </row>
    <row r="392" spans="1:4">
      <c r="A392">
        <v>384</v>
      </c>
      <c r="B392" s="1">
        <v>1487785.4781719826</v>
      </c>
      <c r="D392" s="1">
        <v>811040.27780455211</v>
      </c>
    </row>
    <row r="393" spans="1:4">
      <c r="A393">
        <v>385</v>
      </c>
      <c r="B393" s="1">
        <v>2999771.8530746619</v>
      </c>
      <c r="D393" s="1">
        <v>1339730.0692137065</v>
      </c>
    </row>
    <row r="394" spans="1:4">
      <c r="A394">
        <v>386</v>
      </c>
      <c r="B394" s="1">
        <v>1920606.5001548014</v>
      </c>
      <c r="D394" s="1">
        <v>585146.86244752491</v>
      </c>
    </row>
    <row r="395" spans="1:4">
      <c r="A395">
        <v>387</v>
      </c>
      <c r="B395" s="1">
        <v>2814768.4404477701</v>
      </c>
      <c r="D395" s="1">
        <v>842615.60576277832</v>
      </c>
    </row>
    <row r="396" spans="1:4">
      <c r="A396">
        <v>388</v>
      </c>
      <c r="B396" s="1">
        <v>2330993.511561214</v>
      </c>
      <c r="D396" s="1">
        <v>600719.90816680016</v>
      </c>
    </row>
    <row r="397" spans="1:4">
      <c r="A397">
        <v>389</v>
      </c>
      <c r="B397" s="1">
        <v>2202986.4278769456</v>
      </c>
      <c r="D397" s="1">
        <v>387393.16024044156</v>
      </c>
    </row>
    <row r="398" spans="1:4">
      <c r="A398">
        <v>390</v>
      </c>
      <c r="B398" s="1">
        <v>2631099.4797336082</v>
      </c>
      <c r="D398" s="1">
        <v>541364.17657118198</v>
      </c>
    </row>
    <row r="399" spans="1:4">
      <c r="A399">
        <v>391</v>
      </c>
      <c r="B399" s="1">
        <v>2270227.4363214145</v>
      </c>
      <c r="D399" s="1">
        <v>698512.04786064802</v>
      </c>
    </row>
    <row r="400" spans="1:4">
      <c r="A400">
        <v>392</v>
      </c>
      <c r="B400" s="1">
        <v>2343664.6857439457</v>
      </c>
      <c r="D400" s="1">
        <v>750313.73192282068</v>
      </c>
    </row>
    <row r="401" spans="1:4">
      <c r="A401">
        <v>393</v>
      </c>
      <c r="B401" s="1">
        <v>1875855.312483971</v>
      </c>
      <c r="D401" s="1">
        <v>376960.93439663947</v>
      </c>
    </row>
    <row r="402" spans="1:4">
      <c r="A402">
        <v>394</v>
      </c>
      <c r="B402" s="1">
        <v>2233141.5074212202</v>
      </c>
      <c r="D402" s="1">
        <v>471717.65303656599</v>
      </c>
    </row>
    <row r="403" spans="1:4">
      <c r="A403">
        <v>395</v>
      </c>
      <c r="B403" s="1">
        <v>2466857.8389038383</v>
      </c>
      <c r="D403" s="1">
        <v>880466.75622099917</v>
      </c>
    </row>
    <row r="404" spans="1:4">
      <c r="A404">
        <v>396</v>
      </c>
      <c r="B404" s="1">
        <v>1982474.5867881684</v>
      </c>
      <c r="D404" s="1">
        <v>570085.40385647072</v>
      </c>
    </row>
    <row r="405" spans="1:4">
      <c r="A405">
        <v>397</v>
      </c>
      <c r="B405" s="1">
        <v>2493478.5598319029</v>
      </c>
      <c r="D405" s="1">
        <v>1136737.8720484395</v>
      </c>
    </row>
    <row r="406" spans="1:4">
      <c r="A406">
        <v>398</v>
      </c>
      <c r="B406" s="1">
        <v>1923173.1758851195</v>
      </c>
      <c r="D406" s="1">
        <v>368655.59652476339</v>
      </c>
    </row>
    <row r="407" spans="1:4">
      <c r="A407">
        <v>399</v>
      </c>
      <c r="B407" s="1">
        <v>2148331.8771382645</v>
      </c>
      <c r="D407" s="1">
        <v>1129223.5534274066</v>
      </c>
    </row>
    <row r="408" spans="1:4">
      <c r="A408">
        <v>400</v>
      </c>
      <c r="B408" s="1">
        <v>1679545.8404015787</v>
      </c>
      <c r="D408" s="1">
        <v>484118.86359089194</v>
      </c>
    </row>
    <row r="409" spans="1:4">
      <c r="A409">
        <v>401</v>
      </c>
      <c r="B409" s="1">
        <v>1973746.3912387695</v>
      </c>
      <c r="D409" s="1">
        <v>491205.42560721468</v>
      </c>
    </row>
    <row r="410" spans="1:4">
      <c r="A410">
        <v>402</v>
      </c>
      <c r="B410" s="1">
        <v>1680203.3454163992</v>
      </c>
      <c r="D410" s="1">
        <v>993740.60524681862</v>
      </c>
    </row>
    <row r="411" spans="1:4">
      <c r="A411">
        <v>403</v>
      </c>
      <c r="B411" s="1">
        <v>2088933.6494262868</v>
      </c>
      <c r="D411" s="1">
        <v>1084285.0456729829</v>
      </c>
    </row>
    <row r="412" spans="1:4">
      <c r="A412">
        <v>404</v>
      </c>
      <c r="B412" s="1">
        <v>2296443.2211625469</v>
      </c>
      <c r="D412" s="1">
        <v>1222095.1476917299</v>
      </c>
    </row>
    <row r="413" spans="1:4">
      <c r="A413">
        <v>405</v>
      </c>
      <c r="B413" s="1">
        <v>1869945.5935451942</v>
      </c>
      <c r="D413" s="1">
        <v>1022227.8029925912</v>
      </c>
    </row>
    <row r="414" spans="1:4">
      <c r="A414">
        <v>406</v>
      </c>
      <c r="B414" s="1">
        <v>1903842.6572366208</v>
      </c>
      <c r="D414" s="1">
        <v>720269.76397363236</v>
      </c>
    </row>
    <row r="415" spans="1:4">
      <c r="A415">
        <v>407</v>
      </c>
      <c r="B415" s="1">
        <v>2596081.3619587412</v>
      </c>
      <c r="D415" s="1">
        <v>561447.66142824339</v>
      </c>
    </row>
    <row r="416" spans="1:4">
      <c r="A416">
        <v>408</v>
      </c>
      <c r="B416" s="1">
        <v>2100164.6762593105</v>
      </c>
      <c r="D416" s="1">
        <v>884816.3181207031</v>
      </c>
    </row>
    <row r="417" spans="1:4">
      <c r="A417">
        <v>409</v>
      </c>
      <c r="B417" s="1">
        <v>2081402.5251052799</v>
      </c>
      <c r="D417" s="1">
        <v>684281.44460867206</v>
      </c>
    </row>
    <row r="418" spans="1:4">
      <c r="A418">
        <v>410</v>
      </c>
      <c r="B418" s="1">
        <v>1252021.8662801711</v>
      </c>
      <c r="D418" s="1">
        <v>517886.45154428016</v>
      </c>
    </row>
    <row r="419" spans="1:4">
      <c r="A419">
        <v>411</v>
      </c>
      <c r="B419" s="1">
        <v>1699230.3198513386</v>
      </c>
      <c r="D419" s="1">
        <v>517307.12811303698</v>
      </c>
    </row>
    <row r="420" spans="1:4">
      <c r="A420">
        <v>412</v>
      </c>
      <c r="B420" s="1">
        <v>2011376.1578708005</v>
      </c>
      <c r="D420" s="1">
        <v>666011.16778179118</v>
      </c>
    </row>
    <row r="421" spans="1:4">
      <c r="A421">
        <v>413</v>
      </c>
      <c r="B421" s="1">
        <v>2182707.4950422752</v>
      </c>
      <c r="D421" s="1">
        <v>853155.4914954761</v>
      </c>
    </row>
    <row r="422" spans="1:4">
      <c r="A422">
        <v>414</v>
      </c>
      <c r="B422" s="1">
        <v>1824177.0256468493</v>
      </c>
      <c r="D422" s="1">
        <v>251468.70597437769</v>
      </c>
    </row>
    <row r="423" spans="1:4">
      <c r="A423">
        <v>415</v>
      </c>
      <c r="B423" s="1">
        <v>1992378.190290072</v>
      </c>
      <c r="D423" s="1">
        <v>510022.28603311162</v>
      </c>
    </row>
    <row r="424" spans="1:4">
      <c r="A424">
        <v>416</v>
      </c>
      <c r="B424" s="1">
        <v>2148634.2121455856</v>
      </c>
      <c r="D424" s="1">
        <v>554751.45184204215</v>
      </c>
    </row>
    <row r="425" spans="1:4">
      <c r="A425">
        <v>417</v>
      </c>
      <c r="B425" s="1">
        <v>2202829.0349379671</v>
      </c>
      <c r="D425" s="1">
        <v>1325790.2770700473</v>
      </c>
    </row>
    <row r="426" spans="1:4">
      <c r="A426">
        <v>418</v>
      </c>
      <c r="B426" s="1">
        <v>2626471.8156011607</v>
      </c>
      <c r="D426" s="1">
        <v>409634.47778123245</v>
      </c>
    </row>
    <row r="427" spans="1:4">
      <c r="A427">
        <v>419</v>
      </c>
      <c r="B427" s="1">
        <v>1939953.9072468625</v>
      </c>
      <c r="D427" s="1">
        <v>834455.85676164925</v>
      </c>
    </row>
    <row r="428" spans="1:4">
      <c r="A428">
        <v>420</v>
      </c>
      <c r="B428" s="1">
        <v>1782286.4867259411</v>
      </c>
      <c r="D428" s="1">
        <v>250957.98827936547</v>
      </c>
    </row>
    <row r="429" spans="1:4">
      <c r="A429">
        <v>421</v>
      </c>
      <c r="B429" s="1">
        <v>1383652.699372129</v>
      </c>
      <c r="D429" s="1">
        <v>731625.85763614206</v>
      </c>
    </row>
    <row r="430" spans="1:4">
      <c r="A430">
        <v>422</v>
      </c>
      <c r="B430" s="1">
        <v>2223823.5103879091</v>
      </c>
      <c r="D430" s="1">
        <v>453754.46331871906</v>
      </c>
    </row>
    <row r="431" spans="1:4">
      <c r="A431">
        <v>423</v>
      </c>
      <c r="B431" s="1">
        <v>1466885.3744553006</v>
      </c>
      <c r="D431" s="1">
        <v>360174.45702754427</v>
      </c>
    </row>
    <row r="432" spans="1:4">
      <c r="A432">
        <v>424</v>
      </c>
      <c r="B432" s="1">
        <v>2191754.4613822927</v>
      </c>
      <c r="D432" s="1">
        <v>716214.828453911</v>
      </c>
    </row>
    <row r="433" spans="1:4">
      <c r="A433">
        <v>425</v>
      </c>
      <c r="B433" s="1">
        <v>2403478.9037487372</v>
      </c>
      <c r="D433" s="1">
        <v>717940.45466236817</v>
      </c>
    </row>
    <row r="434" spans="1:4">
      <c r="A434">
        <v>426</v>
      </c>
      <c r="B434" s="1">
        <v>1034729.6770048763</v>
      </c>
      <c r="D434" s="1">
        <v>353491.31099713501</v>
      </c>
    </row>
    <row r="435" spans="1:4">
      <c r="A435">
        <v>427</v>
      </c>
      <c r="B435" s="1">
        <v>2561001.6093819374</v>
      </c>
      <c r="D435" s="1">
        <v>1024034.1293644924</v>
      </c>
    </row>
    <row r="436" spans="1:4">
      <c r="A436">
        <v>428</v>
      </c>
      <c r="B436" s="1">
        <v>1984387.8345951773</v>
      </c>
      <c r="D436" s="1">
        <v>810752.92700901581</v>
      </c>
    </row>
    <row r="437" spans="1:4">
      <c r="A437">
        <v>429</v>
      </c>
      <c r="B437" s="1">
        <v>2280627.8697585473</v>
      </c>
      <c r="D437" s="1">
        <v>502117.06668869965</v>
      </c>
    </row>
    <row r="438" spans="1:4">
      <c r="A438">
        <v>430</v>
      </c>
      <c r="B438" s="1">
        <v>1942498.2626975232</v>
      </c>
      <c r="D438" s="1">
        <v>748728.49857556541</v>
      </c>
    </row>
    <row r="439" spans="1:4">
      <c r="A439">
        <v>431</v>
      </c>
      <c r="B439" s="1">
        <v>2172634.113895712</v>
      </c>
      <c r="D439" s="1">
        <v>630274.66987629328</v>
      </c>
    </row>
    <row r="440" spans="1:4">
      <c r="A440">
        <v>432</v>
      </c>
      <c r="B440" s="1">
        <v>2377904.53605281</v>
      </c>
      <c r="D440" s="1">
        <v>807147.81953163352</v>
      </c>
    </row>
    <row r="441" spans="1:4">
      <c r="A441">
        <v>433</v>
      </c>
      <c r="B441" s="1">
        <v>1957138.8293489988</v>
      </c>
      <c r="D441" s="1">
        <v>659866.99246077333</v>
      </c>
    </row>
    <row r="442" spans="1:4">
      <c r="A442">
        <v>434</v>
      </c>
      <c r="B442" s="1">
        <v>1958449.2256637719</v>
      </c>
      <c r="D442" s="1">
        <v>437353.20186351426</v>
      </c>
    </row>
    <row r="443" spans="1:4">
      <c r="A443">
        <v>435</v>
      </c>
      <c r="B443" s="1">
        <v>2549846.9222709462</v>
      </c>
      <c r="D443" s="1">
        <v>1426865.2362478264</v>
      </c>
    </row>
    <row r="444" spans="1:4">
      <c r="A444">
        <v>436</v>
      </c>
      <c r="B444" s="1">
        <v>1464395.830027139</v>
      </c>
      <c r="D444" s="1">
        <v>981485.40893268911</v>
      </c>
    </row>
    <row r="445" spans="1:4">
      <c r="A445">
        <v>437</v>
      </c>
      <c r="B445" s="1">
        <v>1912360.1202545329</v>
      </c>
      <c r="D445" s="1">
        <v>953926.24854698731</v>
      </c>
    </row>
    <row r="446" spans="1:4">
      <c r="A446">
        <v>438</v>
      </c>
      <c r="B446" s="1">
        <v>1925040.4057338804</v>
      </c>
      <c r="D446" s="1">
        <v>985267.04763430171</v>
      </c>
    </row>
    <row r="447" spans="1:4">
      <c r="A447">
        <v>439</v>
      </c>
      <c r="B447" s="1">
        <v>2093922.3233839266</v>
      </c>
      <c r="D447" s="1">
        <v>897975.6562194135</v>
      </c>
    </row>
    <row r="448" spans="1:4">
      <c r="A448">
        <v>440</v>
      </c>
      <c r="B448" s="1">
        <v>2272782.0961973993</v>
      </c>
      <c r="D448" s="1">
        <v>1035543.3948911149</v>
      </c>
    </row>
    <row r="449" spans="1:4">
      <c r="A449">
        <v>441</v>
      </c>
      <c r="B449" s="1">
        <v>2515913.9660697263</v>
      </c>
      <c r="D449" s="1">
        <v>893794.32484196918</v>
      </c>
    </row>
    <row r="450" spans="1:4">
      <c r="A450">
        <v>442</v>
      </c>
      <c r="B450" s="1">
        <v>1936763.519647829</v>
      </c>
      <c r="D450" s="1">
        <v>685516.6201346498</v>
      </c>
    </row>
    <row r="451" spans="1:4">
      <c r="A451">
        <v>443</v>
      </c>
      <c r="B451" s="1">
        <v>2367332.0854450706</v>
      </c>
      <c r="D451" s="1">
        <v>700473.74705066858</v>
      </c>
    </row>
    <row r="452" spans="1:4">
      <c r="A452">
        <v>444</v>
      </c>
      <c r="B452" s="1">
        <v>2066073.0805154622</v>
      </c>
      <c r="D452" s="1">
        <v>234562.55722330557</v>
      </c>
    </row>
    <row r="453" spans="1:4">
      <c r="A453">
        <v>445</v>
      </c>
      <c r="B453" s="1">
        <v>2430973.9266549228</v>
      </c>
      <c r="D453" s="1">
        <v>945134.4028402376</v>
      </c>
    </row>
    <row r="454" spans="1:4">
      <c r="A454">
        <v>446</v>
      </c>
      <c r="B454" s="1">
        <v>2025616.9047893102</v>
      </c>
      <c r="D454" s="1">
        <v>780774.66249601636</v>
      </c>
    </row>
    <row r="455" spans="1:4">
      <c r="A455">
        <v>447</v>
      </c>
      <c r="B455" s="1">
        <v>2731252.6356892525</v>
      </c>
      <c r="D455" s="1">
        <v>1133217.7848630124</v>
      </c>
    </row>
    <row r="456" spans="1:4">
      <c r="A456">
        <v>448</v>
      </c>
      <c r="B456" s="1">
        <v>1429157.1620232747</v>
      </c>
      <c r="D456" s="1">
        <v>516259.44021206815</v>
      </c>
    </row>
    <row r="457" spans="1:4">
      <c r="A457">
        <v>449</v>
      </c>
      <c r="B457" s="1">
        <v>1824036.3923896633</v>
      </c>
      <c r="D457" s="1">
        <v>806279.50662422972</v>
      </c>
    </row>
    <row r="458" spans="1:4">
      <c r="A458">
        <v>450</v>
      </c>
      <c r="B458" s="1">
        <v>2615590.3926950186</v>
      </c>
      <c r="D458" s="1">
        <v>1604531.1079650661</v>
      </c>
    </row>
    <row r="459" spans="1:4">
      <c r="A459">
        <v>451</v>
      </c>
      <c r="B459" s="1">
        <v>2310897.4456163007</v>
      </c>
      <c r="D459" s="1">
        <v>995614.879417371</v>
      </c>
    </row>
    <row r="460" spans="1:4">
      <c r="A460">
        <v>452</v>
      </c>
      <c r="B460" s="1">
        <v>2254304.1377789322</v>
      </c>
      <c r="D460" s="1">
        <v>1347025.7056849562</v>
      </c>
    </row>
    <row r="461" spans="1:4">
      <c r="A461">
        <v>453</v>
      </c>
      <c r="B461" s="1">
        <v>1761189.6644061345</v>
      </c>
      <c r="D461" s="1">
        <v>409080.22839031741</v>
      </c>
    </row>
    <row r="462" spans="1:4">
      <c r="A462">
        <v>454</v>
      </c>
      <c r="B462" s="1">
        <v>1395061.6864620373</v>
      </c>
      <c r="D462" s="1">
        <v>284454.53161391756</v>
      </c>
    </row>
    <row r="463" spans="1:4">
      <c r="A463">
        <v>455</v>
      </c>
      <c r="B463" s="1">
        <v>2522508.5699353116</v>
      </c>
      <c r="D463" s="1">
        <v>884363.3572567841</v>
      </c>
    </row>
    <row r="464" spans="1:4">
      <c r="A464">
        <v>456</v>
      </c>
      <c r="B464" s="1">
        <v>2159241.9859151617</v>
      </c>
      <c r="D464" s="1">
        <v>1006971.1599403401</v>
      </c>
    </row>
    <row r="465" spans="1:4">
      <c r="A465">
        <v>457</v>
      </c>
      <c r="B465" s="1">
        <v>2371267.8507574718</v>
      </c>
      <c r="D465" s="1">
        <v>835126.43415516661</v>
      </c>
    </row>
    <row r="466" spans="1:4">
      <c r="A466">
        <v>458</v>
      </c>
      <c r="B466" s="1">
        <v>2217150.2509434987</v>
      </c>
      <c r="D466" s="1">
        <v>504668.61228986178</v>
      </c>
    </row>
    <row r="467" spans="1:4">
      <c r="A467">
        <v>459</v>
      </c>
      <c r="B467" s="1">
        <v>1627756.2778515012</v>
      </c>
      <c r="D467" s="1">
        <v>544176.80427836487</v>
      </c>
    </row>
    <row r="468" spans="1:4">
      <c r="A468">
        <v>460</v>
      </c>
      <c r="B468" s="1">
        <v>2462745.1011467301</v>
      </c>
      <c r="D468" s="1">
        <v>1330292.5006295401</v>
      </c>
    </row>
    <row r="469" spans="1:4">
      <c r="A469">
        <v>461</v>
      </c>
      <c r="B469" s="1">
        <v>2130035.4339348781</v>
      </c>
      <c r="D469" s="1">
        <v>809357.73162148567</v>
      </c>
    </row>
    <row r="470" spans="1:4">
      <c r="A470">
        <v>462</v>
      </c>
      <c r="B470" s="1">
        <v>2488495.4001442702</v>
      </c>
      <c r="D470" s="1">
        <v>891325.62976847449</v>
      </c>
    </row>
    <row r="471" spans="1:4">
      <c r="A471">
        <v>463</v>
      </c>
      <c r="B471" s="1">
        <v>1846977.9503297324</v>
      </c>
      <c r="D471" s="1">
        <v>990494.36822759034</v>
      </c>
    </row>
    <row r="472" spans="1:4">
      <c r="A472">
        <v>464</v>
      </c>
      <c r="B472" s="1">
        <v>2385039.4135560738</v>
      </c>
      <c r="D472" s="1">
        <v>922154.40408340562</v>
      </c>
    </row>
    <row r="473" spans="1:4">
      <c r="A473">
        <v>465</v>
      </c>
      <c r="B473" s="1">
        <v>2301268.1926050321</v>
      </c>
      <c r="D473" s="1">
        <v>1341236.2651961767</v>
      </c>
    </row>
    <row r="474" spans="1:4">
      <c r="A474">
        <v>466</v>
      </c>
      <c r="B474" s="1">
        <v>3255277.5304925623</v>
      </c>
      <c r="D474" s="1">
        <v>1094688.4636001657</v>
      </c>
    </row>
    <row r="475" spans="1:4">
      <c r="A475">
        <v>467</v>
      </c>
      <c r="B475" s="1">
        <v>3084350.4092115508</v>
      </c>
      <c r="D475" s="1">
        <v>947667.36463032151</v>
      </c>
    </row>
    <row r="476" spans="1:4">
      <c r="A476">
        <v>468</v>
      </c>
      <c r="B476" s="1">
        <v>1281696.0825626506</v>
      </c>
      <c r="D476" s="1">
        <v>469965.43831697991</v>
      </c>
    </row>
    <row r="477" spans="1:4">
      <c r="A477">
        <v>469</v>
      </c>
      <c r="B477" s="1">
        <v>2119262.3887553196</v>
      </c>
      <c r="D477" s="1">
        <v>768704.0001155003</v>
      </c>
    </row>
    <row r="478" spans="1:4">
      <c r="A478">
        <v>470</v>
      </c>
      <c r="B478" s="1">
        <v>1895234.7647303164</v>
      </c>
      <c r="D478" s="1">
        <v>1402973.2100221114</v>
      </c>
    </row>
    <row r="479" spans="1:4">
      <c r="A479">
        <v>471</v>
      </c>
      <c r="B479" s="1">
        <v>1955831.2628147092</v>
      </c>
      <c r="D479" s="1">
        <v>561574.93033513566</v>
      </c>
    </row>
    <row r="480" spans="1:4">
      <c r="A480">
        <v>472</v>
      </c>
      <c r="B480" s="1">
        <v>2081612.3061390943</v>
      </c>
      <c r="D480" s="1">
        <v>582944.89217666257</v>
      </c>
    </row>
    <row r="481" spans="1:4">
      <c r="A481">
        <v>473</v>
      </c>
      <c r="B481" s="1">
        <v>3038771.0418599956</v>
      </c>
      <c r="D481" s="1">
        <v>1229379.3393924921</v>
      </c>
    </row>
    <row r="482" spans="1:4">
      <c r="A482">
        <v>474</v>
      </c>
      <c r="B482" s="1">
        <v>2272391.0150486389</v>
      </c>
      <c r="D482" s="1">
        <v>648498.51307699829</v>
      </c>
    </row>
    <row r="483" spans="1:4">
      <c r="A483">
        <v>475</v>
      </c>
      <c r="B483" s="1">
        <v>1474207.7612531814</v>
      </c>
      <c r="D483" s="1">
        <v>551376.72052119393</v>
      </c>
    </row>
    <row r="484" spans="1:4">
      <c r="A484">
        <v>476</v>
      </c>
      <c r="B484" s="1">
        <v>1972884.3286052081</v>
      </c>
      <c r="D484" s="1">
        <v>465839.38183644973</v>
      </c>
    </row>
    <row r="485" spans="1:4">
      <c r="A485">
        <v>477</v>
      </c>
      <c r="B485" s="1">
        <v>1710467.0427180228</v>
      </c>
      <c r="D485" s="1">
        <v>256366.96229851339</v>
      </c>
    </row>
    <row r="486" spans="1:4">
      <c r="A486">
        <v>478</v>
      </c>
      <c r="B486" s="1">
        <v>2335724.8596242857</v>
      </c>
      <c r="D486" s="1">
        <v>547613.40988613945</v>
      </c>
    </row>
    <row r="487" spans="1:4">
      <c r="A487">
        <v>479</v>
      </c>
      <c r="B487" s="1">
        <v>1850429.6869540545</v>
      </c>
      <c r="D487" s="1">
        <v>1347617.112389294</v>
      </c>
    </row>
    <row r="488" spans="1:4">
      <c r="A488">
        <v>480</v>
      </c>
      <c r="B488" s="1">
        <v>1763096.9213143254</v>
      </c>
      <c r="D488" s="1">
        <v>1127936.7247024141</v>
      </c>
    </row>
    <row r="489" spans="1:4">
      <c r="A489">
        <v>481</v>
      </c>
      <c r="B489" s="1">
        <v>1988891.68072672</v>
      </c>
      <c r="D489" s="1">
        <v>572714.99390370399</v>
      </c>
    </row>
    <row r="490" spans="1:4">
      <c r="A490">
        <v>482</v>
      </c>
      <c r="B490" s="1">
        <v>2073380.8576724529</v>
      </c>
      <c r="D490" s="1">
        <v>1080400.263638475</v>
      </c>
    </row>
    <row r="491" spans="1:4">
      <c r="A491">
        <v>483</v>
      </c>
      <c r="B491" s="1">
        <v>2410058.1234895163</v>
      </c>
      <c r="D491" s="1">
        <v>1058638.9753243215</v>
      </c>
    </row>
    <row r="492" spans="1:4">
      <c r="A492">
        <v>484</v>
      </c>
      <c r="B492" s="1">
        <v>2333067.983361172</v>
      </c>
      <c r="D492" s="1">
        <v>1097159.983447399</v>
      </c>
    </row>
    <row r="493" spans="1:4">
      <c r="A493">
        <v>485</v>
      </c>
      <c r="B493" s="1">
        <v>2072009.5387751039</v>
      </c>
      <c r="D493" s="1">
        <v>234184.62434277078</v>
      </c>
    </row>
    <row r="494" spans="1:4">
      <c r="A494">
        <v>486</v>
      </c>
      <c r="B494" s="1">
        <v>2596753.5480169086</v>
      </c>
      <c r="D494" s="1">
        <v>980504.24787629349</v>
      </c>
    </row>
    <row r="495" spans="1:4">
      <c r="A495">
        <v>487</v>
      </c>
      <c r="B495" s="1">
        <v>2040079.8183197761</v>
      </c>
      <c r="D495" s="1">
        <v>678174.36832625978</v>
      </c>
    </row>
    <row r="496" spans="1:4">
      <c r="A496">
        <v>488</v>
      </c>
      <c r="B496" s="1">
        <v>2418430.3577896147</v>
      </c>
      <c r="D496" s="1">
        <v>493627.64062960725</v>
      </c>
    </row>
    <row r="497" spans="1:4">
      <c r="A497">
        <v>489</v>
      </c>
      <c r="B497" s="1">
        <v>2099253.4686277155</v>
      </c>
      <c r="D497" s="1">
        <v>786160.35288370354</v>
      </c>
    </row>
    <row r="498" spans="1:4">
      <c r="A498">
        <v>490</v>
      </c>
      <c r="B498" s="1">
        <v>1916170.0752753553</v>
      </c>
      <c r="D498" s="1">
        <v>673166.07859167363</v>
      </c>
    </row>
    <row r="499" spans="1:4">
      <c r="A499">
        <v>491</v>
      </c>
      <c r="B499" s="1">
        <v>2161964.9099538927</v>
      </c>
      <c r="D499" s="1">
        <v>630738.36063885037</v>
      </c>
    </row>
    <row r="500" spans="1:4">
      <c r="A500">
        <v>492</v>
      </c>
      <c r="B500" s="1">
        <v>1876289.6169181862</v>
      </c>
      <c r="D500" s="1">
        <v>1187587.08257213</v>
      </c>
    </row>
    <row r="501" spans="1:4">
      <c r="A501">
        <v>493</v>
      </c>
      <c r="B501" s="1">
        <v>2266613.3002512953</v>
      </c>
      <c r="D501" s="1">
        <v>770799.54148444766</v>
      </c>
    </row>
    <row r="502" spans="1:4">
      <c r="A502">
        <v>494</v>
      </c>
      <c r="B502" s="1">
        <v>2049864.492100575</v>
      </c>
      <c r="D502" s="1">
        <v>1261235.2171668289</v>
      </c>
    </row>
    <row r="503" spans="1:4">
      <c r="A503">
        <v>495</v>
      </c>
      <c r="B503" s="1">
        <v>2041591.0000385724</v>
      </c>
      <c r="D503" s="1">
        <v>986360.62126029609</v>
      </c>
    </row>
    <row r="504" spans="1:4">
      <c r="A504">
        <v>496</v>
      </c>
      <c r="B504" s="1">
        <v>2068562.4392254336</v>
      </c>
      <c r="D504" s="1">
        <v>805616.70966987079</v>
      </c>
    </row>
    <row r="505" spans="1:4">
      <c r="A505">
        <v>497</v>
      </c>
      <c r="B505" s="1">
        <v>1704729.0568168086</v>
      </c>
      <c r="D505" s="1">
        <v>1142235.9447928937</v>
      </c>
    </row>
    <row r="506" spans="1:4">
      <c r="A506">
        <v>498</v>
      </c>
      <c r="B506" s="1">
        <v>2138752.668354054</v>
      </c>
      <c r="D506" s="1">
        <v>989334.98534519598</v>
      </c>
    </row>
    <row r="507" spans="1:4">
      <c r="A507">
        <v>499</v>
      </c>
      <c r="B507" s="1">
        <v>2625622.2869826555</v>
      </c>
      <c r="D507" s="1">
        <v>899689.49020282552</v>
      </c>
    </row>
    <row r="508" spans="1:4">
      <c r="A508">
        <v>500</v>
      </c>
      <c r="B508" s="1">
        <v>2150674.3856408359</v>
      </c>
      <c r="D508" s="1">
        <v>1061894.6181411091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Model - Econ Data</vt:lpstr>
      <vt:lpstr>Stoch</vt:lpstr>
      <vt:lpstr>Finance_HistPrice&amp;Yld</vt:lpstr>
      <vt:lpstr>Taxes</vt:lpstr>
      <vt:lpstr>Results</vt:lpstr>
      <vt:lpstr>'Model - Econ Data'!Print_Area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</dc:creator>
  <cp:lastModifiedBy>Jean-Claude Bizimana</cp:lastModifiedBy>
  <cp:lastPrinted>2018-04-30T15:53:50Z</cp:lastPrinted>
  <dcterms:created xsi:type="dcterms:W3CDTF">2018-04-19T10:39:17Z</dcterms:created>
  <dcterms:modified xsi:type="dcterms:W3CDTF">2025-01-22T17:52:26Z</dcterms:modified>
</cp:coreProperties>
</file>