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dsci_201\"/>
    </mc:Choice>
  </mc:AlternateContent>
  <xr:revisionPtr revIDLastSave="0" documentId="13_ncr:1_{553DD73A-768E-433C-AD6D-604961CC3790}" xr6:coauthVersionLast="47" xr6:coauthVersionMax="47" xr10:uidLastSave="{00000000-0000-0000-0000-000000000000}"/>
  <bookViews>
    <workbookView xWindow="-110" yWindow="-110" windowWidth="25820" windowHeight="15500" firstSheet="1" activeTab="6" xr2:uid="{AF153C1E-1292-48BC-802C-9BBD99BB4457}"/>
  </bookViews>
  <sheets>
    <sheet name="Record" sheetId="1" r:id="rId1"/>
    <sheet name="Sort DB" sheetId="5" r:id="rId2"/>
    <sheet name="Filter DB" sheetId="6" r:id="rId3"/>
    <sheet name="Filter Advanced" sheetId="7" r:id="rId4"/>
    <sheet name="Qx" sheetId="12" r:id="rId5"/>
    <sheet name="Pivot Table" sheetId="9" r:id="rId6"/>
    <sheet name="Annuity" sheetId="11" r:id="rId7"/>
    <sheet name="Rate" sheetId="15" r:id="rId8"/>
    <sheet name="Statement" sheetId="13" r:id="rId9"/>
    <sheet name="Calculation name (to hide)" sheetId="14" state="hidden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3" hidden="1">'Filter Advanced'!$B$10:$I$20</definedName>
    <definedName name="_xlnm._FilterDatabase" localSheetId="2" hidden="1">'Filter DB'!$B$10:$I$20</definedName>
    <definedName name="AssetM">[1]Table!$J$3:$K$13</definedName>
    <definedName name="Benjamin">OFFSET('[2]Weight Watch'!$B$9,'[2]Weight Watch'!$I$3-9,2,'[2]Weight Watch'!$I$2,1)</definedName>
    <definedName name="Client">[1]X!$C$9</definedName>
    <definedName name="_xlnm.Criteria" localSheetId="3">'Filter Advanced'!$G$2:$H$4</definedName>
    <definedName name="DateF">OFFSET('[2]Weight Watch'!$B$9,'[2]Weight Watch'!$I$3-9,0,'[2]Weight Watch'!$I$2,1)</definedName>
    <definedName name="DefaultB">[1]X!$F$5</definedName>
    <definedName name="Difference">OFFSET([3]Salman!$G$9,0,0,[3]Salman!$B$4,1)</definedName>
    <definedName name="Eric">OFFSET('[2]Weight Watch'!$B$9,'[2]Weight Watch'!$I$3-9,4,'[2]Weight Watch'!$I$2,1)</definedName>
    <definedName name="FanF">OFFSET('[2]Weight Watch'!$B$9,'[2]Weight Watch'!$I$3-9,3,'[2]Weight Watch'!$I$2,1)</definedName>
    <definedName name="Footer">[1]X!$C$10</definedName>
    <definedName name="George">OFFSET('[2]Weight Watch'!$B$9,'[2]Weight Watch'!$I$3-9,3,'[2]Weight Watch'!$I$2,1)</definedName>
    <definedName name="LiF">OFFSET('[2]Weight Watch'!$B$9,'[2]Weight Watch'!$I$3-9,2,'[2]Weight Watch'!$I$2,1)</definedName>
    <definedName name="MeasDate">OFFSET('[2]Weight Watch'!$B$9,'[2]Weight Watch'!$I$3-9,0,'[2]Weight Watch'!$I$2,1)</definedName>
    <definedName name="MetMRV">[4]Table!$C$21:$D$31</definedName>
    <definedName name="Mortality_Table">[7]Qx!$B$2:$C$119</definedName>
    <definedName name="_xlnm.Print_Titles" localSheetId="6">Annuity!$1:$10</definedName>
    <definedName name="Rate">OFFSET([5]Rate!$C$4,0,0,COUNT([5]Rate!$C:$C))</definedName>
    <definedName name="Rate2" localSheetId="7">OFFSET(Rate!$A$3,0,1,Rate!$L$1,1)</definedName>
    <definedName name="RateC">OFFSET(Rate!XER1048548,0,1,Rate!$L$1,1)</definedName>
    <definedName name="Version">[1]X!$A$2</definedName>
    <definedName name="WangF">OFFSET('[2]Weight Watch'!$B$9,'[2]Weight Watch'!$I$3-9,4,'[2]Weight Watch'!$I$2,1)</definedName>
    <definedName name="Year">OFFSET([5]Rate!$B$4,0,0,COUNT([5]Rate!$B:$B))</definedName>
    <definedName name="year_ratechart">OFFSET(Rate!XEU2,0,0,Rate!$L$1,1)</definedName>
    <definedName name="Year158">'[6]FAS 158 Input'!$H$4</definedName>
    <definedName name="YearC">OFFSET(Rate!$A$3,0,0,Rate!$L$1,1)</definedName>
  </definedNames>
  <calcPr calcId="191029"/>
  <pivotCaches>
    <pivotCache cacheId="25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5" l="1"/>
  <c r="N32" i="15" s="1" a="1"/>
  <c r="N32" i="15" s="1"/>
  <c r="O2" i="15" l="1" a="1"/>
  <c r="O2" i="15" s="1"/>
  <c r="O3" i="15" a="1"/>
  <c r="O3" i="15" s="1"/>
  <c r="K2" i="15" a="1"/>
  <c r="K2" i="15" s="1"/>
  <c r="G120" i="11" l="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A86" i="11"/>
  <c r="A87" i="11"/>
  <c r="A88" i="11"/>
  <c r="A89" i="11"/>
  <c r="A90" i="11"/>
  <c r="A91" i="11"/>
  <c r="A92" i="11"/>
  <c r="A93" i="1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D13" i="1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D43" i="11" s="1"/>
  <c r="D44" i="11" s="1"/>
  <c r="D45" i="11" s="1"/>
  <c r="D46" i="11" s="1"/>
  <c r="D47" i="11" s="1"/>
  <c r="D48" i="11" s="1"/>
  <c r="D49" i="11" s="1"/>
  <c r="D50" i="11" s="1"/>
  <c r="D51" i="11" s="1"/>
  <c r="D52" i="11" s="1"/>
  <c r="D53" i="11" s="1"/>
  <c r="D54" i="11" s="1"/>
  <c r="D55" i="11" s="1"/>
  <c r="D56" i="11" s="1"/>
  <c r="D57" i="11" s="1"/>
  <c r="D58" i="11" s="1"/>
  <c r="D59" i="11" s="1"/>
  <c r="D60" i="11" s="1"/>
  <c r="D61" i="11" s="1"/>
  <c r="D62" i="11" s="1"/>
  <c r="D63" i="11" s="1"/>
  <c r="D64" i="11" s="1"/>
  <c r="D65" i="11" s="1"/>
  <c r="D66" i="11" s="1"/>
  <c r="D67" i="11" s="1"/>
  <c r="D68" i="11" s="1"/>
  <c r="D69" i="11" s="1"/>
  <c r="D70" i="11" s="1"/>
  <c r="D71" i="11" s="1"/>
  <c r="D72" i="11" s="1"/>
  <c r="D73" i="11" s="1"/>
  <c r="D74" i="11" s="1"/>
  <c r="D75" i="11" s="1"/>
  <c r="D76" i="11" s="1"/>
  <c r="D77" i="11" s="1"/>
  <c r="D78" i="11" s="1"/>
  <c r="D79" i="11" s="1"/>
  <c r="D80" i="11" s="1"/>
  <c r="D81" i="11" s="1"/>
  <c r="D82" i="11" s="1"/>
  <c r="D83" i="11" s="1"/>
  <c r="D84" i="11" s="1"/>
  <c r="D85" i="11" s="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A82" i="11"/>
  <c r="A83" i="11" s="1"/>
  <c r="A84" i="11" s="1"/>
  <c r="A85" i="11" s="1"/>
  <c r="B11" i="11"/>
  <c r="G5" i="11"/>
  <c r="B28" i="13" s="1"/>
  <c r="G3" i="11"/>
  <c r="G2" i="11"/>
  <c r="A11" i="11"/>
  <c r="H20" i="15"/>
  <c r="E23" i="13"/>
  <c r="E17" i="13"/>
  <c r="K1" i="14"/>
  <c r="I8" i="14" s="1"/>
  <c r="E12" i="13"/>
  <c r="J5" i="14"/>
  <c r="J6" i="14"/>
  <c r="J7" i="14"/>
  <c r="J9" i="14"/>
  <c r="J10" i="14"/>
  <c r="J11" i="14"/>
  <c r="J12" i="14"/>
  <c r="J13" i="14"/>
  <c r="J4" i="14"/>
  <c r="O4" i="14"/>
  <c r="E9" i="13"/>
  <c r="E10" i="13" s="1"/>
  <c r="E8" i="13"/>
  <c r="C5" i="14"/>
  <c r="C6" i="14"/>
  <c r="C7" i="14"/>
  <c r="C8" i="14"/>
  <c r="E6" i="13" s="1"/>
  <c r="C9" i="14"/>
  <c r="C10" i="14"/>
  <c r="C11" i="14"/>
  <c r="L4" i="14" a="1"/>
  <c r="L4" i="14" s="1"/>
  <c r="L5" i="14" a="1"/>
  <c r="L5" i="14" s="1"/>
  <c r="L6" i="14" a="1"/>
  <c r="L6" i="14" s="1"/>
  <c r="L7" i="14" a="1"/>
  <c r="L7" i="14" s="1"/>
  <c r="L8" i="14" a="1"/>
  <c r="L8" i="14" s="1"/>
  <c r="L9" i="14" a="1"/>
  <c r="L9" i="14" s="1"/>
  <c r="L10" i="14" a="1"/>
  <c r="L10" i="14" s="1"/>
  <c r="L11" i="14" a="1"/>
  <c r="L11" i="14" s="1"/>
  <c r="L12" i="14" a="1"/>
  <c r="L12" i="14" s="1"/>
  <c r="L13" i="14" a="1"/>
  <c r="L13" i="14" s="1"/>
  <c r="C4" i="14"/>
  <c r="L3" i="14" a="1"/>
  <c r="L3" i="14" s="1"/>
  <c r="G4" i="11" l="1"/>
  <c r="A12" i="11"/>
  <c r="C11" i="11"/>
  <c r="D12" i="11" s="1"/>
  <c r="H4" i="14"/>
  <c r="H5" i="14"/>
  <c r="I5" i="14"/>
  <c r="H6" i="14"/>
  <c r="I6" i="14"/>
  <c r="H9" i="14"/>
  <c r="H10" i="14"/>
  <c r="I10" i="14"/>
  <c r="I4" i="14"/>
  <c r="H7" i="14"/>
  <c r="I7" i="14"/>
  <c r="I9" i="14"/>
  <c r="H12" i="14"/>
  <c r="I12" i="14"/>
  <c r="H8" i="14"/>
  <c r="E13" i="13" s="1"/>
  <c r="H11" i="14"/>
  <c r="I11" i="14"/>
  <c r="H13" i="14"/>
  <c r="I13" i="14"/>
  <c r="E14" i="13"/>
  <c r="E15" i="13" s="1"/>
  <c r="J8" i="14"/>
  <c r="E11" i="13" s="1"/>
  <c r="E16" i="13" s="1"/>
  <c r="C13" i="14"/>
  <c r="C12" i="14"/>
  <c r="G28" i="11" l="1"/>
  <c r="G48" i="11"/>
  <c r="G68" i="11"/>
  <c r="G32" i="11"/>
  <c r="G33" i="11"/>
  <c r="G34" i="11"/>
  <c r="G15" i="11"/>
  <c r="G36" i="11"/>
  <c r="G57" i="11"/>
  <c r="G58" i="11"/>
  <c r="G59" i="11"/>
  <c r="G80" i="11"/>
  <c r="G41" i="11"/>
  <c r="G82" i="11"/>
  <c r="G23" i="11"/>
  <c r="G84" i="11"/>
  <c r="G45" i="11"/>
  <c r="G66" i="11"/>
  <c r="G27" i="11"/>
  <c r="G29" i="11"/>
  <c r="G49" i="11"/>
  <c r="G69" i="11"/>
  <c r="G12" i="11"/>
  <c r="G13" i="11"/>
  <c r="G53" i="11"/>
  <c r="G73" i="11"/>
  <c r="G14" i="11"/>
  <c r="G35" i="11"/>
  <c r="G56" i="11"/>
  <c r="G77" i="11"/>
  <c r="G18" i="11"/>
  <c r="G39" i="11"/>
  <c r="G20" i="11"/>
  <c r="G81" i="11"/>
  <c r="G22" i="11"/>
  <c r="G83" i="11"/>
  <c r="G44" i="11"/>
  <c r="G25" i="11"/>
  <c r="G47" i="11"/>
  <c r="G30" i="11"/>
  <c r="G50" i="11"/>
  <c r="G70" i="11"/>
  <c r="G52" i="11"/>
  <c r="G74" i="11"/>
  <c r="G75" i="11"/>
  <c r="G16" i="11"/>
  <c r="G37" i="11"/>
  <c r="G78" i="11"/>
  <c r="G79" i="11"/>
  <c r="G60" i="11"/>
  <c r="G11" i="11"/>
  <c r="G61" i="11"/>
  <c r="G62" i="11"/>
  <c r="G24" i="11"/>
  <c r="G85" i="11"/>
  <c r="G26" i="11"/>
  <c r="G67" i="11"/>
  <c r="G31" i="11"/>
  <c r="G51" i="11"/>
  <c r="G71" i="11"/>
  <c r="G72" i="11"/>
  <c r="G54" i="11"/>
  <c r="G55" i="11"/>
  <c r="G76" i="11"/>
  <c r="G17" i="11"/>
  <c r="G38" i="11"/>
  <c r="G19" i="11"/>
  <c r="G40" i="11"/>
  <c r="G21" i="11"/>
  <c r="G42" i="11"/>
  <c r="G43" i="11"/>
  <c r="G64" i="11"/>
  <c r="G46" i="11"/>
  <c r="G63" i="11"/>
  <c r="G65" i="11"/>
  <c r="A13" i="11"/>
  <c r="A14" i="11" l="1"/>
  <c r="A15" i="11" l="1"/>
  <c r="A16" i="11" l="1"/>
  <c r="A17" i="11" l="1"/>
  <c r="A18" i="11" l="1"/>
  <c r="A19" i="11" l="1"/>
  <c r="A20" i="11" l="1"/>
  <c r="A21" i="11" l="1"/>
  <c r="A22" i="11" l="1"/>
  <c r="A23" i="11" l="1"/>
  <c r="A24" i="11" l="1"/>
  <c r="A25" i="11" l="1"/>
  <c r="A26" i="11" l="1"/>
  <c r="A27" i="11" l="1"/>
  <c r="A28" i="11" l="1"/>
  <c r="A29" i="11" l="1"/>
  <c r="A30" i="11" l="1"/>
  <c r="A31" i="11" l="1"/>
  <c r="A32" i="11" l="1"/>
  <c r="A33" i="11" l="1"/>
  <c r="A34" i="11" l="1"/>
  <c r="A35" i="11" l="1"/>
  <c r="A36" i="11" l="1"/>
  <c r="A37" i="11" l="1"/>
  <c r="A38" i="11" l="1"/>
  <c r="A39" i="11" l="1"/>
  <c r="A40" i="11" l="1"/>
  <c r="A41" i="11" l="1"/>
  <c r="A42" i="11" l="1"/>
  <c r="A43" i="11" l="1"/>
  <c r="A44" i="11" l="1"/>
  <c r="A45" i="11" l="1"/>
  <c r="A46" i="11" l="1"/>
  <c r="A47" i="11" l="1"/>
  <c r="A48" i="11" l="1"/>
  <c r="A49" i="11" l="1"/>
  <c r="A50" i="11" l="1"/>
  <c r="A51" i="11" l="1"/>
  <c r="A52" i="11" l="1"/>
  <c r="A53" i="11" l="1"/>
  <c r="A54" i="11" l="1"/>
  <c r="A55" i="11" l="1"/>
  <c r="A56" i="11" l="1"/>
  <c r="A57" i="11" l="1"/>
  <c r="A58" i="11" l="1"/>
  <c r="A59" i="11" l="1"/>
  <c r="A60" i="11" l="1"/>
  <c r="A61" i="11" l="1"/>
  <c r="A62" i="11" l="1"/>
  <c r="A63" i="11" l="1"/>
  <c r="A64" i="11" l="1"/>
  <c r="A65" i="11" l="1"/>
  <c r="A66" i="11" l="1"/>
  <c r="A67" i="11" l="1"/>
  <c r="A68" i="11" l="1"/>
  <c r="A69" i="11" l="1"/>
  <c r="A70" i="11" l="1"/>
  <c r="A71" i="11" l="1"/>
  <c r="A72" i="11" l="1"/>
  <c r="A73" i="11" l="1"/>
  <c r="A74" i="11" l="1"/>
  <c r="A75" i="11" l="1"/>
  <c r="A76" i="11" l="1"/>
  <c r="A77" i="11" l="1"/>
  <c r="A78" i="11" l="1"/>
  <c r="A79" i="11" l="1"/>
  <c r="A80" i="11" l="1"/>
  <c r="A81" i="11" l="1"/>
  <c r="B5" i="12" l="1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66" i="12" s="1"/>
  <c r="B67" i="12" s="1"/>
  <c r="B68" i="12" s="1"/>
  <c r="B69" i="12" s="1"/>
  <c r="B70" i="12" s="1"/>
  <c r="B71" i="12" s="1"/>
  <c r="B72" i="12" s="1"/>
  <c r="B73" i="12" s="1"/>
  <c r="B74" i="12" s="1"/>
  <c r="B75" i="12" s="1"/>
  <c r="B76" i="12" s="1"/>
  <c r="B77" i="12" s="1"/>
  <c r="B78" i="12" s="1"/>
  <c r="B79" i="12" s="1"/>
  <c r="B80" i="12" s="1"/>
  <c r="B81" i="12" s="1"/>
  <c r="B82" i="12" s="1"/>
  <c r="B83" i="12" s="1"/>
  <c r="B84" i="12" s="1"/>
  <c r="B85" i="12" s="1"/>
  <c r="B86" i="12" s="1"/>
  <c r="B87" i="12" s="1"/>
  <c r="B88" i="12" s="1"/>
  <c r="B89" i="12" s="1"/>
  <c r="B90" i="12" s="1"/>
  <c r="B91" i="12" s="1"/>
  <c r="B92" i="12" s="1"/>
  <c r="B93" i="12" s="1"/>
  <c r="B94" i="12" s="1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119" i="12" s="1"/>
  <c r="I20" i="7"/>
  <c r="H20" i="7"/>
  <c r="I19" i="7"/>
  <c r="H19" i="7"/>
  <c r="I18" i="7"/>
  <c r="H18" i="7"/>
  <c r="I17" i="7"/>
  <c r="H17" i="7"/>
  <c r="I16" i="7"/>
  <c r="H16" i="7"/>
  <c r="I15" i="7"/>
  <c r="H15" i="7"/>
  <c r="I14" i="7"/>
  <c r="H14" i="7"/>
  <c r="I13" i="7"/>
  <c r="H13" i="7"/>
  <c r="I12" i="7"/>
  <c r="H12" i="7"/>
  <c r="I11" i="7"/>
  <c r="E8" i="7" s="1"/>
  <c r="H11" i="7"/>
  <c r="E5" i="7"/>
  <c r="E4" i="7"/>
  <c r="E3" i="7"/>
  <c r="E8" i="6"/>
  <c r="E7" i="6"/>
  <c r="E6" i="6"/>
  <c r="E5" i="6"/>
  <c r="E4" i="6"/>
  <c r="E3" i="6"/>
  <c r="I20" i="6"/>
  <c r="H20" i="6"/>
  <c r="I19" i="6"/>
  <c r="H19" i="6"/>
  <c r="I18" i="6"/>
  <c r="H18" i="6"/>
  <c r="I17" i="6"/>
  <c r="H17" i="6"/>
  <c r="I16" i="6"/>
  <c r="H16" i="6"/>
  <c r="I15" i="6"/>
  <c r="H15" i="6"/>
  <c r="I14" i="6"/>
  <c r="H14" i="6"/>
  <c r="I13" i="6"/>
  <c r="H13" i="6"/>
  <c r="I12" i="6"/>
  <c r="H12" i="6"/>
  <c r="I11" i="6"/>
  <c r="H11" i="6"/>
  <c r="E7" i="7" l="1"/>
  <c r="E6" i="7"/>
  <c r="I10" i="5"/>
  <c r="H10" i="5"/>
  <c r="I8" i="5"/>
  <c r="H8" i="5"/>
  <c r="I9" i="5"/>
  <c r="H9" i="5"/>
  <c r="I4" i="5"/>
  <c r="H4" i="5"/>
  <c r="I11" i="5"/>
  <c r="H11" i="5"/>
  <c r="I12" i="5"/>
  <c r="H12" i="5"/>
  <c r="I6" i="5"/>
  <c r="H6" i="5"/>
  <c r="I7" i="5"/>
  <c r="H7" i="5"/>
  <c r="I5" i="5"/>
  <c r="H5" i="5"/>
  <c r="I13" i="5"/>
  <c r="H13" i="5"/>
  <c r="I5" i="1"/>
  <c r="I6" i="1"/>
  <c r="I7" i="1"/>
  <c r="I8" i="1"/>
  <c r="I9" i="1"/>
  <c r="I10" i="1"/>
  <c r="I11" i="1"/>
  <c r="I12" i="1"/>
  <c r="I13" i="1"/>
  <c r="I4" i="1"/>
  <c r="H5" i="1"/>
  <c r="H6" i="1"/>
  <c r="H7" i="1"/>
  <c r="H8" i="1"/>
  <c r="H9" i="1"/>
  <c r="H10" i="1"/>
  <c r="H11" i="1"/>
  <c r="H12" i="1"/>
  <c r="H13" i="1"/>
  <c r="H4" i="1"/>
  <c r="G6" i="11" l="1"/>
  <c r="G7" i="11" s="1"/>
  <c r="E18" i="13" s="1"/>
  <c r="E24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<sst xmlns="http://schemas.openxmlformats.org/spreadsheetml/2006/main" count="175" uniqueCount="77">
  <si>
    <t>ID</t>
  </si>
  <si>
    <t>Name</t>
  </si>
  <si>
    <t>Date of Birth</t>
  </si>
  <si>
    <t>Date of Hire</t>
  </si>
  <si>
    <t>Valuation Date</t>
  </si>
  <si>
    <t>Grand Total</t>
  </si>
  <si>
    <t>Employee Database</t>
  </si>
  <si>
    <t>Salary</t>
  </si>
  <si>
    <t>Age</t>
  </si>
  <si>
    <t>Service</t>
  </si>
  <si>
    <t>Klendshoj,Roxanne</t>
  </si>
  <si>
    <t>Woolley,Jeane M.</t>
  </si>
  <si>
    <t>Bartho,Jerome Fion</t>
  </si>
  <si>
    <t>Benson,Scott G.</t>
  </si>
  <si>
    <t>Aho,Diane</t>
  </si>
  <si>
    <t>Larson,DeeAnn Smith</t>
  </si>
  <si>
    <t>Asche,TracyA</t>
  </si>
  <si>
    <t>Nelson,Susann</t>
  </si>
  <si>
    <t>Carlson,Robert Lee</t>
  </si>
  <si>
    <t>Donovan,Richard</t>
  </si>
  <si>
    <t>Py Salary</t>
  </si>
  <si>
    <t>Summary Information</t>
  </si>
  <si>
    <t>Number of Records</t>
  </si>
  <si>
    <t>Total Salary of Current Year</t>
  </si>
  <si>
    <t>Average Salary of Current Year</t>
  </si>
  <si>
    <t>Maxiumum Age</t>
  </si>
  <si>
    <t>Minumum Age</t>
  </si>
  <si>
    <t>Average Service</t>
  </si>
  <si>
    <t>Filter Lists:</t>
  </si>
  <si>
    <t>&gt;50</t>
  </si>
  <si>
    <t>&lt;40</t>
  </si>
  <si>
    <t>&gt;80000</t>
  </si>
  <si>
    <t>45-49</t>
  </si>
  <si>
    <t>55-59</t>
  </si>
  <si>
    <t>60-64</t>
  </si>
  <si>
    <t>0-5</t>
  </si>
  <si>
    <t>6-10</t>
  </si>
  <si>
    <t>11-20</t>
  </si>
  <si>
    <t>20+</t>
  </si>
  <si>
    <t>Count of Service2</t>
  </si>
  <si>
    <t>Sum of Total Salaries</t>
  </si>
  <si>
    <t>Service2</t>
  </si>
  <si>
    <t>Values</t>
  </si>
  <si>
    <t>Age by Service Table with total Salaries plus total PY 
Salaries</t>
  </si>
  <si>
    <t>Mortality Table</t>
  </si>
  <si>
    <t>qx</t>
  </si>
  <si>
    <t>Benefit Statement</t>
  </si>
  <si>
    <t>Date of Participation</t>
  </si>
  <si>
    <t>Date of Normal Retirement</t>
  </si>
  <si>
    <t>Age last birthday</t>
  </si>
  <si>
    <t>Service Since Participation Date</t>
  </si>
  <si>
    <t>Annual Benefit</t>
  </si>
  <si>
    <t>Early Retirement Factor</t>
  </si>
  <si>
    <t>Early Retirement Benefit</t>
  </si>
  <si>
    <t>Annuity Purchase Value</t>
  </si>
  <si>
    <t>Retirement Goal</t>
  </si>
  <si>
    <t>Achieved Goal Percentage</t>
  </si>
  <si>
    <t>Asche,Tracy A.</t>
  </si>
  <si>
    <t>id</t>
  </si>
  <si>
    <t>Max 65th birthday or 5th anniv</t>
  </si>
  <si>
    <t>Interest Rate</t>
  </si>
  <si>
    <t>Year</t>
  </si>
  <si>
    <t>Rate</t>
  </si>
  <si>
    <t xml:space="preserve">The Rate in a year is used to calculate annuity value for contracts made in that year. </t>
  </si>
  <si>
    <t>For example, if a plan is terminated in 2019 and the annuity contract is purchased in the same year, then the rate of 4.00% is used to calculate the annuity value.</t>
  </si>
  <si>
    <t>Current Year Info</t>
  </si>
  <si>
    <t>Contract Year</t>
  </si>
  <si>
    <t>Life Annuity</t>
  </si>
  <si>
    <t>Current Age</t>
  </si>
  <si>
    <t>Annuity Factor</t>
  </si>
  <si>
    <t>Annuity Value</t>
  </si>
  <si>
    <t>Excel Calculation</t>
  </si>
  <si>
    <t>px</t>
  </si>
  <si>
    <t>tpx</t>
  </si>
  <si>
    <t>Discount Value</t>
  </si>
  <si>
    <t>number of records</t>
  </si>
  <si>
    <t>starting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</si>
</sst>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/dd/yy;@"/>
    <numFmt numFmtId="170" formatCode="#,##0;\-#,##0.00;&quot;    -     &quot;"/>
    <numFmt numFmtId="171" formatCode="0.000000"/>
    <numFmt numFmtId="172" formatCode="0.0000"/>
  </numFmts>
  <fonts count="20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name val="Calibri"/>
      <family val="2"/>
    </font>
    <font>
      <b/>
      <sz val="12"/>
      <color rgb="FFC00000"/>
      <name val="Calibri"/>
      <family val="2"/>
    </font>
    <font>
      <b/>
      <sz val="10"/>
      <name val="Arial"/>
      <family val="2"/>
    </font>
    <font>
      <b/>
      <sz val="16"/>
      <color theme="3" tint="0.499984740745262"/>
      <name val="Calibri"/>
      <family val="2"/>
    </font>
    <font>
      <b/>
      <sz val="12"/>
      <color rgb="FF002060"/>
      <name val="Calibri"/>
      <family val="2"/>
    </font>
    <font>
      <b/>
      <sz val="14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CE7D"/>
        <bgColor indexed="64"/>
      </patternFill>
    </fill>
    <fill>
      <patternFill patternType="solid">
        <fgColor rgb="FF2097C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6" fillId="0" borderId="0"/>
    <xf numFmtId="43" fontId="6" fillId="0" borderId="0" applyFont="0" applyFill="0" applyBorder="0" applyAlignment="0" applyProtection="0"/>
  </cellStyleXfs>
  <cellXfs count="132">
    <xf numFmtId="0" fontId="0" fillId="0" borderId="0" xfId="0"/>
    <xf numFmtId="0" fontId="5" fillId="0" borderId="0" xfId="2"/>
    <xf numFmtId="0" fontId="8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14" fontId="0" fillId="4" borderId="0" xfId="0" applyNumberFormat="1" applyFill="1"/>
    <xf numFmtId="0" fontId="0" fillId="0" borderId="5" xfId="0" applyBorder="1"/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11" fillId="2" borderId="9" xfId="3" applyFont="1" applyFill="1" applyBorder="1" applyAlignment="1">
      <alignment horizontal="center"/>
    </xf>
    <xf numFmtId="0" fontId="11" fillId="2" borderId="10" xfId="3" applyFont="1" applyFill="1" applyBorder="1" applyAlignment="1">
      <alignment horizontal="center"/>
    </xf>
    <xf numFmtId="164" fontId="11" fillId="2" borderId="10" xfId="3" applyNumberFormat="1" applyFont="1" applyFill="1" applyBorder="1" applyAlignment="1">
      <alignment horizontal="center"/>
    </xf>
    <xf numFmtId="3" fontId="11" fillId="2" borderId="10" xfId="3" applyNumberFormat="1" applyFont="1" applyFill="1" applyBorder="1" applyAlignment="1">
      <alignment horizontal="center"/>
    </xf>
    <xf numFmtId="0" fontId="12" fillId="3" borderId="0" xfId="3" applyFont="1" applyFill="1" applyAlignment="1">
      <alignment horizontal="center"/>
    </xf>
    <xf numFmtId="0" fontId="12" fillId="3" borderId="0" xfId="3" applyFont="1" applyFill="1"/>
    <xf numFmtId="3" fontId="12" fillId="3" borderId="0" xfId="3" applyNumberFormat="1" applyFont="1" applyFill="1" applyAlignment="1">
      <alignment horizontal="center"/>
    </xf>
    <xf numFmtId="14" fontId="13" fillId="3" borderId="0" xfId="4" applyNumberFormat="1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1" fontId="13" fillId="5" borderId="0" xfId="0" applyNumberFormat="1" applyFont="1" applyFill="1" applyAlignment="1">
      <alignment horizontal="center"/>
    </xf>
    <xf numFmtId="14" fontId="0" fillId="0" borderId="0" xfId="0" applyNumberFormat="1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3" fontId="0" fillId="0" borderId="12" xfId="0" applyNumberFormat="1" applyBorder="1"/>
    <xf numFmtId="1" fontId="0" fillId="0" borderId="15" xfId="0" applyNumberFormat="1" applyBorder="1"/>
    <xf numFmtId="3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0" pivotButton="1" applyFont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0" fontId="3" fillId="0" borderId="0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0" fontId="3" fillId="0" borderId="14" xfId="0" applyNumberFormat="1" applyFont="1" applyBorder="1" applyAlignment="1">
      <alignment horizontal="center" vertical="center"/>
    </xf>
    <xf numFmtId="170" fontId="3" fillId="0" borderId="19" xfId="0" applyNumberFormat="1" applyFont="1" applyBorder="1" applyAlignment="1">
      <alignment horizontal="center" vertical="center"/>
    </xf>
    <xf numFmtId="170" fontId="3" fillId="0" borderId="21" xfId="0" applyNumberFormat="1" applyFont="1" applyBorder="1" applyAlignment="1">
      <alignment horizontal="center" vertical="center"/>
    </xf>
    <xf numFmtId="170" fontId="15" fillId="0" borderId="20" xfId="0" applyNumberFormat="1" applyFont="1" applyBorder="1" applyAlignment="1">
      <alignment horizontal="right" vertical="center"/>
    </xf>
    <xf numFmtId="170" fontId="15" fillId="0" borderId="12" xfId="0" applyNumberFormat="1" applyFont="1" applyBorder="1" applyAlignment="1">
      <alignment horizontal="right" vertical="center"/>
    </xf>
    <xf numFmtId="170" fontId="15" fillId="0" borderId="22" xfId="0" applyNumberFormat="1" applyFont="1" applyBorder="1" applyAlignment="1">
      <alignment horizontal="right" vertical="center"/>
    </xf>
    <xf numFmtId="170" fontId="15" fillId="0" borderId="15" xfId="0" applyNumberFormat="1" applyFont="1" applyBorder="1" applyAlignment="1">
      <alignment horizontal="right" vertical="center"/>
    </xf>
    <xf numFmtId="0" fontId="0" fillId="7" borderId="0" xfId="0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top" wrapText="1"/>
    </xf>
    <xf numFmtId="0" fontId="9" fillId="8" borderId="7" xfId="0" applyFont="1" applyFill="1" applyBorder="1" applyAlignment="1">
      <alignment horizontal="center" vertical="top"/>
    </xf>
    <xf numFmtId="0" fontId="9" fillId="8" borderId="8" xfId="0" applyFont="1" applyFill="1" applyBorder="1" applyAlignment="1">
      <alignment horizontal="center" vertical="top"/>
    </xf>
    <xf numFmtId="0" fontId="9" fillId="8" borderId="13" xfId="0" applyFont="1" applyFill="1" applyBorder="1" applyAlignment="1">
      <alignment horizontal="center" vertical="top"/>
    </xf>
    <xf numFmtId="0" fontId="9" fillId="8" borderId="14" xfId="0" applyFont="1" applyFill="1" applyBorder="1" applyAlignment="1">
      <alignment horizontal="center" vertical="top"/>
    </xf>
    <xf numFmtId="0" fontId="9" fillId="8" borderId="15" xfId="0" applyFont="1" applyFill="1" applyBorder="1" applyAlignment="1">
      <alignment horizontal="center" vertical="top"/>
    </xf>
    <xf numFmtId="0" fontId="3" fillId="9" borderId="17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7" fillId="10" borderId="2" xfId="2" applyFont="1" applyFill="1" applyBorder="1" applyAlignment="1">
      <alignment horizontal="center"/>
    </xf>
    <xf numFmtId="0" fontId="7" fillId="10" borderId="4" xfId="2" applyFont="1" applyFill="1" applyBorder="1" applyAlignment="1">
      <alignment horizontal="center"/>
    </xf>
    <xf numFmtId="0" fontId="16" fillId="0" borderId="16" xfId="2" applyFont="1" applyBorder="1" applyAlignment="1">
      <alignment horizontal="center"/>
    </xf>
    <xf numFmtId="0" fontId="5" fillId="2" borderId="5" xfId="2" applyFill="1" applyBorder="1" applyAlignment="1">
      <alignment horizontal="center"/>
    </xf>
    <xf numFmtId="171" fontId="5" fillId="2" borderId="5" xfId="2" applyNumberFormat="1" applyFill="1" applyBorder="1" applyAlignment="1">
      <alignment horizontal="center"/>
    </xf>
    <xf numFmtId="0" fontId="5" fillId="0" borderId="5" xfId="2" applyBorder="1" applyAlignment="1">
      <alignment horizontal="center"/>
    </xf>
    <xf numFmtId="0" fontId="5" fillId="0" borderId="0" xfId="2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/>
    <xf numFmtId="0" fontId="0" fillId="11" borderId="23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15" xfId="0" applyFill="1" applyBorder="1"/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0" fillId="11" borderId="12" xfId="0" applyFill="1" applyBorder="1"/>
    <xf numFmtId="0" fontId="3" fillId="0" borderId="1" xfId="0" applyFont="1" applyBorder="1"/>
    <xf numFmtId="14" fontId="0" fillId="0" borderId="5" xfId="0" applyNumberFormat="1" applyBorder="1"/>
    <xf numFmtId="0" fontId="0" fillId="5" borderId="0" xfId="0" applyFill="1"/>
    <xf numFmtId="3" fontId="0" fillId="0" borderId="5" xfId="0" applyNumberFormat="1" applyBorder="1"/>
    <xf numFmtId="172" fontId="0" fillId="0" borderId="5" xfId="0" applyNumberFormat="1" applyBorder="1"/>
    <xf numFmtId="4" fontId="0" fillId="0" borderId="5" xfId="0" applyNumberFormat="1" applyBorder="1"/>
    <xf numFmtId="2" fontId="0" fillId="0" borderId="5" xfId="0" applyNumberFormat="1" applyBorder="1"/>
    <xf numFmtId="10" fontId="0" fillId="0" borderId="5" xfId="0" applyNumberFormat="1" applyBorder="1"/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3" fillId="0" borderId="16" xfId="0" applyFont="1" applyBorder="1"/>
    <xf numFmtId="0" fontId="10" fillId="0" borderId="3" xfId="0" applyFont="1" applyBorder="1" applyAlignment="1">
      <alignment horizontal="center"/>
    </xf>
    <xf numFmtId="0" fontId="3" fillId="0" borderId="6" xfId="0" applyFont="1" applyBorder="1"/>
    <xf numFmtId="0" fontId="0" fillId="0" borderId="16" xfId="0" applyBorder="1"/>
    <xf numFmtId="0" fontId="0" fillId="0" borderId="23" xfId="0" applyBorder="1"/>
    <xf numFmtId="0" fontId="0" fillId="0" borderId="24" xfId="0" applyBorder="1"/>
    <xf numFmtId="0" fontId="15" fillId="5" borderId="6" xfId="0" applyFont="1" applyFill="1" applyBorder="1" applyAlignment="1">
      <alignment horizontal="center" wrapText="1"/>
    </xf>
    <xf numFmtId="0" fontId="15" fillId="5" borderId="8" xfId="0" applyFont="1" applyFill="1" applyBorder="1" applyAlignment="1">
      <alignment horizontal="center" wrapText="1"/>
    </xf>
    <xf numFmtId="0" fontId="15" fillId="5" borderId="11" xfId="0" applyFont="1" applyFill="1" applyBorder="1" applyAlignment="1">
      <alignment horizontal="center" wrapText="1"/>
    </xf>
    <xf numFmtId="0" fontId="15" fillId="5" borderId="12" xfId="0" applyFont="1" applyFill="1" applyBorder="1" applyAlignment="1">
      <alignment horizontal="center" wrapText="1"/>
    </xf>
    <xf numFmtId="0" fontId="18" fillId="5" borderId="5" xfId="0" applyFont="1" applyFill="1" applyBorder="1" applyAlignment="1">
      <alignment horizontal="center"/>
    </xf>
    <xf numFmtId="10" fontId="18" fillId="0" borderId="5" xfId="0" applyNumberFormat="1" applyFont="1" applyBorder="1" applyAlignment="1">
      <alignment horizontal="center"/>
    </xf>
    <xf numFmtId="0" fontId="15" fillId="11" borderId="1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19" fillId="12" borderId="2" xfId="0" applyFont="1" applyFill="1" applyBorder="1" applyAlignment="1">
      <alignment horizontal="center"/>
    </xf>
    <xf numFmtId="0" fontId="19" fillId="12" borderId="3" xfId="0" applyFont="1" applyFill="1" applyBorder="1" applyAlignment="1">
      <alignment horizontal="center"/>
    </xf>
    <xf numFmtId="0" fontId="19" fillId="12" borderId="4" xfId="0" applyFont="1" applyFill="1" applyBorder="1" applyAlignment="1">
      <alignment horizontal="center"/>
    </xf>
    <xf numFmtId="172" fontId="0" fillId="0" borderId="0" xfId="0" applyNumberFormat="1"/>
    <xf numFmtId="0" fontId="3" fillId="0" borderId="0" xfId="0" applyFon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0" fontId="14" fillId="4" borderId="0" xfId="0" applyFont="1" applyFill="1"/>
    <xf numFmtId="3" fontId="14" fillId="4" borderId="0" xfId="0" applyNumberFormat="1" applyFont="1" applyFill="1"/>
    <xf numFmtId="10" fontId="14" fillId="4" borderId="0" xfId="0" applyNumberFormat="1" applyFont="1" applyFill="1"/>
    <xf numFmtId="0" fontId="15" fillId="6" borderId="11" xfId="0" applyFont="1" applyFill="1" applyBorder="1" applyAlignment="1">
      <alignment horizontal="center" vertical="top" wrapText="1"/>
    </xf>
    <xf numFmtId="0" fontId="15" fillId="6" borderId="12" xfId="0" applyFont="1" applyFill="1" applyBorder="1" applyAlignment="1">
      <alignment horizontal="center" vertical="top" wrapText="1"/>
    </xf>
    <xf numFmtId="0" fontId="15" fillId="6" borderId="13" xfId="0" applyFont="1" applyFill="1" applyBorder="1" applyAlignment="1">
      <alignment horizontal="center" vertical="top" wrapText="1"/>
    </xf>
    <xf numFmtId="0" fontId="15" fillId="6" borderId="15" xfId="0" applyFont="1" applyFill="1" applyBorder="1" applyAlignment="1">
      <alignment horizontal="center" vertical="top" wrapText="1"/>
    </xf>
    <xf numFmtId="9" fontId="0" fillId="4" borderId="25" xfId="1" applyFont="1" applyFill="1" applyBorder="1"/>
  </cellXfs>
  <cellStyles count="5">
    <cellStyle name="Comma 2" xfId="4" xr:uid="{52E0B24E-1AFB-4DED-9DF6-999321D35DC9}"/>
    <cellStyle name="Normal" xfId="0" builtinId="0"/>
    <cellStyle name="Normal 2" xfId="2" xr:uid="{D8CBFF24-DBA4-4F80-A50C-91151CC24370}"/>
    <cellStyle name="Normal 2 2" xfId="3" xr:uid="{F0A9F02B-66E5-4262-B2B7-33DF2E17BA6F}"/>
    <cellStyle name="Percent" xfId="1" builtinId="5"/>
  </cellStyles>
  <dxfs count="37">
    <dxf>
      <fill>
        <patternFill>
          <bgColor rgb="FF2097C6"/>
        </patternFill>
      </fill>
    </dxf>
    <dxf>
      <fill>
        <patternFill>
          <bgColor rgb="FF2097C6"/>
        </patternFill>
      </fill>
    </dxf>
    <dxf>
      <fill>
        <patternFill>
          <bgColor rgb="FF2097C6"/>
        </patternFill>
      </fill>
    </dxf>
    <dxf>
      <fill>
        <patternFill>
          <bgColor rgb="FF2097C6"/>
        </patternFill>
      </fill>
    </dxf>
    <dxf>
      <fill>
        <patternFill>
          <bgColor rgb="FF2097C6"/>
        </patternFill>
      </fill>
    </dxf>
    <dxf>
      <alignment horizontal="right"/>
    </dxf>
    <dxf>
      <border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ont>
        <color rgb="FFC0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70" formatCode="#,##0;\-#,##0.00;&quot;    -     &quot;"/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medium">
          <color indexed="64"/>
        </bottom>
      </border>
    </dxf>
    <dxf>
      <border>
        <top style="thin">
          <color indexed="64"/>
        </top>
        <bottom style="medium">
          <color indexed="64"/>
        </bottom>
      </border>
    </dxf>
    <dxf>
      <fill>
        <patternFill patternType="solid">
          <bgColor theme="0"/>
        </patternFill>
      </fill>
    </dxf>
    <dxf>
      <font>
        <color auto="1"/>
      </font>
    </dxf>
    <dxf>
      <fill>
        <patternFill>
          <bgColor auto="1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 vertical="center"/>
    </dxf>
    <dxf>
      <fill>
        <patternFill patternType="solid">
          <bgColor theme="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</dxfs>
  <tableStyles count="0" defaultTableStyle="TableStyleMedium2" defaultPivotStyle="PivotStyleLight16"/>
  <colors>
    <mruColors>
      <color rgb="FF2097C6"/>
      <color rgb="FFEFCE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Rate!$A$1</c:f>
              <c:strCache>
                <c:ptCount val="1"/>
                <c:pt idx="0">
                  <c:v>Interest Rate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[0]!YearC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xVal>
          <c:yVal>
            <c:numRef>
              <c:f>Rate!Rate2</c:f>
              <c:numCache>
                <c:formatCode>0%</c:formatCode>
                <c:ptCount val="8"/>
                <c:pt idx="0">
                  <c:v>0.04</c:v>
                </c:pt>
                <c:pt idx="1">
                  <c:v>7.4999999999999997E-2</c:v>
                </c:pt>
                <c:pt idx="2">
                  <c:v>6.5000000000000002E-2</c:v>
                </c:pt>
                <c:pt idx="3">
                  <c:v>7.2499999999999995E-2</c:v>
                </c:pt>
                <c:pt idx="4">
                  <c:v>5.5E-2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E2-487A-8EAE-353EE569E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142575"/>
        <c:axId val="1810117135"/>
      </c:scatterChart>
      <c:valAx>
        <c:axId val="1810142575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117135"/>
        <c:crosses val="autoZero"/>
        <c:crossBetween val="midCat"/>
      </c:valAx>
      <c:valAx>
        <c:axId val="181011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142575"/>
        <c:crosses val="autoZero"/>
        <c:crossBetween val="midCat"/>
      </c:valAx>
      <c:spPr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24</xdr:row>
      <xdr:rowOff>0</xdr:rowOff>
    </xdr:from>
    <xdr:to>
      <xdr:col>8</xdr:col>
      <xdr:colOff>508000</xdr:colOff>
      <xdr:row>44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776D2B-334F-FDB8-8F32-A8EE75DFD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uodong\Pension\FundPP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m1jk7r\Documents\Guodong%20on%20C\Excel\Excel\201\4.2%20Cha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view%201\H\Private%20-%20Li\Pleasure\Weight%20Contro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uodong\Pension\FASB15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view%201\H\Maryville\Maryville%20-%20Key%20Files\ACSC%20201%20and%20301\Tests%20and%20Exams\Test%201.1-5.5%20-%20Count%20&amp;%20Annuity%20&amp;%20Statement%20&amp;%20Rate%20Chart%20&amp;%20Pivo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view\Pending\Model%20FAS%20158%20Disclosure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sci_201\Crater_Andrew_Annuity.xlsx" TargetMode="External"/><Relationship Id="rId1" Type="http://schemas.openxmlformats.org/officeDocument/2006/relationships/externalLinkPath" Target="Crater_Andrew_Annu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Y"/>
      <sheetName val="TY"/>
      <sheetName val="NY"/>
      <sheetName val="BasePY"/>
      <sheetName val="Contrib"/>
      <sheetName val="Input"/>
      <sheetName val="Liability"/>
      <sheetName val="ProVal"/>
      <sheetName val="Analysis"/>
      <sheetName val="ProValInfo"/>
      <sheetName val="ProVal0"/>
      <sheetName val="ProVal1"/>
      <sheetName val="PartD"/>
      <sheetName val="Major"/>
      <sheetName val="C"/>
      <sheetName val="DiscAC"/>
      <sheetName val="Disc C"/>
      <sheetName val="B"/>
      <sheetName val="AM"/>
      <sheetName val="Plan"/>
      <sheetName val="YC"/>
      <sheetName val="Rate"/>
      <sheetName val="Note"/>
      <sheetName val="Table"/>
      <sheetName val="Cover"/>
      <sheetName val="Data"/>
      <sheetName val="Result"/>
      <sheetName val="FT"/>
      <sheetName val="AS"/>
      <sheetName val="AV"/>
      <sheetName val="Return"/>
      <sheetName val="ROR"/>
      <sheetName val="SchSB"/>
      <sheetName val="Election"/>
      <sheetName val="AFN"/>
      <sheetName val="4010"/>
      <sheetName val="GL"/>
      <sheetName val="Stat"/>
      <sheetName val="Sum"/>
      <sheetName val="At-Risk"/>
      <sheetName val="At-Risk max"/>
      <sheetName val="Burn CB"/>
      <sheetName val="Shortfall"/>
      <sheetName val="Base"/>
      <sheetName val="ASC 960"/>
      <sheetName val="FB"/>
      <sheetName val="min"/>
      <sheetName val="max"/>
      <sheetName val="Qtrly"/>
      <sheetName val="PBGC"/>
      <sheetName val="PBGC F"/>
      <sheetName val="SB"/>
      <sheetName val="Calendar"/>
      <sheetName val="AFTAP"/>
      <sheetName val="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I5">
            <v>40909</v>
          </cell>
        </row>
      </sheetData>
      <sheetData sheetId="19"/>
      <sheetData sheetId="20"/>
      <sheetData sheetId="21"/>
      <sheetData sheetId="22"/>
      <sheetData sheetId="23">
        <row r="3">
          <cell r="J3" t="str">
            <v>Market Value</v>
          </cell>
          <cell r="K3" t="str">
            <v>Reg 1.412(c)(2)-1(c) &amp; RP 2000-40 Sec 4.10</v>
          </cell>
        </row>
        <row r="4">
          <cell r="J4" t="str">
            <v>Average Value</v>
          </cell>
          <cell r="K4" t="str">
            <v>Reg 1.412(c)(2)-1(b)(7) &amp; RP 2000-40 Sec 4.11</v>
          </cell>
        </row>
        <row r="5">
          <cell r="J5" t="str">
            <v>Average Value</v>
          </cell>
          <cell r="K5" t="str">
            <v>Reg 1.412(c)(2)-1(b)(7) &amp; RP 2000-40 Sec 4.12, Phase-in</v>
          </cell>
        </row>
        <row r="6">
          <cell r="J6" t="str">
            <v>Expected AV1</v>
          </cell>
          <cell r="K6" t="str">
            <v>Recognize G/L as equal payments</v>
          </cell>
        </row>
        <row r="7">
          <cell r="J7" t="str">
            <v>Expected AV2</v>
          </cell>
          <cell r="K7" t="str">
            <v>Adjust AV toward MV by fixed %</v>
          </cell>
        </row>
        <row r="8">
          <cell r="J8" t="str">
            <v>Smoothed Value</v>
          </cell>
          <cell r="K8" t="str">
            <v>Rev Proc 2000-40 Sec 4.15</v>
          </cell>
        </row>
        <row r="9">
          <cell r="J9" t="str">
            <v>Smoothed Value</v>
          </cell>
          <cell r="K9" t="str">
            <v>Rev Proc 2000-40 Sec 4.16, Phase-in</v>
          </cell>
        </row>
        <row r="10">
          <cell r="J10" t="str">
            <v>Average Value</v>
          </cell>
          <cell r="K10" t="str">
            <v>Reg 1.412(c)(2)-1(b)(7) &amp; RP 2000-40 Sec 4.17, Phase-in</v>
          </cell>
        </row>
        <row r="11">
          <cell r="J11" t="str">
            <v>Undefined</v>
          </cell>
          <cell r="K11" t="str">
            <v>Undefined</v>
          </cell>
        </row>
        <row r="12">
          <cell r="J12" t="str">
            <v>Undefined</v>
          </cell>
          <cell r="K12" t="str">
            <v>Undefined</v>
          </cell>
        </row>
        <row r="13">
          <cell r="J13" t="str">
            <v>Other Method</v>
          </cell>
          <cell r="K13" t="str">
            <v>Other Method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A2" t="str">
            <v>Version 1/1 - 1/1/2000</v>
          </cell>
        </row>
        <row r="5">
          <cell r="F5" t="str">
            <v/>
          </cell>
        </row>
        <row r="9">
          <cell r="C9" t="str">
            <v>Inc. Pension Plan</v>
          </cell>
        </row>
        <row r="10">
          <cell r="C10" t="str">
            <v>Billing Code:                           Version 1/1 - 1/1/2000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"/>
      <sheetName val="Student Records"/>
      <sheetName val="Count"/>
      <sheetName val="Progress to Goal"/>
      <sheetName val="HW Progress"/>
      <sheetName val="Weight Watch"/>
      <sheetName val="Static"/>
      <sheetName val="dynamic"/>
    </sheetNames>
    <sheetDataSet>
      <sheetData sheetId="0"/>
      <sheetData sheetId="1"/>
      <sheetData sheetId="2"/>
      <sheetData sheetId="3"/>
      <sheetData sheetId="4"/>
      <sheetData sheetId="5">
        <row r="2">
          <cell r="I2">
            <v>10</v>
          </cell>
        </row>
        <row r="3">
          <cell r="I3">
            <v>25</v>
          </cell>
        </row>
        <row r="9">
          <cell r="B9" t="str">
            <v>Date</v>
          </cell>
        </row>
      </sheetData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king"/>
      <sheetName val="Weight"/>
      <sheetName val="Salman"/>
      <sheetName val="Stairs"/>
      <sheetName val="Golf"/>
      <sheetName val="Misc"/>
      <sheetName val="Golf Courses"/>
      <sheetName val="Ping Pang"/>
      <sheetName val="Hiking Trails"/>
      <sheetName val="Health Info"/>
      <sheetName val="Weight &amp; more"/>
      <sheetName val="Activities before 2014"/>
      <sheetName val="Activity"/>
      <sheetName val="JGP"/>
      <sheetName val="Swim"/>
      <sheetName val="Record Sheet"/>
      <sheetName val="Record Time"/>
      <sheetName val="Event"/>
      <sheetName val="Trails"/>
    </sheetNames>
    <sheetDataSet>
      <sheetData sheetId="0" refreshError="1"/>
      <sheetData sheetId="1">
        <row r="1">
          <cell r="J1">
            <v>0</v>
          </cell>
        </row>
      </sheetData>
      <sheetData sheetId="2">
        <row r="4">
          <cell r="B4">
            <v>160</v>
          </cell>
        </row>
        <row r="9">
          <cell r="G9">
            <v>34.5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Update"/>
      <sheetName val="LY"/>
      <sheetName val="TY"/>
      <sheetName val="NY"/>
      <sheetName val="Input"/>
      <sheetName val="ProVal"/>
      <sheetName val="ProValEst"/>
      <sheetName val="Analysis"/>
      <sheetName val="PartD"/>
      <sheetName val="Liability"/>
      <sheetName val="ProValInfo"/>
      <sheetName val="Contrib"/>
      <sheetName val="Table"/>
      <sheetName val="Base"/>
      <sheetName val="B"/>
      <sheetName val="Major"/>
      <sheetName val="Plan"/>
      <sheetName val="Sum"/>
      <sheetName val="AS"/>
      <sheetName val="MRV"/>
      <sheetName val="Int"/>
      <sheetName val="PSC"/>
      <sheetName val="GL"/>
      <sheetName val="NPBC"/>
      <sheetName val="FAS158"/>
      <sheetName val="FAS158 - before"/>
      <sheetName val="PJ"/>
      <sheetName val="AML"/>
      <sheetName val="Recon"/>
      <sheetName val="AS PJ"/>
      <sheetName val="Recon Sum"/>
      <sheetName val="X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1">
          <cell r="C21" t="str">
            <v>Market Value</v>
          </cell>
          <cell r="D21" t="str">
            <v>Reg 1.412(c)(2)-1(c) &amp; RP 2000-40 Sec 4.10</v>
          </cell>
        </row>
        <row r="22">
          <cell r="C22" t="str">
            <v>Average Value</v>
          </cell>
          <cell r="D22" t="str">
            <v>Reg 1.412(c)(2)-1(b)(7) &amp; RP 2000-40 Sec 4.11</v>
          </cell>
        </row>
        <row r="23">
          <cell r="C23" t="str">
            <v>Average Value</v>
          </cell>
          <cell r="D23" t="str">
            <v>Reg 1.412(c)(2)-1(b)(7) &amp; RP 2000-40 Sec 4.12, Phase-in</v>
          </cell>
        </row>
        <row r="24">
          <cell r="C24" t="str">
            <v>Expected AV1</v>
          </cell>
          <cell r="D24" t="str">
            <v>Recognize G/L as equal payments</v>
          </cell>
        </row>
        <row r="25">
          <cell r="C25" t="str">
            <v>Expected AV2</v>
          </cell>
          <cell r="D25" t="str">
            <v>Adjust AV toward MV by fixed %</v>
          </cell>
        </row>
        <row r="26">
          <cell r="C26" t="str">
            <v>Smoothed Value</v>
          </cell>
          <cell r="D26" t="str">
            <v>Rev Proc 2000-40 Sec 4.15</v>
          </cell>
        </row>
        <row r="27">
          <cell r="C27" t="str">
            <v>Smoothed Value</v>
          </cell>
          <cell r="D27" t="str">
            <v>Rev Proc 2000-40 Sec 4.16, Phase-in</v>
          </cell>
        </row>
        <row r="28">
          <cell r="C28" t="str">
            <v>Average Value</v>
          </cell>
          <cell r="D28" t="str">
            <v>Reg 1.412(c)(2)-1(b)(7) &amp; RP 2000-40 Sec 4.17, Phase-in</v>
          </cell>
        </row>
        <row r="29">
          <cell r="C29" t="str">
            <v>Smoothed Value</v>
          </cell>
          <cell r="D29" t="str">
            <v>Smoothed Value w/ PY expected return</v>
          </cell>
        </row>
        <row r="30">
          <cell r="C30" t="str">
            <v>Undefined</v>
          </cell>
          <cell r="D30" t="str">
            <v>Undefined</v>
          </cell>
        </row>
        <row r="31">
          <cell r="C31" t="str">
            <v>Other Method</v>
          </cell>
          <cell r="D31" t="str">
            <v>Other Method</v>
          </cell>
        </row>
      </sheetData>
      <sheetData sheetId="14" refreshError="1"/>
      <sheetData sheetId="15" refreshError="1"/>
      <sheetData sheetId="16" refreshError="1"/>
      <sheetData sheetId="17">
        <row r="35">
          <cell r="F35">
            <v>0</v>
          </cell>
        </row>
      </sheetData>
      <sheetData sheetId="18">
        <row r="7">
          <cell r="E7">
            <v>41275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rd"/>
      <sheetName val="Qx"/>
      <sheetName val="Filter DB"/>
      <sheetName val="Pivot Table"/>
      <sheetName val="Age Dist"/>
      <sheetName val="Annuity"/>
      <sheetName val="Rate"/>
      <sheetName val="Statement"/>
      <sheetName val="Progrss Grap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B2" t="str">
            <v>Interest Rate</v>
          </cell>
        </row>
        <row r="3">
          <cell r="B3" t="str">
            <v>Year</v>
          </cell>
          <cell r="C3" t="str">
            <v>Rate</v>
          </cell>
        </row>
        <row r="4">
          <cell r="B4">
            <v>2008</v>
          </cell>
          <cell r="C4">
            <v>0.04</v>
          </cell>
        </row>
        <row r="5">
          <cell r="B5">
            <v>2009</v>
          </cell>
          <cell r="C5">
            <v>7.4999999999999997E-2</v>
          </cell>
        </row>
        <row r="6">
          <cell r="B6">
            <v>2010</v>
          </cell>
          <cell r="C6">
            <v>6.5000000000000002E-2</v>
          </cell>
        </row>
        <row r="7">
          <cell r="B7">
            <v>2011</v>
          </cell>
          <cell r="C7">
            <v>7.2499999999999995E-2</v>
          </cell>
        </row>
        <row r="8">
          <cell r="B8">
            <v>2012</v>
          </cell>
          <cell r="C8">
            <v>6.5000000000000002E-2</v>
          </cell>
        </row>
        <row r="9">
          <cell r="B9">
            <v>2013</v>
          </cell>
          <cell r="C9">
            <v>0.04</v>
          </cell>
        </row>
        <row r="10">
          <cell r="B10">
            <v>2014</v>
          </cell>
        </row>
        <row r="11">
          <cell r="B11">
            <v>2015</v>
          </cell>
        </row>
        <row r="12">
          <cell r="B12">
            <v>2016</v>
          </cell>
        </row>
        <row r="13">
          <cell r="B13">
            <v>2017</v>
          </cell>
        </row>
        <row r="14">
          <cell r="B14">
            <v>2018</v>
          </cell>
        </row>
        <row r="15">
          <cell r="B15">
            <v>2019</v>
          </cell>
        </row>
        <row r="16">
          <cell r="B16">
            <v>2020</v>
          </cell>
        </row>
        <row r="17">
          <cell r="B17">
            <v>2021</v>
          </cell>
        </row>
        <row r="18">
          <cell r="B18">
            <v>2022</v>
          </cell>
        </row>
        <row r="19">
          <cell r="B19">
            <v>2023</v>
          </cell>
        </row>
        <row r="20">
          <cell r="B20">
            <v>2024</v>
          </cell>
        </row>
        <row r="21">
          <cell r="B21">
            <v>2025</v>
          </cell>
        </row>
        <row r="22">
          <cell r="B22">
            <v>2026</v>
          </cell>
        </row>
        <row r="23">
          <cell r="B23">
            <v>2027</v>
          </cell>
        </row>
        <row r="24">
          <cell r="B24">
            <v>2028</v>
          </cell>
        </row>
        <row r="26">
          <cell r="B26" t="str">
            <v>Current Year Info</v>
          </cell>
        </row>
        <row r="27">
          <cell r="B27" t="str">
            <v>Contract Year</v>
          </cell>
          <cell r="C27" t="str">
            <v>Rate</v>
          </cell>
        </row>
        <row r="28">
          <cell r="B28">
            <v>2013</v>
          </cell>
          <cell r="C28">
            <v>0.04</v>
          </cell>
        </row>
      </sheetData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FAS 158 Input"/>
      <sheetName val="Print Public for Profit"/>
      <sheetName val="Print Nonprofit"/>
      <sheetName val="Print Nonpublic"/>
    </sheetNames>
    <sheetDataSet>
      <sheetData sheetId="0"/>
      <sheetData sheetId="1">
        <row r="4">
          <cell r="H4">
            <v>2006</v>
          </cell>
        </row>
      </sheetData>
      <sheetData sheetId="2">
        <row r="5">
          <cell r="C5">
            <v>2005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nuity"/>
      <sheetName val="Qx"/>
    </sheetNames>
    <sheetDataSet>
      <sheetData sheetId="0"/>
      <sheetData sheetId="1">
        <row r="2">
          <cell r="B2" t="str">
            <v>Mortality Table</v>
          </cell>
        </row>
        <row r="3">
          <cell r="B3" t="str">
            <v>Age</v>
          </cell>
          <cell r="C3" t="str">
            <v>qx</v>
          </cell>
        </row>
        <row r="4">
          <cell r="B4">
            <v>5</v>
          </cell>
          <cell r="C4">
            <v>2.3699999999999999E-4</v>
          </cell>
        </row>
        <row r="5">
          <cell r="B5">
            <v>6</v>
          </cell>
          <cell r="C5">
            <v>2.2699999999999999E-4</v>
          </cell>
        </row>
        <row r="6">
          <cell r="B6">
            <v>7</v>
          </cell>
          <cell r="C6">
            <v>2.1699999999999999E-4</v>
          </cell>
        </row>
        <row r="7">
          <cell r="B7">
            <v>8</v>
          </cell>
          <cell r="C7">
            <v>2.0100000000000001E-4</v>
          </cell>
        </row>
        <row r="8">
          <cell r="B8">
            <v>9</v>
          </cell>
          <cell r="C8">
            <v>1.94E-4</v>
          </cell>
        </row>
        <row r="9">
          <cell r="B9">
            <v>10</v>
          </cell>
          <cell r="C9">
            <v>1.9699999999999999E-4</v>
          </cell>
        </row>
        <row r="10">
          <cell r="B10">
            <v>11</v>
          </cell>
          <cell r="C10">
            <v>2.0799999999999999E-4</v>
          </cell>
        </row>
        <row r="11">
          <cell r="B11">
            <v>12</v>
          </cell>
          <cell r="C11">
            <v>2.2599999999999999E-4</v>
          </cell>
        </row>
        <row r="12">
          <cell r="B12">
            <v>13</v>
          </cell>
          <cell r="C12">
            <v>2.5500000000000002E-4</v>
          </cell>
        </row>
        <row r="13">
          <cell r="B13">
            <v>14</v>
          </cell>
          <cell r="C13">
            <v>2.9700000000000001E-4</v>
          </cell>
        </row>
        <row r="14">
          <cell r="B14">
            <v>15</v>
          </cell>
          <cell r="C14">
            <v>3.4499999999999998E-4</v>
          </cell>
        </row>
        <row r="15">
          <cell r="B15">
            <v>16</v>
          </cell>
          <cell r="C15">
            <v>3.9100000000000002E-4</v>
          </cell>
        </row>
        <row r="16">
          <cell r="B16">
            <v>17</v>
          </cell>
          <cell r="C16">
            <v>4.2999999999999999E-4</v>
          </cell>
        </row>
        <row r="17">
          <cell r="B17">
            <v>18</v>
          </cell>
          <cell r="C17">
            <v>4.6000000000000001E-4</v>
          </cell>
        </row>
        <row r="18">
          <cell r="B18">
            <v>19</v>
          </cell>
          <cell r="C18">
            <v>4.84E-4</v>
          </cell>
        </row>
        <row r="19">
          <cell r="B19">
            <v>20</v>
          </cell>
          <cell r="C19">
            <v>5.0699999999999996E-4</v>
          </cell>
        </row>
        <row r="20">
          <cell r="B20">
            <v>21</v>
          </cell>
          <cell r="C20">
            <v>5.2999999999999998E-4</v>
          </cell>
        </row>
        <row r="21">
          <cell r="B21">
            <v>22</v>
          </cell>
          <cell r="C21">
            <v>5.5599999999999996E-4</v>
          </cell>
        </row>
        <row r="22">
          <cell r="B22">
            <v>23</v>
          </cell>
          <cell r="C22">
            <v>5.8900000000000001E-4</v>
          </cell>
        </row>
        <row r="23">
          <cell r="B23">
            <v>24</v>
          </cell>
          <cell r="C23">
            <v>6.2399999999999999E-4</v>
          </cell>
        </row>
        <row r="24">
          <cell r="B24">
            <v>25</v>
          </cell>
          <cell r="C24">
            <v>6.6100000000000002E-4</v>
          </cell>
        </row>
        <row r="25">
          <cell r="B25">
            <v>26</v>
          </cell>
          <cell r="C25">
            <v>6.96E-4</v>
          </cell>
        </row>
        <row r="26">
          <cell r="B26">
            <v>27</v>
          </cell>
          <cell r="C26">
            <v>7.27E-4</v>
          </cell>
        </row>
        <row r="27">
          <cell r="B27">
            <v>28</v>
          </cell>
          <cell r="C27">
            <v>7.54E-4</v>
          </cell>
        </row>
        <row r="28">
          <cell r="B28">
            <v>29</v>
          </cell>
          <cell r="C28">
            <v>7.7899999999999996E-4</v>
          </cell>
        </row>
        <row r="29">
          <cell r="B29">
            <v>30</v>
          </cell>
          <cell r="C29">
            <v>8.0099999999999995E-4</v>
          </cell>
        </row>
        <row r="30">
          <cell r="B30">
            <v>31</v>
          </cell>
          <cell r="C30">
            <v>8.2100000000000001E-4</v>
          </cell>
        </row>
        <row r="31">
          <cell r="B31">
            <v>32</v>
          </cell>
          <cell r="C31">
            <v>8.3900000000000001E-4</v>
          </cell>
        </row>
        <row r="32">
          <cell r="B32">
            <v>33</v>
          </cell>
          <cell r="C32">
            <v>8.4800000000000001E-4</v>
          </cell>
        </row>
        <row r="33">
          <cell r="B33">
            <v>34</v>
          </cell>
          <cell r="C33">
            <v>8.4900000000000004E-4</v>
          </cell>
        </row>
        <row r="34">
          <cell r="B34">
            <v>35</v>
          </cell>
          <cell r="C34">
            <v>8.5099999999999998E-4</v>
          </cell>
        </row>
        <row r="35">
          <cell r="B35">
            <v>36</v>
          </cell>
          <cell r="C35">
            <v>8.6200000000000003E-4</v>
          </cell>
        </row>
        <row r="36">
          <cell r="B36">
            <v>37</v>
          </cell>
          <cell r="C36">
            <v>8.9099999999999997E-4</v>
          </cell>
        </row>
        <row r="37">
          <cell r="B37">
            <v>38</v>
          </cell>
          <cell r="C37">
            <v>9.3899999999999995E-4</v>
          </cell>
        </row>
        <row r="38">
          <cell r="B38">
            <v>39</v>
          </cell>
          <cell r="C38">
            <v>9.990000000000001E-4</v>
          </cell>
        </row>
        <row r="39">
          <cell r="B39">
            <v>40</v>
          </cell>
          <cell r="C39">
            <v>1.072E-3</v>
          </cell>
        </row>
        <row r="40">
          <cell r="B40">
            <v>41</v>
          </cell>
          <cell r="C40">
            <v>1.1559999999999999E-3</v>
          </cell>
        </row>
        <row r="41">
          <cell r="B41">
            <v>42</v>
          </cell>
          <cell r="C41">
            <v>1.2520000000000001E-3</v>
          </cell>
        </row>
        <row r="42">
          <cell r="B42">
            <v>43</v>
          </cell>
          <cell r="C42">
            <v>1.3519999999999999E-3</v>
          </cell>
        </row>
        <row r="43">
          <cell r="B43">
            <v>44</v>
          </cell>
          <cell r="C43">
            <v>1.4580000000000001E-3</v>
          </cell>
        </row>
        <row r="44">
          <cell r="B44">
            <v>45</v>
          </cell>
          <cell r="C44">
            <v>1.578E-3</v>
          </cell>
        </row>
        <row r="45">
          <cell r="B45">
            <v>46</v>
          </cell>
          <cell r="C45">
            <v>1.722E-3</v>
          </cell>
        </row>
        <row r="46">
          <cell r="B46">
            <v>47</v>
          </cell>
          <cell r="C46">
            <v>1.8990000000000001E-3</v>
          </cell>
        </row>
        <row r="47">
          <cell r="B47">
            <v>48</v>
          </cell>
          <cell r="C47">
            <v>2.1020000000000001E-3</v>
          </cell>
        </row>
        <row r="48">
          <cell r="B48">
            <v>49</v>
          </cell>
          <cell r="C48">
            <v>2.3259999999999999E-3</v>
          </cell>
        </row>
        <row r="49">
          <cell r="B49">
            <v>50</v>
          </cell>
          <cell r="C49">
            <v>2.5790000000000001E-3</v>
          </cell>
        </row>
        <row r="50">
          <cell r="B50">
            <v>51</v>
          </cell>
          <cell r="C50">
            <v>2.872E-3</v>
          </cell>
        </row>
        <row r="51">
          <cell r="B51">
            <v>52</v>
          </cell>
          <cell r="C51">
            <v>3.2130000000000001E-3</v>
          </cell>
        </row>
        <row r="52">
          <cell r="B52">
            <v>53</v>
          </cell>
          <cell r="C52">
            <v>3.5839999999999999E-3</v>
          </cell>
        </row>
        <row r="53">
          <cell r="B53">
            <v>54</v>
          </cell>
          <cell r="C53">
            <v>3.9789999999999999E-3</v>
          </cell>
        </row>
        <row r="54">
          <cell r="B54">
            <v>55</v>
          </cell>
          <cell r="C54">
            <v>4.4250000000000001E-3</v>
          </cell>
        </row>
        <row r="55">
          <cell r="B55">
            <v>56</v>
          </cell>
          <cell r="C55">
            <v>4.9490000000000003E-3</v>
          </cell>
        </row>
        <row r="56">
          <cell r="B56">
            <v>57</v>
          </cell>
          <cell r="C56">
            <v>5.581E-3</v>
          </cell>
        </row>
        <row r="57">
          <cell r="B57">
            <v>58</v>
          </cell>
          <cell r="C57">
            <v>6.3E-3</v>
          </cell>
        </row>
        <row r="58">
          <cell r="B58">
            <v>59</v>
          </cell>
          <cell r="C58">
            <v>7.0899999999999999E-3</v>
          </cell>
        </row>
        <row r="59">
          <cell r="B59">
            <v>60</v>
          </cell>
          <cell r="C59">
            <v>7.9760000000000005E-3</v>
          </cell>
        </row>
        <row r="60">
          <cell r="B60">
            <v>61</v>
          </cell>
          <cell r="C60">
            <v>8.9859999999999992E-3</v>
          </cell>
        </row>
        <row r="61">
          <cell r="B61">
            <v>62</v>
          </cell>
          <cell r="C61">
            <v>1.0147E-2</v>
          </cell>
        </row>
        <row r="62">
          <cell r="B62">
            <v>63</v>
          </cell>
          <cell r="C62">
            <v>1.1471E-2</v>
          </cell>
        </row>
        <row r="63">
          <cell r="B63">
            <v>64</v>
          </cell>
          <cell r="C63">
            <v>1.294E-2</v>
          </cell>
        </row>
        <row r="64">
          <cell r="B64">
            <v>65</v>
          </cell>
          <cell r="C64">
            <v>1.4534999999999999E-2</v>
          </cell>
        </row>
        <row r="65">
          <cell r="B65">
            <v>66</v>
          </cell>
          <cell r="C65">
            <v>1.6239E-2</v>
          </cell>
        </row>
        <row r="66">
          <cell r="B66">
            <v>67</v>
          </cell>
          <cell r="C66">
            <v>1.8034000000000001E-2</v>
          </cell>
        </row>
        <row r="67">
          <cell r="B67">
            <v>68</v>
          </cell>
          <cell r="C67">
            <v>1.9859000000000002E-2</v>
          </cell>
        </row>
        <row r="68">
          <cell r="B68">
            <v>69</v>
          </cell>
          <cell r="C68">
            <v>2.1728999999999998E-2</v>
          </cell>
        </row>
        <row r="69">
          <cell r="B69">
            <v>70</v>
          </cell>
          <cell r="C69">
            <v>2.3730000000000001E-2</v>
          </cell>
        </row>
        <row r="70">
          <cell r="B70">
            <v>71</v>
          </cell>
          <cell r="C70">
            <v>2.5950999999999998E-2</v>
          </cell>
        </row>
        <row r="71">
          <cell r="B71">
            <v>72</v>
          </cell>
          <cell r="C71">
            <v>2.8480999999999999E-2</v>
          </cell>
        </row>
        <row r="72">
          <cell r="B72">
            <v>73</v>
          </cell>
          <cell r="C72">
            <v>3.1201E-2</v>
          </cell>
        </row>
        <row r="73">
          <cell r="B73">
            <v>74</v>
          </cell>
          <cell r="C73">
            <v>3.4050999999999998E-2</v>
          </cell>
        </row>
        <row r="74">
          <cell r="B74">
            <v>75</v>
          </cell>
          <cell r="C74">
            <v>3.7211000000000001E-2</v>
          </cell>
        </row>
        <row r="75">
          <cell r="B75">
            <v>76</v>
          </cell>
          <cell r="C75">
            <v>4.0857999999999998E-2</v>
          </cell>
        </row>
        <row r="76">
          <cell r="B76">
            <v>77</v>
          </cell>
          <cell r="C76">
            <v>4.5171000000000003E-2</v>
          </cell>
        </row>
        <row r="77">
          <cell r="B77">
            <v>78</v>
          </cell>
          <cell r="C77">
            <v>5.0210999999999999E-2</v>
          </cell>
        </row>
        <row r="78">
          <cell r="B78">
            <v>79</v>
          </cell>
          <cell r="C78">
            <v>5.5861000000000001E-2</v>
          </cell>
        </row>
        <row r="79">
          <cell r="B79">
            <v>80</v>
          </cell>
          <cell r="C79">
            <v>6.2026999999999999E-2</v>
          </cell>
        </row>
        <row r="80">
          <cell r="B80">
            <v>81</v>
          </cell>
          <cell r="C80">
            <v>6.8614999999999995E-2</v>
          </cell>
        </row>
        <row r="81">
          <cell r="B81">
            <v>82</v>
          </cell>
          <cell r="C81">
            <v>7.5532000000000002E-2</v>
          </cell>
        </row>
        <row r="82">
          <cell r="B82">
            <v>83</v>
          </cell>
          <cell r="C82">
            <v>8.251E-2</v>
          </cell>
        </row>
        <row r="83">
          <cell r="B83">
            <v>84</v>
          </cell>
          <cell r="C83">
            <v>8.9612999999999998E-2</v>
          </cell>
        </row>
        <row r="84">
          <cell r="B84">
            <v>85</v>
          </cell>
          <cell r="C84">
            <v>9.7239999999999993E-2</v>
          </cell>
        </row>
        <row r="85">
          <cell r="B85">
            <v>86</v>
          </cell>
          <cell r="C85">
            <v>0.105792</v>
          </cell>
        </row>
        <row r="86">
          <cell r="B86">
            <v>87</v>
          </cell>
          <cell r="C86">
            <v>0.115671</v>
          </cell>
        </row>
        <row r="87">
          <cell r="B87">
            <v>88</v>
          </cell>
          <cell r="C87">
            <v>0.12698000000000001</v>
          </cell>
        </row>
        <row r="88">
          <cell r="B88">
            <v>89</v>
          </cell>
          <cell r="C88">
            <v>0.13945199999999999</v>
          </cell>
        </row>
        <row r="89">
          <cell r="B89">
            <v>90</v>
          </cell>
          <cell r="C89">
            <v>0.15293100000000001</v>
          </cell>
        </row>
        <row r="90">
          <cell r="B90">
            <v>91</v>
          </cell>
          <cell r="C90">
            <v>0.16725999999999999</v>
          </cell>
        </row>
        <row r="91">
          <cell r="B91">
            <v>92</v>
          </cell>
          <cell r="C91">
            <v>0.182281</v>
          </cell>
        </row>
        <row r="92">
          <cell r="B92">
            <v>93</v>
          </cell>
          <cell r="C92">
            <v>0.19839200000000001</v>
          </cell>
        </row>
        <row r="93">
          <cell r="B93">
            <v>94</v>
          </cell>
          <cell r="C93">
            <v>0.2157</v>
          </cell>
        </row>
        <row r="94">
          <cell r="B94">
            <v>95</v>
          </cell>
          <cell r="C94">
            <v>0.23360600000000001</v>
          </cell>
        </row>
        <row r="95">
          <cell r="B95">
            <v>96</v>
          </cell>
          <cell r="C95">
            <v>0.25151000000000001</v>
          </cell>
        </row>
        <row r="96">
          <cell r="B96">
            <v>97</v>
          </cell>
          <cell r="C96">
            <v>0.26881500000000003</v>
          </cell>
        </row>
        <row r="97">
          <cell r="B97">
            <v>98</v>
          </cell>
          <cell r="C97">
            <v>0.285277</v>
          </cell>
        </row>
        <row r="98">
          <cell r="B98">
            <v>99</v>
          </cell>
          <cell r="C98">
            <v>0.30129800000000001</v>
          </cell>
        </row>
        <row r="99">
          <cell r="B99">
            <v>100</v>
          </cell>
          <cell r="C99">
            <v>0.31723800000000002</v>
          </cell>
        </row>
        <row r="100">
          <cell r="B100">
            <v>101</v>
          </cell>
          <cell r="C100">
            <v>0.33346100000000001</v>
          </cell>
        </row>
        <row r="101">
          <cell r="B101">
            <v>102</v>
          </cell>
          <cell r="C101">
            <v>0.35032999999999997</v>
          </cell>
        </row>
        <row r="102">
          <cell r="B102">
            <v>103</v>
          </cell>
          <cell r="C102">
            <v>0.36854199999999998</v>
          </cell>
        </row>
        <row r="103">
          <cell r="B103">
            <v>104</v>
          </cell>
          <cell r="C103">
            <v>0.38785500000000001</v>
          </cell>
        </row>
        <row r="104">
          <cell r="B104">
            <v>105</v>
          </cell>
          <cell r="C104">
            <v>0.40722399999999997</v>
          </cell>
        </row>
        <row r="105">
          <cell r="B105">
            <v>106</v>
          </cell>
          <cell r="C105">
            <v>0.42559900000000001</v>
          </cell>
        </row>
        <row r="106">
          <cell r="B106">
            <v>107</v>
          </cell>
          <cell r="C106">
            <v>0.44193500000000002</v>
          </cell>
        </row>
        <row r="107">
          <cell r="B107">
            <v>108</v>
          </cell>
          <cell r="C107">
            <v>0.45755299999999999</v>
          </cell>
        </row>
        <row r="108">
          <cell r="B108">
            <v>109</v>
          </cell>
          <cell r="C108">
            <v>0.47315000000000002</v>
          </cell>
        </row>
        <row r="109">
          <cell r="B109">
            <v>110</v>
          </cell>
          <cell r="C109">
            <v>0.48674499999999998</v>
          </cell>
        </row>
        <row r="110">
          <cell r="B110">
            <v>111</v>
          </cell>
          <cell r="C110">
            <v>0.49635600000000002</v>
          </cell>
        </row>
        <row r="111">
          <cell r="B111">
            <v>112</v>
          </cell>
          <cell r="C111">
            <v>0.5</v>
          </cell>
        </row>
        <row r="112">
          <cell r="B112">
            <v>113</v>
          </cell>
          <cell r="C112">
            <v>0.5</v>
          </cell>
        </row>
        <row r="113">
          <cell r="B113">
            <v>114</v>
          </cell>
          <cell r="C113">
            <v>0.5</v>
          </cell>
        </row>
        <row r="114">
          <cell r="B114">
            <v>115</v>
          </cell>
          <cell r="C114">
            <v>0.5</v>
          </cell>
        </row>
        <row r="115">
          <cell r="B115">
            <v>116</v>
          </cell>
          <cell r="C115">
            <v>0.5</v>
          </cell>
        </row>
        <row r="116">
          <cell r="B116">
            <v>117</v>
          </cell>
          <cell r="C116">
            <v>0.5</v>
          </cell>
        </row>
        <row r="117">
          <cell r="B117">
            <v>118</v>
          </cell>
          <cell r="C117">
            <v>0.5</v>
          </cell>
        </row>
        <row r="118">
          <cell r="B118">
            <v>119</v>
          </cell>
          <cell r="C118">
            <v>0.5</v>
          </cell>
        </row>
        <row r="119">
          <cell r="B119">
            <v>120</v>
          </cell>
          <cell r="C119">
            <v>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C" refreshedDate="45584.554764814813" createdVersion="8" refreshedVersion="8" minRefreshableVersion="3" recordCount="10" xr:uid="{29F520DF-91F3-4D91-B26E-08CAE608286F}">
  <cacheSource type="worksheet">
    <worksheetSource ref="B3:I13" sheet="Record"/>
  </cacheSource>
  <cacheFields count="10">
    <cacheField name="ID" numFmtId="0">
      <sharedItems containsSemiMixedTypes="0" containsString="0" containsNumber="1" containsInteger="1" minValue="50001" maxValue="50010"/>
    </cacheField>
    <cacheField name="Name" numFmtId="0">
      <sharedItems/>
    </cacheField>
    <cacheField name="Salary" numFmtId="3">
      <sharedItems containsSemiMixedTypes="0" containsString="0" containsNumber="1" containsInteger="1" minValue="91000" maxValue="110000"/>
    </cacheField>
    <cacheField name="Py Salary" numFmtId="3">
      <sharedItems containsSemiMixedTypes="0" containsString="0" containsNumber="1" containsInteger="1" minValue="83000" maxValue="101000"/>
    </cacheField>
    <cacheField name="Date of Birth" numFmtId="14">
      <sharedItems containsSemiMixedTypes="0" containsNonDate="0" containsDate="1" containsString="0" minDate="1954-03-02T00:00:00" maxDate="1972-06-09T00:00:00"/>
    </cacheField>
    <cacheField name="Date of Hire" numFmtId="14">
      <sharedItems containsSemiMixedTypes="0" containsNonDate="0" containsDate="1" containsString="0" minDate="1989-02-07T00:00:00" maxDate="2017-12-10T00:00:00"/>
    </cacheField>
    <cacheField name="Age" numFmtId="0">
      <sharedItems containsSemiMixedTypes="0" containsString="0" containsNumber="1" containsInteger="1" minValue="46" maxValue="64" count="7">
        <n v="46"/>
        <n v="64"/>
        <n v="62"/>
        <n v="63"/>
        <n v="55"/>
        <n v="60"/>
        <n v="56"/>
      </sharedItems>
      <fieldGroup base="6">
        <rangePr autoStart="0" autoEnd="0" startNum="45" endNum="64" groupInterval="5"/>
        <groupItems count="6">
          <s v="&lt;45"/>
          <s v="45-49"/>
          <s v="50-54"/>
          <s v="55-59"/>
          <s v="60-64"/>
          <s v="&gt;65"/>
        </groupItems>
      </fieldGroup>
    </cacheField>
    <cacheField name="Service" numFmtId="1">
      <sharedItems containsSemiMixedTypes="0" containsString="0" containsNumber="1" minValue="1.0622861054072552" maxValue="29.897330595482547" count="10">
        <n v="26.833675564681723"/>
        <n v="2.3271731690622861"/>
        <n v="14.99520876112252"/>
        <n v="7.2306639288158792"/>
        <n v="6.8254620123203287"/>
        <n v="19.994524298425734"/>
        <n v="29.357973990417523"/>
        <n v="1.0622861054072552"/>
        <n v="18.340862422997947"/>
        <n v="29.897330595482547"/>
      </sharedItems>
      <fieldGroup par="8"/>
    </cacheField>
    <cacheField name="Service2" numFmtId="0" databaseField="0">
      <fieldGroup base="7">
        <discretePr count="10">
          <x v="3"/>
          <x v="0"/>
          <x v="2"/>
          <x v="1"/>
          <x v="1"/>
          <x v="2"/>
          <x v="3"/>
          <x v="0"/>
          <x v="2"/>
          <x v="3"/>
        </discretePr>
        <groupItems count="4">
          <s v="Group1"/>
          <s v="Group2"/>
          <s v="Group3"/>
          <s v="Group4"/>
        </groupItems>
      </fieldGroup>
    </cacheField>
    <cacheField name="Total Salaries" numFmtId="0" formula="SUM(Salary)+SUM('Py Salary' 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50001"/>
    <s v="Klendshoj,Roxanne"/>
    <n v="110000"/>
    <n v="101000"/>
    <d v="1972-03-05T00:00:00"/>
    <d v="1992-03-02T00:00:00"/>
    <x v="0"/>
    <x v="0"/>
  </r>
  <r>
    <n v="50002"/>
    <s v="Woolley,Jeane M."/>
    <n v="99000"/>
    <n v="91000"/>
    <d v="1954-03-02T00:00:00"/>
    <d v="2016-09-03T00:00:00"/>
    <x v="1"/>
    <x v="1"/>
  </r>
  <r>
    <n v="50003"/>
    <s v="Bartho,Jerome Fion"/>
    <n v="98000"/>
    <n v="90000"/>
    <d v="1956-05-09T00:00:00"/>
    <d v="2004-01-03T00:00:00"/>
    <x v="2"/>
    <x v="2"/>
  </r>
  <r>
    <n v="50004"/>
    <s v="Benson,Scott G."/>
    <n v="97000"/>
    <n v="89000"/>
    <d v="1955-09-09T00:00:00"/>
    <d v="2011-10-09T00:00:00"/>
    <x v="3"/>
    <x v="3"/>
  </r>
  <r>
    <n v="50005"/>
    <s v="Aho,Diane"/>
    <n v="96000"/>
    <n v="88000"/>
    <d v="1972-06-08T00:00:00"/>
    <d v="2012-03-05T00:00:00"/>
    <x v="0"/>
    <x v="4"/>
  </r>
  <r>
    <n v="50006"/>
    <s v="Larson,DeeAnn Smith"/>
    <n v="95000"/>
    <n v="87000"/>
    <d v="1963-03-02T00:00:00"/>
    <d v="1999-01-03T00:00:00"/>
    <x v="4"/>
    <x v="5"/>
  </r>
  <r>
    <n v="50007"/>
    <s v="Nelson,Susann"/>
    <n v="100000"/>
    <n v="92000"/>
    <d v="1954-12-12T00:00:00"/>
    <d v="1989-08-23T00:00:00"/>
    <x v="1"/>
    <x v="6"/>
  </r>
  <r>
    <n v="50008"/>
    <s v="Asche,TracyA"/>
    <n v="93000"/>
    <n v="85000"/>
    <d v="1958-11-02T00:00:00"/>
    <d v="2017-12-09T00:00:00"/>
    <x v="5"/>
    <x v="7"/>
  </r>
  <r>
    <n v="50009"/>
    <s v="Carlson,Robert Lee"/>
    <n v="92000"/>
    <n v="84000"/>
    <d v="1956-08-27T00:00:00"/>
    <d v="2000-08-29T00:00:00"/>
    <x v="2"/>
    <x v="8"/>
  </r>
  <r>
    <n v="50010"/>
    <s v="Donovan,Richard"/>
    <n v="91000"/>
    <n v="83000"/>
    <d v="1962-09-12T00:00:00"/>
    <d v="1989-02-07T00:00:00"/>
    <x v="6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260FF-8BBF-45FA-A477-093B1146A4A7}" name="PivotTable2" cacheId="25" dataOnRows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rowHeaderCaption="Age">
  <location ref="B3:H13" firstHeaderRow="1" firstDataRow="2" firstDataCol="2"/>
  <pivotFields count="10">
    <pivotField compact="0" outline="0" showAll="0" insertBlankRow="1" defaultSubtotal="0"/>
    <pivotField compact="0" outline="0" showAll="0" insertBlankRow="1" defaultSubtotal="0"/>
    <pivotField compact="0" numFmtId="3" outline="0" showAll="0" insertBlankRow="1" defaultSubtotal="0"/>
    <pivotField compact="0" numFmtId="3" outline="0" showAll="0" insertBlankRow="1" defaultSubtotal="0"/>
    <pivotField compact="0" numFmtId="14" outline="0" showAll="0" insertBlankRow="1" defaultSubtotal="0"/>
    <pivotField compact="0" numFmtId="14" outline="0" showAll="0" insertBlankRow="1" defaultSubtotal="0"/>
    <pivotField axis="axisRow" compact="0" outline="0" showAll="0" insertBlankRow="1" defaultSubtotal="0">
      <items count="6">
        <item x="0"/>
        <item x="1"/>
        <item x="2"/>
        <item x="3"/>
        <item x="4"/>
        <item x="5"/>
      </items>
    </pivotField>
    <pivotField compact="0" numFmtId="1" outline="0" showAll="0" insertBlankRow="1" defaultSubtotal="0">
      <items count="10">
        <item x="7"/>
        <item x="1"/>
        <item x="4"/>
        <item x="3"/>
        <item x="2"/>
        <item x="8"/>
        <item x="5"/>
        <item x="0"/>
        <item x="6"/>
        <item x="9"/>
      </items>
    </pivotField>
    <pivotField axis="axisCol" dataField="1" compact="0" outline="0" showAll="0" insertBlankRow="1" defaultSubtotal="0">
      <items count="4">
        <item n="0-5" sd="0" x="0"/>
        <item n="6-10" sd="0" x="1"/>
        <item n="11-20" sd="0" x="2"/>
        <item n="20+" sd="0" x="3"/>
      </items>
    </pivotField>
    <pivotField dataField="1" compact="0" outline="0" dragToRow="0" dragToCol="0" dragToPage="0" showAll="0" insertBlankRow="1" defaultSubtotal="0"/>
  </pivotFields>
  <rowFields count="2">
    <field x="6"/>
    <field x="-2"/>
  </rowFields>
  <rowItems count="9">
    <i>
      <x v="1"/>
      <x/>
    </i>
    <i r="1" i="1">
      <x v="1"/>
    </i>
    <i t="blank">
      <x v="1"/>
    </i>
    <i>
      <x v="3"/>
      <x/>
    </i>
    <i r="1" i="1">
      <x v="1"/>
    </i>
    <i t="blank">
      <x v="3"/>
    </i>
    <i>
      <x v="4"/>
      <x/>
    </i>
    <i r="1" i="1">
      <x v="1"/>
    </i>
    <i t="blank">
      <x v="4"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2">
    <dataField name="Sum of Total Salaries" fld="9" baseField="0" baseItem="0" numFmtId="3"/>
    <dataField name="Count of Service2" fld="8" subtotal="count" baseField="0" baseItem="0"/>
  </dataFields>
  <formats count="37">
    <format dxfId="33">
      <pivotArea type="all" dataOnly="0" outline="0" fieldPosition="0"/>
    </format>
    <format dxfId="34">
      <pivotArea field="8" type="button" dataOnly="0" labelOnly="1" outline="0" axis="axisCol" fieldPosition="0"/>
    </format>
    <format dxfId="35">
      <pivotArea type="all" dataOnly="0" outline="0" fieldPosition="0"/>
    </format>
    <format dxfId="36">
      <pivotArea field="6" type="button" dataOnly="0" labelOnly="1" outline="0" axis="axisRow" fieldPosition="0"/>
    </format>
    <format dxfId="32">
      <pivotArea field="-2" type="button" dataOnly="0" labelOnly="1" outline="0" axis="axisRow" fieldPosition="1"/>
    </format>
    <format dxfId="31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30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3"/>
          </reference>
        </references>
      </pivotArea>
    </format>
    <format dxfId="29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4"/>
          </reference>
        </references>
      </pivotArea>
    </format>
    <format dxfId="28">
      <pivotArea field="6" type="button" dataOnly="0" labelOnly="1" outline="0" axis="axisRow" fieldPosition="0"/>
    </format>
    <format dxfId="27">
      <pivotArea field="6" type="button" dataOnly="0" labelOnly="1" outline="0" axis="axisRow" fieldPosition="0"/>
    </format>
    <format dxfId="26">
      <pivotArea field="6" type="button" dataOnly="0" labelOnly="1" outline="0" axis="axisRow" fieldPosition="0"/>
    </format>
    <format dxfId="25">
      <pivotArea field="6" type="button" dataOnly="0" labelOnly="1" outline="0" axis="axisRow" fieldPosition="0"/>
    </format>
    <format dxfId="24">
      <pivotArea dataOnly="0" labelOnly="1" outline="0" fieldPosition="0">
        <references count="1">
          <reference field="8" count="0"/>
        </references>
      </pivotArea>
    </format>
    <format dxfId="23">
      <pivotArea dataOnly="0" labelOnly="1" grandCol="1" outline="0" fieldPosition="0"/>
    </format>
    <format dxfId="22">
      <pivotArea dataOnly="0" labelOnly="1" outline="0" fieldPosition="0">
        <references count="1">
          <reference field="6" count="1">
            <x v="1"/>
          </reference>
        </references>
      </pivotArea>
    </format>
    <format dxfId="21">
      <pivotArea dataOnly="0" labelOnly="1" outline="0" fieldPosition="0">
        <references count="1">
          <reference field="6" count="1">
            <x v="3"/>
          </reference>
        </references>
      </pivotArea>
    </format>
    <format dxfId="20">
      <pivotArea dataOnly="0" labelOnly="1" outline="0" fieldPosition="0">
        <references count="1">
          <reference field="6" count="1">
            <x v="4"/>
          </reference>
        </references>
      </pivotArea>
    </format>
    <format dxfId="19">
      <pivotArea dataOnly="0" labelOnly="1" outline="0" fieldPosition="0">
        <references count="1">
          <reference field="6" count="1">
            <x v="1"/>
          </reference>
        </references>
      </pivotArea>
    </format>
    <format dxfId="18">
      <pivotArea dataOnly="0" labelOnly="1" outline="0" fieldPosition="0">
        <references count="1">
          <reference field="6" count="1">
            <x v="3"/>
          </reference>
        </references>
      </pivotArea>
    </format>
    <format dxfId="17">
      <pivotArea dataOnly="0" labelOnly="1" outline="0" fieldPosition="0">
        <references count="1">
          <reference field="6" count="1">
            <x v="4"/>
          </reference>
        </references>
      </pivotArea>
    </format>
    <format dxfId="16">
      <pivotArea dataOnly="0" labelOnly="1" outline="0" fieldPosition="0">
        <references count="1">
          <reference field="8" count="0"/>
        </references>
      </pivotArea>
    </format>
    <format dxfId="15">
      <pivotArea dataOnly="0" labelOnly="1" grandCol="1" outline="0" fieldPosition="0"/>
    </format>
    <format dxfId="14">
      <pivotArea outline="0" collapsedLevelsAreSubtotals="1" fieldPosition="0"/>
    </format>
    <format dxfId="13">
      <pivotArea outline="0" collapsedLevelsAreSubtotals="1" fieldPosition="0"/>
    </format>
    <format dxfId="12">
      <pivotArea dataOnly="0" labelOnly="1" outline="0" fieldPosition="0">
        <references count="1">
          <reference field="6" count="3">
            <x v="1"/>
            <x v="3"/>
            <x v="4"/>
          </reference>
        </references>
      </pivotArea>
    </format>
    <format dxfId="11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3"/>
          </reference>
        </references>
      </pivotArea>
    </format>
    <format dxfId="9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4"/>
          </reference>
        </references>
      </pivotArea>
    </format>
    <format dxfId="8">
      <pivotArea grandCol="1" outline="0" collapsedLevelsAreSubtotals="1" fieldPosition="0"/>
    </format>
    <format dxfId="7">
      <pivotArea outline="0" fieldPosition="0">
        <references count="1">
          <reference field="6" count="1" selected="0">
            <x v="1"/>
          </reference>
        </references>
      </pivotArea>
    </format>
    <format dxfId="6">
      <pivotArea outline="0" fieldPosition="0">
        <references count="1">
          <reference field="6" count="1" selected="0">
            <x v="3"/>
          </reference>
        </references>
      </pivotArea>
    </format>
    <format dxfId="5">
      <pivotArea grandCol="1" outline="0" collapsedLevelsAreSubtotals="1" fieldPosition="0"/>
    </format>
    <format dxfId="4">
      <pivotArea dataOnly="0" labelOnly="1" outline="0" fieldPosition="0">
        <references count="1">
          <reference field="6" count="1">
            <x v="1"/>
          </reference>
        </references>
      </pivotArea>
    </format>
    <format dxfId="3">
      <pivotArea dataOnly="0" labelOnly="1" outline="0" fieldPosition="0">
        <references count="1">
          <reference field="6" count="1">
            <x v="3"/>
          </reference>
        </references>
      </pivotArea>
    </format>
    <format dxfId="2">
      <pivotArea dataOnly="0" labelOnly="1" outline="0" fieldPosition="0">
        <references count="1">
          <reference field="6" count="1">
            <x v="4"/>
          </reference>
        </references>
      </pivotArea>
    </format>
    <format dxfId="1">
      <pivotArea dataOnly="0" labelOnly="1" outline="0" fieldPosition="0">
        <references count="1">
          <reference field="8" count="0"/>
        </references>
      </pivotArea>
    </format>
    <format dxfId="0">
      <pivotArea dataOnly="0" labelOnly="1" grandCol="1" outline="0" fieldPosition="0"/>
    </format>
  </formats>
  <pivotTableStyleInfo name="PivotStyleLight16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5003-F21D-47E4-9FAA-6BA32589DCCF}">
  <sheetPr>
    <pageSetUpPr fitToPage="1"/>
  </sheetPr>
  <dimension ref="A1:J13"/>
  <sheetViews>
    <sheetView workbookViewId="0">
      <selection activeCell="J1" sqref="J1"/>
    </sheetView>
  </sheetViews>
  <sheetFormatPr defaultRowHeight="15.5" x14ac:dyDescent="0.35"/>
  <cols>
    <col min="1" max="1" width="4.83203125" customWidth="1"/>
    <col min="2" max="2" width="6.83203125" customWidth="1"/>
    <col min="3" max="3" width="18.25" customWidth="1"/>
    <col min="4" max="4" width="19.83203125" customWidth="1"/>
    <col min="5" max="5" width="14.4140625" customWidth="1"/>
    <col min="6" max="6" width="16.08203125" customWidth="1"/>
    <col min="7" max="7" width="13.75" customWidth="1"/>
  </cols>
  <sheetData>
    <row r="1" spans="1:10" ht="16" thickBot="1" x14ac:dyDescent="0.4">
      <c r="A1" s="2" t="s">
        <v>4</v>
      </c>
      <c r="J1" s="5">
        <v>43466</v>
      </c>
    </row>
    <row r="2" spans="1:10" ht="21.5" thickBot="1" x14ac:dyDescent="0.55000000000000004">
      <c r="B2" s="7" t="s">
        <v>6</v>
      </c>
      <c r="C2" s="8"/>
      <c r="D2" s="8"/>
      <c r="E2" s="8"/>
      <c r="F2" s="8"/>
      <c r="G2" s="8"/>
      <c r="H2" s="8"/>
      <c r="I2" s="9"/>
    </row>
    <row r="3" spans="1:10" x14ac:dyDescent="0.35">
      <c r="B3" s="10" t="s">
        <v>0</v>
      </c>
      <c r="C3" s="11" t="s">
        <v>1</v>
      </c>
      <c r="D3" s="12" t="s">
        <v>7</v>
      </c>
      <c r="E3" s="13" t="s">
        <v>20</v>
      </c>
      <c r="F3" s="11" t="s">
        <v>2</v>
      </c>
      <c r="G3" s="11" t="s">
        <v>3</v>
      </c>
      <c r="H3" s="11" t="s">
        <v>8</v>
      </c>
      <c r="I3" s="11" t="s">
        <v>9</v>
      </c>
    </row>
    <row r="4" spans="1:10" x14ac:dyDescent="0.35">
      <c r="B4" s="14">
        <v>50001</v>
      </c>
      <c r="C4" s="15" t="s">
        <v>10</v>
      </c>
      <c r="D4" s="16">
        <v>110000</v>
      </c>
      <c r="E4" s="16">
        <v>101000</v>
      </c>
      <c r="F4" s="17">
        <v>26363</v>
      </c>
      <c r="G4" s="17">
        <v>33665</v>
      </c>
      <c r="H4" s="18">
        <f>DATEDIF(F4,$J$1,"Y")</f>
        <v>46</v>
      </c>
      <c r="I4" s="19">
        <f>($J$1-G4)/365.25</f>
        <v>26.833675564681723</v>
      </c>
    </row>
    <row r="5" spans="1:10" x14ac:dyDescent="0.35">
      <c r="B5" s="14">
        <v>50002</v>
      </c>
      <c r="C5" s="15" t="s">
        <v>11</v>
      </c>
      <c r="D5" s="16">
        <v>99000</v>
      </c>
      <c r="E5" s="16">
        <v>91000</v>
      </c>
      <c r="F5" s="17">
        <v>19785</v>
      </c>
      <c r="G5" s="17">
        <v>42616</v>
      </c>
      <c r="H5" s="18">
        <f t="shared" ref="H5:H13" si="0">DATEDIF(F5,$J$1,"Y")</f>
        <v>64</v>
      </c>
      <c r="I5" s="19">
        <f t="shared" ref="I5:I13" si="1">($J$1-G5)/365.25</f>
        <v>2.3271731690622861</v>
      </c>
    </row>
    <row r="6" spans="1:10" x14ac:dyDescent="0.35">
      <c r="B6" s="14">
        <v>50003</v>
      </c>
      <c r="C6" s="15" t="s">
        <v>12</v>
      </c>
      <c r="D6" s="16">
        <v>98000</v>
      </c>
      <c r="E6" s="16">
        <v>90000</v>
      </c>
      <c r="F6" s="17">
        <v>20584</v>
      </c>
      <c r="G6" s="17">
        <v>37989</v>
      </c>
      <c r="H6" s="18">
        <f t="shared" si="0"/>
        <v>62</v>
      </c>
      <c r="I6" s="19">
        <f t="shared" si="1"/>
        <v>14.99520876112252</v>
      </c>
    </row>
    <row r="7" spans="1:10" x14ac:dyDescent="0.35">
      <c r="B7" s="14">
        <v>50004</v>
      </c>
      <c r="C7" s="15" t="s">
        <v>13</v>
      </c>
      <c r="D7" s="16">
        <v>97000</v>
      </c>
      <c r="E7" s="16">
        <v>89000</v>
      </c>
      <c r="F7" s="17">
        <v>20341</v>
      </c>
      <c r="G7" s="17">
        <v>40825</v>
      </c>
      <c r="H7" s="18">
        <f t="shared" si="0"/>
        <v>63</v>
      </c>
      <c r="I7" s="19">
        <f t="shared" si="1"/>
        <v>7.2306639288158792</v>
      </c>
    </row>
    <row r="8" spans="1:10" x14ac:dyDescent="0.35">
      <c r="B8" s="14">
        <v>50005</v>
      </c>
      <c r="C8" s="15" t="s">
        <v>14</v>
      </c>
      <c r="D8" s="16">
        <v>96000</v>
      </c>
      <c r="E8" s="16">
        <v>88000</v>
      </c>
      <c r="F8" s="17">
        <v>26458</v>
      </c>
      <c r="G8" s="17">
        <v>40973</v>
      </c>
      <c r="H8" s="18">
        <f t="shared" si="0"/>
        <v>46</v>
      </c>
      <c r="I8" s="19">
        <f t="shared" si="1"/>
        <v>6.8254620123203287</v>
      </c>
    </row>
    <row r="9" spans="1:10" x14ac:dyDescent="0.35">
      <c r="B9" s="14">
        <v>50006</v>
      </c>
      <c r="C9" s="15" t="s">
        <v>15</v>
      </c>
      <c r="D9" s="16">
        <v>95000</v>
      </c>
      <c r="E9" s="16">
        <v>87000</v>
      </c>
      <c r="F9" s="17">
        <v>23072</v>
      </c>
      <c r="G9" s="17">
        <v>36163</v>
      </c>
      <c r="H9" s="18">
        <f t="shared" si="0"/>
        <v>55</v>
      </c>
      <c r="I9" s="19">
        <f t="shared" si="1"/>
        <v>19.994524298425734</v>
      </c>
    </row>
    <row r="10" spans="1:10" x14ac:dyDescent="0.35">
      <c r="B10" s="14">
        <v>50007</v>
      </c>
      <c r="C10" s="15" t="s">
        <v>17</v>
      </c>
      <c r="D10" s="16">
        <v>100000</v>
      </c>
      <c r="E10" s="16">
        <v>92000</v>
      </c>
      <c r="F10" s="17">
        <v>20070</v>
      </c>
      <c r="G10" s="17">
        <v>32743</v>
      </c>
      <c r="H10" s="18">
        <f t="shared" si="0"/>
        <v>64</v>
      </c>
      <c r="I10" s="19">
        <f t="shared" si="1"/>
        <v>29.357973990417523</v>
      </c>
    </row>
    <row r="11" spans="1:10" x14ac:dyDescent="0.35">
      <c r="B11" s="14">
        <v>50008</v>
      </c>
      <c r="C11" s="15" t="s">
        <v>57</v>
      </c>
      <c r="D11" s="16">
        <v>93000</v>
      </c>
      <c r="E11" s="16">
        <v>85000</v>
      </c>
      <c r="F11" s="17">
        <v>21491</v>
      </c>
      <c r="G11" s="17">
        <v>43078</v>
      </c>
      <c r="H11" s="18">
        <f t="shared" si="0"/>
        <v>60</v>
      </c>
      <c r="I11" s="19">
        <f t="shared" si="1"/>
        <v>1.0622861054072552</v>
      </c>
    </row>
    <row r="12" spans="1:10" x14ac:dyDescent="0.35">
      <c r="B12" s="14">
        <v>50009</v>
      </c>
      <c r="C12" s="15" t="s">
        <v>18</v>
      </c>
      <c r="D12" s="16">
        <v>92000</v>
      </c>
      <c r="E12" s="16">
        <v>84000</v>
      </c>
      <c r="F12" s="17">
        <v>20694</v>
      </c>
      <c r="G12" s="17">
        <v>36767</v>
      </c>
      <c r="H12" s="18">
        <f t="shared" si="0"/>
        <v>62</v>
      </c>
      <c r="I12" s="19">
        <f t="shared" si="1"/>
        <v>18.340862422997947</v>
      </c>
    </row>
    <row r="13" spans="1:10" x14ac:dyDescent="0.35">
      <c r="B13" s="14">
        <v>50010</v>
      </c>
      <c r="C13" s="15" t="s">
        <v>19</v>
      </c>
      <c r="D13" s="16">
        <v>91000</v>
      </c>
      <c r="E13" s="16">
        <v>83000</v>
      </c>
      <c r="F13" s="17">
        <v>22901</v>
      </c>
      <c r="G13" s="17">
        <v>32546</v>
      </c>
      <c r="H13" s="18">
        <f t="shared" si="0"/>
        <v>56</v>
      </c>
      <c r="I13" s="19">
        <f t="shared" si="1"/>
        <v>29.897330595482547</v>
      </c>
    </row>
  </sheetData>
  <mergeCells count="1">
    <mergeCell ref="B2:I2"/>
  </mergeCells>
  <printOptions horizontalCentered="1"/>
  <pageMargins left="0.7" right="0.7" top="0.75" bottom="0.75" header="0.3" footer="0.3"/>
  <pageSetup scale="93" orientation="landscape" r:id="rId1"/>
  <headerFooter>
    <oddFooter>&amp;L&amp;F
&amp;A&amp;R&amp;D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FE0-E8A1-4901-8E68-F94894365FFF}">
  <sheetPr>
    <pageSetUpPr fitToPage="1"/>
  </sheetPr>
  <dimension ref="A1:J13"/>
  <sheetViews>
    <sheetView topLeftCell="A3" workbookViewId="0">
      <selection activeCell="J1" sqref="J1"/>
    </sheetView>
  </sheetViews>
  <sheetFormatPr defaultRowHeight="15.5" x14ac:dyDescent="0.35"/>
  <cols>
    <col min="1" max="1" width="4.83203125" customWidth="1"/>
    <col min="2" max="2" width="6.83203125" customWidth="1"/>
    <col min="3" max="3" width="18.25" customWidth="1"/>
    <col min="4" max="4" width="19.83203125" customWidth="1"/>
    <col min="5" max="5" width="14.4140625" customWidth="1"/>
    <col min="6" max="6" width="16.08203125" customWidth="1"/>
    <col min="7" max="7" width="13.75" customWidth="1"/>
  </cols>
  <sheetData>
    <row r="1" spans="1:10" ht="16" thickBot="1" x14ac:dyDescent="0.4">
      <c r="A1" s="2" t="s">
        <v>4</v>
      </c>
      <c r="J1" s="5">
        <v>43466</v>
      </c>
    </row>
    <row r="2" spans="1:10" ht="21.5" thickBot="1" x14ac:dyDescent="0.55000000000000004">
      <c r="B2" s="7" t="s">
        <v>6</v>
      </c>
      <c r="C2" s="8"/>
      <c r="D2" s="8"/>
      <c r="E2" s="8"/>
      <c r="F2" s="8"/>
      <c r="G2" s="8"/>
      <c r="H2" s="8"/>
      <c r="I2" s="9"/>
    </row>
    <row r="3" spans="1:10" x14ac:dyDescent="0.35">
      <c r="B3" s="10" t="s">
        <v>0</v>
      </c>
      <c r="C3" s="11" t="s">
        <v>1</v>
      </c>
      <c r="D3" s="12" t="s">
        <v>7</v>
      </c>
      <c r="E3" s="13" t="s">
        <v>20</v>
      </c>
      <c r="F3" s="11" t="s">
        <v>2</v>
      </c>
      <c r="G3" s="11" t="s">
        <v>3</v>
      </c>
      <c r="H3" s="11" t="s">
        <v>8</v>
      </c>
      <c r="I3" s="11" t="s">
        <v>9</v>
      </c>
    </row>
    <row r="4" spans="1:10" x14ac:dyDescent="0.35">
      <c r="B4" s="14">
        <v>50007</v>
      </c>
      <c r="C4" s="15" t="s">
        <v>17</v>
      </c>
      <c r="D4" s="16">
        <v>100000</v>
      </c>
      <c r="E4" s="16">
        <v>92000</v>
      </c>
      <c r="F4" s="17">
        <v>20070</v>
      </c>
      <c r="G4" s="17">
        <v>32743</v>
      </c>
      <c r="H4" s="18">
        <f>DATEDIF(F4,$J$1,"Y")</f>
        <v>64</v>
      </c>
      <c r="I4" s="19">
        <f>($J$1-G4)/365.25</f>
        <v>29.357973990417523</v>
      </c>
    </row>
    <row r="5" spans="1:10" x14ac:dyDescent="0.35">
      <c r="B5" s="14">
        <v>50002</v>
      </c>
      <c r="C5" s="15" t="s">
        <v>11</v>
      </c>
      <c r="D5" s="16">
        <v>99000</v>
      </c>
      <c r="E5" s="16">
        <v>91000</v>
      </c>
      <c r="F5" s="17">
        <v>19785</v>
      </c>
      <c r="G5" s="17">
        <v>42616</v>
      </c>
      <c r="H5" s="18">
        <f>DATEDIF(F5,$J$1,"Y")</f>
        <v>64</v>
      </c>
      <c r="I5" s="19">
        <f>($J$1-G5)/365.25</f>
        <v>2.3271731690622861</v>
      </c>
    </row>
    <row r="6" spans="1:10" x14ac:dyDescent="0.35">
      <c r="B6" s="14">
        <v>50004</v>
      </c>
      <c r="C6" s="15" t="s">
        <v>13</v>
      </c>
      <c r="D6" s="16">
        <v>97000</v>
      </c>
      <c r="E6" s="16">
        <v>89000</v>
      </c>
      <c r="F6" s="17">
        <v>20341</v>
      </c>
      <c r="G6" s="17">
        <v>40825</v>
      </c>
      <c r="H6" s="18">
        <f>DATEDIF(F6,$J$1,"Y")</f>
        <v>63</v>
      </c>
      <c r="I6" s="19">
        <f>($J$1-G6)/365.25</f>
        <v>7.2306639288158792</v>
      </c>
    </row>
    <row r="7" spans="1:10" x14ac:dyDescent="0.35">
      <c r="B7" s="14">
        <v>50003</v>
      </c>
      <c r="C7" s="15" t="s">
        <v>12</v>
      </c>
      <c r="D7" s="16">
        <v>98000</v>
      </c>
      <c r="E7" s="16">
        <v>90000</v>
      </c>
      <c r="F7" s="17">
        <v>20584</v>
      </c>
      <c r="G7" s="17">
        <v>37989</v>
      </c>
      <c r="H7" s="18">
        <f>DATEDIF(F7,$J$1,"Y")</f>
        <v>62</v>
      </c>
      <c r="I7" s="19">
        <f>($J$1-G7)/365.25</f>
        <v>14.99520876112252</v>
      </c>
    </row>
    <row r="8" spans="1:10" x14ac:dyDescent="0.35">
      <c r="B8" s="14">
        <v>50009</v>
      </c>
      <c r="C8" s="15" t="s">
        <v>18</v>
      </c>
      <c r="D8" s="16">
        <v>92000</v>
      </c>
      <c r="E8" s="16">
        <v>84000</v>
      </c>
      <c r="F8" s="17">
        <v>20694</v>
      </c>
      <c r="G8" s="17">
        <v>36767</v>
      </c>
      <c r="H8" s="18">
        <f>DATEDIF(F8,$J$1,"Y")</f>
        <v>62</v>
      </c>
      <c r="I8" s="19">
        <f>($J$1-G8)/365.25</f>
        <v>18.340862422997947</v>
      </c>
    </row>
    <row r="9" spans="1:10" x14ac:dyDescent="0.35">
      <c r="B9" s="14">
        <v>50008</v>
      </c>
      <c r="C9" s="15" t="s">
        <v>16</v>
      </c>
      <c r="D9" s="16">
        <v>93000</v>
      </c>
      <c r="E9" s="16">
        <v>85000</v>
      </c>
      <c r="F9" s="17">
        <v>21491</v>
      </c>
      <c r="G9" s="17">
        <v>43078</v>
      </c>
      <c r="H9" s="18">
        <f>DATEDIF(F9,$J$1,"Y")</f>
        <v>60</v>
      </c>
      <c r="I9" s="19">
        <f>($J$1-G9)/365.25</f>
        <v>1.0622861054072552</v>
      </c>
    </row>
    <row r="10" spans="1:10" x14ac:dyDescent="0.35">
      <c r="B10" s="14">
        <v>50010</v>
      </c>
      <c r="C10" s="15" t="s">
        <v>19</v>
      </c>
      <c r="D10" s="16">
        <v>91000</v>
      </c>
      <c r="E10" s="16">
        <v>83000</v>
      </c>
      <c r="F10" s="17">
        <v>22901</v>
      </c>
      <c r="G10" s="17">
        <v>32546</v>
      </c>
      <c r="H10" s="18">
        <f>DATEDIF(F10,$J$1,"Y")</f>
        <v>56</v>
      </c>
      <c r="I10" s="19">
        <f>($J$1-G10)/365.25</f>
        <v>29.897330595482547</v>
      </c>
    </row>
    <row r="11" spans="1:10" x14ac:dyDescent="0.35">
      <c r="B11" s="14">
        <v>50006</v>
      </c>
      <c r="C11" s="15" t="s">
        <v>15</v>
      </c>
      <c r="D11" s="16">
        <v>95000</v>
      </c>
      <c r="E11" s="16">
        <v>87000</v>
      </c>
      <c r="F11" s="17">
        <v>23072</v>
      </c>
      <c r="G11" s="17">
        <v>36163</v>
      </c>
      <c r="H11" s="18">
        <f>DATEDIF(F11,$J$1,"Y")</f>
        <v>55</v>
      </c>
      <c r="I11" s="19">
        <f>($J$1-G11)/365.25</f>
        <v>19.994524298425734</v>
      </c>
    </row>
    <row r="12" spans="1:10" x14ac:dyDescent="0.35">
      <c r="B12" s="14">
        <v>50005</v>
      </c>
      <c r="C12" s="15" t="s">
        <v>14</v>
      </c>
      <c r="D12" s="16">
        <v>96000</v>
      </c>
      <c r="E12" s="16">
        <v>88000</v>
      </c>
      <c r="F12" s="17">
        <v>26458</v>
      </c>
      <c r="G12" s="17">
        <v>40973</v>
      </c>
      <c r="H12" s="18">
        <f>DATEDIF(F12,$J$1,"Y")</f>
        <v>46</v>
      </c>
      <c r="I12" s="19">
        <f>($J$1-G12)/365.25</f>
        <v>6.8254620123203287</v>
      </c>
    </row>
    <row r="13" spans="1:10" x14ac:dyDescent="0.35">
      <c r="B13" s="14">
        <v>50001</v>
      </c>
      <c r="C13" s="15" t="s">
        <v>10</v>
      </c>
      <c r="D13" s="16">
        <v>110000</v>
      </c>
      <c r="E13" s="16">
        <v>101000</v>
      </c>
      <c r="F13" s="17">
        <v>26363</v>
      </c>
      <c r="G13" s="17">
        <v>33665</v>
      </c>
      <c r="H13" s="18">
        <f>DATEDIF(F13,$J$1,"Y")</f>
        <v>46</v>
      </c>
      <c r="I13" s="19">
        <f>($J$1-G13)/365.25</f>
        <v>26.833675564681723</v>
      </c>
    </row>
  </sheetData>
  <sortState xmlns:xlrd2="http://schemas.microsoft.com/office/spreadsheetml/2017/richdata2" ref="B4:I13">
    <sortCondition descending="1" ref="H4:H13"/>
    <sortCondition ref="C4:C13"/>
  </sortState>
  <mergeCells count="1">
    <mergeCell ref="B2:I2"/>
  </mergeCells>
  <printOptions horizontalCentered="1"/>
  <pageMargins left="0.7" right="0.7" top="0.75" bottom="0.75" header="0.3" footer="0.3"/>
  <pageSetup scale="93" orientation="landscape" r:id="rId1"/>
  <headerFooter>
    <oddFooter>&amp;L&amp;F
&amp;A&amp;R&amp;D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629A-6E99-4D86-BD2C-AA207E2A0FBF}">
  <sheetPr>
    <pageSetUpPr fitToPage="1"/>
  </sheetPr>
  <dimension ref="A1:J20"/>
  <sheetViews>
    <sheetView workbookViewId="0">
      <selection activeCell="L15" sqref="L15"/>
    </sheetView>
  </sheetViews>
  <sheetFormatPr defaultRowHeight="15.5" x14ac:dyDescent="0.35"/>
  <cols>
    <col min="1" max="1" width="4.83203125" customWidth="1"/>
    <col min="2" max="2" width="6.83203125" customWidth="1"/>
    <col min="3" max="3" width="18.25" customWidth="1"/>
    <col min="4" max="4" width="19.83203125" customWidth="1"/>
    <col min="5" max="5" width="14.4140625" customWidth="1"/>
    <col min="6" max="6" width="16.08203125" customWidth="1"/>
    <col min="7" max="7" width="13.75" customWidth="1"/>
  </cols>
  <sheetData>
    <row r="1" spans="1:10" ht="16" thickBot="1" x14ac:dyDescent="0.4">
      <c r="A1" s="2" t="s">
        <v>4</v>
      </c>
      <c r="J1" s="5">
        <v>43466</v>
      </c>
    </row>
    <row r="2" spans="1:10" x14ac:dyDescent="0.35">
      <c r="A2" s="2"/>
      <c r="B2" s="21" t="s">
        <v>21</v>
      </c>
      <c r="C2" s="22"/>
      <c r="D2" s="22"/>
      <c r="E2" s="23"/>
      <c r="J2" s="20"/>
    </row>
    <row r="3" spans="1:10" x14ac:dyDescent="0.35">
      <c r="A3" s="2"/>
      <c r="B3" s="24"/>
      <c r="C3" s="25" t="s">
        <v>22</v>
      </c>
      <c r="D3" s="25"/>
      <c r="E3" s="26">
        <f>SUBTOTAL(3,B11:B20)</f>
        <v>10</v>
      </c>
      <c r="J3" s="20"/>
    </row>
    <row r="4" spans="1:10" x14ac:dyDescent="0.35">
      <c r="A4" s="2"/>
      <c r="B4" s="24"/>
      <c r="C4" s="25" t="s">
        <v>23</v>
      </c>
      <c r="D4" s="25"/>
      <c r="E4" s="29">
        <f>SUBTOTAL(9,D11:D20)</f>
        <v>971000</v>
      </c>
      <c r="J4" s="20"/>
    </row>
    <row r="5" spans="1:10" x14ac:dyDescent="0.35">
      <c r="A5" s="2"/>
      <c r="B5" s="24"/>
      <c r="C5" s="25" t="s">
        <v>24</v>
      </c>
      <c r="D5" s="25"/>
      <c r="E5" s="29">
        <f>SUBTOTAL(1,D11:D20)</f>
        <v>97100</v>
      </c>
      <c r="J5" s="20"/>
    </row>
    <row r="6" spans="1:10" x14ac:dyDescent="0.35">
      <c r="A6" s="2"/>
      <c r="B6" s="24"/>
      <c r="C6" s="25" t="s">
        <v>25</v>
      </c>
      <c r="D6" s="25"/>
      <c r="E6" s="26">
        <f>SUBTOTAL(4,H11:H20)</f>
        <v>64</v>
      </c>
      <c r="J6" s="20"/>
    </row>
    <row r="7" spans="1:10" x14ac:dyDescent="0.35">
      <c r="A7" s="2"/>
      <c r="B7" s="24"/>
      <c r="C7" s="25" t="s">
        <v>26</v>
      </c>
      <c r="D7" s="25"/>
      <c r="E7" s="26">
        <f>SUBTOTAL(5,H11:H20)</f>
        <v>46</v>
      </c>
      <c r="J7" s="20"/>
    </row>
    <row r="8" spans="1:10" ht="16" thickBot="1" x14ac:dyDescent="0.4">
      <c r="A8" s="2"/>
      <c r="B8" s="27"/>
      <c r="C8" s="28" t="s">
        <v>27</v>
      </c>
      <c r="D8" s="28"/>
      <c r="E8" s="30">
        <f>SUBTOTAL(1,I11:I20)</f>
        <v>15.686516084873372</v>
      </c>
      <c r="J8" s="20"/>
    </row>
    <row r="9" spans="1:10" ht="21.5" thickBot="1" x14ac:dyDescent="0.55000000000000004">
      <c r="B9" s="7" t="s">
        <v>6</v>
      </c>
      <c r="C9" s="8"/>
      <c r="D9" s="8"/>
      <c r="E9" s="8"/>
      <c r="F9" s="8"/>
      <c r="G9" s="8"/>
      <c r="H9" s="8"/>
      <c r="I9" s="9"/>
    </row>
    <row r="10" spans="1:10" x14ac:dyDescent="0.35">
      <c r="B10" s="10" t="s">
        <v>0</v>
      </c>
      <c r="C10" s="11" t="s">
        <v>1</v>
      </c>
      <c r="D10" s="12" t="s">
        <v>7</v>
      </c>
      <c r="E10" s="13" t="s">
        <v>20</v>
      </c>
      <c r="F10" s="11" t="s">
        <v>2</v>
      </c>
      <c r="G10" s="11" t="s">
        <v>3</v>
      </c>
      <c r="H10" s="11" t="s">
        <v>8</v>
      </c>
      <c r="I10" s="11" t="s">
        <v>9</v>
      </c>
    </row>
    <row r="11" spans="1:10" x14ac:dyDescent="0.35">
      <c r="B11" s="14">
        <v>50007</v>
      </c>
      <c r="C11" s="15" t="s">
        <v>17</v>
      </c>
      <c r="D11" s="16">
        <v>100000</v>
      </c>
      <c r="E11" s="16">
        <v>92000</v>
      </c>
      <c r="F11" s="17">
        <v>20070</v>
      </c>
      <c r="G11" s="17">
        <v>32743</v>
      </c>
      <c r="H11" s="18">
        <f>DATEDIF(F11,$J$1,"Y")</f>
        <v>64</v>
      </c>
      <c r="I11" s="19">
        <f>($J$1-G11)/365.25</f>
        <v>29.357973990417523</v>
      </c>
    </row>
    <row r="12" spans="1:10" x14ac:dyDescent="0.35">
      <c r="B12" s="14">
        <v>50002</v>
      </c>
      <c r="C12" s="15" t="s">
        <v>11</v>
      </c>
      <c r="D12" s="16">
        <v>99000</v>
      </c>
      <c r="E12" s="16">
        <v>91000</v>
      </c>
      <c r="F12" s="17">
        <v>19785</v>
      </c>
      <c r="G12" s="17">
        <v>42616</v>
      </c>
      <c r="H12" s="18">
        <f>DATEDIF(F12,$J$1,"Y")</f>
        <v>64</v>
      </c>
      <c r="I12" s="19">
        <f>($J$1-G12)/365.25</f>
        <v>2.3271731690622861</v>
      </c>
    </row>
    <row r="13" spans="1:10" x14ac:dyDescent="0.35">
      <c r="B13" s="14">
        <v>50004</v>
      </c>
      <c r="C13" s="15" t="s">
        <v>13</v>
      </c>
      <c r="D13" s="16">
        <v>97000</v>
      </c>
      <c r="E13" s="16">
        <v>89000</v>
      </c>
      <c r="F13" s="17">
        <v>20341</v>
      </c>
      <c r="G13" s="17">
        <v>40825</v>
      </c>
      <c r="H13" s="18">
        <f>DATEDIF(F13,$J$1,"Y")</f>
        <v>63</v>
      </c>
      <c r="I13" s="19">
        <f>($J$1-G13)/365.25</f>
        <v>7.2306639288158792</v>
      </c>
    </row>
    <row r="14" spans="1:10" x14ac:dyDescent="0.35">
      <c r="B14" s="14">
        <v>50003</v>
      </c>
      <c r="C14" s="15" t="s">
        <v>12</v>
      </c>
      <c r="D14" s="16">
        <v>98000</v>
      </c>
      <c r="E14" s="16">
        <v>90000</v>
      </c>
      <c r="F14" s="17">
        <v>20584</v>
      </c>
      <c r="G14" s="17">
        <v>37989</v>
      </c>
      <c r="H14" s="18">
        <f>DATEDIF(F14,$J$1,"Y")</f>
        <v>62</v>
      </c>
      <c r="I14" s="19">
        <f>($J$1-G14)/365.25</f>
        <v>14.99520876112252</v>
      </c>
    </row>
    <row r="15" spans="1:10" x14ac:dyDescent="0.35">
      <c r="B15" s="14">
        <v>50009</v>
      </c>
      <c r="C15" s="15" t="s">
        <v>18</v>
      </c>
      <c r="D15" s="16">
        <v>92000</v>
      </c>
      <c r="E15" s="16">
        <v>84000</v>
      </c>
      <c r="F15" s="17">
        <v>20694</v>
      </c>
      <c r="G15" s="17">
        <v>36767</v>
      </c>
      <c r="H15" s="18">
        <f>DATEDIF(F15,$J$1,"Y")</f>
        <v>62</v>
      </c>
      <c r="I15" s="19">
        <f>($J$1-G15)/365.25</f>
        <v>18.340862422997947</v>
      </c>
    </row>
    <row r="16" spans="1:10" x14ac:dyDescent="0.35">
      <c r="B16" s="14">
        <v>50008</v>
      </c>
      <c r="C16" s="15" t="s">
        <v>16</v>
      </c>
      <c r="D16" s="16">
        <v>93000</v>
      </c>
      <c r="E16" s="16">
        <v>85000</v>
      </c>
      <c r="F16" s="17">
        <v>21491</v>
      </c>
      <c r="G16" s="17">
        <v>43078</v>
      </c>
      <c r="H16" s="18">
        <f>DATEDIF(F16,$J$1,"Y")</f>
        <v>60</v>
      </c>
      <c r="I16" s="19">
        <f>($J$1-G16)/365.25</f>
        <v>1.0622861054072552</v>
      </c>
    </row>
    <row r="17" spans="2:9" x14ac:dyDescent="0.35">
      <c r="B17" s="14">
        <v>50010</v>
      </c>
      <c r="C17" s="15" t="s">
        <v>19</v>
      </c>
      <c r="D17" s="16">
        <v>91000</v>
      </c>
      <c r="E17" s="16">
        <v>83000</v>
      </c>
      <c r="F17" s="17">
        <v>22901</v>
      </c>
      <c r="G17" s="17">
        <v>32546</v>
      </c>
      <c r="H17" s="18">
        <f>DATEDIF(F17,$J$1,"Y")</f>
        <v>56</v>
      </c>
      <c r="I17" s="19">
        <f>($J$1-G17)/365.25</f>
        <v>29.897330595482547</v>
      </c>
    </row>
    <row r="18" spans="2:9" x14ac:dyDescent="0.35">
      <c r="B18" s="14">
        <v>50006</v>
      </c>
      <c r="C18" s="15" t="s">
        <v>15</v>
      </c>
      <c r="D18" s="16">
        <v>95000</v>
      </c>
      <c r="E18" s="16">
        <v>87000</v>
      </c>
      <c r="F18" s="17">
        <v>23072</v>
      </c>
      <c r="G18" s="17">
        <v>36163</v>
      </c>
      <c r="H18" s="18">
        <f>DATEDIF(F18,$J$1,"Y")</f>
        <v>55</v>
      </c>
      <c r="I18" s="19">
        <f>($J$1-G18)/365.25</f>
        <v>19.994524298425734</v>
      </c>
    </row>
    <row r="19" spans="2:9" x14ac:dyDescent="0.35">
      <c r="B19" s="14">
        <v>50005</v>
      </c>
      <c r="C19" s="15" t="s">
        <v>14</v>
      </c>
      <c r="D19" s="16">
        <v>96000</v>
      </c>
      <c r="E19" s="16">
        <v>88000</v>
      </c>
      <c r="F19" s="17">
        <v>26458</v>
      </c>
      <c r="G19" s="17">
        <v>40973</v>
      </c>
      <c r="H19" s="18">
        <f>DATEDIF(F19,$J$1,"Y")</f>
        <v>46</v>
      </c>
      <c r="I19" s="19">
        <f>($J$1-G19)/365.25</f>
        <v>6.8254620123203287</v>
      </c>
    </row>
    <row r="20" spans="2:9" x14ac:dyDescent="0.35">
      <c r="B20" s="14">
        <v>50001</v>
      </c>
      <c r="C20" s="15" t="s">
        <v>10</v>
      </c>
      <c r="D20" s="16">
        <v>110000</v>
      </c>
      <c r="E20" s="16">
        <v>101000</v>
      </c>
      <c r="F20" s="17">
        <v>26363</v>
      </c>
      <c r="G20" s="17">
        <v>33665</v>
      </c>
      <c r="H20" s="18">
        <f>DATEDIF(F20,$J$1,"Y")</f>
        <v>46</v>
      </c>
      <c r="I20" s="19">
        <f>($J$1-G20)/365.25</f>
        <v>26.833675564681723</v>
      </c>
    </row>
  </sheetData>
  <autoFilter ref="B10:I20" xr:uid="{5213629A-6E99-4D86-BD2C-AA207E2A0FBF}"/>
  <mergeCells count="1">
    <mergeCell ref="B9:I9"/>
  </mergeCells>
  <printOptions horizontalCentered="1"/>
  <pageMargins left="0.7" right="0.7" top="0.75" bottom="0.75" header="0.3" footer="0.3"/>
  <pageSetup scale="93" orientation="landscape" r:id="rId1"/>
  <headerFooter>
    <oddFooter>&amp;L&amp;F
&amp;A&amp;R&amp;D
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6DA5-AAF8-400F-BE48-83A44423A16B}">
  <sheetPr filterMode="1">
    <pageSetUpPr fitToPage="1"/>
  </sheetPr>
  <dimension ref="A1:J20"/>
  <sheetViews>
    <sheetView workbookViewId="0">
      <selection activeCell="H5" sqref="H5"/>
    </sheetView>
  </sheetViews>
  <sheetFormatPr defaultRowHeight="15.5" x14ac:dyDescent="0.35"/>
  <cols>
    <col min="1" max="1" width="4.83203125" customWidth="1"/>
    <col min="2" max="2" width="6.83203125" customWidth="1"/>
    <col min="3" max="3" width="18.25" customWidth="1"/>
    <col min="4" max="4" width="19.83203125" customWidth="1"/>
    <col min="5" max="5" width="14.4140625" customWidth="1"/>
    <col min="6" max="6" width="16.08203125" customWidth="1"/>
    <col min="7" max="7" width="13.75" customWidth="1"/>
  </cols>
  <sheetData>
    <row r="1" spans="1:10" ht="16" thickBot="1" x14ac:dyDescent="0.4">
      <c r="A1" s="2" t="s">
        <v>4</v>
      </c>
      <c r="J1" s="5">
        <v>43466</v>
      </c>
    </row>
    <row r="2" spans="1:10" x14ac:dyDescent="0.35">
      <c r="A2" s="2"/>
      <c r="B2" s="21" t="s">
        <v>21</v>
      </c>
      <c r="C2" s="22"/>
      <c r="D2" s="22"/>
      <c r="E2" s="23"/>
      <c r="F2" t="s">
        <v>28</v>
      </c>
      <c r="G2" s="11" t="s">
        <v>8</v>
      </c>
      <c r="H2" s="12" t="s">
        <v>7</v>
      </c>
      <c r="J2" s="20"/>
    </row>
    <row r="3" spans="1:10" x14ac:dyDescent="0.35">
      <c r="A3" s="2"/>
      <c r="B3" s="24"/>
      <c r="C3" s="25" t="s">
        <v>22</v>
      </c>
      <c r="D3" s="25"/>
      <c r="E3" s="26">
        <f>SUBTOTAL(3,B11:B20)</f>
        <v>8</v>
      </c>
      <c r="G3" t="s">
        <v>29</v>
      </c>
      <c r="H3" t="s">
        <v>31</v>
      </c>
      <c r="J3" s="20"/>
    </row>
    <row r="4" spans="1:10" x14ac:dyDescent="0.35">
      <c r="A4" s="2"/>
      <c r="B4" s="24"/>
      <c r="C4" s="25" t="s">
        <v>23</v>
      </c>
      <c r="D4" s="25"/>
      <c r="E4" s="29">
        <f>SUBTOTAL(9,D11:D20)</f>
        <v>765000</v>
      </c>
      <c r="G4" t="s">
        <v>30</v>
      </c>
      <c r="H4" t="s">
        <v>31</v>
      </c>
      <c r="J4" s="20"/>
    </row>
    <row r="5" spans="1:10" x14ac:dyDescent="0.35">
      <c r="A5" s="2"/>
      <c r="B5" s="24"/>
      <c r="C5" s="25" t="s">
        <v>24</v>
      </c>
      <c r="D5" s="25"/>
      <c r="E5" s="29">
        <f>SUBTOTAL(1,D11:D20)</f>
        <v>95625</v>
      </c>
      <c r="J5" s="20"/>
    </row>
    <row r="6" spans="1:10" x14ac:dyDescent="0.35">
      <c r="A6" s="2"/>
      <c r="B6" s="24"/>
      <c r="C6" s="25" t="s">
        <v>25</v>
      </c>
      <c r="D6" s="25"/>
      <c r="E6" s="26">
        <f>SUBTOTAL(4,H11:H20)</f>
        <v>64</v>
      </c>
      <c r="J6" s="20"/>
    </row>
    <row r="7" spans="1:10" x14ac:dyDescent="0.35">
      <c r="A7" s="2"/>
      <c r="B7" s="24"/>
      <c r="C7" s="25" t="s">
        <v>26</v>
      </c>
      <c r="D7" s="25"/>
      <c r="E7" s="26">
        <f>SUBTOTAL(5,H11:H20)</f>
        <v>55</v>
      </c>
      <c r="J7" s="20"/>
    </row>
    <row r="8" spans="1:10" ht="16" thickBot="1" x14ac:dyDescent="0.4">
      <c r="A8" s="2"/>
      <c r="B8" s="27"/>
      <c r="C8" s="28" t="s">
        <v>27</v>
      </c>
      <c r="D8" s="28"/>
      <c r="E8" s="30">
        <f>SUBTOTAL(1,I11:I20)</f>
        <v>15.40075290896646</v>
      </c>
      <c r="J8" s="20"/>
    </row>
    <row r="9" spans="1:10" ht="21.5" thickBot="1" x14ac:dyDescent="0.55000000000000004">
      <c r="B9" s="7" t="s">
        <v>6</v>
      </c>
      <c r="C9" s="8"/>
      <c r="D9" s="8"/>
      <c r="E9" s="8"/>
      <c r="F9" s="8"/>
      <c r="G9" s="8"/>
      <c r="H9" s="8"/>
      <c r="I9" s="9"/>
    </row>
    <row r="10" spans="1:10" x14ac:dyDescent="0.35">
      <c r="B10" s="10" t="s">
        <v>0</v>
      </c>
      <c r="C10" s="11" t="s">
        <v>1</v>
      </c>
      <c r="D10" s="12" t="s">
        <v>7</v>
      </c>
      <c r="E10" s="13" t="s">
        <v>20</v>
      </c>
      <c r="F10" s="11" t="s">
        <v>2</v>
      </c>
      <c r="G10" s="11" t="s">
        <v>3</v>
      </c>
      <c r="H10" s="11" t="s">
        <v>8</v>
      </c>
      <c r="I10" s="11" t="s">
        <v>9</v>
      </c>
    </row>
    <row r="11" spans="1:10" x14ac:dyDescent="0.35">
      <c r="B11" s="14">
        <v>50007</v>
      </c>
      <c r="C11" s="15" t="s">
        <v>17</v>
      </c>
      <c r="D11" s="16">
        <v>100000</v>
      </c>
      <c r="E11" s="16">
        <v>92000</v>
      </c>
      <c r="F11" s="17">
        <v>20070</v>
      </c>
      <c r="G11" s="17">
        <v>32743</v>
      </c>
      <c r="H11" s="18">
        <f>DATEDIF(F11,$J$1,"Y")</f>
        <v>64</v>
      </c>
      <c r="I11" s="19">
        <f>($J$1-G11)/365.25</f>
        <v>29.357973990417523</v>
      </c>
    </row>
    <row r="12" spans="1:10" x14ac:dyDescent="0.35">
      <c r="B12" s="14">
        <v>50002</v>
      </c>
      <c r="C12" s="15" t="s">
        <v>11</v>
      </c>
      <c r="D12" s="16">
        <v>99000</v>
      </c>
      <c r="E12" s="16">
        <v>91000</v>
      </c>
      <c r="F12" s="17">
        <v>19785</v>
      </c>
      <c r="G12" s="17">
        <v>42616</v>
      </c>
      <c r="H12" s="18">
        <f>DATEDIF(F12,$J$1,"Y")</f>
        <v>64</v>
      </c>
      <c r="I12" s="19">
        <f>($J$1-G12)/365.25</f>
        <v>2.3271731690622861</v>
      </c>
    </row>
    <row r="13" spans="1:10" x14ac:dyDescent="0.35">
      <c r="B13" s="14">
        <v>50004</v>
      </c>
      <c r="C13" s="15" t="s">
        <v>13</v>
      </c>
      <c r="D13" s="16">
        <v>97000</v>
      </c>
      <c r="E13" s="16">
        <v>89000</v>
      </c>
      <c r="F13" s="17">
        <v>20341</v>
      </c>
      <c r="G13" s="17">
        <v>40825</v>
      </c>
      <c r="H13" s="18">
        <f>DATEDIF(F13,$J$1,"Y")</f>
        <v>63</v>
      </c>
      <c r="I13" s="19">
        <f>($J$1-G13)/365.25</f>
        <v>7.2306639288158792</v>
      </c>
    </row>
    <row r="14" spans="1:10" x14ac:dyDescent="0.35">
      <c r="B14" s="14">
        <v>50003</v>
      </c>
      <c r="C14" s="15" t="s">
        <v>12</v>
      </c>
      <c r="D14" s="16">
        <v>98000</v>
      </c>
      <c r="E14" s="16">
        <v>90000</v>
      </c>
      <c r="F14" s="17">
        <v>20584</v>
      </c>
      <c r="G14" s="17">
        <v>37989</v>
      </c>
      <c r="H14" s="18">
        <f>DATEDIF(F14,$J$1,"Y")</f>
        <v>62</v>
      </c>
      <c r="I14" s="19">
        <f>($J$1-G14)/365.25</f>
        <v>14.99520876112252</v>
      </c>
    </row>
    <row r="15" spans="1:10" x14ac:dyDescent="0.35">
      <c r="B15" s="14">
        <v>50009</v>
      </c>
      <c r="C15" s="15" t="s">
        <v>18</v>
      </c>
      <c r="D15" s="16">
        <v>92000</v>
      </c>
      <c r="E15" s="16">
        <v>84000</v>
      </c>
      <c r="F15" s="17">
        <v>20694</v>
      </c>
      <c r="G15" s="17">
        <v>36767</v>
      </c>
      <c r="H15" s="18">
        <f>DATEDIF(F15,$J$1,"Y")</f>
        <v>62</v>
      </c>
      <c r="I15" s="19">
        <f>($J$1-G15)/365.25</f>
        <v>18.340862422997947</v>
      </c>
    </row>
    <row r="16" spans="1:10" x14ac:dyDescent="0.35">
      <c r="B16" s="14">
        <v>50008</v>
      </c>
      <c r="C16" s="15" t="s">
        <v>16</v>
      </c>
      <c r="D16" s="16">
        <v>93000</v>
      </c>
      <c r="E16" s="16">
        <v>85000</v>
      </c>
      <c r="F16" s="17">
        <v>21491</v>
      </c>
      <c r="G16" s="17">
        <v>43078</v>
      </c>
      <c r="H16" s="18">
        <f>DATEDIF(F16,$J$1,"Y")</f>
        <v>60</v>
      </c>
      <c r="I16" s="19">
        <f>($J$1-G16)/365.25</f>
        <v>1.0622861054072552</v>
      </c>
    </row>
    <row r="17" spans="2:9" x14ac:dyDescent="0.35">
      <c r="B17" s="14">
        <v>50010</v>
      </c>
      <c r="C17" s="15" t="s">
        <v>19</v>
      </c>
      <c r="D17" s="16">
        <v>91000</v>
      </c>
      <c r="E17" s="16">
        <v>83000</v>
      </c>
      <c r="F17" s="17">
        <v>22901</v>
      </c>
      <c r="G17" s="17">
        <v>32546</v>
      </c>
      <c r="H17" s="18">
        <f>DATEDIF(F17,$J$1,"Y")</f>
        <v>56</v>
      </c>
      <c r="I17" s="19">
        <f>($J$1-G17)/365.25</f>
        <v>29.897330595482547</v>
      </c>
    </row>
    <row r="18" spans="2:9" x14ac:dyDescent="0.35">
      <c r="B18" s="14">
        <v>50006</v>
      </c>
      <c r="C18" s="15" t="s">
        <v>15</v>
      </c>
      <c r="D18" s="16">
        <v>95000</v>
      </c>
      <c r="E18" s="16">
        <v>87000</v>
      </c>
      <c r="F18" s="17">
        <v>23072</v>
      </c>
      <c r="G18" s="17">
        <v>36163</v>
      </c>
      <c r="H18" s="18">
        <f>DATEDIF(F18,$J$1,"Y")</f>
        <v>55</v>
      </c>
      <c r="I18" s="19">
        <f>($J$1-G18)/365.25</f>
        <v>19.994524298425734</v>
      </c>
    </row>
    <row r="19" spans="2:9" hidden="1" x14ac:dyDescent="0.35">
      <c r="B19" s="14">
        <v>50005</v>
      </c>
      <c r="C19" s="15" t="s">
        <v>14</v>
      </c>
      <c r="D19" s="16">
        <v>96000</v>
      </c>
      <c r="E19" s="16">
        <v>88000</v>
      </c>
      <c r="F19" s="17">
        <v>26458</v>
      </c>
      <c r="G19" s="17">
        <v>40973</v>
      </c>
      <c r="H19" s="18">
        <f>DATEDIF(F19,$J$1,"Y")</f>
        <v>46</v>
      </c>
      <c r="I19" s="19">
        <f>($J$1-G19)/365.25</f>
        <v>6.8254620123203287</v>
      </c>
    </row>
    <row r="20" spans="2:9" hidden="1" x14ac:dyDescent="0.35">
      <c r="B20" s="14">
        <v>50001</v>
      </c>
      <c r="C20" s="15" t="s">
        <v>10</v>
      </c>
      <c r="D20" s="16">
        <v>110000</v>
      </c>
      <c r="E20" s="16">
        <v>101000</v>
      </c>
      <c r="F20" s="17">
        <v>26363</v>
      </c>
      <c r="G20" s="17">
        <v>33665</v>
      </c>
      <c r="H20" s="18">
        <f>DATEDIF(F20,$J$1,"Y")</f>
        <v>46</v>
      </c>
      <c r="I20" s="19">
        <f>($J$1-G20)/365.25</f>
        <v>26.833675564681723</v>
      </c>
    </row>
  </sheetData>
  <mergeCells count="1">
    <mergeCell ref="B9:I9"/>
  </mergeCells>
  <printOptions horizontalCentered="1"/>
  <pageMargins left="0.7" right="0.7" top="0.75" bottom="0.75" header="0.3" footer="0.3"/>
  <pageSetup scale="93" orientation="landscape" r:id="rId1"/>
  <headerFooter>
    <oddFooter>&amp;L&amp;F
&amp;A&amp;R&amp;D
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B12D-A745-4FF9-A590-FBFB3918F036}">
  <sheetPr>
    <pageSetUpPr fitToPage="1"/>
  </sheetPr>
  <dimension ref="B1:C129"/>
  <sheetViews>
    <sheetView topLeftCell="A29" workbookViewId="0">
      <selection activeCell="B2" sqref="B2:C2"/>
    </sheetView>
  </sheetViews>
  <sheetFormatPr defaultRowHeight="12.5" x14ac:dyDescent="0.25"/>
  <cols>
    <col min="1" max="1" width="4.58203125" style="1" customWidth="1"/>
    <col min="2" max="2" width="13" style="1" customWidth="1"/>
    <col min="3" max="3" width="13.5" style="1" customWidth="1"/>
    <col min="4" max="16384" width="8.6640625" style="1"/>
  </cols>
  <sheetData>
    <row r="1" spans="2:3" ht="13" thickBot="1" x14ac:dyDescent="0.3"/>
    <row r="2" spans="2:3" ht="16" thickBot="1" x14ac:dyDescent="0.4">
      <c r="B2" s="59" t="s">
        <v>44</v>
      </c>
      <c r="C2" s="60"/>
    </row>
    <row r="3" spans="2:3" ht="13" x14ac:dyDescent="0.3">
      <c r="B3" s="61" t="s">
        <v>8</v>
      </c>
      <c r="C3" s="61" t="s">
        <v>45</v>
      </c>
    </row>
    <row r="4" spans="2:3" x14ac:dyDescent="0.25">
      <c r="B4" s="62">
        <v>5</v>
      </c>
      <c r="C4" s="63">
        <v>2.3699999999999999E-4</v>
      </c>
    </row>
    <row r="5" spans="2:3" x14ac:dyDescent="0.25">
      <c r="B5" s="64">
        <f>B4+1</f>
        <v>6</v>
      </c>
      <c r="C5" s="63">
        <v>2.2699999999999999E-4</v>
      </c>
    </row>
    <row r="6" spans="2:3" x14ac:dyDescent="0.25">
      <c r="B6" s="64">
        <f t="shared" ref="B6:B69" si="0">B5+1</f>
        <v>7</v>
      </c>
      <c r="C6" s="63">
        <v>2.1699999999999999E-4</v>
      </c>
    </row>
    <row r="7" spans="2:3" x14ac:dyDescent="0.25">
      <c r="B7" s="64">
        <f t="shared" si="0"/>
        <v>8</v>
      </c>
      <c r="C7" s="63">
        <v>2.0100000000000001E-4</v>
      </c>
    </row>
    <row r="8" spans="2:3" x14ac:dyDescent="0.25">
      <c r="B8" s="64">
        <f t="shared" si="0"/>
        <v>9</v>
      </c>
      <c r="C8" s="63">
        <v>1.94E-4</v>
      </c>
    </row>
    <row r="9" spans="2:3" x14ac:dyDescent="0.25">
      <c r="B9" s="64">
        <f t="shared" si="0"/>
        <v>10</v>
      </c>
      <c r="C9" s="63">
        <v>1.9699999999999999E-4</v>
      </c>
    </row>
    <row r="10" spans="2:3" x14ac:dyDescent="0.25">
      <c r="B10" s="64">
        <f t="shared" si="0"/>
        <v>11</v>
      </c>
      <c r="C10" s="63">
        <v>2.0799999999999999E-4</v>
      </c>
    </row>
    <row r="11" spans="2:3" x14ac:dyDescent="0.25">
      <c r="B11" s="64">
        <f t="shared" si="0"/>
        <v>12</v>
      </c>
      <c r="C11" s="63">
        <v>2.2599999999999999E-4</v>
      </c>
    </row>
    <row r="12" spans="2:3" x14ac:dyDescent="0.25">
      <c r="B12" s="64">
        <f t="shared" si="0"/>
        <v>13</v>
      </c>
      <c r="C12" s="63">
        <v>2.5500000000000002E-4</v>
      </c>
    </row>
    <row r="13" spans="2:3" x14ac:dyDescent="0.25">
      <c r="B13" s="64">
        <f t="shared" si="0"/>
        <v>14</v>
      </c>
      <c r="C13" s="63">
        <v>2.9700000000000001E-4</v>
      </c>
    </row>
    <row r="14" spans="2:3" x14ac:dyDescent="0.25">
      <c r="B14" s="64">
        <f t="shared" si="0"/>
        <v>15</v>
      </c>
      <c r="C14" s="63">
        <v>3.4499999999999998E-4</v>
      </c>
    </row>
    <row r="15" spans="2:3" x14ac:dyDescent="0.25">
      <c r="B15" s="64">
        <f t="shared" si="0"/>
        <v>16</v>
      </c>
      <c r="C15" s="63">
        <v>3.9100000000000002E-4</v>
      </c>
    </row>
    <row r="16" spans="2:3" x14ac:dyDescent="0.25">
      <c r="B16" s="64">
        <f t="shared" si="0"/>
        <v>17</v>
      </c>
      <c r="C16" s="63">
        <v>4.2999999999999999E-4</v>
      </c>
    </row>
    <row r="17" spans="2:3" x14ac:dyDescent="0.25">
      <c r="B17" s="64">
        <f t="shared" si="0"/>
        <v>18</v>
      </c>
      <c r="C17" s="63">
        <v>4.6000000000000001E-4</v>
      </c>
    </row>
    <row r="18" spans="2:3" x14ac:dyDescent="0.25">
      <c r="B18" s="64">
        <f t="shared" si="0"/>
        <v>19</v>
      </c>
      <c r="C18" s="63">
        <v>4.84E-4</v>
      </c>
    </row>
    <row r="19" spans="2:3" x14ac:dyDescent="0.25">
      <c r="B19" s="64">
        <f t="shared" si="0"/>
        <v>20</v>
      </c>
      <c r="C19" s="63">
        <v>5.0699999999999996E-4</v>
      </c>
    </row>
    <row r="20" spans="2:3" x14ac:dyDescent="0.25">
      <c r="B20" s="64">
        <f t="shared" si="0"/>
        <v>21</v>
      </c>
      <c r="C20" s="63">
        <v>5.2999999999999998E-4</v>
      </c>
    </row>
    <row r="21" spans="2:3" x14ac:dyDescent="0.25">
      <c r="B21" s="64">
        <f t="shared" si="0"/>
        <v>22</v>
      </c>
      <c r="C21" s="63">
        <v>5.5599999999999996E-4</v>
      </c>
    </row>
    <row r="22" spans="2:3" x14ac:dyDescent="0.25">
      <c r="B22" s="64">
        <f t="shared" si="0"/>
        <v>23</v>
      </c>
      <c r="C22" s="63">
        <v>5.8900000000000001E-4</v>
      </c>
    </row>
    <row r="23" spans="2:3" x14ac:dyDescent="0.25">
      <c r="B23" s="64">
        <f t="shared" si="0"/>
        <v>24</v>
      </c>
      <c r="C23" s="63">
        <v>6.2399999999999999E-4</v>
      </c>
    </row>
    <row r="24" spans="2:3" x14ac:dyDescent="0.25">
      <c r="B24" s="64">
        <f t="shared" si="0"/>
        <v>25</v>
      </c>
      <c r="C24" s="63">
        <v>6.6100000000000002E-4</v>
      </c>
    </row>
    <row r="25" spans="2:3" x14ac:dyDescent="0.25">
      <c r="B25" s="64">
        <f t="shared" si="0"/>
        <v>26</v>
      </c>
      <c r="C25" s="63">
        <v>6.96E-4</v>
      </c>
    </row>
    <row r="26" spans="2:3" x14ac:dyDescent="0.25">
      <c r="B26" s="64">
        <f t="shared" si="0"/>
        <v>27</v>
      </c>
      <c r="C26" s="63">
        <v>7.27E-4</v>
      </c>
    </row>
    <row r="27" spans="2:3" x14ac:dyDescent="0.25">
      <c r="B27" s="64">
        <f t="shared" si="0"/>
        <v>28</v>
      </c>
      <c r="C27" s="63">
        <v>7.54E-4</v>
      </c>
    </row>
    <row r="28" spans="2:3" x14ac:dyDescent="0.25">
      <c r="B28" s="64">
        <f t="shared" si="0"/>
        <v>29</v>
      </c>
      <c r="C28" s="63">
        <v>7.7899999999999996E-4</v>
      </c>
    </row>
    <row r="29" spans="2:3" x14ac:dyDescent="0.25">
      <c r="B29" s="64">
        <f t="shared" si="0"/>
        <v>30</v>
      </c>
      <c r="C29" s="63">
        <v>8.0099999999999995E-4</v>
      </c>
    </row>
    <row r="30" spans="2:3" x14ac:dyDescent="0.25">
      <c r="B30" s="64">
        <f t="shared" si="0"/>
        <v>31</v>
      </c>
      <c r="C30" s="63">
        <v>8.2100000000000001E-4</v>
      </c>
    </row>
    <row r="31" spans="2:3" x14ac:dyDescent="0.25">
      <c r="B31" s="64">
        <f t="shared" si="0"/>
        <v>32</v>
      </c>
      <c r="C31" s="63">
        <v>8.3900000000000001E-4</v>
      </c>
    </row>
    <row r="32" spans="2:3" x14ac:dyDescent="0.25">
      <c r="B32" s="64">
        <f t="shared" si="0"/>
        <v>33</v>
      </c>
      <c r="C32" s="63">
        <v>8.4800000000000001E-4</v>
      </c>
    </row>
    <row r="33" spans="2:3" x14ac:dyDescent="0.25">
      <c r="B33" s="64">
        <f t="shared" si="0"/>
        <v>34</v>
      </c>
      <c r="C33" s="63">
        <v>8.4900000000000004E-4</v>
      </c>
    </row>
    <row r="34" spans="2:3" x14ac:dyDescent="0.25">
      <c r="B34" s="64">
        <f t="shared" si="0"/>
        <v>35</v>
      </c>
      <c r="C34" s="63">
        <v>8.5099999999999998E-4</v>
      </c>
    </row>
    <row r="35" spans="2:3" x14ac:dyDescent="0.25">
      <c r="B35" s="64">
        <f t="shared" si="0"/>
        <v>36</v>
      </c>
      <c r="C35" s="63">
        <v>8.6200000000000003E-4</v>
      </c>
    </row>
    <row r="36" spans="2:3" x14ac:dyDescent="0.25">
      <c r="B36" s="64">
        <f t="shared" si="0"/>
        <v>37</v>
      </c>
      <c r="C36" s="63">
        <v>8.9099999999999997E-4</v>
      </c>
    </row>
    <row r="37" spans="2:3" x14ac:dyDescent="0.25">
      <c r="B37" s="64">
        <f t="shared" si="0"/>
        <v>38</v>
      </c>
      <c r="C37" s="63">
        <v>9.3899999999999995E-4</v>
      </c>
    </row>
    <row r="38" spans="2:3" x14ac:dyDescent="0.25">
      <c r="B38" s="64">
        <f t="shared" si="0"/>
        <v>39</v>
      </c>
      <c r="C38" s="63">
        <v>9.990000000000001E-4</v>
      </c>
    </row>
    <row r="39" spans="2:3" x14ac:dyDescent="0.25">
      <c r="B39" s="64">
        <f t="shared" si="0"/>
        <v>40</v>
      </c>
      <c r="C39" s="63">
        <v>1.072E-3</v>
      </c>
    </row>
    <row r="40" spans="2:3" x14ac:dyDescent="0.25">
      <c r="B40" s="64">
        <f t="shared" si="0"/>
        <v>41</v>
      </c>
      <c r="C40" s="63">
        <v>1.1559999999999999E-3</v>
      </c>
    </row>
    <row r="41" spans="2:3" x14ac:dyDescent="0.25">
      <c r="B41" s="64">
        <f t="shared" si="0"/>
        <v>42</v>
      </c>
      <c r="C41" s="63">
        <v>1.2520000000000001E-3</v>
      </c>
    </row>
    <row r="42" spans="2:3" x14ac:dyDescent="0.25">
      <c r="B42" s="64">
        <f t="shared" si="0"/>
        <v>43</v>
      </c>
      <c r="C42" s="63">
        <v>1.3519999999999999E-3</v>
      </c>
    </row>
    <row r="43" spans="2:3" x14ac:dyDescent="0.25">
      <c r="B43" s="64">
        <f t="shared" si="0"/>
        <v>44</v>
      </c>
      <c r="C43" s="63">
        <v>1.4580000000000001E-3</v>
      </c>
    </row>
    <row r="44" spans="2:3" x14ac:dyDescent="0.25">
      <c r="B44" s="64">
        <f t="shared" si="0"/>
        <v>45</v>
      </c>
      <c r="C44" s="63">
        <v>1.578E-3</v>
      </c>
    </row>
    <row r="45" spans="2:3" x14ac:dyDescent="0.25">
      <c r="B45" s="64">
        <f t="shared" si="0"/>
        <v>46</v>
      </c>
      <c r="C45" s="63">
        <v>1.722E-3</v>
      </c>
    </row>
    <row r="46" spans="2:3" x14ac:dyDescent="0.25">
      <c r="B46" s="64">
        <f t="shared" si="0"/>
        <v>47</v>
      </c>
      <c r="C46" s="63">
        <v>1.8990000000000001E-3</v>
      </c>
    </row>
    <row r="47" spans="2:3" x14ac:dyDescent="0.25">
      <c r="B47" s="64">
        <f t="shared" si="0"/>
        <v>48</v>
      </c>
      <c r="C47" s="63">
        <v>2.1020000000000001E-3</v>
      </c>
    </row>
    <row r="48" spans="2:3" x14ac:dyDescent="0.25">
      <c r="B48" s="64">
        <f t="shared" si="0"/>
        <v>49</v>
      </c>
      <c r="C48" s="63">
        <v>2.3259999999999999E-3</v>
      </c>
    </row>
    <row r="49" spans="2:3" x14ac:dyDescent="0.25">
      <c r="B49" s="64">
        <f t="shared" si="0"/>
        <v>50</v>
      </c>
      <c r="C49" s="63">
        <v>2.5790000000000001E-3</v>
      </c>
    </row>
    <row r="50" spans="2:3" x14ac:dyDescent="0.25">
      <c r="B50" s="64">
        <f t="shared" si="0"/>
        <v>51</v>
      </c>
      <c r="C50" s="63">
        <v>2.872E-3</v>
      </c>
    </row>
    <row r="51" spans="2:3" x14ac:dyDescent="0.25">
      <c r="B51" s="64">
        <f t="shared" si="0"/>
        <v>52</v>
      </c>
      <c r="C51" s="63">
        <v>3.2130000000000001E-3</v>
      </c>
    </row>
    <row r="52" spans="2:3" x14ac:dyDescent="0.25">
      <c r="B52" s="64">
        <f t="shared" si="0"/>
        <v>53</v>
      </c>
      <c r="C52" s="63">
        <v>3.5839999999999999E-3</v>
      </c>
    </row>
    <row r="53" spans="2:3" x14ac:dyDescent="0.25">
      <c r="B53" s="64">
        <f t="shared" si="0"/>
        <v>54</v>
      </c>
      <c r="C53" s="63">
        <v>3.9789999999999999E-3</v>
      </c>
    </row>
    <row r="54" spans="2:3" x14ac:dyDescent="0.25">
      <c r="B54" s="64">
        <f t="shared" si="0"/>
        <v>55</v>
      </c>
      <c r="C54" s="63">
        <v>4.4250000000000001E-3</v>
      </c>
    </row>
    <row r="55" spans="2:3" x14ac:dyDescent="0.25">
      <c r="B55" s="64">
        <f t="shared" si="0"/>
        <v>56</v>
      </c>
      <c r="C55" s="63">
        <v>4.9490000000000003E-3</v>
      </c>
    </row>
    <row r="56" spans="2:3" x14ac:dyDescent="0.25">
      <c r="B56" s="64">
        <f t="shared" si="0"/>
        <v>57</v>
      </c>
      <c r="C56" s="63">
        <v>5.581E-3</v>
      </c>
    </row>
    <row r="57" spans="2:3" x14ac:dyDescent="0.25">
      <c r="B57" s="64">
        <f t="shared" si="0"/>
        <v>58</v>
      </c>
      <c r="C57" s="63">
        <v>6.3E-3</v>
      </c>
    </row>
    <row r="58" spans="2:3" x14ac:dyDescent="0.25">
      <c r="B58" s="64">
        <f t="shared" si="0"/>
        <v>59</v>
      </c>
      <c r="C58" s="63">
        <v>7.0899999999999999E-3</v>
      </c>
    </row>
    <row r="59" spans="2:3" x14ac:dyDescent="0.25">
      <c r="B59" s="64">
        <f t="shared" si="0"/>
        <v>60</v>
      </c>
      <c r="C59" s="63">
        <v>7.9760000000000005E-3</v>
      </c>
    </row>
    <row r="60" spans="2:3" x14ac:dyDescent="0.25">
      <c r="B60" s="64">
        <f t="shared" si="0"/>
        <v>61</v>
      </c>
      <c r="C60" s="63">
        <v>8.9859999999999992E-3</v>
      </c>
    </row>
    <row r="61" spans="2:3" x14ac:dyDescent="0.25">
      <c r="B61" s="64">
        <f t="shared" si="0"/>
        <v>62</v>
      </c>
      <c r="C61" s="63">
        <v>1.0147E-2</v>
      </c>
    </row>
    <row r="62" spans="2:3" x14ac:dyDescent="0.25">
      <c r="B62" s="64">
        <f t="shared" si="0"/>
        <v>63</v>
      </c>
      <c r="C62" s="63">
        <v>1.1471E-2</v>
      </c>
    </row>
    <row r="63" spans="2:3" x14ac:dyDescent="0.25">
      <c r="B63" s="64">
        <f t="shared" si="0"/>
        <v>64</v>
      </c>
      <c r="C63" s="63">
        <v>1.294E-2</v>
      </c>
    </row>
    <row r="64" spans="2:3" x14ac:dyDescent="0.25">
      <c r="B64" s="64">
        <f t="shared" si="0"/>
        <v>65</v>
      </c>
      <c r="C64" s="63">
        <v>1.4534999999999999E-2</v>
      </c>
    </row>
    <row r="65" spans="2:3" x14ac:dyDescent="0.25">
      <c r="B65" s="64">
        <f t="shared" si="0"/>
        <v>66</v>
      </c>
      <c r="C65" s="63">
        <v>1.6239E-2</v>
      </c>
    </row>
    <row r="66" spans="2:3" x14ac:dyDescent="0.25">
      <c r="B66" s="64">
        <f t="shared" si="0"/>
        <v>67</v>
      </c>
      <c r="C66" s="63">
        <v>1.8034000000000001E-2</v>
      </c>
    </row>
    <row r="67" spans="2:3" x14ac:dyDescent="0.25">
      <c r="B67" s="64">
        <f t="shared" si="0"/>
        <v>68</v>
      </c>
      <c r="C67" s="63">
        <v>1.9859000000000002E-2</v>
      </c>
    </row>
    <row r="68" spans="2:3" x14ac:dyDescent="0.25">
      <c r="B68" s="64">
        <f t="shared" si="0"/>
        <v>69</v>
      </c>
      <c r="C68" s="63">
        <v>2.1728999999999998E-2</v>
      </c>
    </row>
    <row r="69" spans="2:3" x14ac:dyDescent="0.25">
      <c r="B69" s="64">
        <f t="shared" si="0"/>
        <v>70</v>
      </c>
      <c r="C69" s="63">
        <v>2.3730000000000001E-2</v>
      </c>
    </row>
    <row r="70" spans="2:3" x14ac:dyDescent="0.25">
      <c r="B70" s="64">
        <f t="shared" ref="B70:B119" si="1">B69+1</f>
        <v>71</v>
      </c>
      <c r="C70" s="63">
        <v>2.5950999999999998E-2</v>
      </c>
    </row>
    <row r="71" spans="2:3" x14ac:dyDescent="0.25">
      <c r="B71" s="64">
        <f t="shared" si="1"/>
        <v>72</v>
      </c>
      <c r="C71" s="63">
        <v>2.8480999999999999E-2</v>
      </c>
    </row>
    <row r="72" spans="2:3" x14ac:dyDescent="0.25">
      <c r="B72" s="64">
        <f t="shared" si="1"/>
        <v>73</v>
      </c>
      <c r="C72" s="63">
        <v>3.1201E-2</v>
      </c>
    </row>
    <row r="73" spans="2:3" x14ac:dyDescent="0.25">
      <c r="B73" s="64">
        <f t="shared" si="1"/>
        <v>74</v>
      </c>
      <c r="C73" s="63">
        <v>3.4050999999999998E-2</v>
      </c>
    </row>
    <row r="74" spans="2:3" x14ac:dyDescent="0.25">
      <c r="B74" s="64">
        <f t="shared" si="1"/>
        <v>75</v>
      </c>
      <c r="C74" s="63">
        <v>3.7211000000000001E-2</v>
      </c>
    </row>
    <row r="75" spans="2:3" x14ac:dyDescent="0.25">
      <c r="B75" s="64">
        <f t="shared" si="1"/>
        <v>76</v>
      </c>
      <c r="C75" s="63">
        <v>4.0857999999999998E-2</v>
      </c>
    </row>
    <row r="76" spans="2:3" x14ac:dyDescent="0.25">
      <c r="B76" s="64">
        <f t="shared" si="1"/>
        <v>77</v>
      </c>
      <c r="C76" s="63">
        <v>4.5171000000000003E-2</v>
      </c>
    </row>
    <row r="77" spans="2:3" x14ac:dyDescent="0.25">
      <c r="B77" s="64">
        <f t="shared" si="1"/>
        <v>78</v>
      </c>
      <c r="C77" s="63">
        <v>5.0210999999999999E-2</v>
      </c>
    </row>
    <row r="78" spans="2:3" x14ac:dyDescent="0.25">
      <c r="B78" s="64">
        <f t="shared" si="1"/>
        <v>79</v>
      </c>
      <c r="C78" s="63">
        <v>5.5861000000000001E-2</v>
      </c>
    </row>
    <row r="79" spans="2:3" x14ac:dyDescent="0.25">
      <c r="B79" s="64">
        <f t="shared" si="1"/>
        <v>80</v>
      </c>
      <c r="C79" s="63">
        <v>6.2026999999999999E-2</v>
      </c>
    </row>
    <row r="80" spans="2:3" x14ac:dyDescent="0.25">
      <c r="B80" s="64">
        <f t="shared" si="1"/>
        <v>81</v>
      </c>
      <c r="C80" s="63">
        <v>6.8614999999999995E-2</v>
      </c>
    </row>
    <row r="81" spans="2:3" x14ac:dyDescent="0.25">
      <c r="B81" s="64">
        <f t="shared" si="1"/>
        <v>82</v>
      </c>
      <c r="C81" s="63">
        <v>7.5532000000000002E-2</v>
      </c>
    </row>
    <row r="82" spans="2:3" x14ac:dyDescent="0.25">
      <c r="B82" s="64">
        <f t="shared" si="1"/>
        <v>83</v>
      </c>
      <c r="C82" s="63">
        <v>8.251E-2</v>
      </c>
    </row>
    <row r="83" spans="2:3" x14ac:dyDescent="0.25">
      <c r="B83" s="64">
        <f t="shared" si="1"/>
        <v>84</v>
      </c>
      <c r="C83" s="63">
        <v>8.9612999999999998E-2</v>
      </c>
    </row>
    <row r="84" spans="2:3" x14ac:dyDescent="0.25">
      <c r="B84" s="64">
        <f t="shared" si="1"/>
        <v>85</v>
      </c>
      <c r="C84" s="63">
        <v>9.7239999999999993E-2</v>
      </c>
    </row>
    <row r="85" spans="2:3" x14ac:dyDescent="0.25">
      <c r="B85" s="64">
        <f t="shared" si="1"/>
        <v>86</v>
      </c>
      <c r="C85" s="63">
        <v>0.105792</v>
      </c>
    </row>
    <row r="86" spans="2:3" x14ac:dyDescent="0.25">
      <c r="B86" s="64">
        <f t="shared" si="1"/>
        <v>87</v>
      </c>
      <c r="C86" s="63">
        <v>0.115671</v>
      </c>
    </row>
    <row r="87" spans="2:3" x14ac:dyDescent="0.25">
      <c r="B87" s="64">
        <f t="shared" si="1"/>
        <v>88</v>
      </c>
      <c r="C87" s="63">
        <v>0.12698000000000001</v>
      </c>
    </row>
    <row r="88" spans="2:3" x14ac:dyDescent="0.25">
      <c r="B88" s="64">
        <f t="shared" si="1"/>
        <v>89</v>
      </c>
      <c r="C88" s="63">
        <v>0.13945199999999999</v>
      </c>
    </row>
    <row r="89" spans="2:3" x14ac:dyDescent="0.25">
      <c r="B89" s="64">
        <f t="shared" si="1"/>
        <v>90</v>
      </c>
      <c r="C89" s="63">
        <v>0.15293100000000001</v>
      </c>
    </row>
    <row r="90" spans="2:3" x14ac:dyDescent="0.25">
      <c r="B90" s="64">
        <f t="shared" si="1"/>
        <v>91</v>
      </c>
      <c r="C90" s="63">
        <v>0.16725999999999999</v>
      </c>
    </row>
    <row r="91" spans="2:3" x14ac:dyDescent="0.25">
      <c r="B91" s="64">
        <f t="shared" si="1"/>
        <v>92</v>
      </c>
      <c r="C91" s="63">
        <v>0.182281</v>
      </c>
    </row>
    <row r="92" spans="2:3" x14ac:dyDescent="0.25">
      <c r="B92" s="64">
        <f t="shared" si="1"/>
        <v>93</v>
      </c>
      <c r="C92" s="63">
        <v>0.19839200000000001</v>
      </c>
    </row>
    <row r="93" spans="2:3" x14ac:dyDescent="0.25">
      <c r="B93" s="64">
        <f t="shared" si="1"/>
        <v>94</v>
      </c>
      <c r="C93" s="63">
        <v>0.2157</v>
      </c>
    </row>
    <row r="94" spans="2:3" x14ac:dyDescent="0.25">
      <c r="B94" s="64">
        <f t="shared" si="1"/>
        <v>95</v>
      </c>
      <c r="C94" s="63">
        <v>0.23360600000000001</v>
      </c>
    </row>
    <row r="95" spans="2:3" x14ac:dyDescent="0.25">
      <c r="B95" s="64">
        <f t="shared" si="1"/>
        <v>96</v>
      </c>
      <c r="C95" s="63">
        <v>0.25151000000000001</v>
      </c>
    </row>
    <row r="96" spans="2:3" x14ac:dyDescent="0.25">
      <c r="B96" s="64">
        <f t="shared" si="1"/>
        <v>97</v>
      </c>
      <c r="C96" s="63">
        <v>0.26881500000000003</v>
      </c>
    </row>
    <row r="97" spans="2:3" x14ac:dyDescent="0.25">
      <c r="B97" s="64">
        <f t="shared" si="1"/>
        <v>98</v>
      </c>
      <c r="C97" s="63">
        <v>0.285277</v>
      </c>
    </row>
    <row r="98" spans="2:3" x14ac:dyDescent="0.25">
      <c r="B98" s="64">
        <f t="shared" si="1"/>
        <v>99</v>
      </c>
      <c r="C98" s="63">
        <v>0.30129800000000001</v>
      </c>
    </row>
    <row r="99" spans="2:3" x14ac:dyDescent="0.25">
      <c r="B99" s="64">
        <f t="shared" si="1"/>
        <v>100</v>
      </c>
      <c r="C99" s="63">
        <v>0.31723800000000002</v>
      </c>
    </row>
    <row r="100" spans="2:3" x14ac:dyDescent="0.25">
      <c r="B100" s="64">
        <f t="shared" si="1"/>
        <v>101</v>
      </c>
      <c r="C100" s="63">
        <v>0.33346100000000001</v>
      </c>
    </row>
    <row r="101" spans="2:3" x14ac:dyDescent="0.25">
      <c r="B101" s="64">
        <f t="shared" si="1"/>
        <v>102</v>
      </c>
      <c r="C101" s="63">
        <v>0.35032999999999997</v>
      </c>
    </row>
    <row r="102" spans="2:3" x14ac:dyDescent="0.25">
      <c r="B102" s="64">
        <f t="shared" si="1"/>
        <v>103</v>
      </c>
      <c r="C102" s="63">
        <v>0.36854199999999998</v>
      </c>
    </row>
    <row r="103" spans="2:3" x14ac:dyDescent="0.25">
      <c r="B103" s="64">
        <f t="shared" si="1"/>
        <v>104</v>
      </c>
      <c r="C103" s="63">
        <v>0.38785500000000001</v>
      </c>
    </row>
    <row r="104" spans="2:3" x14ac:dyDescent="0.25">
      <c r="B104" s="64">
        <f t="shared" si="1"/>
        <v>105</v>
      </c>
      <c r="C104" s="63">
        <v>0.40722399999999997</v>
      </c>
    </row>
    <row r="105" spans="2:3" x14ac:dyDescent="0.25">
      <c r="B105" s="64">
        <f t="shared" si="1"/>
        <v>106</v>
      </c>
      <c r="C105" s="63">
        <v>0.42559900000000001</v>
      </c>
    </row>
    <row r="106" spans="2:3" x14ac:dyDescent="0.25">
      <c r="B106" s="64">
        <f t="shared" si="1"/>
        <v>107</v>
      </c>
      <c r="C106" s="63">
        <v>0.44193500000000002</v>
      </c>
    </row>
    <row r="107" spans="2:3" x14ac:dyDescent="0.25">
      <c r="B107" s="64">
        <f t="shared" si="1"/>
        <v>108</v>
      </c>
      <c r="C107" s="63">
        <v>0.45755299999999999</v>
      </c>
    </row>
    <row r="108" spans="2:3" x14ac:dyDescent="0.25">
      <c r="B108" s="64">
        <f t="shared" si="1"/>
        <v>109</v>
      </c>
      <c r="C108" s="63">
        <v>0.47315000000000002</v>
      </c>
    </row>
    <row r="109" spans="2:3" x14ac:dyDescent="0.25">
      <c r="B109" s="64">
        <f t="shared" si="1"/>
        <v>110</v>
      </c>
      <c r="C109" s="63">
        <v>0.48674499999999998</v>
      </c>
    </row>
    <row r="110" spans="2:3" x14ac:dyDescent="0.25">
      <c r="B110" s="64">
        <f t="shared" si="1"/>
        <v>111</v>
      </c>
      <c r="C110" s="63">
        <v>0.49635600000000002</v>
      </c>
    </row>
    <row r="111" spans="2:3" x14ac:dyDescent="0.25">
      <c r="B111" s="64">
        <f t="shared" si="1"/>
        <v>112</v>
      </c>
      <c r="C111" s="63">
        <v>0.5</v>
      </c>
    </row>
    <row r="112" spans="2:3" x14ac:dyDescent="0.25">
      <c r="B112" s="64">
        <f t="shared" si="1"/>
        <v>113</v>
      </c>
      <c r="C112" s="63">
        <v>0.5</v>
      </c>
    </row>
    <row r="113" spans="2:3" x14ac:dyDescent="0.25">
      <c r="B113" s="64">
        <f t="shared" si="1"/>
        <v>114</v>
      </c>
      <c r="C113" s="63">
        <v>0.5</v>
      </c>
    </row>
    <row r="114" spans="2:3" x14ac:dyDescent="0.25">
      <c r="B114" s="64">
        <f t="shared" si="1"/>
        <v>115</v>
      </c>
      <c r="C114" s="63">
        <v>0.5</v>
      </c>
    </row>
    <row r="115" spans="2:3" x14ac:dyDescent="0.25">
      <c r="B115" s="64">
        <f t="shared" si="1"/>
        <v>116</v>
      </c>
      <c r="C115" s="63">
        <v>0.5</v>
      </c>
    </row>
    <row r="116" spans="2:3" x14ac:dyDescent="0.25">
      <c r="B116" s="64">
        <f t="shared" si="1"/>
        <v>117</v>
      </c>
      <c r="C116" s="63">
        <v>0.5</v>
      </c>
    </row>
    <row r="117" spans="2:3" x14ac:dyDescent="0.25">
      <c r="B117" s="64">
        <f t="shared" si="1"/>
        <v>118</v>
      </c>
      <c r="C117" s="63">
        <v>0.5</v>
      </c>
    </row>
    <row r="118" spans="2:3" x14ac:dyDescent="0.25">
      <c r="B118" s="64">
        <f t="shared" si="1"/>
        <v>119</v>
      </c>
      <c r="C118" s="63">
        <v>0.5</v>
      </c>
    </row>
    <row r="119" spans="2:3" x14ac:dyDescent="0.25">
      <c r="B119" s="64">
        <f t="shared" si="1"/>
        <v>120</v>
      </c>
      <c r="C119" s="63">
        <v>1</v>
      </c>
    </row>
    <row r="120" spans="2:3" x14ac:dyDescent="0.25">
      <c r="B120" s="65"/>
    </row>
    <row r="121" spans="2:3" x14ac:dyDescent="0.25">
      <c r="B121" s="65"/>
    </row>
    <row r="122" spans="2:3" x14ac:dyDescent="0.25">
      <c r="B122" s="65"/>
    </row>
    <row r="123" spans="2:3" x14ac:dyDescent="0.25">
      <c r="B123" s="65"/>
    </row>
    <row r="124" spans="2:3" x14ac:dyDescent="0.25">
      <c r="B124" s="65"/>
    </row>
    <row r="125" spans="2:3" x14ac:dyDescent="0.25">
      <c r="B125" s="65"/>
    </row>
    <row r="126" spans="2:3" x14ac:dyDescent="0.25">
      <c r="B126" s="65"/>
    </row>
    <row r="127" spans="2:3" x14ac:dyDescent="0.25">
      <c r="B127" s="65"/>
    </row>
    <row r="128" spans="2:3" x14ac:dyDescent="0.25">
      <c r="B128" s="65"/>
    </row>
    <row r="129" spans="2:2" x14ac:dyDescent="0.25">
      <c r="B129" s="65"/>
    </row>
  </sheetData>
  <mergeCells count="1">
    <mergeCell ref="B2:C2"/>
  </mergeCells>
  <printOptions horizontalCentered="1"/>
  <pageMargins left="0.75" right="0.75" top="1" bottom="1" header="0.5" footer="0.5"/>
  <pageSetup scale="86" fitToHeight="2" orientation="portrait" r:id="rId1"/>
  <headerFooter alignWithMargins="0">
    <oddFooter>&amp;L&amp;F
&amp;A&amp;R&amp;D
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15D3-1C5E-47ED-ABA5-2A945B3EB831}">
  <sheetPr>
    <pageSetUpPr fitToPage="1"/>
  </sheetPr>
  <dimension ref="A1:I16"/>
  <sheetViews>
    <sheetView workbookViewId="0">
      <selection activeCell="J20" sqref="J20"/>
    </sheetView>
  </sheetViews>
  <sheetFormatPr defaultRowHeight="15.5" x14ac:dyDescent="0.35"/>
  <cols>
    <col min="2" max="2" width="8.08203125" bestFit="1" customWidth="1"/>
    <col min="3" max="3" width="10.75" hidden="1" customWidth="1"/>
    <col min="4" max="7" width="11.9140625" bestFit="1" customWidth="1"/>
    <col min="8" max="8" width="11.25" bestFit="1" customWidth="1"/>
    <col min="9" max="10" width="18.33203125" bestFit="1" customWidth="1"/>
    <col min="11" max="11" width="23.08203125" bestFit="1" customWidth="1"/>
    <col min="12" max="12" width="20.08203125" bestFit="1" customWidth="1"/>
    <col min="13" max="13" width="12.5" bestFit="1" customWidth="1"/>
    <col min="14" max="14" width="21.1640625" bestFit="1" customWidth="1"/>
    <col min="15" max="15" width="10.58203125" bestFit="1" customWidth="1"/>
    <col min="16" max="16" width="21.1640625" bestFit="1" customWidth="1"/>
    <col min="17" max="17" width="10.58203125" bestFit="1" customWidth="1"/>
    <col min="18" max="18" width="21.1640625" bestFit="1" customWidth="1"/>
    <col min="19" max="20" width="10.58203125" bestFit="1" customWidth="1"/>
    <col min="21" max="21" width="21.1640625" bestFit="1" customWidth="1"/>
    <col min="22" max="22" width="10.58203125" bestFit="1" customWidth="1"/>
  </cols>
  <sheetData>
    <row r="1" spans="1:9" x14ac:dyDescent="0.35">
      <c r="A1" s="48" t="s">
        <v>43</v>
      </c>
      <c r="B1" s="49"/>
      <c r="C1" s="49"/>
      <c r="D1" s="49"/>
      <c r="E1" s="49"/>
      <c r="F1" s="49"/>
      <c r="G1" s="49"/>
      <c r="H1" s="49"/>
      <c r="I1" s="50"/>
    </row>
    <row r="2" spans="1:9" ht="28.5" customHeight="1" thickBot="1" x14ac:dyDescent="0.4">
      <c r="A2" s="51"/>
      <c r="B2" s="52"/>
      <c r="C2" s="52"/>
      <c r="D2" s="52"/>
      <c r="E2" s="52"/>
      <c r="F2" s="52"/>
      <c r="G2" s="52"/>
      <c r="H2" s="52"/>
      <c r="I2" s="53"/>
    </row>
    <row r="3" spans="1:9" ht="16" thickBot="1" x14ac:dyDescent="0.4">
      <c r="B3" s="34"/>
      <c r="C3" s="32"/>
      <c r="D3" s="47" t="s">
        <v>41</v>
      </c>
      <c r="E3" s="32"/>
      <c r="F3" s="32"/>
      <c r="G3" s="32"/>
      <c r="H3" s="33"/>
    </row>
    <row r="4" spans="1:9" x14ac:dyDescent="0.35">
      <c r="B4" s="36" t="s">
        <v>8</v>
      </c>
      <c r="C4" s="35" t="s">
        <v>42</v>
      </c>
      <c r="D4" s="57" t="s">
        <v>35</v>
      </c>
      <c r="E4" s="57" t="s">
        <v>36</v>
      </c>
      <c r="F4" s="57" t="s">
        <v>37</v>
      </c>
      <c r="G4" s="57" t="s">
        <v>38</v>
      </c>
      <c r="H4" s="58" t="s">
        <v>5</v>
      </c>
    </row>
    <row r="5" spans="1:9" x14ac:dyDescent="0.35">
      <c r="B5" s="54" t="s">
        <v>32</v>
      </c>
      <c r="C5" s="37" t="s">
        <v>40</v>
      </c>
      <c r="D5" s="41">
        <v>0</v>
      </c>
      <c r="E5" s="41">
        <v>184000</v>
      </c>
      <c r="F5" s="41">
        <v>0</v>
      </c>
      <c r="G5" s="41">
        <v>211000</v>
      </c>
      <c r="H5" s="43">
        <v>395000</v>
      </c>
    </row>
    <row r="6" spans="1:9" x14ac:dyDescent="0.35">
      <c r="B6" s="55"/>
      <c r="C6" s="37" t="s">
        <v>39</v>
      </c>
      <c r="D6" s="38"/>
      <c r="E6" s="38">
        <v>1</v>
      </c>
      <c r="F6" s="38"/>
      <c r="G6" s="38">
        <v>1</v>
      </c>
      <c r="H6" s="44">
        <v>2</v>
      </c>
    </row>
    <row r="7" spans="1:9" x14ac:dyDescent="0.35">
      <c r="B7" s="56"/>
      <c r="C7" s="37"/>
      <c r="D7" s="42"/>
      <c r="E7" s="42"/>
      <c r="F7" s="42"/>
      <c r="G7" s="42"/>
      <c r="H7" s="45"/>
    </row>
    <row r="8" spans="1:9" x14ac:dyDescent="0.35">
      <c r="B8" s="54" t="s">
        <v>33</v>
      </c>
      <c r="C8" s="37" t="s">
        <v>40</v>
      </c>
      <c r="D8" s="41">
        <v>0</v>
      </c>
      <c r="E8" s="41">
        <v>0</v>
      </c>
      <c r="F8" s="41">
        <v>182000</v>
      </c>
      <c r="G8" s="41">
        <v>174000</v>
      </c>
      <c r="H8" s="43">
        <v>356000</v>
      </c>
    </row>
    <row r="9" spans="1:9" x14ac:dyDescent="0.35">
      <c r="B9" s="55"/>
      <c r="C9" s="37" t="s">
        <v>39</v>
      </c>
      <c r="D9" s="38"/>
      <c r="E9" s="38"/>
      <c r="F9" s="38">
        <v>1</v>
      </c>
      <c r="G9" s="38">
        <v>1</v>
      </c>
      <c r="H9" s="44">
        <v>2</v>
      </c>
    </row>
    <row r="10" spans="1:9" x14ac:dyDescent="0.35">
      <c r="B10" s="56"/>
      <c r="C10" s="37"/>
      <c r="D10" s="42"/>
      <c r="E10" s="42"/>
      <c r="F10" s="42"/>
      <c r="G10" s="42"/>
      <c r="H10" s="45"/>
    </row>
    <row r="11" spans="1:9" x14ac:dyDescent="0.35">
      <c r="B11" s="54" t="s">
        <v>34</v>
      </c>
      <c r="C11" s="37" t="s">
        <v>40</v>
      </c>
      <c r="D11" s="38">
        <v>368000</v>
      </c>
      <c r="E11" s="38">
        <v>186000</v>
      </c>
      <c r="F11" s="38">
        <v>364000</v>
      </c>
      <c r="G11" s="38">
        <v>192000</v>
      </c>
      <c r="H11" s="44">
        <v>1110000</v>
      </c>
    </row>
    <row r="12" spans="1:9" x14ac:dyDescent="0.35">
      <c r="B12" s="55"/>
      <c r="C12" s="37" t="s">
        <v>39</v>
      </c>
      <c r="D12" s="38">
        <v>2</v>
      </c>
      <c r="E12" s="38">
        <v>1</v>
      </c>
      <c r="F12" s="38">
        <v>2</v>
      </c>
      <c r="G12" s="38">
        <v>1</v>
      </c>
      <c r="H12" s="44">
        <v>6</v>
      </c>
    </row>
    <row r="13" spans="1:9" ht="16" thickBot="1" x14ac:dyDescent="0.4">
      <c r="B13" s="56"/>
      <c r="C13" s="39"/>
      <c r="D13" s="40"/>
      <c r="E13" s="40"/>
      <c r="F13" s="40"/>
      <c r="G13" s="40"/>
      <c r="H13" s="46"/>
    </row>
    <row r="16" spans="1:9" ht="16" thickBot="1" x14ac:dyDescent="0.4"/>
  </sheetData>
  <mergeCells count="1">
    <mergeCell ref="A1:I2"/>
  </mergeCells>
  <printOptions horizontalCentered="1"/>
  <pageMargins left="0.7" right="0.7" top="0.75" bottom="0.75" header="0.3" footer="0.3"/>
  <pageSetup orientation="landscape" r:id="rId2"/>
  <headerFooter>
    <oddFooter>&amp;L&amp;F
&amp;A&amp;R&amp;D
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359C-5DF3-4B79-8DC8-D94393D898DD}">
  <sheetPr>
    <pageSetUpPr fitToPage="1"/>
  </sheetPr>
  <dimension ref="A1:G120"/>
  <sheetViews>
    <sheetView tabSelected="1" workbookViewId="0">
      <pane ySplit="10" topLeftCell="A11" activePane="bottomLeft" state="frozen"/>
      <selection pane="bottomLeft" activeCell="K14" sqref="K14"/>
    </sheetView>
  </sheetViews>
  <sheetFormatPr defaultRowHeight="15.5" x14ac:dyDescent="0.35"/>
  <sheetData>
    <row r="1" spans="1:7" ht="18.5" thickBot="1" x14ac:dyDescent="0.45">
      <c r="A1" s="117" t="s">
        <v>67</v>
      </c>
      <c r="B1" s="118"/>
      <c r="C1" s="118"/>
      <c r="D1" s="118"/>
      <c r="E1" s="118"/>
      <c r="F1" s="118"/>
      <c r="G1" s="119"/>
    </row>
    <row r="2" spans="1:7" x14ac:dyDescent="0.35">
      <c r="A2" t="s">
        <v>68</v>
      </c>
      <c r="G2" s="124">
        <f>Statement!E13</f>
        <v>46</v>
      </c>
    </row>
    <row r="3" spans="1:7" x14ac:dyDescent="0.35">
      <c r="A3" t="s">
        <v>51</v>
      </c>
      <c r="G3" s="125">
        <f>Statement!E17</f>
        <v>4540.8</v>
      </c>
    </row>
    <row r="4" spans="1:7" x14ac:dyDescent="0.35">
      <c r="A4" t="s">
        <v>60</v>
      </c>
      <c r="G4" s="126">
        <f>VLOOKUP(G5,Rate!A2:B23,2)</f>
        <v>0.04</v>
      </c>
    </row>
    <row r="5" spans="1:7" x14ac:dyDescent="0.35">
      <c r="A5" t="s">
        <v>66</v>
      </c>
      <c r="G5">
        <f>Rate!G20</f>
        <v>2019</v>
      </c>
    </row>
    <row r="6" spans="1:7" x14ac:dyDescent="0.35">
      <c r="A6" t="s">
        <v>69</v>
      </c>
      <c r="G6" s="120">
        <f>SUM(G11:G119)</f>
        <v>18.68368871990576</v>
      </c>
    </row>
    <row r="7" spans="1:7" x14ac:dyDescent="0.35">
      <c r="A7" t="s">
        <v>70</v>
      </c>
      <c r="G7" s="31">
        <f>G6*G3</f>
        <v>84838.893739348074</v>
      </c>
    </row>
    <row r="8" spans="1:7" ht="16" thickBot="1" x14ac:dyDescent="0.4"/>
    <row r="9" spans="1:7" ht="19" thickBot="1" x14ac:dyDescent="0.5">
      <c r="A9" s="98" t="s">
        <v>71</v>
      </c>
      <c r="B9" s="101"/>
      <c r="C9" s="101"/>
      <c r="D9" s="101"/>
      <c r="E9" s="101"/>
      <c r="F9" s="101"/>
      <c r="G9" s="99"/>
    </row>
    <row r="10" spans="1:7" x14ac:dyDescent="0.35">
      <c r="A10" s="121" t="s">
        <v>8</v>
      </c>
      <c r="B10" s="121" t="s">
        <v>45</v>
      </c>
      <c r="C10" s="121" t="s">
        <v>72</v>
      </c>
      <c r="D10" s="121" t="s">
        <v>73</v>
      </c>
      <c r="E10" s="3"/>
      <c r="F10" s="3"/>
      <c r="G10" s="121" t="s">
        <v>74</v>
      </c>
    </row>
    <row r="11" spans="1:7" x14ac:dyDescent="0.35">
      <c r="A11" s="3">
        <f>IF(G2="",65,G2)</f>
        <v>46</v>
      </c>
      <c r="B11" s="122">
        <f>IF(A11="","",VLOOKUP(A11,Qx!B2:C119,2))</f>
        <v>1.722E-3</v>
      </c>
      <c r="C11" s="122">
        <f>IF(A11="","",1-B11)</f>
        <v>0.998278</v>
      </c>
      <c r="D11" s="122">
        <v>1</v>
      </c>
      <c r="E11" s="3"/>
      <c r="F11" s="3"/>
      <c r="G11" s="123">
        <f>IF(A11&gt;120,"",D11*(1/(1+$G$4))^(A11-$G$2))</f>
        <v>1</v>
      </c>
    </row>
    <row r="12" spans="1:7" x14ac:dyDescent="0.35">
      <c r="A12" s="3">
        <f>IF(A11&gt;=120,"",A11+1)</f>
        <v>47</v>
      </c>
      <c r="B12" s="122">
        <f>IF(A12="","",VLOOKUP(A12,Qx!B3:C120,2))</f>
        <v>1.8990000000000001E-3</v>
      </c>
      <c r="C12" s="122">
        <f t="shared" ref="C12:C75" si="0">IF(A12="","",1-B12)</f>
        <v>0.99810100000000002</v>
      </c>
      <c r="D12" s="122">
        <f>IF(A11&gt;=120,"",D11*C11)</f>
        <v>0.998278</v>
      </c>
      <c r="E12" s="3"/>
      <c r="F12" s="3"/>
      <c r="G12" s="123">
        <f t="shared" ref="G12:G75" si="1">IF(A12&gt;120,"",D12*(1/(1+$G$4))^(A12-$G$2))</f>
        <v>0.95988269230769219</v>
      </c>
    </row>
    <row r="13" spans="1:7" x14ac:dyDescent="0.35">
      <c r="A13" s="3">
        <f t="shared" ref="A13:A76" si="2">IF(A12&gt;=120,"",A12+1)</f>
        <v>48</v>
      </c>
      <c r="B13" s="122">
        <f>IF(A13="","",VLOOKUP(A13,Qx!B4:C121,2))</f>
        <v>2.1020000000000001E-3</v>
      </c>
      <c r="C13" s="122">
        <f t="shared" si="0"/>
        <v>0.99789799999999995</v>
      </c>
      <c r="D13" s="122">
        <f t="shared" ref="D13:D76" si="3">IF(A12&gt;=120,"",D12*C12)</f>
        <v>0.99638227007800007</v>
      </c>
      <c r="E13" s="3"/>
      <c r="F13" s="3"/>
      <c r="G13" s="123">
        <f t="shared" si="1"/>
        <v>0.92121141834134601</v>
      </c>
    </row>
    <row r="14" spans="1:7" x14ac:dyDescent="0.35">
      <c r="A14" s="3">
        <f t="shared" si="2"/>
        <v>49</v>
      </c>
      <c r="B14" s="122">
        <f>IF(A14="","",VLOOKUP(A14,Qx!B5:C122,2))</f>
        <v>2.3259999999999999E-3</v>
      </c>
      <c r="C14" s="122">
        <f t="shared" si="0"/>
        <v>0.99767399999999995</v>
      </c>
      <c r="D14" s="122">
        <f t="shared" si="3"/>
        <v>0.99428787454629608</v>
      </c>
      <c r="E14" s="3"/>
      <c r="F14" s="3"/>
      <c r="G14" s="123">
        <f t="shared" si="1"/>
        <v>0.88391829994230042</v>
      </c>
    </row>
    <row r="15" spans="1:7" x14ac:dyDescent="0.35">
      <c r="A15" s="3">
        <f t="shared" si="2"/>
        <v>50</v>
      </c>
      <c r="B15" s="122">
        <f>IF(A15="","",VLOOKUP(A15,Qx!B6:C123,2))</f>
        <v>2.5790000000000001E-3</v>
      </c>
      <c r="C15" s="122">
        <f t="shared" si="0"/>
        <v>0.997421</v>
      </c>
      <c r="D15" s="122">
        <f t="shared" si="3"/>
        <v>0.9919751609501013</v>
      </c>
      <c r="E15" s="3"/>
      <c r="F15" s="3"/>
      <c r="G15" s="123">
        <f t="shared" si="1"/>
        <v>0.84794452497753303</v>
      </c>
    </row>
    <row r="16" spans="1:7" x14ac:dyDescent="0.35">
      <c r="A16" s="3">
        <f t="shared" si="2"/>
        <v>51</v>
      </c>
      <c r="B16" s="122">
        <f>IF(A16="","",VLOOKUP(A16,Qx!B7:C124,2))</f>
        <v>2.872E-3</v>
      </c>
      <c r="C16" s="122">
        <f t="shared" si="0"/>
        <v>0.99712800000000001</v>
      </c>
      <c r="D16" s="122">
        <f t="shared" si="3"/>
        <v>0.98941685701001103</v>
      </c>
      <c r="E16" s="3"/>
      <c r="F16" s="3"/>
      <c r="G16" s="123">
        <f t="shared" si="1"/>
        <v>0.81322853466116918</v>
      </c>
    </row>
    <row r="17" spans="1:7" x14ac:dyDescent="0.35">
      <c r="A17" s="3">
        <f t="shared" si="2"/>
        <v>52</v>
      </c>
      <c r="B17" s="122">
        <f>IF(A17="","",VLOOKUP(A17,Qx!B8:C125,2))</f>
        <v>3.2130000000000001E-3</v>
      </c>
      <c r="C17" s="122">
        <f t="shared" si="0"/>
        <v>0.99678699999999998</v>
      </c>
      <c r="D17" s="122">
        <f t="shared" si="3"/>
        <v>0.98657525179667827</v>
      </c>
      <c r="E17" s="3"/>
      <c r="F17" s="3"/>
      <c r="G17" s="123">
        <f t="shared" si="1"/>
        <v>0.7797047522207905</v>
      </c>
    </row>
    <row r="18" spans="1:7" x14ac:dyDescent="0.35">
      <c r="A18" s="3">
        <f t="shared" si="2"/>
        <v>53</v>
      </c>
      <c r="B18" s="122">
        <f>IF(A18="","",VLOOKUP(A18,Qx!B9:C126,2))</f>
        <v>3.5839999999999999E-3</v>
      </c>
      <c r="C18" s="122">
        <f t="shared" si="0"/>
        <v>0.99641599999999997</v>
      </c>
      <c r="D18" s="122">
        <f t="shared" si="3"/>
        <v>0.98340538551265555</v>
      </c>
      <c r="E18" s="3"/>
      <c r="F18" s="3"/>
      <c r="G18" s="123">
        <f t="shared" si="1"/>
        <v>0.74730727004990882</v>
      </c>
    </row>
    <row r="19" spans="1:7" x14ac:dyDescent="0.35">
      <c r="A19" s="3">
        <f t="shared" si="2"/>
        <v>54</v>
      </c>
      <c r="B19" s="122">
        <f>IF(A19="","",VLOOKUP(A19,Qx!B10:C127,2))</f>
        <v>3.9789999999999999E-3</v>
      </c>
      <c r="C19" s="122">
        <f t="shared" si="0"/>
        <v>0.99602100000000005</v>
      </c>
      <c r="D19" s="122">
        <f t="shared" si="3"/>
        <v>0.97988086061097812</v>
      </c>
      <c r="E19" s="3"/>
      <c r="F19" s="3"/>
      <c r="G19" s="123">
        <f t="shared" si="1"/>
        <v>0.71598934691735561</v>
      </c>
    </row>
    <row r="20" spans="1:7" x14ac:dyDescent="0.35">
      <c r="A20" s="3">
        <f t="shared" si="2"/>
        <v>55</v>
      </c>
      <c r="B20" s="122">
        <f>IF(A20="","",VLOOKUP(A20,Qx!B11:C128,2))</f>
        <v>4.4250000000000001E-3</v>
      </c>
      <c r="C20" s="122">
        <f t="shared" si="0"/>
        <v>0.99557499999999999</v>
      </c>
      <c r="D20" s="122">
        <f t="shared" si="3"/>
        <v>0.97598191466660711</v>
      </c>
      <c r="E20" s="3"/>
      <c r="F20" s="3"/>
      <c r="G20" s="123">
        <f t="shared" si="1"/>
        <v>0.68571194740958796</v>
      </c>
    </row>
    <row r="21" spans="1:7" x14ac:dyDescent="0.35">
      <c r="A21" s="3">
        <f t="shared" si="2"/>
        <v>56</v>
      </c>
      <c r="B21" s="122">
        <f>IF(A21="","",VLOOKUP(A21,Qx!B12:C129,2))</f>
        <v>4.9490000000000003E-3</v>
      </c>
      <c r="C21" s="122">
        <f t="shared" si="0"/>
        <v>0.99505100000000002</v>
      </c>
      <c r="D21" s="122">
        <f t="shared" si="3"/>
        <v>0.97166319469420737</v>
      </c>
      <c r="E21" s="3"/>
      <c r="F21" s="3"/>
      <c r="G21" s="123">
        <f t="shared" si="1"/>
        <v>0.65642083850221189</v>
      </c>
    </row>
    <row r="22" spans="1:7" x14ac:dyDescent="0.35">
      <c r="A22" s="3">
        <f t="shared" si="2"/>
        <v>57</v>
      </c>
      <c r="B22" s="122">
        <f>IF(A22="","",VLOOKUP(A22,Qx!B13:C130,2))</f>
        <v>5.581E-3</v>
      </c>
      <c r="C22" s="122">
        <f t="shared" si="0"/>
        <v>0.99441900000000005</v>
      </c>
      <c r="D22" s="122">
        <f t="shared" si="3"/>
        <v>0.96685443354366574</v>
      </c>
      <c r="E22" s="3"/>
      <c r="F22" s="3"/>
      <c r="G22" s="123">
        <f t="shared" si="1"/>
        <v>0.62805020362736963</v>
      </c>
    </row>
    <row r="23" spans="1:7" x14ac:dyDescent="0.35">
      <c r="A23" s="3">
        <f t="shared" si="2"/>
        <v>58</v>
      </c>
      <c r="B23" s="122">
        <f>IF(A23="","",VLOOKUP(A23,Qx!B14:C131,2))</f>
        <v>6.3E-3</v>
      </c>
      <c r="C23" s="122">
        <f t="shared" si="0"/>
        <v>0.99370000000000003</v>
      </c>
      <c r="D23" s="122">
        <f t="shared" si="3"/>
        <v>0.96145841895005857</v>
      </c>
      <c r="E23" s="3"/>
      <c r="F23" s="3"/>
      <c r="G23" s="123">
        <f t="shared" si="1"/>
        <v>0.60052409177012045</v>
      </c>
    </row>
    <row r="24" spans="1:7" x14ac:dyDescent="0.35">
      <c r="A24" s="3">
        <f t="shared" si="2"/>
        <v>59</v>
      </c>
      <c r="B24" s="122">
        <f>IF(A24="","",VLOOKUP(A24,Qx!B15:C132,2))</f>
        <v>7.0899999999999999E-3</v>
      </c>
      <c r="C24" s="122">
        <f t="shared" si="0"/>
        <v>0.99290999999999996</v>
      </c>
      <c r="D24" s="122">
        <f t="shared" si="3"/>
        <v>0.95540123091067319</v>
      </c>
      <c r="E24" s="3"/>
      <c r="F24" s="3"/>
      <c r="G24" s="123">
        <f t="shared" si="1"/>
        <v>0.57378922114612363</v>
      </c>
    </row>
    <row r="25" spans="1:7" x14ac:dyDescent="0.35">
      <c r="A25" s="3">
        <f t="shared" si="2"/>
        <v>60</v>
      </c>
      <c r="B25" s="122">
        <f>IF(A25="","",VLOOKUP(A25,Qx!B16:C133,2))</f>
        <v>7.9760000000000005E-3</v>
      </c>
      <c r="C25" s="122">
        <f t="shared" si="0"/>
        <v>0.99202400000000002</v>
      </c>
      <c r="D25" s="122">
        <f t="shared" si="3"/>
        <v>0.94862743618351653</v>
      </c>
      <c r="E25" s="3"/>
      <c r="F25" s="3"/>
      <c r="G25" s="123">
        <f t="shared" si="1"/>
        <v>0.54780870727711295</v>
      </c>
    </row>
    <row r="26" spans="1:7" x14ac:dyDescent="0.35">
      <c r="A26" s="3">
        <f t="shared" si="2"/>
        <v>61</v>
      </c>
      <c r="B26" s="122">
        <f>IF(A26="","",VLOOKUP(A26,Qx!B17:C134,2))</f>
        <v>8.9859999999999992E-3</v>
      </c>
      <c r="C26" s="122">
        <f t="shared" si="0"/>
        <v>0.99101399999999995</v>
      </c>
      <c r="D26" s="122">
        <f t="shared" si="3"/>
        <v>0.94106118375251679</v>
      </c>
      <c r="E26" s="3"/>
      <c r="F26" s="3"/>
      <c r="G26" s="123">
        <f t="shared" si="1"/>
        <v>0.52253787021910647</v>
      </c>
    </row>
    <row r="27" spans="1:7" x14ac:dyDescent="0.35">
      <c r="A27" s="3">
        <f t="shared" si="2"/>
        <v>62</v>
      </c>
      <c r="B27" s="122">
        <f>IF(A27="","",VLOOKUP(A27,Qx!B18:C135,2))</f>
        <v>1.0147E-2</v>
      </c>
      <c r="C27" s="122">
        <f t="shared" si="0"/>
        <v>0.98985299999999998</v>
      </c>
      <c r="D27" s="122">
        <f t="shared" si="3"/>
        <v>0.93260480795531664</v>
      </c>
      <c r="E27" s="3"/>
      <c r="F27" s="3"/>
      <c r="G27" s="123">
        <f t="shared" si="1"/>
        <v>0.49792533165126684</v>
      </c>
    </row>
    <row r="28" spans="1:7" x14ac:dyDescent="0.35">
      <c r="A28" s="3">
        <f t="shared" si="2"/>
        <v>63</v>
      </c>
      <c r="B28" s="122">
        <f>IF(A28="","",VLOOKUP(A28,Qx!B19:C136,2))</f>
        <v>1.1471E-2</v>
      </c>
      <c r="C28" s="122">
        <f t="shared" si="0"/>
        <v>0.98852899999999999</v>
      </c>
      <c r="D28" s="122">
        <f t="shared" si="3"/>
        <v>0.92314166696899402</v>
      </c>
      <c r="E28" s="3"/>
      <c r="F28" s="3"/>
      <c r="G28" s="123">
        <f t="shared" si="1"/>
        <v>0.47391623395288596</v>
      </c>
    </row>
    <row r="29" spans="1:7" x14ac:dyDescent="0.35">
      <c r="A29" s="3">
        <f t="shared" si="2"/>
        <v>64</v>
      </c>
      <c r="B29" s="122">
        <f>IF(A29="","",VLOOKUP(A29,Qx!B20:C137,2))</f>
        <v>1.294E-2</v>
      </c>
      <c r="C29" s="122">
        <f t="shared" si="0"/>
        <v>0.98706000000000005</v>
      </c>
      <c r="D29" s="122">
        <f t="shared" si="3"/>
        <v>0.91255230890719263</v>
      </c>
      <c r="E29" s="3"/>
      <c r="F29" s="3"/>
      <c r="G29" s="123">
        <f t="shared" si="1"/>
        <v>0.45046148157039639</v>
      </c>
    </row>
    <row r="30" spans="1:7" x14ac:dyDescent="0.35">
      <c r="A30" s="3">
        <f t="shared" si="2"/>
        <v>65</v>
      </c>
      <c r="B30" s="122">
        <f>IF(A30="","",VLOOKUP(A30,Qx!B21:C138,2))</f>
        <v>1.4534999999999999E-2</v>
      </c>
      <c r="C30" s="122">
        <f t="shared" si="0"/>
        <v>0.98546500000000004</v>
      </c>
      <c r="D30" s="122">
        <f t="shared" si="3"/>
        <v>0.90074388202993361</v>
      </c>
      <c r="E30" s="3"/>
      <c r="F30" s="3"/>
      <c r="G30" s="123">
        <f t="shared" si="1"/>
        <v>0.42753125961430338</v>
      </c>
    </row>
    <row r="31" spans="1:7" x14ac:dyDescent="0.35">
      <c r="A31" s="3">
        <f t="shared" si="2"/>
        <v>66</v>
      </c>
      <c r="B31" s="122">
        <f>IF(A31="","",VLOOKUP(A31,Qx!B22:C139,2))</f>
        <v>1.6239E-2</v>
      </c>
      <c r="C31" s="122">
        <f t="shared" si="0"/>
        <v>0.983761</v>
      </c>
      <c r="D31" s="122">
        <f t="shared" si="3"/>
        <v>0.88765156970462855</v>
      </c>
      <c r="E31" s="3"/>
      <c r="F31" s="3"/>
      <c r="G31" s="123">
        <f t="shared" si="1"/>
        <v>0.40511258918827825</v>
      </c>
    </row>
    <row r="32" spans="1:7" x14ac:dyDescent="0.35">
      <c r="A32" s="3">
        <f t="shared" si="2"/>
        <v>67</v>
      </c>
      <c r="B32" s="122">
        <f>IF(A32="","",VLOOKUP(A32,Qx!B23:C140,2))</f>
        <v>1.8034000000000001E-2</v>
      </c>
      <c r="C32" s="122">
        <f t="shared" si="0"/>
        <v>0.98196600000000001</v>
      </c>
      <c r="D32" s="122">
        <f t="shared" si="3"/>
        <v>0.87323699586419512</v>
      </c>
      <c r="E32" s="3"/>
      <c r="F32" s="3"/>
      <c r="G32" s="123">
        <f t="shared" si="1"/>
        <v>0.38320573639658634</v>
      </c>
    </row>
    <row r="33" spans="1:7" x14ac:dyDescent="0.35">
      <c r="A33" s="3">
        <f t="shared" si="2"/>
        <v>68</v>
      </c>
      <c r="B33" s="122">
        <f>IF(A33="","",VLOOKUP(A33,Qx!B24:C141,2))</f>
        <v>1.9859000000000002E-2</v>
      </c>
      <c r="C33" s="122">
        <f t="shared" si="0"/>
        <v>0.98014100000000004</v>
      </c>
      <c r="D33" s="122">
        <f t="shared" si="3"/>
        <v>0.85748903988078018</v>
      </c>
      <c r="E33" s="3"/>
      <c r="F33" s="3"/>
      <c r="G33" s="123">
        <f t="shared" si="1"/>
        <v>0.36182211937154829</v>
      </c>
    </row>
    <row r="34" spans="1:7" x14ac:dyDescent="0.35">
      <c r="A34" s="3">
        <f t="shared" si="2"/>
        <v>69</v>
      </c>
      <c r="B34" s="122">
        <f>IF(A34="","",VLOOKUP(A34,Qx!B25:C142,2))</f>
        <v>2.1728999999999998E-2</v>
      </c>
      <c r="C34" s="122">
        <f t="shared" si="0"/>
        <v>0.978271</v>
      </c>
      <c r="D34" s="122">
        <f t="shared" si="3"/>
        <v>0.84046016503778775</v>
      </c>
      <c r="E34" s="3"/>
      <c r="F34" s="3"/>
      <c r="G34" s="123">
        <f t="shared" si="1"/>
        <v>0.34099682106052759</v>
      </c>
    </row>
    <row r="35" spans="1:7" x14ac:dyDescent="0.35">
      <c r="A35" s="3">
        <f t="shared" si="2"/>
        <v>70</v>
      </c>
      <c r="B35" s="122">
        <f>IF(A35="","",VLOOKUP(A35,Qx!B26:C143,2))</f>
        <v>2.3730000000000001E-2</v>
      </c>
      <c r="C35" s="122">
        <f t="shared" si="0"/>
        <v>0.97626999999999997</v>
      </c>
      <c r="D35" s="122">
        <f t="shared" si="3"/>
        <v>0.82219780611168169</v>
      </c>
      <c r="E35" s="3"/>
      <c r="F35" s="3"/>
      <c r="G35" s="123">
        <f t="shared" si="1"/>
        <v>0.32075702032279174</v>
      </c>
    </row>
    <row r="36" spans="1:7" x14ac:dyDescent="0.35">
      <c r="A36" s="3">
        <f t="shared" si="2"/>
        <v>71</v>
      </c>
      <c r="B36" s="122">
        <f>IF(A36="","",VLOOKUP(A36,Qx!B27:C144,2))</f>
        <v>2.5950999999999998E-2</v>
      </c>
      <c r="C36" s="122">
        <f t="shared" si="0"/>
        <v>0.97404900000000005</v>
      </c>
      <c r="D36" s="122">
        <f t="shared" si="3"/>
        <v>0.80268705217265146</v>
      </c>
      <c r="E36" s="3"/>
      <c r="F36" s="3"/>
      <c r="G36" s="123">
        <f t="shared" si="1"/>
        <v>0.30110140022166526</v>
      </c>
    </row>
    <row r="37" spans="1:7" x14ac:dyDescent="0.35">
      <c r="A37" s="3">
        <f t="shared" si="2"/>
        <v>72</v>
      </c>
      <c r="B37" s="122">
        <f>IF(A37="","",VLOOKUP(A37,Qx!B28:C145,2))</f>
        <v>2.8480999999999999E-2</v>
      </c>
      <c r="C37" s="122">
        <f t="shared" si="0"/>
        <v>0.97151900000000002</v>
      </c>
      <c r="D37" s="122">
        <f t="shared" si="3"/>
        <v>0.78185652048171905</v>
      </c>
      <c r="E37" s="3"/>
      <c r="F37" s="3"/>
      <c r="G37" s="123">
        <f t="shared" si="1"/>
        <v>0.28200722863895461</v>
      </c>
    </row>
    <row r="38" spans="1:7" x14ac:dyDescent="0.35">
      <c r="A38" s="3">
        <f t="shared" si="2"/>
        <v>73</v>
      </c>
      <c r="B38" s="122">
        <f>IF(A38="","",VLOOKUP(A38,Qx!B29:C146,2))</f>
        <v>3.1201E-2</v>
      </c>
      <c r="C38" s="122">
        <f t="shared" si="0"/>
        <v>0.96879899999999997</v>
      </c>
      <c r="D38" s="122">
        <f t="shared" si="3"/>
        <v>0.75958846492187926</v>
      </c>
      <c r="E38" s="3"/>
      <c r="F38" s="3"/>
      <c r="G38" s="123">
        <f t="shared" si="1"/>
        <v>0.26343786611546977</v>
      </c>
    </row>
    <row r="39" spans="1:7" x14ac:dyDescent="0.35">
      <c r="A39" s="3">
        <f t="shared" si="2"/>
        <v>74</v>
      </c>
      <c r="B39" s="122">
        <f>IF(A39="","",VLOOKUP(A39,Qx!B30:C147,2))</f>
        <v>3.4050999999999998E-2</v>
      </c>
      <c r="C39" s="122">
        <f t="shared" si="0"/>
        <v>0.96594899999999995</v>
      </c>
      <c r="D39" s="122">
        <f t="shared" si="3"/>
        <v>0.73588854522785163</v>
      </c>
      <c r="E39" s="3"/>
      <c r="F39" s="3"/>
      <c r="G39" s="123">
        <f t="shared" si="1"/>
        <v>0.24540225120653933</v>
      </c>
    </row>
    <row r="40" spans="1:7" x14ac:dyDescent="0.35">
      <c r="A40" s="3">
        <f t="shared" si="2"/>
        <v>75</v>
      </c>
      <c r="B40" s="122">
        <f>IF(A40="","",VLOOKUP(A40,Qx!B31:C148,2))</f>
        <v>3.7211000000000001E-2</v>
      </c>
      <c r="C40" s="122">
        <f t="shared" si="0"/>
        <v>0.96278900000000001</v>
      </c>
      <c r="D40" s="122">
        <f t="shared" si="3"/>
        <v>0.71083080437429802</v>
      </c>
      <c r="E40" s="3"/>
      <c r="F40" s="3"/>
      <c r="G40" s="123">
        <f t="shared" si="1"/>
        <v>0.22792890302952443</v>
      </c>
    </row>
    <row r="41" spans="1:7" x14ac:dyDescent="0.35">
      <c r="A41" s="3">
        <f t="shared" si="2"/>
        <v>76</v>
      </c>
      <c r="B41" s="122">
        <f>IF(A41="","",VLOOKUP(A41,Qx!B32:C149,2))</f>
        <v>4.0857999999999998E-2</v>
      </c>
      <c r="C41" s="122">
        <f t="shared" si="0"/>
        <v>0.95914200000000005</v>
      </c>
      <c r="D41" s="122">
        <f t="shared" si="3"/>
        <v>0.68438007931272604</v>
      </c>
      <c r="E41" s="3"/>
      <c r="F41" s="3"/>
      <c r="G41" s="123">
        <f t="shared" si="1"/>
        <v>0.21100715444124304</v>
      </c>
    </row>
    <row r="42" spans="1:7" x14ac:dyDescent="0.35">
      <c r="A42" s="3">
        <f t="shared" si="2"/>
        <v>77</v>
      </c>
      <c r="B42" s="122">
        <f>IF(A42="","",VLOOKUP(A42,Qx!B33:C150,2))</f>
        <v>4.5171000000000003E-2</v>
      </c>
      <c r="C42" s="122">
        <f t="shared" si="0"/>
        <v>0.95482900000000004</v>
      </c>
      <c r="D42" s="122">
        <f t="shared" si="3"/>
        <v>0.65641767803216666</v>
      </c>
      <c r="E42" s="3"/>
      <c r="F42" s="3"/>
      <c r="G42" s="123">
        <f t="shared" si="1"/>
        <v>0.19460175396642573</v>
      </c>
    </row>
    <row r="43" spans="1:7" x14ac:dyDescent="0.35">
      <c r="A43" s="3">
        <f t="shared" si="2"/>
        <v>78</v>
      </c>
      <c r="B43" s="122">
        <f>IF(A43="","",VLOOKUP(A43,Qx!B34:C151,2))</f>
        <v>5.0210999999999999E-2</v>
      </c>
      <c r="C43" s="122">
        <f t="shared" si="0"/>
        <v>0.94978899999999999</v>
      </c>
      <c r="D43" s="122">
        <f t="shared" si="3"/>
        <v>0.62676663509777564</v>
      </c>
      <c r="E43" s="3"/>
      <c r="F43" s="3"/>
      <c r="G43" s="123">
        <f t="shared" si="1"/>
        <v>0.17866480590193104</v>
      </c>
    </row>
    <row r="44" spans="1:7" x14ac:dyDescent="0.35">
      <c r="A44" s="3">
        <f t="shared" si="2"/>
        <v>79</v>
      </c>
      <c r="B44" s="122">
        <f>IF(A44="","",VLOOKUP(A44,Qx!B35:C152,2))</f>
        <v>5.5861000000000001E-2</v>
      </c>
      <c r="C44" s="122">
        <f t="shared" si="0"/>
        <v>0.94413899999999995</v>
      </c>
      <c r="D44" s="122">
        <f t="shared" si="3"/>
        <v>0.59529605558288123</v>
      </c>
      <c r="E44" s="3"/>
      <c r="F44" s="3"/>
      <c r="G44" s="123">
        <f t="shared" si="1"/>
        <v>0.16316718012768189</v>
      </c>
    </row>
    <row r="45" spans="1:7" x14ac:dyDescent="0.35">
      <c r="A45" s="3">
        <f t="shared" si="2"/>
        <v>80</v>
      </c>
      <c r="B45" s="122">
        <f>IF(A45="","",VLOOKUP(A45,Qx!B36:C153,2))</f>
        <v>6.2026999999999999E-2</v>
      </c>
      <c r="C45" s="122">
        <f t="shared" si="0"/>
        <v>0.93797299999999995</v>
      </c>
      <c r="D45" s="122">
        <f t="shared" si="3"/>
        <v>0.5620422226219659</v>
      </c>
      <c r="E45" s="3"/>
      <c r="F45" s="3"/>
      <c r="G45" s="123">
        <f t="shared" si="1"/>
        <v>0.14812740219093215</v>
      </c>
    </row>
    <row r="46" spans="1:7" x14ac:dyDescent="0.35">
      <c r="A46" s="3">
        <f t="shared" si="2"/>
        <v>81</v>
      </c>
      <c r="B46" s="122">
        <f>IF(A46="","",VLOOKUP(A46,Qx!B37:C154,2))</f>
        <v>6.8614999999999995E-2</v>
      </c>
      <c r="C46" s="122">
        <f t="shared" si="0"/>
        <v>0.93138500000000002</v>
      </c>
      <c r="D46" s="122">
        <f t="shared" si="3"/>
        <v>0.52718042967939316</v>
      </c>
      <c r="E46" s="3"/>
      <c r="F46" s="3"/>
      <c r="G46" s="123">
        <f t="shared" si="1"/>
        <v>0.13359567674541845</v>
      </c>
    </row>
    <row r="47" spans="1:7" x14ac:dyDescent="0.35">
      <c r="A47" s="3">
        <f t="shared" si="2"/>
        <v>82</v>
      </c>
      <c r="B47" s="122">
        <f>IF(A47="","",VLOOKUP(A47,Qx!B38:C155,2))</f>
        <v>7.5532000000000002E-2</v>
      </c>
      <c r="C47" s="122">
        <f t="shared" si="0"/>
        <v>0.92446799999999996</v>
      </c>
      <c r="D47" s="122">
        <f t="shared" si="3"/>
        <v>0.49100794449694163</v>
      </c>
      <c r="E47" s="3"/>
      <c r="F47" s="3"/>
      <c r="G47" s="123">
        <f t="shared" si="1"/>
        <v>0.11964327825531879</v>
      </c>
    </row>
    <row r="48" spans="1:7" x14ac:dyDescent="0.35">
      <c r="A48" s="3">
        <f t="shared" si="2"/>
        <v>83</v>
      </c>
      <c r="B48" s="122">
        <f>IF(A48="","",VLOOKUP(A48,Qx!B39:C156,2))</f>
        <v>8.251E-2</v>
      </c>
      <c r="C48" s="122">
        <f t="shared" si="0"/>
        <v>0.91749000000000003</v>
      </c>
      <c r="D48" s="122">
        <f t="shared" si="3"/>
        <v>0.45392113243319859</v>
      </c>
      <c r="E48" s="3"/>
      <c r="F48" s="3"/>
      <c r="G48" s="123">
        <f t="shared" si="1"/>
        <v>0.10635229054051733</v>
      </c>
    </row>
    <row r="49" spans="1:7" x14ac:dyDescent="0.35">
      <c r="A49" s="3">
        <f t="shared" si="2"/>
        <v>84</v>
      </c>
      <c r="B49" s="122">
        <f>IF(A49="","",VLOOKUP(A49,Qx!B40:C157,2))</f>
        <v>8.9612999999999998E-2</v>
      </c>
      <c r="C49" s="122">
        <f t="shared" si="0"/>
        <v>0.91038700000000006</v>
      </c>
      <c r="D49" s="122">
        <f t="shared" si="3"/>
        <v>0.41646809979613542</v>
      </c>
      <c r="E49" s="3"/>
      <c r="F49" s="3"/>
      <c r="G49" s="123">
        <f t="shared" si="1"/>
        <v>9.382419523848004E-2</v>
      </c>
    </row>
    <row r="50" spans="1:7" x14ac:dyDescent="0.35">
      <c r="A50" s="3">
        <f t="shared" si="2"/>
        <v>85</v>
      </c>
      <c r="B50" s="122">
        <f>IF(A50="","",VLOOKUP(A50,Qx!B41:C158,2))</f>
        <v>9.7239999999999993E-2</v>
      </c>
      <c r="C50" s="122">
        <f t="shared" si="0"/>
        <v>0.90276000000000001</v>
      </c>
      <c r="D50" s="122">
        <f t="shared" si="3"/>
        <v>0.37914714396910437</v>
      </c>
      <c r="E50" s="3"/>
      <c r="F50" s="3"/>
      <c r="G50" s="123">
        <f t="shared" si="1"/>
        <v>8.2131084260167436E-2</v>
      </c>
    </row>
    <row r="51" spans="1:7" x14ac:dyDescent="0.35">
      <c r="A51" s="3">
        <f t="shared" si="2"/>
        <v>86</v>
      </c>
      <c r="B51" s="122">
        <f>IF(A51="","",VLOOKUP(A51,Qx!B42:C159,2))</f>
        <v>0.105792</v>
      </c>
      <c r="C51" s="122">
        <f t="shared" si="0"/>
        <v>0.894208</v>
      </c>
      <c r="D51" s="122">
        <f t="shared" si="3"/>
        <v>0.34227887568954868</v>
      </c>
      <c r="E51" s="3"/>
      <c r="F51" s="3"/>
      <c r="G51" s="123">
        <f t="shared" si="1"/>
        <v>7.1292940025681484E-2</v>
      </c>
    </row>
    <row r="52" spans="1:7" x14ac:dyDescent="0.35">
      <c r="A52" s="3">
        <f t="shared" si="2"/>
        <v>87</v>
      </c>
      <c r="B52" s="122">
        <f>IF(A52="","",VLOOKUP(A52,Qx!B43:C160,2))</f>
        <v>0.115671</v>
      </c>
      <c r="C52" s="122">
        <f t="shared" si="0"/>
        <v>0.88432900000000003</v>
      </c>
      <c r="D52" s="122">
        <f t="shared" si="3"/>
        <v>0.30606850887259995</v>
      </c>
      <c r="E52" s="3"/>
      <c r="F52" s="3"/>
      <c r="G52" s="123">
        <f t="shared" si="1"/>
        <v>6.1298766648542884E-2</v>
      </c>
    </row>
    <row r="53" spans="1:7" x14ac:dyDescent="0.35">
      <c r="A53" s="3">
        <f t="shared" si="2"/>
        <v>88</v>
      </c>
      <c r="B53" s="122">
        <f>IF(A53="","",VLOOKUP(A53,Qx!B44:C161,2))</f>
        <v>0.12698000000000001</v>
      </c>
      <c r="C53" s="122">
        <f t="shared" si="0"/>
        <v>0.87302000000000002</v>
      </c>
      <c r="D53" s="122">
        <f t="shared" si="3"/>
        <v>0.27066525838279748</v>
      </c>
      <c r="E53" s="3"/>
      <c r="F53" s="3"/>
      <c r="G53" s="123">
        <f t="shared" si="1"/>
        <v>5.2123343280326223E-2</v>
      </c>
    </row>
    <row r="54" spans="1:7" x14ac:dyDescent="0.35">
      <c r="A54" s="3">
        <f t="shared" si="2"/>
        <v>89</v>
      </c>
      <c r="B54" s="122">
        <f>IF(A54="","",VLOOKUP(A54,Qx!B45:C162,2))</f>
        <v>0.13945199999999999</v>
      </c>
      <c r="C54" s="122">
        <f t="shared" si="0"/>
        <v>0.86054799999999998</v>
      </c>
      <c r="D54" s="122">
        <f t="shared" si="3"/>
        <v>0.23629618387334986</v>
      </c>
      <c r="E54" s="3"/>
      <c r="F54" s="3"/>
      <c r="G54" s="123">
        <f t="shared" si="1"/>
        <v>4.3754539567875381E-2</v>
      </c>
    </row>
    <row r="55" spans="1:7" x14ac:dyDescent="0.35">
      <c r="A55" s="3">
        <f t="shared" si="2"/>
        <v>90</v>
      </c>
      <c r="B55" s="122">
        <f>IF(A55="","",VLOOKUP(A55,Qx!B46:C163,2))</f>
        <v>0.15293100000000001</v>
      </c>
      <c r="C55" s="122">
        <f t="shared" si="0"/>
        <v>0.84706899999999996</v>
      </c>
      <c r="D55" s="122">
        <f t="shared" si="3"/>
        <v>0.20334420843984347</v>
      </c>
      <c r="E55" s="3"/>
      <c r="F55" s="3"/>
      <c r="G55" s="123">
        <f t="shared" si="1"/>
        <v>3.6204693765438486E-2</v>
      </c>
    </row>
    <row r="56" spans="1:7" x14ac:dyDescent="0.35">
      <c r="A56" s="3">
        <f t="shared" si="2"/>
        <v>91</v>
      </c>
      <c r="B56" s="122">
        <f>IF(A56="","",VLOOKUP(A56,Qx!B47:C164,2))</f>
        <v>0.16725999999999999</v>
      </c>
      <c r="C56" s="122">
        <f t="shared" si="0"/>
        <v>0.83274000000000004</v>
      </c>
      <c r="D56" s="122">
        <f t="shared" si="3"/>
        <v>0.17224657529892975</v>
      </c>
      <c r="E56" s="3"/>
      <c r="F56" s="3"/>
      <c r="G56" s="123">
        <f t="shared" si="1"/>
        <v>2.9488340137688657E-2</v>
      </c>
    </row>
    <row r="57" spans="1:7" x14ac:dyDescent="0.35">
      <c r="A57" s="3">
        <f t="shared" si="2"/>
        <v>92</v>
      </c>
      <c r="B57" s="122">
        <f>IF(A57="","",VLOOKUP(A57,Qx!B48:C165,2))</f>
        <v>0.182281</v>
      </c>
      <c r="C57" s="122">
        <f t="shared" si="0"/>
        <v>0.81771899999999997</v>
      </c>
      <c r="D57" s="122">
        <f t="shared" si="3"/>
        <v>0.14343661311443076</v>
      </c>
      <c r="E57" s="3"/>
      <c r="F57" s="3"/>
      <c r="G57" s="123">
        <f t="shared" si="1"/>
        <v>2.3611654198325813E-2</v>
      </c>
    </row>
    <row r="58" spans="1:7" x14ac:dyDescent="0.35">
      <c r="A58" s="3">
        <f t="shared" si="2"/>
        <v>93</v>
      </c>
      <c r="B58" s="122">
        <f>IF(A58="","",VLOOKUP(A58,Qx!B49:C166,2))</f>
        <v>0.19839200000000001</v>
      </c>
      <c r="C58" s="122">
        <f t="shared" si="0"/>
        <v>0.80160799999999999</v>
      </c>
      <c r="D58" s="122">
        <f t="shared" si="3"/>
        <v>0.1172908438393192</v>
      </c>
      <c r="E58" s="3"/>
      <c r="F58" s="3"/>
      <c r="G58" s="123">
        <f t="shared" si="1"/>
        <v>1.8565094480193063E-2</v>
      </c>
    </row>
    <row r="59" spans="1:7" x14ac:dyDescent="0.35">
      <c r="A59" s="3">
        <f t="shared" si="2"/>
        <v>94</v>
      </c>
      <c r="B59" s="122">
        <f>IF(A59="","",VLOOKUP(A59,Qx!B50:C167,2))</f>
        <v>0.2157</v>
      </c>
      <c r="C59" s="122">
        <f t="shared" si="0"/>
        <v>0.7843</v>
      </c>
      <c r="D59" s="122">
        <f t="shared" si="3"/>
        <v>9.402127874834898E-2</v>
      </c>
      <c r="E59" s="3"/>
      <c r="F59" s="3"/>
      <c r="G59" s="123">
        <f t="shared" si="1"/>
        <v>1.4309546400075574E-2</v>
      </c>
    </row>
    <row r="60" spans="1:7" x14ac:dyDescent="0.35">
      <c r="A60" s="3">
        <f t="shared" si="2"/>
        <v>95</v>
      </c>
      <c r="B60" s="122">
        <f>IF(A60="","",VLOOKUP(A60,Qx!B51:C168,2))</f>
        <v>0.23360600000000001</v>
      </c>
      <c r="C60" s="122">
        <f t="shared" si="0"/>
        <v>0.76639400000000002</v>
      </c>
      <c r="D60" s="122">
        <f t="shared" si="3"/>
        <v>7.3740888922330106E-2</v>
      </c>
      <c r="E60" s="3"/>
      <c r="F60" s="3"/>
      <c r="G60" s="123">
        <f t="shared" si="1"/>
        <v>1.0791324270749301E-2</v>
      </c>
    </row>
    <row r="61" spans="1:7" x14ac:dyDescent="0.35">
      <c r="A61" s="3">
        <f t="shared" si="2"/>
        <v>96</v>
      </c>
      <c r="B61" s="122">
        <f>IF(A61="","",VLOOKUP(A61,Qx!B52:C169,2))</f>
        <v>0.25151000000000001</v>
      </c>
      <c r="C61" s="122">
        <f t="shared" si="0"/>
        <v>0.74848999999999999</v>
      </c>
      <c r="D61" s="122">
        <f t="shared" si="3"/>
        <v>5.651457482474026E-2</v>
      </c>
      <c r="E61" s="3"/>
      <c r="F61" s="3"/>
      <c r="G61" s="123">
        <f t="shared" si="1"/>
        <v>7.9523136280352288E-3</v>
      </c>
    </row>
    <row r="62" spans="1:7" x14ac:dyDescent="0.35">
      <c r="A62" s="3">
        <f t="shared" si="2"/>
        <v>97</v>
      </c>
      <c r="B62" s="122">
        <f>IF(A62="","",VLOOKUP(A62,Qx!B53:C170,2))</f>
        <v>0.26881500000000003</v>
      </c>
      <c r="C62" s="122">
        <f t="shared" si="0"/>
        <v>0.73118499999999997</v>
      </c>
      <c r="D62" s="122">
        <f t="shared" si="3"/>
        <v>4.2300594110569835E-2</v>
      </c>
      <c r="E62" s="3"/>
      <c r="F62" s="3"/>
      <c r="G62" s="123">
        <f t="shared" si="1"/>
        <v>5.7232954110077771E-3</v>
      </c>
    </row>
    <row r="63" spans="1:7" x14ac:dyDescent="0.35">
      <c r="A63" s="3">
        <f t="shared" si="2"/>
        <v>98</v>
      </c>
      <c r="B63" s="122">
        <f>IF(A63="","",VLOOKUP(A63,Qx!B54:C171,2))</f>
        <v>0.285277</v>
      </c>
      <c r="C63" s="122">
        <f t="shared" si="0"/>
        <v>0.714723</v>
      </c>
      <c r="D63" s="122">
        <f t="shared" si="3"/>
        <v>3.0929559904737003E-2</v>
      </c>
      <c r="E63" s="3"/>
      <c r="F63" s="3"/>
      <c r="G63" s="123">
        <f t="shared" si="1"/>
        <v>4.023834379901654E-3</v>
      </c>
    </row>
    <row r="64" spans="1:7" x14ac:dyDescent="0.35">
      <c r="A64" s="3">
        <f t="shared" si="2"/>
        <v>99</v>
      </c>
      <c r="B64" s="122">
        <f>IF(A64="","",VLOOKUP(A64,Qx!B55:C172,2))</f>
        <v>0.30129800000000001</v>
      </c>
      <c r="C64" s="122">
        <f t="shared" si="0"/>
        <v>0.69870199999999993</v>
      </c>
      <c r="D64" s="122">
        <f t="shared" si="3"/>
        <v>2.2106067843793344E-2</v>
      </c>
      <c r="E64" s="3"/>
      <c r="F64" s="3"/>
      <c r="G64" s="123">
        <f t="shared" si="1"/>
        <v>2.7653144033715866E-3</v>
      </c>
    </row>
    <row r="65" spans="1:7" x14ac:dyDescent="0.35">
      <c r="A65" s="3">
        <f t="shared" si="2"/>
        <v>100</v>
      </c>
      <c r="B65" s="122">
        <f>IF(A65="","",VLOOKUP(A65,Qx!B56:C173,2))</f>
        <v>0.31723800000000002</v>
      </c>
      <c r="C65" s="122">
        <f t="shared" si="0"/>
        <v>0.68276199999999998</v>
      </c>
      <c r="D65" s="122">
        <f t="shared" si="3"/>
        <v>1.5445553814594096E-2</v>
      </c>
      <c r="E65" s="3"/>
      <c r="F65" s="3"/>
      <c r="G65" s="123">
        <f t="shared" si="1"/>
        <v>1.8578179848697438E-3</v>
      </c>
    </row>
    <row r="66" spans="1:7" x14ac:dyDescent="0.35">
      <c r="A66" s="3">
        <f t="shared" si="2"/>
        <v>101</v>
      </c>
      <c r="B66" s="122">
        <f>IF(A66="","",VLOOKUP(A66,Qx!B57:C174,2))</f>
        <v>0.33346100000000001</v>
      </c>
      <c r="C66" s="122">
        <f t="shared" si="0"/>
        <v>0.66653899999999999</v>
      </c>
      <c r="D66" s="122">
        <f t="shared" si="3"/>
        <v>1.0545637213559894E-2</v>
      </c>
      <c r="E66" s="3"/>
      <c r="F66" s="3"/>
      <c r="G66" s="123">
        <f t="shared" si="1"/>
        <v>1.2196610797938806E-3</v>
      </c>
    </row>
    <row r="67" spans="1:7" x14ac:dyDescent="0.35">
      <c r="A67" s="3">
        <f t="shared" si="2"/>
        <v>102</v>
      </c>
      <c r="B67" s="122">
        <f>IF(A67="","",VLOOKUP(A67,Qx!B58:C175,2))</f>
        <v>0.35032999999999997</v>
      </c>
      <c r="C67" s="122">
        <f t="shared" si="0"/>
        <v>0.64966999999999997</v>
      </c>
      <c r="D67" s="122">
        <f t="shared" si="3"/>
        <v>7.0290784826889984E-3</v>
      </c>
      <c r="E67" s="3"/>
      <c r="F67" s="3"/>
      <c r="G67" s="123">
        <f t="shared" si="1"/>
        <v>7.8168430429301293E-4</v>
      </c>
    </row>
    <row r="68" spans="1:7" x14ac:dyDescent="0.35">
      <c r="A68" s="3">
        <f t="shared" si="2"/>
        <v>103</v>
      </c>
      <c r="B68" s="122">
        <f>IF(A68="","",VLOOKUP(A68,Qx!B59:C176,2))</f>
        <v>0.36854199999999998</v>
      </c>
      <c r="C68" s="122">
        <f t="shared" si="0"/>
        <v>0.63145800000000007</v>
      </c>
      <c r="D68" s="122">
        <f t="shared" si="3"/>
        <v>4.5665814178485614E-3</v>
      </c>
      <c r="E68" s="3"/>
      <c r="F68" s="3"/>
      <c r="G68" s="123">
        <f t="shared" si="1"/>
        <v>4.8830465574042469E-4</v>
      </c>
    </row>
    <row r="69" spans="1:7" x14ac:dyDescent="0.35">
      <c r="A69" s="3">
        <f t="shared" si="2"/>
        <v>104</v>
      </c>
      <c r="B69" s="122">
        <f>IF(A69="","",VLOOKUP(A69,Qx!B60:C177,2))</f>
        <v>0.38785500000000001</v>
      </c>
      <c r="C69" s="122">
        <f t="shared" si="0"/>
        <v>0.61214499999999994</v>
      </c>
      <c r="D69" s="122">
        <f t="shared" si="3"/>
        <v>2.8836043689518171E-3</v>
      </c>
      <c r="E69" s="3"/>
      <c r="F69" s="3"/>
      <c r="G69" s="123">
        <f t="shared" si="1"/>
        <v>2.9648450125436258E-4</v>
      </c>
    </row>
    <row r="70" spans="1:7" x14ac:dyDescent="0.35">
      <c r="A70" s="3">
        <f t="shared" si="2"/>
        <v>105</v>
      </c>
      <c r="B70" s="122">
        <f>IF(A70="","",VLOOKUP(A70,Qx!B61:C178,2))</f>
        <v>0.40722399999999997</v>
      </c>
      <c r="C70" s="122">
        <f t="shared" si="0"/>
        <v>0.59277599999999997</v>
      </c>
      <c r="D70" s="122">
        <f t="shared" si="3"/>
        <v>1.7651839964320098E-3</v>
      </c>
      <c r="E70" s="3"/>
      <c r="F70" s="3"/>
      <c r="G70" s="123">
        <f t="shared" si="1"/>
        <v>1.74511062519569E-4</v>
      </c>
    </row>
    <row r="71" spans="1:7" x14ac:dyDescent="0.35">
      <c r="A71" s="3">
        <f t="shared" si="2"/>
        <v>106</v>
      </c>
      <c r="B71" s="122">
        <f>IF(A71="","",VLOOKUP(A71,Qx!B62:C179,2))</f>
        <v>0.42559900000000001</v>
      </c>
      <c r="C71" s="122">
        <f t="shared" si="0"/>
        <v>0.57440099999999994</v>
      </c>
      <c r="D71" s="122">
        <f t="shared" si="3"/>
        <v>1.046358708668981E-3</v>
      </c>
      <c r="E71" s="3"/>
      <c r="F71" s="3"/>
      <c r="G71" s="123">
        <f t="shared" si="1"/>
        <v>9.9467278457788459E-5</v>
      </c>
    </row>
    <row r="72" spans="1:7" x14ac:dyDescent="0.35">
      <c r="A72" s="3">
        <f t="shared" si="2"/>
        <v>107</v>
      </c>
      <c r="B72" s="122">
        <f>IF(A72="","",VLOOKUP(A72,Qx!B63:C180,2))</f>
        <v>0.44193500000000002</v>
      </c>
      <c r="C72" s="122">
        <f t="shared" si="0"/>
        <v>0.55806500000000003</v>
      </c>
      <c r="D72" s="122">
        <f t="shared" si="3"/>
        <v>6.0102948861817131E-4</v>
      </c>
      <c r="E72" s="3"/>
      <c r="F72" s="3"/>
      <c r="G72" s="123">
        <f t="shared" si="1"/>
        <v>5.4936638666761665E-5</v>
      </c>
    </row>
    <row r="73" spans="1:7" x14ac:dyDescent="0.35">
      <c r="A73" s="3">
        <f t="shared" si="2"/>
        <v>108</v>
      </c>
      <c r="B73" s="122">
        <f>IF(A73="","",VLOOKUP(A73,Qx!B64:C181,2))</f>
        <v>0.45755299999999999</v>
      </c>
      <c r="C73" s="122">
        <f t="shared" si="0"/>
        <v>0.54244700000000001</v>
      </c>
      <c r="D73" s="122">
        <f t="shared" si="3"/>
        <v>3.3541352156569982E-4</v>
      </c>
      <c r="E73" s="3"/>
      <c r="F73" s="3"/>
      <c r="G73" s="123">
        <f t="shared" si="1"/>
        <v>2.9479053132275337E-5</v>
      </c>
    </row>
    <row r="74" spans="1:7" x14ac:dyDescent="0.35">
      <c r="A74" s="3">
        <f t="shared" si="2"/>
        <v>109</v>
      </c>
      <c r="B74" s="122">
        <f>IF(A74="","",VLOOKUP(A74,Qx!B65:C182,2))</f>
        <v>0.47315000000000002</v>
      </c>
      <c r="C74" s="122">
        <f t="shared" si="0"/>
        <v>0.52685000000000004</v>
      </c>
      <c r="D74" s="122">
        <f t="shared" si="3"/>
        <v>1.8194405853274917E-4</v>
      </c>
      <c r="E74" s="3"/>
      <c r="F74" s="3"/>
      <c r="G74" s="123">
        <f t="shared" si="1"/>
        <v>1.5375792244657075E-5</v>
      </c>
    </row>
    <row r="75" spans="1:7" x14ac:dyDescent="0.35">
      <c r="A75" s="3">
        <f t="shared" si="2"/>
        <v>110</v>
      </c>
      <c r="B75" s="122">
        <f>IF(A75="","",VLOOKUP(A75,Qx!B66:C183,2))</f>
        <v>0.48674499999999998</v>
      </c>
      <c r="C75" s="122">
        <f t="shared" si="0"/>
        <v>0.51325500000000002</v>
      </c>
      <c r="D75" s="122">
        <f t="shared" si="3"/>
        <v>9.5857227237978909E-5</v>
      </c>
      <c r="E75" s="3"/>
      <c r="F75" s="3"/>
      <c r="G75" s="123">
        <f t="shared" si="1"/>
        <v>7.7891693693245983E-6</v>
      </c>
    </row>
    <row r="76" spans="1:7" x14ac:dyDescent="0.35">
      <c r="A76" s="3">
        <f t="shared" si="2"/>
        <v>111</v>
      </c>
      <c r="B76" s="122">
        <f>IF(A76="","",VLOOKUP(A76,Qx!B67:C184,2))</f>
        <v>0.49635600000000002</v>
      </c>
      <c r="C76" s="122">
        <f t="shared" ref="C76:C120" si="4">IF(A76="","",1-B76)</f>
        <v>0.50364399999999998</v>
      </c>
      <c r="D76" s="122">
        <f t="shared" si="3"/>
        <v>4.9199201166028864E-5</v>
      </c>
      <c r="E76" s="3"/>
      <c r="F76" s="3"/>
      <c r="G76" s="123">
        <f t="shared" ref="G76:G120" si="5">IF(A76&gt;120,"",D76*(1/(1+$G$4))^(A76-$G$2))</f>
        <v>3.8440674275506695E-6</v>
      </c>
    </row>
    <row r="77" spans="1:7" x14ac:dyDescent="0.35">
      <c r="A77" s="3">
        <f t="shared" ref="A77:A120" si="6">IF(A76&gt;=120,"",A76+1)</f>
        <v>112</v>
      </c>
      <c r="B77" s="122">
        <f>IF(A77="","",VLOOKUP(A77,Qx!B68:C185,2))</f>
        <v>0.5</v>
      </c>
      <c r="C77" s="122">
        <f t="shared" si="4"/>
        <v>0.5</v>
      </c>
      <c r="D77" s="122">
        <f t="shared" ref="D77:D120" si="7">IF(A76&gt;=120,"",D76*C76)</f>
        <v>2.477888247206344E-5</v>
      </c>
      <c r="E77" s="3"/>
      <c r="F77" s="3"/>
      <c r="G77" s="123">
        <f t="shared" si="5"/>
        <v>1.8615783610397395E-6</v>
      </c>
    </row>
    <row r="78" spans="1:7" x14ac:dyDescent="0.35">
      <c r="A78" s="3">
        <f t="shared" si="6"/>
        <v>113</v>
      </c>
      <c r="B78" s="122">
        <f>IF(A78="","",VLOOKUP(A78,Qx!B69:C186,2))</f>
        <v>0.5</v>
      </c>
      <c r="C78" s="122">
        <f t="shared" si="4"/>
        <v>0.5</v>
      </c>
      <c r="D78" s="122">
        <f t="shared" si="7"/>
        <v>1.238944123603172E-5</v>
      </c>
      <c r="E78" s="3"/>
      <c r="F78" s="3"/>
      <c r="G78" s="123">
        <f t="shared" si="5"/>
        <v>8.9498959665372082E-7</v>
      </c>
    </row>
    <row r="79" spans="1:7" x14ac:dyDescent="0.35">
      <c r="A79" s="3">
        <f t="shared" si="6"/>
        <v>114</v>
      </c>
      <c r="B79" s="122">
        <f>IF(A79="","",VLOOKUP(A79,Qx!B70:C187,2))</f>
        <v>0.5</v>
      </c>
      <c r="C79" s="122">
        <f t="shared" si="4"/>
        <v>0.5</v>
      </c>
      <c r="D79" s="122">
        <f t="shared" si="7"/>
        <v>6.1947206180158601E-6</v>
      </c>
      <c r="E79" s="3"/>
      <c r="F79" s="3"/>
      <c r="G79" s="123">
        <f t="shared" si="5"/>
        <v>4.3028345992967341E-7</v>
      </c>
    </row>
    <row r="80" spans="1:7" x14ac:dyDescent="0.35">
      <c r="A80" s="3">
        <f t="shared" si="6"/>
        <v>115</v>
      </c>
      <c r="B80" s="122">
        <f>IF(A80="","",VLOOKUP(A80,Qx!B71:C188,2))</f>
        <v>0.5</v>
      </c>
      <c r="C80" s="122">
        <f t="shared" si="4"/>
        <v>0.5</v>
      </c>
      <c r="D80" s="122">
        <f t="shared" si="7"/>
        <v>3.09736030900793E-6</v>
      </c>
      <c r="E80" s="3"/>
      <c r="F80" s="3"/>
      <c r="G80" s="123">
        <f t="shared" si="5"/>
        <v>2.0686704804311219E-7</v>
      </c>
    </row>
    <row r="81" spans="1:7" x14ac:dyDescent="0.35">
      <c r="A81" s="3">
        <f t="shared" si="6"/>
        <v>116</v>
      </c>
      <c r="B81" s="122">
        <f>IF(A81="","",VLOOKUP(A81,Qx!B72:C189,2))</f>
        <v>0.5</v>
      </c>
      <c r="C81" s="122">
        <f t="shared" si="4"/>
        <v>0.5</v>
      </c>
      <c r="D81" s="122">
        <f t="shared" si="7"/>
        <v>1.548680154503965E-6</v>
      </c>
      <c r="E81" s="3"/>
      <c r="F81" s="3"/>
      <c r="G81" s="123">
        <f t="shared" si="5"/>
        <v>9.9455311559188536E-8</v>
      </c>
    </row>
    <row r="82" spans="1:7" x14ac:dyDescent="0.35">
      <c r="A82" s="3">
        <f t="shared" si="6"/>
        <v>117</v>
      </c>
      <c r="B82" s="122">
        <f>IF(A82="","",VLOOKUP(A82,Qx!B73:C190,2))</f>
        <v>0.5</v>
      </c>
      <c r="C82" s="122">
        <f t="shared" si="4"/>
        <v>0.5</v>
      </c>
      <c r="D82" s="122">
        <f t="shared" si="7"/>
        <v>7.7434007725198251E-7</v>
      </c>
      <c r="G82" s="123">
        <f t="shared" si="5"/>
        <v>4.7815053634225258E-8</v>
      </c>
    </row>
    <row r="83" spans="1:7" x14ac:dyDescent="0.35">
      <c r="A83" s="3">
        <f t="shared" si="6"/>
        <v>118</v>
      </c>
      <c r="B83" s="122">
        <f>IF(A83="","",VLOOKUP(A83,Qx!B74:C191,2))</f>
        <v>0.5</v>
      </c>
      <c r="C83" s="122">
        <f t="shared" si="4"/>
        <v>0.5</v>
      </c>
      <c r="D83" s="122">
        <f t="shared" si="7"/>
        <v>3.8717003862599125E-7</v>
      </c>
      <c r="G83" s="123">
        <f t="shared" si="5"/>
        <v>2.2988006554915986E-8</v>
      </c>
    </row>
    <row r="84" spans="1:7" x14ac:dyDescent="0.35">
      <c r="A84" s="3">
        <f t="shared" si="6"/>
        <v>119</v>
      </c>
      <c r="B84" s="122">
        <f>IF(A84="","",VLOOKUP(A84,Qx!B75:C192,2))</f>
        <v>0.5</v>
      </c>
      <c r="C84" s="122">
        <f t="shared" si="4"/>
        <v>0.5</v>
      </c>
      <c r="D84" s="122">
        <f t="shared" si="7"/>
        <v>1.9358501931299563E-7</v>
      </c>
      <c r="G84" s="123">
        <f t="shared" si="5"/>
        <v>1.1051926228324993E-8</v>
      </c>
    </row>
    <row r="85" spans="1:7" x14ac:dyDescent="0.35">
      <c r="A85" s="3">
        <f t="shared" si="6"/>
        <v>120</v>
      </c>
      <c r="B85" s="122">
        <f>IF(A85="","",VLOOKUP(A85,Qx!B76:C193,2))</f>
        <v>1</v>
      </c>
      <c r="C85" s="122">
        <f t="shared" si="4"/>
        <v>0</v>
      </c>
      <c r="D85" s="122">
        <f t="shared" si="7"/>
        <v>9.6792509656497813E-8</v>
      </c>
      <c r="G85" s="123">
        <f t="shared" si="5"/>
        <v>5.313426071310092E-9</v>
      </c>
    </row>
    <row r="86" spans="1:7" x14ac:dyDescent="0.35">
      <c r="A86" s="3" t="str">
        <f t="shared" si="6"/>
        <v/>
      </c>
      <c r="B86" s="122" t="str">
        <f>IF(A86="","",VLOOKUP(A86,Qx!B77:C194,2))</f>
        <v/>
      </c>
      <c r="C86" s="122" t="str">
        <f t="shared" si="4"/>
        <v/>
      </c>
      <c r="D86" s="122" t="str">
        <f t="shared" si="7"/>
        <v/>
      </c>
      <c r="G86" s="123" t="str">
        <f t="shared" si="5"/>
        <v/>
      </c>
    </row>
    <row r="87" spans="1:7" x14ac:dyDescent="0.35">
      <c r="A87" s="3" t="str">
        <f t="shared" si="6"/>
        <v/>
      </c>
      <c r="B87" s="122" t="str">
        <f>IF(A87="","",VLOOKUP(A87,Qx!B78:C195,2))</f>
        <v/>
      </c>
      <c r="C87" s="122" t="str">
        <f t="shared" si="4"/>
        <v/>
      </c>
      <c r="D87" s="122" t="str">
        <f t="shared" si="7"/>
        <v/>
      </c>
      <c r="G87" s="123" t="str">
        <f t="shared" si="5"/>
        <v/>
      </c>
    </row>
    <row r="88" spans="1:7" x14ac:dyDescent="0.35">
      <c r="A88" s="3" t="str">
        <f t="shared" si="6"/>
        <v/>
      </c>
      <c r="B88" s="122" t="str">
        <f>IF(A88="","",VLOOKUP(A88,Qx!B79:C196,2))</f>
        <v/>
      </c>
      <c r="C88" s="122" t="str">
        <f t="shared" si="4"/>
        <v/>
      </c>
      <c r="D88" s="122" t="str">
        <f t="shared" si="7"/>
        <v/>
      </c>
      <c r="G88" s="123" t="str">
        <f t="shared" si="5"/>
        <v/>
      </c>
    </row>
    <row r="89" spans="1:7" x14ac:dyDescent="0.35">
      <c r="A89" s="3" t="str">
        <f t="shared" si="6"/>
        <v/>
      </c>
      <c r="B89" s="122" t="str">
        <f>IF(A89="","",VLOOKUP(A89,Qx!B80:C197,2))</f>
        <v/>
      </c>
      <c r="C89" s="122" t="str">
        <f t="shared" si="4"/>
        <v/>
      </c>
      <c r="D89" s="122" t="str">
        <f t="shared" si="7"/>
        <v/>
      </c>
      <c r="G89" s="123" t="str">
        <f t="shared" si="5"/>
        <v/>
      </c>
    </row>
    <row r="90" spans="1:7" x14ac:dyDescent="0.35">
      <c r="A90" s="3" t="str">
        <f t="shared" si="6"/>
        <v/>
      </c>
      <c r="B90" s="122" t="str">
        <f>IF(A90="","",VLOOKUP(A90,Qx!B81:C198,2))</f>
        <v/>
      </c>
      <c r="C90" s="122" t="str">
        <f t="shared" si="4"/>
        <v/>
      </c>
      <c r="D90" s="122" t="str">
        <f t="shared" si="7"/>
        <v/>
      </c>
      <c r="G90" s="123" t="str">
        <f t="shared" si="5"/>
        <v/>
      </c>
    </row>
    <row r="91" spans="1:7" x14ac:dyDescent="0.35">
      <c r="A91" s="3" t="str">
        <f t="shared" si="6"/>
        <v/>
      </c>
      <c r="B91" s="122" t="str">
        <f>IF(A91="","",VLOOKUP(A91,Qx!B82:C199,2))</f>
        <v/>
      </c>
      <c r="C91" s="122" t="str">
        <f t="shared" si="4"/>
        <v/>
      </c>
      <c r="D91" s="122" t="str">
        <f t="shared" si="7"/>
        <v/>
      </c>
      <c r="G91" s="123" t="str">
        <f t="shared" si="5"/>
        <v/>
      </c>
    </row>
    <row r="92" spans="1:7" x14ac:dyDescent="0.35">
      <c r="A92" s="3" t="str">
        <f t="shared" si="6"/>
        <v/>
      </c>
      <c r="B92" s="122" t="str">
        <f>IF(A92="","",VLOOKUP(A92,Qx!B83:C200,2))</f>
        <v/>
      </c>
      <c r="C92" s="122" t="str">
        <f t="shared" si="4"/>
        <v/>
      </c>
      <c r="D92" s="122" t="str">
        <f t="shared" si="7"/>
        <v/>
      </c>
      <c r="G92" s="123" t="str">
        <f t="shared" si="5"/>
        <v/>
      </c>
    </row>
    <row r="93" spans="1:7" x14ac:dyDescent="0.35">
      <c r="A93" s="3" t="str">
        <f t="shared" si="6"/>
        <v/>
      </c>
      <c r="B93" s="122" t="str">
        <f>IF(A93="","",VLOOKUP(A93,Qx!B84:C201,2))</f>
        <v/>
      </c>
      <c r="C93" s="122" t="str">
        <f t="shared" si="4"/>
        <v/>
      </c>
      <c r="D93" s="122" t="str">
        <f t="shared" si="7"/>
        <v/>
      </c>
      <c r="G93" s="123" t="str">
        <f t="shared" si="5"/>
        <v/>
      </c>
    </row>
    <row r="94" spans="1:7" x14ac:dyDescent="0.35">
      <c r="A94" s="3" t="str">
        <f t="shared" si="6"/>
        <v/>
      </c>
      <c r="B94" s="122" t="str">
        <f>IF(A94="","",VLOOKUP(A94,Qx!B85:C202,2))</f>
        <v/>
      </c>
      <c r="C94" s="122" t="str">
        <f t="shared" si="4"/>
        <v/>
      </c>
      <c r="D94" s="122" t="str">
        <f t="shared" si="7"/>
        <v/>
      </c>
      <c r="G94" s="123" t="str">
        <f t="shared" si="5"/>
        <v/>
      </c>
    </row>
    <row r="95" spans="1:7" x14ac:dyDescent="0.35">
      <c r="A95" s="3" t="str">
        <f t="shared" si="6"/>
        <v/>
      </c>
      <c r="B95" s="122" t="str">
        <f>IF(A95="","",VLOOKUP(A95,Qx!B86:C203,2))</f>
        <v/>
      </c>
      <c r="C95" s="122" t="str">
        <f t="shared" si="4"/>
        <v/>
      </c>
      <c r="D95" s="122" t="str">
        <f t="shared" si="7"/>
        <v/>
      </c>
      <c r="G95" s="123" t="str">
        <f t="shared" si="5"/>
        <v/>
      </c>
    </row>
    <row r="96" spans="1:7" x14ac:dyDescent="0.35">
      <c r="A96" s="3" t="str">
        <f t="shared" si="6"/>
        <v/>
      </c>
      <c r="B96" s="122" t="str">
        <f>IF(A96="","",VLOOKUP(A96,Qx!B87:C204,2))</f>
        <v/>
      </c>
      <c r="C96" s="122" t="str">
        <f t="shared" si="4"/>
        <v/>
      </c>
      <c r="D96" s="122" t="str">
        <f t="shared" si="7"/>
        <v/>
      </c>
      <c r="G96" s="123" t="str">
        <f t="shared" si="5"/>
        <v/>
      </c>
    </row>
    <row r="97" spans="1:7" x14ac:dyDescent="0.35">
      <c r="A97" s="3" t="str">
        <f t="shared" si="6"/>
        <v/>
      </c>
      <c r="B97" s="122" t="str">
        <f>IF(A97="","",VLOOKUP(A97,Qx!B88:C205,2))</f>
        <v/>
      </c>
      <c r="C97" s="122" t="str">
        <f t="shared" si="4"/>
        <v/>
      </c>
      <c r="D97" s="122" t="str">
        <f t="shared" si="7"/>
        <v/>
      </c>
      <c r="G97" s="123" t="str">
        <f t="shared" si="5"/>
        <v/>
      </c>
    </row>
    <row r="98" spans="1:7" x14ac:dyDescent="0.35">
      <c r="A98" s="3" t="str">
        <f t="shared" si="6"/>
        <v/>
      </c>
      <c r="B98" s="122" t="str">
        <f>IF(A98="","",VLOOKUP(A98,Qx!B89:C206,2))</f>
        <v/>
      </c>
      <c r="C98" s="122" t="str">
        <f t="shared" si="4"/>
        <v/>
      </c>
      <c r="D98" s="122" t="str">
        <f t="shared" si="7"/>
        <v/>
      </c>
      <c r="G98" s="123" t="str">
        <f t="shared" si="5"/>
        <v/>
      </c>
    </row>
    <row r="99" spans="1:7" x14ac:dyDescent="0.35">
      <c r="A99" s="3" t="str">
        <f t="shared" si="6"/>
        <v/>
      </c>
      <c r="B99" s="122" t="str">
        <f>IF(A99="","",VLOOKUP(A99,Qx!B90:C207,2))</f>
        <v/>
      </c>
      <c r="C99" s="122" t="str">
        <f t="shared" si="4"/>
        <v/>
      </c>
      <c r="D99" s="122" t="str">
        <f t="shared" si="7"/>
        <v/>
      </c>
      <c r="G99" s="123" t="str">
        <f t="shared" si="5"/>
        <v/>
      </c>
    </row>
    <row r="100" spans="1:7" x14ac:dyDescent="0.35">
      <c r="A100" s="3" t="str">
        <f t="shared" si="6"/>
        <v/>
      </c>
      <c r="B100" s="122" t="str">
        <f>IF(A100="","",VLOOKUP(A100,Qx!B91:C208,2))</f>
        <v/>
      </c>
      <c r="C100" s="122" t="str">
        <f t="shared" si="4"/>
        <v/>
      </c>
      <c r="D100" s="122" t="str">
        <f t="shared" si="7"/>
        <v/>
      </c>
      <c r="G100" s="123" t="str">
        <f t="shared" si="5"/>
        <v/>
      </c>
    </row>
    <row r="101" spans="1:7" x14ac:dyDescent="0.35">
      <c r="A101" s="3" t="str">
        <f t="shared" si="6"/>
        <v/>
      </c>
      <c r="B101" s="122" t="str">
        <f>IF(A101="","",VLOOKUP(A101,Qx!B92:C209,2))</f>
        <v/>
      </c>
      <c r="C101" s="122" t="str">
        <f t="shared" si="4"/>
        <v/>
      </c>
      <c r="D101" s="122" t="str">
        <f t="shared" si="7"/>
        <v/>
      </c>
      <c r="G101" s="123" t="str">
        <f t="shared" si="5"/>
        <v/>
      </c>
    </row>
    <row r="102" spans="1:7" x14ac:dyDescent="0.35">
      <c r="A102" s="3" t="str">
        <f t="shared" si="6"/>
        <v/>
      </c>
      <c r="B102" s="122" t="str">
        <f>IF(A102="","",VLOOKUP(A102,Qx!B93:C210,2))</f>
        <v/>
      </c>
      <c r="C102" s="122" t="str">
        <f t="shared" si="4"/>
        <v/>
      </c>
      <c r="D102" s="122" t="str">
        <f t="shared" si="7"/>
        <v/>
      </c>
      <c r="G102" s="123" t="str">
        <f t="shared" si="5"/>
        <v/>
      </c>
    </row>
    <row r="103" spans="1:7" x14ac:dyDescent="0.35">
      <c r="A103" s="3" t="str">
        <f t="shared" si="6"/>
        <v/>
      </c>
      <c r="B103" s="122" t="str">
        <f>IF(A103="","",VLOOKUP(A103,Qx!B94:C211,2))</f>
        <v/>
      </c>
      <c r="C103" s="122" t="str">
        <f t="shared" si="4"/>
        <v/>
      </c>
      <c r="D103" s="122" t="str">
        <f t="shared" si="7"/>
        <v/>
      </c>
      <c r="G103" s="123" t="str">
        <f t="shared" si="5"/>
        <v/>
      </c>
    </row>
    <row r="104" spans="1:7" x14ac:dyDescent="0.35">
      <c r="A104" s="3" t="str">
        <f t="shared" si="6"/>
        <v/>
      </c>
      <c r="B104" s="122" t="str">
        <f>IF(A104="","",VLOOKUP(A104,Qx!B95:C212,2))</f>
        <v/>
      </c>
      <c r="C104" s="122" t="str">
        <f t="shared" si="4"/>
        <v/>
      </c>
      <c r="D104" s="122" t="str">
        <f t="shared" si="7"/>
        <v/>
      </c>
      <c r="G104" s="123" t="str">
        <f t="shared" si="5"/>
        <v/>
      </c>
    </row>
    <row r="105" spans="1:7" x14ac:dyDescent="0.35">
      <c r="A105" s="3" t="str">
        <f t="shared" si="6"/>
        <v/>
      </c>
      <c r="B105" s="122" t="str">
        <f>IF(A105="","",VLOOKUP(A105,Qx!B96:C213,2))</f>
        <v/>
      </c>
      <c r="C105" s="122" t="str">
        <f t="shared" si="4"/>
        <v/>
      </c>
      <c r="D105" s="122" t="str">
        <f t="shared" si="7"/>
        <v/>
      </c>
      <c r="G105" s="123" t="str">
        <f t="shared" si="5"/>
        <v/>
      </c>
    </row>
    <row r="106" spans="1:7" x14ac:dyDescent="0.35">
      <c r="A106" s="3" t="str">
        <f t="shared" si="6"/>
        <v/>
      </c>
      <c r="B106" s="122" t="str">
        <f>IF(A106="","",VLOOKUP(A106,Qx!B97:C214,2))</f>
        <v/>
      </c>
      <c r="C106" s="122" t="str">
        <f t="shared" si="4"/>
        <v/>
      </c>
      <c r="D106" s="122" t="str">
        <f t="shared" si="7"/>
        <v/>
      </c>
      <c r="G106" s="123" t="str">
        <f t="shared" si="5"/>
        <v/>
      </c>
    </row>
    <row r="107" spans="1:7" x14ac:dyDescent="0.35">
      <c r="A107" s="3" t="str">
        <f t="shared" si="6"/>
        <v/>
      </c>
      <c r="B107" s="122" t="str">
        <f>IF(A107="","",VLOOKUP(A107,Qx!B98:C215,2))</f>
        <v/>
      </c>
      <c r="C107" s="122" t="str">
        <f t="shared" si="4"/>
        <v/>
      </c>
      <c r="D107" s="122" t="str">
        <f t="shared" si="7"/>
        <v/>
      </c>
      <c r="G107" s="123" t="str">
        <f t="shared" si="5"/>
        <v/>
      </c>
    </row>
    <row r="108" spans="1:7" x14ac:dyDescent="0.35">
      <c r="A108" s="3" t="str">
        <f t="shared" si="6"/>
        <v/>
      </c>
      <c r="B108" s="122" t="str">
        <f>IF(A108="","",VLOOKUP(A108,Qx!B99:C216,2))</f>
        <v/>
      </c>
      <c r="C108" s="122" t="str">
        <f t="shared" si="4"/>
        <v/>
      </c>
      <c r="D108" s="122" t="str">
        <f t="shared" si="7"/>
        <v/>
      </c>
      <c r="G108" s="123" t="str">
        <f t="shared" si="5"/>
        <v/>
      </c>
    </row>
    <row r="109" spans="1:7" x14ac:dyDescent="0.35">
      <c r="A109" s="3" t="str">
        <f t="shared" si="6"/>
        <v/>
      </c>
      <c r="B109" s="122" t="str">
        <f>IF(A109="","",VLOOKUP(A109,Qx!B100:C217,2))</f>
        <v/>
      </c>
      <c r="C109" s="122" t="str">
        <f t="shared" si="4"/>
        <v/>
      </c>
      <c r="D109" s="122" t="str">
        <f t="shared" si="7"/>
        <v/>
      </c>
      <c r="G109" s="123" t="str">
        <f t="shared" si="5"/>
        <v/>
      </c>
    </row>
    <row r="110" spans="1:7" x14ac:dyDescent="0.35">
      <c r="A110" s="3" t="str">
        <f t="shared" si="6"/>
        <v/>
      </c>
      <c r="B110" s="122" t="str">
        <f>IF(A110="","",VLOOKUP(A110,Qx!B101:C218,2))</f>
        <v/>
      </c>
      <c r="C110" s="122" t="str">
        <f t="shared" si="4"/>
        <v/>
      </c>
      <c r="D110" s="122" t="str">
        <f t="shared" si="7"/>
        <v/>
      </c>
      <c r="G110" s="123" t="str">
        <f t="shared" si="5"/>
        <v/>
      </c>
    </row>
    <row r="111" spans="1:7" x14ac:dyDescent="0.35">
      <c r="A111" s="3" t="str">
        <f t="shared" si="6"/>
        <v/>
      </c>
      <c r="B111" s="122" t="str">
        <f>IF(A111="","",VLOOKUP(A111,Qx!B102:C219,2))</f>
        <v/>
      </c>
      <c r="C111" s="122" t="str">
        <f t="shared" si="4"/>
        <v/>
      </c>
      <c r="D111" s="122" t="str">
        <f t="shared" si="7"/>
        <v/>
      </c>
      <c r="G111" s="123" t="str">
        <f t="shared" si="5"/>
        <v/>
      </c>
    </row>
    <row r="112" spans="1:7" x14ac:dyDescent="0.35">
      <c r="A112" s="3" t="str">
        <f t="shared" si="6"/>
        <v/>
      </c>
      <c r="B112" s="122" t="str">
        <f>IF(A112="","",VLOOKUP(A112,Qx!B103:C220,2))</f>
        <v/>
      </c>
      <c r="C112" s="122" t="str">
        <f t="shared" si="4"/>
        <v/>
      </c>
      <c r="D112" s="122" t="str">
        <f t="shared" si="7"/>
        <v/>
      </c>
      <c r="G112" s="123" t="str">
        <f t="shared" si="5"/>
        <v/>
      </c>
    </row>
    <row r="113" spans="1:7" x14ac:dyDescent="0.35">
      <c r="A113" s="3" t="str">
        <f t="shared" si="6"/>
        <v/>
      </c>
      <c r="B113" s="122" t="str">
        <f>IF(A113="","",VLOOKUP(A113,Qx!B104:C221,2))</f>
        <v/>
      </c>
      <c r="C113" s="122" t="str">
        <f t="shared" si="4"/>
        <v/>
      </c>
      <c r="D113" s="122" t="str">
        <f t="shared" si="7"/>
        <v/>
      </c>
      <c r="G113" s="123" t="str">
        <f t="shared" si="5"/>
        <v/>
      </c>
    </row>
    <row r="114" spans="1:7" x14ac:dyDescent="0.35">
      <c r="A114" s="3" t="str">
        <f t="shared" si="6"/>
        <v/>
      </c>
      <c r="B114" s="122" t="str">
        <f>IF(A114="","",VLOOKUP(A114,Qx!B105:C222,2))</f>
        <v/>
      </c>
      <c r="C114" s="122" t="str">
        <f t="shared" si="4"/>
        <v/>
      </c>
      <c r="D114" s="122" t="str">
        <f t="shared" si="7"/>
        <v/>
      </c>
      <c r="G114" s="123" t="str">
        <f t="shared" si="5"/>
        <v/>
      </c>
    </row>
    <row r="115" spans="1:7" x14ac:dyDescent="0.35">
      <c r="A115" s="3" t="str">
        <f t="shared" si="6"/>
        <v/>
      </c>
      <c r="B115" s="122" t="str">
        <f>IF(A115="","",VLOOKUP(A115,Qx!B106:C223,2))</f>
        <v/>
      </c>
      <c r="C115" s="122" t="str">
        <f t="shared" si="4"/>
        <v/>
      </c>
      <c r="D115" s="122" t="str">
        <f t="shared" si="7"/>
        <v/>
      </c>
      <c r="G115" s="123" t="str">
        <f t="shared" si="5"/>
        <v/>
      </c>
    </row>
    <row r="116" spans="1:7" x14ac:dyDescent="0.35">
      <c r="A116" s="3" t="str">
        <f t="shared" si="6"/>
        <v/>
      </c>
      <c r="B116" s="122" t="str">
        <f>IF(A116="","",VLOOKUP(A116,Qx!B107:C224,2))</f>
        <v/>
      </c>
      <c r="C116" s="122" t="str">
        <f t="shared" si="4"/>
        <v/>
      </c>
      <c r="D116" s="122" t="str">
        <f t="shared" si="7"/>
        <v/>
      </c>
      <c r="G116" s="123" t="str">
        <f t="shared" si="5"/>
        <v/>
      </c>
    </row>
    <row r="117" spans="1:7" x14ac:dyDescent="0.35">
      <c r="A117" s="3" t="str">
        <f t="shared" si="6"/>
        <v/>
      </c>
      <c r="B117" s="122" t="str">
        <f>IF(A117="","",VLOOKUP(A117,Qx!B108:C225,2))</f>
        <v/>
      </c>
      <c r="C117" s="122" t="str">
        <f t="shared" si="4"/>
        <v/>
      </c>
      <c r="D117" s="122" t="str">
        <f t="shared" si="7"/>
        <v/>
      </c>
      <c r="G117" s="123" t="str">
        <f t="shared" si="5"/>
        <v/>
      </c>
    </row>
    <row r="118" spans="1:7" x14ac:dyDescent="0.35">
      <c r="A118" s="3" t="str">
        <f t="shared" si="6"/>
        <v/>
      </c>
      <c r="B118" s="122" t="str">
        <f>IF(A118="","",VLOOKUP(A118,Qx!B109:C226,2))</f>
        <v/>
      </c>
      <c r="C118" s="122" t="str">
        <f t="shared" si="4"/>
        <v/>
      </c>
      <c r="D118" s="122" t="str">
        <f t="shared" si="7"/>
        <v/>
      </c>
      <c r="G118" s="123" t="str">
        <f t="shared" si="5"/>
        <v/>
      </c>
    </row>
    <row r="119" spans="1:7" x14ac:dyDescent="0.35">
      <c r="A119" s="3" t="str">
        <f t="shared" si="6"/>
        <v/>
      </c>
      <c r="B119" s="122" t="str">
        <f>IF(A119="","",VLOOKUP(A119,Qx!B110:C227,2))</f>
        <v/>
      </c>
      <c r="C119" s="122" t="str">
        <f t="shared" si="4"/>
        <v/>
      </c>
      <c r="D119" s="122" t="str">
        <f t="shared" si="7"/>
        <v/>
      </c>
      <c r="G119" s="123" t="str">
        <f t="shared" si="5"/>
        <v/>
      </c>
    </row>
    <row r="120" spans="1:7" x14ac:dyDescent="0.35">
      <c r="A120" s="3" t="str">
        <f t="shared" si="6"/>
        <v/>
      </c>
      <c r="B120" s="122" t="str">
        <f>IF(A120="","",VLOOKUP(A120,Qx!B111:C228,2))</f>
        <v/>
      </c>
      <c r="C120" s="122" t="str">
        <f t="shared" si="4"/>
        <v/>
      </c>
      <c r="D120" s="122" t="str">
        <f t="shared" si="7"/>
        <v/>
      </c>
      <c r="G120" s="123" t="str">
        <f t="shared" si="5"/>
        <v/>
      </c>
    </row>
  </sheetData>
  <mergeCells count="2">
    <mergeCell ref="A1:G1"/>
    <mergeCell ref="A9:G9"/>
  </mergeCells>
  <printOptions horizontalCentered="1"/>
  <pageMargins left="0.7" right="0.7" top="0.75" bottom="0.75" header="0.3" footer="0.3"/>
  <pageSetup scale="63" fitToHeight="3" orientation="landscape" r:id="rId1"/>
  <headerFooter>
    <oddFooter>&amp;L&amp;F
&amp;A&amp;R&amp;D
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D6EF-1197-4FC2-8BEA-C8570B51E61D}">
  <sheetPr>
    <pageSetUpPr fitToPage="1"/>
  </sheetPr>
  <dimension ref="A1:O39"/>
  <sheetViews>
    <sheetView workbookViewId="0">
      <selection activeCell="V29" sqref="V29"/>
    </sheetView>
  </sheetViews>
  <sheetFormatPr defaultRowHeight="15.5" x14ac:dyDescent="0.35"/>
  <cols>
    <col min="3" max="3" width="0.5" customWidth="1"/>
    <col min="6" max="6" width="0.6640625" customWidth="1"/>
    <col min="7" max="7" width="11.9140625" bestFit="1" customWidth="1"/>
    <col min="10" max="12" width="0" hidden="1" customWidth="1"/>
    <col min="14" max="16" width="0" hidden="1" customWidth="1"/>
  </cols>
  <sheetData>
    <row r="1" spans="1:15" ht="19" thickBot="1" x14ac:dyDescent="0.5">
      <c r="A1" s="98" t="s">
        <v>60</v>
      </c>
      <c r="B1" s="101"/>
      <c r="C1" s="103"/>
      <c r="D1" s="106" t="s">
        <v>63</v>
      </c>
      <c r="E1" s="107"/>
      <c r="F1" s="103"/>
      <c r="J1" t="s">
        <v>75</v>
      </c>
      <c r="L1">
        <f>COUNTA(B3:B23)</f>
        <v>8</v>
      </c>
    </row>
    <row r="2" spans="1:15" x14ac:dyDescent="0.35">
      <c r="A2" s="100" t="s">
        <v>61</v>
      </c>
      <c r="B2" s="102" t="s">
        <v>62</v>
      </c>
      <c r="C2" s="104"/>
      <c r="D2" s="108"/>
      <c r="E2" s="109"/>
      <c r="F2" s="104"/>
      <c r="J2" t="s">
        <v>61</v>
      </c>
      <c r="K2" cm="1">
        <f t="array" aca="1" ref="K2:K9" ca="1">OFFSET(A3,0,0,$L$1,1)</f>
        <v>2012</v>
      </c>
      <c r="O2" cm="1">
        <f t="array" aca="1" ref="O2" ca="1">INDEX(YearC,1)</f>
        <v>2012</v>
      </c>
    </row>
    <row r="3" spans="1:15" x14ac:dyDescent="0.35">
      <c r="A3" s="6">
        <v>2012</v>
      </c>
      <c r="B3" s="131">
        <v>0.04</v>
      </c>
      <c r="C3" s="104"/>
      <c r="D3" s="108"/>
      <c r="E3" s="109"/>
      <c r="F3" s="104"/>
      <c r="K3">
        <f ca="1"/>
        <v>2013</v>
      </c>
      <c r="O3" cm="1">
        <f t="array" aca="1" ref="O3" ca="1">INDEX(YearC,2)</f>
        <v>2013</v>
      </c>
    </row>
    <row r="4" spans="1:15" x14ac:dyDescent="0.35">
      <c r="A4" s="6">
        <v>2013</v>
      </c>
      <c r="B4" s="131">
        <v>7.4999999999999997E-2</v>
      </c>
      <c r="C4" s="104"/>
      <c r="D4" s="108"/>
      <c r="E4" s="109"/>
      <c r="F4" s="104"/>
      <c r="K4">
        <f ca="1"/>
        <v>2014</v>
      </c>
    </row>
    <row r="5" spans="1:15" x14ac:dyDescent="0.35">
      <c r="A5" s="6">
        <v>2014</v>
      </c>
      <c r="B5" s="131">
        <v>6.5000000000000002E-2</v>
      </c>
      <c r="C5" s="104"/>
      <c r="D5" s="108"/>
      <c r="E5" s="109"/>
      <c r="F5" s="104"/>
      <c r="K5">
        <f ca="1"/>
        <v>2015</v>
      </c>
    </row>
    <row r="6" spans="1:15" x14ac:dyDescent="0.35">
      <c r="A6" s="6">
        <v>2015</v>
      </c>
      <c r="B6" s="131">
        <v>7.2499999999999995E-2</v>
      </c>
      <c r="C6" s="104"/>
      <c r="D6" s="108"/>
      <c r="E6" s="109"/>
      <c r="F6" s="104"/>
      <c r="K6">
        <f ca="1"/>
        <v>2016</v>
      </c>
    </row>
    <row r="7" spans="1:15" x14ac:dyDescent="0.35">
      <c r="A7" s="6">
        <v>2016</v>
      </c>
      <c r="B7" s="131">
        <v>5.5E-2</v>
      </c>
      <c r="C7" s="104"/>
      <c r="D7" s="127" t="s">
        <v>64</v>
      </c>
      <c r="E7" s="128"/>
      <c r="F7" s="104"/>
      <c r="K7">
        <f ca="1"/>
        <v>2017</v>
      </c>
    </row>
    <row r="8" spans="1:15" x14ac:dyDescent="0.35">
      <c r="A8" s="6">
        <v>2017</v>
      </c>
      <c r="B8" s="131">
        <v>0.04</v>
      </c>
      <c r="C8" s="104"/>
      <c r="D8" s="127"/>
      <c r="E8" s="128"/>
      <c r="F8" s="104"/>
      <c r="K8">
        <f ca="1"/>
        <v>2018</v>
      </c>
    </row>
    <row r="9" spans="1:15" x14ac:dyDescent="0.35">
      <c r="A9" s="6">
        <v>2018</v>
      </c>
      <c r="B9" s="131">
        <v>4.4999999999999998E-2</v>
      </c>
      <c r="C9" s="104"/>
      <c r="D9" s="127"/>
      <c r="E9" s="128"/>
      <c r="F9" s="104"/>
      <c r="K9">
        <f ca="1"/>
        <v>2019</v>
      </c>
    </row>
    <row r="10" spans="1:15" x14ac:dyDescent="0.35">
      <c r="A10" s="6">
        <v>2019</v>
      </c>
      <c r="B10" s="131">
        <v>0.04</v>
      </c>
      <c r="C10" s="104"/>
      <c r="D10" s="127"/>
      <c r="E10" s="128"/>
      <c r="F10" s="104"/>
    </row>
    <row r="11" spans="1:15" x14ac:dyDescent="0.35">
      <c r="A11" s="6">
        <v>2020</v>
      </c>
      <c r="B11" s="131"/>
      <c r="C11" s="104"/>
      <c r="D11" s="127"/>
      <c r="E11" s="128"/>
      <c r="F11" s="104"/>
    </row>
    <row r="12" spans="1:15" x14ac:dyDescent="0.35">
      <c r="A12" s="6">
        <v>2021</v>
      </c>
      <c r="B12" s="131"/>
      <c r="C12" s="104"/>
      <c r="D12" s="127"/>
      <c r="E12" s="128"/>
      <c r="F12" s="104"/>
    </row>
    <row r="13" spans="1:15" x14ac:dyDescent="0.35">
      <c r="A13" s="6">
        <v>2022</v>
      </c>
      <c r="B13" s="131"/>
      <c r="C13" s="104"/>
      <c r="D13" s="127"/>
      <c r="E13" s="128"/>
      <c r="F13" s="104"/>
    </row>
    <row r="14" spans="1:15" x14ac:dyDescent="0.35">
      <c r="A14" s="6">
        <v>2023</v>
      </c>
      <c r="B14" s="131"/>
      <c r="C14" s="104"/>
      <c r="D14" s="127"/>
      <c r="E14" s="128"/>
      <c r="F14" s="104"/>
    </row>
    <row r="15" spans="1:15" x14ac:dyDescent="0.35">
      <c r="A15" s="6">
        <v>2024</v>
      </c>
      <c r="B15" s="131"/>
      <c r="C15" s="104"/>
      <c r="D15" s="127"/>
      <c r="E15" s="128"/>
      <c r="F15" s="104"/>
    </row>
    <row r="16" spans="1:15" ht="16" thickBot="1" x14ac:dyDescent="0.4">
      <c r="A16" s="6">
        <v>2025</v>
      </c>
      <c r="B16" s="131"/>
      <c r="C16" s="104"/>
      <c r="D16" s="127"/>
      <c r="E16" s="128"/>
      <c r="F16" s="104"/>
    </row>
    <row r="17" spans="1:14" x14ac:dyDescent="0.35">
      <c r="A17" s="6">
        <v>2026</v>
      </c>
      <c r="B17" s="131"/>
      <c r="C17" s="104"/>
      <c r="D17" s="127"/>
      <c r="E17" s="128"/>
      <c r="F17" s="104"/>
      <c r="G17" s="113" t="s">
        <v>65</v>
      </c>
      <c r="H17" s="114"/>
    </row>
    <row r="18" spans="1:14" ht="16" thickBot="1" x14ac:dyDescent="0.4">
      <c r="A18" s="6">
        <v>2027</v>
      </c>
      <c r="B18" s="131"/>
      <c r="C18" s="104"/>
      <c r="D18" s="127"/>
      <c r="E18" s="128"/>
      <c r="F18" s="104"/>
      <c r="G18" s="115"/>
      <c r="H18" s="116"/>
    </row>
    <row r="19" spans="1:14" x14ac:dyDescent="0.35">
      <c r="A19" s="6">
        <v>2028</v>
      </c>
      <c r="B19" s="131"/>
      <c r="C19" s="104"/>
      <c r="D19" s="127"/>
      <c r="E19" s="128"/>
      <c r="F19" s="24"/>
      <c r="G19" s="112" t="s">
        <v>66</v>
      </c>
      <c r="H19" s="112" t="s">
        <v>62</v>
      </c>
    </row>
    <row r="20" spans="1:14" x14ac:dyDescent="0.35">
      <c r="A20" s="6">
        <v>2029</v>
      </c>
      <c r="B20" s="131"/>
      <c r="C20" s="104"/>
      <c r="D20" s="127"/>
      <c r="E20" s="128"/>
      <c r="F20" s="24"/>
      <c r="G20" s="110">
        <v>2019</v>
      </c>
      <c r="H20" s="111">
        <f>VLOOKUP(G20,A2:B23,2)</f>
        <v>0.04</v>
      </c>
    </row>
    <row r="21" spans="1:14" x14ac:dyDescent="0.35">
      <c r="A21" s="6">
        <v>2030</v>
      </c>
      <c r="B21" s="131"/>
      <c r="C21" s="104"/>
      <c r="D21" s="127"/>
      <c r="E21" s="128"/>
      <c r="F21" s="104"/>
    </row>
    <row r="22" spans="1:14" x14ac:dyDescent="0.35">
      <c r="A22" s="6">
        <v>2031</v>
      </c>
      <c r="B22" s="131"/>
      <c r="C22" s="104"/>
      <c r="D22" s="127"/>
      <c r="E22" s="128"/>
      <c r="F22" s="104"/>
    </row>
    <row r="23" spans="1:14" ht="16" thickBot="1" x14ac:dyDescent="0.4">
      <c r="A23" s="6">
        <v>2032</v>
      </c>
      <c r="B23" s="131"/>
      <c r="C23" s="105"/>
      <c r="D23" s="129"/>
      <c r="E23" s="130"/>
      <c r="F23" s="105"/>
    </row>
    <row r="31" spans="1:14" x14ac:dyDescent="0.35">
      <c r="J31" t="s">
        <v>62</v>
      </c>
    </row>
    <row r="32" spans="1:14" x14ac:dyDescent="0.35">
      <c r="J32" t="s">
        <v>76</v>
      </c>
      <c r="K32">
        <v>3</v>
      </c>
      <c r="N32" cm="1">
        <f t="array" aca="1" ref="N32:N39" ca="1">OFFSET(A3,0,1,$L$1,1)</f>
        <v>0.04</v>
      </c>
    </row>
    <row r="33" spans="14:14" x14ac:dyDescent="0.35">
      <c r="N33">
        <f ca="1"/>
        <v>7.4999999999999997E-2</v>
      </c>
    </row>
    <row r="34" spans="14:14" x14ac:dyDescent="0.35">
      <c r="N34">
        <f ca="1"/>
        <v>6.5000000000000002E-2</v>
      </c>
    </row>
    <row r="35" spans="14:14" x14ac:dyDescent="0.35">
      <c r="N35">
        <f ca="1"/>
        <v>7.2499999999999995E-2</v>
      </c>
    </row>
    <row r="36" spans="14:14" x14ac:dyDescent="0.35">
      <c r="N36">
        <f ca="1"/>
        <v>5.5E-2</v>
      </c>
    </row>
    <row r="37" spans="14:14" x14ac:dyDescent="0.35">
      <c r="N37">
        <f ca="1"/>
        <v>0.04</v>
      </c>
    </row>
    <row r="38" spans="14:14" x14ac:dyDescent="0.35">
      <c r="N38">
        <f ca="1"/>
        <v>4.4999999999999998E-2</v>
      </c>
    </row>
    <row r="39" spans="14:14" x14ac:dyDescent="0.35">
      <c r="N39">
        <f ca="1"/>
        <v>0.04</v>
      </c>
    </row>
  </sheetData>
  <mergeCells count="4">
    <mergeCell ref="A1:B1"/>
    <mergeCell ref="D1:E6"/>
    <mergeCell ref="D7:E23"/>
    <mergeCell ref="G17:H18"/>
  </mergeCells>
  <printOptions horizontalCentered="1"/>
  <pageMargins left="0.7" right="0.7" top="0.75" bottom="0.75" header="0.3" footer="0.3"/>
  <pageSetup scale="96" orientation="portrait" r:id="rId1"/>
  <headerFooter>
    <oddFooter>&amp;L&amp;F
&amp;A&amp;R&amp;D
&amp;T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C8E2-226D-4D9C-B040-2975FD41D8D8}">
  <sheetPr>
    <pageSetUpPr fitToPage="1"/>
  </sheetPr>
  <dimension ref="A1:I31"/>
  <sheetViews>
    <sheetView workbookViewId="0">
      <selection activeCell="B30" sqref="B30"/>
    </sheetView>
  </sheetViews>
  <sheetFormatPr defaultRowHeight="15.5" x14ac:dyDescent="0.35"/>
  <cols>
    <col min="1" max="1" width="1.9140625" customWidth="1"/>
    <col min="2" max="2" width="19.08203125" customWidth="1"/>
    <col min="3" max="3" width="20.58203125" customWidth="1"/>
    <col min="4" max="4" width="20.9140625" customWidth="1"/>
    <col min="5" max="5" width="19.5" customWidth="1"/>
    <col min="6" max="6" width="2.6640625" customWidth="1"/>
    <col min="9" max="9" width="9.25" bestFit="1" customWidth="1"/>
  </cols>
  <sheetData>
    <row r="1" spans="1:8" x14ac:dyDescent="0.35">
      <c r="A1" s="66"/>
      <c r="B1" s="67"/>
      <c r="C1" s="67"/>
      <c r="D1" s="67"/>
      <c r="E1" s="67"/>
      <c r="F1" s="68"/>
    </row>
    <row r="2" spans="1:8" ht="16" thickBot="1" x14ac:dyDescent="0.4">
      <c r="A2" s="69"/>
      <c r="B2" s="70"/>
      <c r="C2" s="70"/>
      <c r="D2" s="70"/>
      <c r="E2" s="70"/>
      <c r="F2" s="71"/>
    </row>
    <row r="3" spans="1:8" ht="21.5" thickBot="1" x14ac:dyDescent="0.55000000000000004">
      <c r="A3" s="72"/>
      <c r="B3" s="80" t="s">
        <v>46</v>
      </c>
      <c r="C3" s="81"/>
      <c r="D3" s="81"/>
      <c r="E3" s="82"/>
      <c r="F3" s="72"/>
      <c r="G3" t="s">
        <v>58</v>
      </c>
      <c r="H3" s="92">
        <v>50005</v>
      </c>
    </row>
    <row r="4" spans="1:8" x14ac:dyDescent="0.35">
      <c r="A4" s="73"/>
      <c r="F4" s="73"/>
    </row>
    <row r="5" spans="1:8" ht="16" thickBot="1" x14ac:dyDescent="0.4">
      <c r="A5" s="73"/>
      <c r="F5" s="73"/>
    </row>
    <row r="6" spans="1:8" ht="16" thickBot="1" x14ac:dyDescent="0.4">
      <c r="A6" s="73"/>
      <c r="B6" t="s">
        <v>1</v>
      </c>
      <c r="E6" s="90" t="str">
        <f>VLOOKUP(Statement!$H$3,'Calculation name (to hide)'!$B$3:$I$13,2)</f>
        <v>Diane Aho</v>
      </c>
      <c r="F6" s="73"/>
    </row>
    <row r="7" spans="1:8" x14ac:dyDescent="0.35">
      <c r="A7" s="73"/>
      <c r="F7" s="73"/>
    </row>
    <row r="8" spans="1:8" x14ac:dyDescent="0.35">
      <c r="A8" s="73"/>
      <c r="B8" t="s">
        <v>2</v>
      </c>
      <c r="E8" s="91">
        <f>VLOOKUP(Statement!$H$3,'Calculation name (to hide)'!$B$3:$I$13,5)</f>
        <v>26458</v>
      </c>
      <c r="F8" s="89"/>
    </row>
    <row r="9" spans="1:8" x14ac:dyDescent="0.35">
      <c r="A9" s="73"/>
      <c r="B9" t="s">
        <v>3</v>
      </c>
      <c r="E9" s="91">
        <f>VLOOKUP(H3,'Calculation name (to hide)'!$B$3:$I$13,6,)</f>
        <v>40973</v>
      </c>
      <c r="F9" s="89"/>
    </row>
    <row r="10" spans="1:8" x14ac:dyDescent="0.35">
      <c r="A10" s="73"/>
      <c r="B10" t="s">
        <v>47</v>
      </c>
      <c r="E10" s="91">
        <f>IF(MONTH(E9)&lt;7,DATE(YEAR(E9)+1,7,1),DATE(YEAR(E9)+1,1,1))</f>
        <v>41456</v>
      </c>
      <c r="F10" s="89"/>
    </row>
    <row r="11" spans="1:8" x14ac:dyDescent="0.35">
      <c r="A11" s="73"/>
      <c r="B11" t="s">
        <v>48</v>
      </c>
      <c r="E11" s="91">
        <f>IF(DAY(VLOOKUP(Statement!$H$3,'Calculation name (to hide)'!B3:J13,9))=1,VLOOKUP(Statement!$H$3,'Calculation name (to hide)'!B3:J13,9),(EOMONTH((VLOOKUP(Statement!$H$3,'Calculation name (to hide)'!B3:J13,9)),0)+1))</f>
        <v>50222</v>
      </c>
      <c r="F11" s="89"/>
    </row>
    <row r="12" spans="1:8" x14ac:dyDescent="0.35">
      <c r="A12" s="73"/>
      <c r="B12" t="s">
        <v>7</v>
      </c>
      <c r="E12" s="93">
        <f>VLOOKUP(H3,'Calculation name (to hide)'!B3:I13,3)</f>
        <v>96000</v>
      </c>
      <c r="F12" s="89"/>
    </row>
    <row r="13" spans="1:8" x14ac:dyDescent="0.35">
      <c r="A13" s="73"/>
      <c r="B13" t="s">
        <v>49</v>
      </c>
      <c r="E13" s="6">
        <f>VLOOKUP(H3,'Calculation name (to hide)'!B3:I13,7)</f>
        <v>46</v>
      </c>
      <c r="F13" s="89"/>
    </row>
    <row r="14" spans="1:8" x14ac:dyDescent="0.35">
      <c r="A14" s="73"/>
      <c r="B14" t="s">
        <v>50</v>
      </c>
      <c r="E14" s="94">
        <f>DATEDIF(Statement!E10,'Calculation name (to hide)'!K1, "M")/12</f>
        <v>5.5</v>
      </c>
      <c r="F14" s="89"/>
    </row>
    <row r="15" spans="1:8" x14ac:dyDescent="0.35">
      <c r="A15" s="73"/>
      <c r="B15" t="s">
        <v>51</v>
      </c>
      <c r="E15" s="95">
        <f>0.02*E12*E14</f>
        <v>10560</v>
      </c>
      <c r="F15" s="89"/>
    </row>
    <row r="16" spans="1:8" x14ac:dyDescent="0.35">
      <c r="A16" s="73"/>
      <c r="B16" t="s">
        <v>52</v>
      </c>
      <c r="E16" s="96">
        <f>1-0.03*(ROUNDUP(DATEDIF('Calculation name (to hide)'!K1, Statement!E11, "M")/12,0))</f>
        <v>0.43000000000000005</v>
      </c>
      <c r="F16" s="89"/>
    </row>
    <row r="17" spans="1:9" x14ac:dyDescent="0.35">
      <c r="A17" s="73"/>
      <c r="B17" t="s">
        <v>53</v>
      </c>
      <c r="E17" s="95">
        <f>E15*E16</f>
        <v>4540.8</v>
      </c>
      <c r="F17" s="89"/>
    </row>
    <row r="18" spans="1:9" x14ac:dyDescent="0.35">
      <c r="A18" s="73"/>
      <c r="B18" t="s">
        <v>54</v>
      </c>
      <c r="E18" s="93">
        <f>Annuity!G7</f>
        <v>84838.893739348074</v>
      </c>
      <c r="F18" s="89"/>
    </row>
    <row r="19" spans="1:9" x14ac:dyDescent="0.35">
      <c r="A19" s="73"/>
      <c r="F19" s="73"/>
    </row>
    <row r="20" spans="1:9" x14ac:dyDescent="0.35">
      <c r="A20" s="73"/>
      <c r="F20" s="73"/>
    </row>
    <row r="21" spans="1:9" x14ac:dyDescent="0.35">
      <c r="A21" s="73"/>
      <c r="B21" t="s">
        <v>55</v>
      </c>
      <c r="F21" s="73"/>
    </row>
    <row r="22" spans="1:9" x14ac:dyDescent="0.35">
      <c r="A22" s="73"/>
      <c r="B22" t="s">
        <v>56</v>
      </c>
      <c r="F22" s="73"/>
    </row>
    <row r="23" spans="1:9" x14ac:dyDescent="0.35">
      <c r="A23" s="73"/>
      <c r="E23" s="93">
        <f>10*E12</f>
        <v>960000</v>
      </c>
      <c r="F23" s="89"/>
      <c r="I23" s="4"/>
    </row>
    <row r="24" spans="1:9" x14ac:dyDescent="0.35">
      <c r="A24" s="73"/>
      <c r="E24" s="97">
        <f>E18/E23</f>
        <v>8.8373847645154241E-2</v>
      </c>
      <c r="F24" s="89"/>
    </row>
    <row r="25" spans="1:9" x14ac:dyDescent="0.35">
      <c r="A25" s="73"/>
      <c r="F25" s="73"/>
    </row>
    <row r="26" spans="1:9" x14ac:dyDescent="0.35">
      <c r="A26" s="73"/>
      <c r="F26" s="73"/>
    </row>
    <row r="27" spans="1:9" ht="16" thickBot="1" x14ac:dyDescent="0.4">
      <c r="A27" s="73"/>
      <c r="F27" s="73"/>
    </row>
    <row r="28" spans="1:9" x14ac:dyDescent="0.35">
      <c r="A28" s="73"/>
      <c r="B28" s="83" t="str">
        <f>"This Statement was Prepared on " &amp; TEXT(WORKDAY(EOMONTH(DATE(Annuity!G5,5,1),-1),8,0),"mmmm dd, yyyy")</f>
        <v>This Statement was Prepared on May 10, 2019</v>
      </c>
      <c r="C28" s="84"/>
      <c r="D28" s="84"/>
      <c r="E28" s="85"/>
      <c r="F28" s="73"/>
    </row>
    <row r="29" spans="1:9" ht="16" thickBot="1" x14ac:dyDescent="0.4">
      <c r="A29" s="73"/>
      <c r="B29" s="86"/>
      <c r="C29" s="87"/>
      <c r="D29" s="87"/>
      <c r="E29" s="88"/>
      <c r="F29" s="73"/>
    </row>
    <row r="30" spans="1:9" x14ac:dyDescent="0.35">
      <c r="A30" s="74"/>
      <c r="B30" s="75"/>
      <c r="C30" s="75"/>
      <c r="D30" s="75"/>
      <c r="E30" s="75"/>
      <c r="F30" s="76"/>
    </row>
    <row r="31" spans="1:9" ht="16" thickBot="1" x14ac:dyDescent="0.4">
      <c r="A31" s="77"/>
      <c r="B31" s="78"/>
      <c r="C31" s="78"/>
      <c r="D31" s="78"/>
      <c r="E31" s="78"/>
      <c r="F31" s="79"/>
    </row>
  </sheetData>
  <mergeCells count="3">
    <mergeCell ref="A1:F2"/>
    <mergeCell ref="B3:E3"/>
    <mergeCell ref="B28:E29"/>
  </mergeCell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F44A-2B13-4209-BDD0-FB8010D44A8F}">
  <dimension ref="A1:O13"/>
  <sheetViews>
    <sheetView workbookViewId="0">
      <selection activeCell="G30" sqref="G30"/>
    </sheetView>
  </sheetViews>
  <sheetFormatPr defaultRowHeight="15.5" x14ac:dyDescent="0.35"/>
  <cols>
    <col min="1" max="1" width="4.83203125" customWidth="1"/>
    <col min="2" max="2" width="6.83203125" customWidth="1"/>
    <col min="3" max="3" width="18.25" customWidth="1"/>
    <col min="4" max="4" width="19.83203125" customWidth="1"/>
    <col min="5" max="5" width="14.4140625" customWidth="1"/>
    <col min="6" max="6" width="16.08203125" customWidth="1"/>
    <col min="7" max="7" width="13.75" customWidth="1"/>
    <col min="10" max="10" width="13.9140625" customWidth="1"/>
  </cols>
  <sheetData>
    <row r="1" spans="1:15" ht="16" thickBot="1" x14ac:dyDescent="0.4">
      <c r="A1" s="2" t="s">
        <v>4</v>
      </c>
      <c r="K1" s="5">
        <f>Record!J1</f>
        <v>43466</v>
      </c>
    </row>
    <row r="2" spans="1:15" ht="21.5" thickBot="1" x14ac:dyDescent="0.55000000000000004">
      <c r="B2" s="7" t="s">
        <v>6</v>
      </c>
      <c r="C2" s="8"/>
      <c r="D2" s="8"/>
      <c r="E2" s="8"/>
      <c r="F2" s="8"/>
      <c r="G2" s="8"/>
      <c r="H2" s="8"/>
      <c r="I2" s="9"/>
      <c r="J2" t="s">
        <v>59</v>
      </c>
      <c r="O2" t="s">
        <v>59</v>
      </c>
    </row>
    <row r="3" spans="1:15" x14ac:dyDescent="0.35">
      <c r="B3" s="10" t="s">
        <v>0</v>
      </c>
      <c r="C3" s="11" t="s">
        <v>1</v>
      </c>
      <c r="D3" s="12" t="s">
        <v>7</v>
      </c>
      <c r="E3" s="13" t="s">
        <v>20</v>
      </c>
      <c r="F3" s="11" t="s">
        <v>2</v>
      </c>
      <c r="G3" s="11" t="s">
        <v>3</v>
      </c>
      <c r="H3" s="11" t="s">
        <v>8</v>
      </c>
      <c r="I3" s="11" t="s">
        <v>9</v>
      </c>
      <c r="L3" t="str" cm="1">
        <f t="array" ref="L3:M3">_xlfn.TEXTSPLIT(Record!C4,",")</f>
        <v>Klendshoj</v>
      </c>
      <c r="M3" t="str">
        <v>Roxanne</v>
      </c>
    </row>
    <row r="4" spans="1:15" x14ac:dyDescent="0.35">
      <c r="B4" s="14">
        <v>50001</v>
      </c>
      <c r="C4" s="15" t="str">
        <f>_xlfn.CONCAT(M3," ",L3)</f>
        <v>Roxanne Klendshoj</v>
      </c>
      <c r="D4" s="16">
        <v>110000</v>
      </c>
      <c r="E4" s="16">
        <v>101000</v>
      </c>
      <c r="F4" s="17">
        <v>26363</v>
      </c>
      <c r="G4" s="17">
        <v>33665</v>
      </c>
      <c r="H4" s="18">
        <f>DATEDIF(F4,$K$1,"Y")</f>
        <v>46</v>
      </c>
      <c r="I4" s="19">
        <f>($K$1-G4)/365.25</f>
        <v>26.833675564681723</v>
      </c>
      <c r="J4" s="4">
        <f>MAX(EDATE(G4,60),EDATE(F4,12*65))</f>
        <v>50104</v>
      </c>
      <c r="L4" t="str" cm="1">
        <f t="array" ref="L4:M4">_xlfn.TEXTSPLIT(Record!C5,",")</f>
        <v>Woolley</v>
      </c>
      <c r="M4" t="str">
        <v>Jeane M.</v>
      </c>
      <c r="O4">
        <f>MAX(EDATE(D6,12),EDATE(D5,12*21))</f>
        <v>106670</v>
      </c>
    </row>
    <row r="5" spans="1:15" x14ac:dyDescent="0.35">
      <c r="B5" s="14">
        <v>50002</v>
      </c>
      <c r="C5" s="15" t="str">
        <f t="shared" ref="C5:C13" si="0">_xlfn.CONCAT(M4," ",L4)</f>
        <v>Jeane M. Woolley</v>
      </c>
      <c r="D5" s="16">
        <v>99000</v>
      </c>
      <c r="E5" s="16">
        <v>91000</v>
      </c>
      <c r="F5" s="17">
        <v>19785</v>
      </c>
      <c r="G5" s="17">
        <v>42616</v>
      </c>
      <c r="H5" s="18">
        <f t="shared" ref="H5:H13" si="1">DATEDIF(F5,$K$1,"Y")</f>
        <v>64</v>
      </c>
      <c r="I5" s="19">
        <f t="shared" ref="I5:I13" si="2">($K$1-G5)/365.25</f>
        <v>2.3271731690622861</v>
      </c>
      <c r="J5" s="4">
        <f t="shared" ref="J5:J13" si="3">MAX(EDATE(G5,60),EDATE(F5,12*65))</f>
        <v>44442</v>
      </c>
      <c r="L5" t="str" cm="1">
        <f t="array" ref="L5:M5">_xlfn.TEXTSPLIT(Record!C6,",")</f>
        <v>Bartho</v>
      </c>
      <c r="M5" t="str">
        <v>Jerome Fion</v>
      </c>
    </row>
    <row r="6" spans="1:15" x14ac:dyDescent="0.35">
      <c r="B6" s="14">
        <v>50003</v>
      </c>
      <c r="C6" s="15" t="str">
        <f t="shared" si="0"/>
        <v>Jerome Fion Bartho</v>
      </c>
      <c r="D6" s="16">
        <v>98000</v>
      </c>
      <c r="E6" s="16">
        <v>90000</v>
      </c>
      <c r="F6" s="17">
        <v>20584</v>
      </c>
      <c r="G6" s="17">
        <v>37989</v>
      </c>
      <c r="H6" s="18">
        <f t="shared" si="1"/>
        <v>62</v>
      </c>
      <c r="I6" s="19">
        <f t="shared" si="2"/>
        <v>14.99520876112252</v>
      </c>
      <c r="J6" s="4">
        <f t="shared" si="3"/>
        <v>44325</v>
      </c>
      <c r="L6" t="str" cm="1">
        <f t="array" ref="L6:M6">_xlfn.TEXTSPLIT(Record!C7,",")</f>
        <v>Benson</v>
      </c>
      <c r="M6" t="str">
        <v>Scott G.</v>
      </c>
    </row>
    <row r="7" spans="1:15" x14ac:dyDescent="0.35">
      <c r="B7" s="14">
        <v>50004</v>
      </c>
      <c r="C7" s="15" t="str">
        <f t="shared" si="0"/>
        <v>Scott G. Benson</v>
      </c>
      <c r="D7" s="16">
        <v>97000</v>
      </c>
      <c r="E7" s="16">
        <v>89000</v>
      </c>
      <c r="F7" s="17">
        <v>20341</v>
      </c>
      <c r="G7" s="17">
        <v>40825</v>
      </c>
      <c r="H7" s="18">
        <f t="shared" si="1"/>
        <v>63</v>
      </c>
      <c r="I7" s="19">
        <f t="shared" si="2"/>
        <v>7.2306639288158792</v>
      </c>
      <c r="J7" s="4">
        <f t="shared" si="3"/>
        <v>44083</v>
      </c>
      <c r="L7" t="str" cm="1">
        <f t="array" ref="L7:M7">_xlfn.TEXTSPLIT(Record!C8,",")</f>
        <v>Aho</v>
      </c>
      <c r="M7" t="str">
        <v>Diane</v>
      </c>
    </row>
    <row r="8" spans="1:15" x14ac:dyDescent="0.35">
      <c r="B8" s="14">
        <v>50005</v>
      </c>
      <c r="C8" s="15" t="str">
        <f t="shared" si="0"/>
        <v>Diane Aho</v>
      </c>
      <c r="D8" s="16">
        <v>96000</v>
      </c>
      <c r="E8" s="16">
        <v>88000</v>
      </c>
      <c r="F8" s="17">
        <v>26458</v>
      </c>
      <c r="G8" s="17">
        <v>40973</v>
      </c>
      <c r="H8" s="18">
        <f t="shared" si="1"/>
        <v>46</v>
      </c>
      <c r="I8" s="19">
        <f>($K$1-G8)/365.25</f>
        <v>6.8254620123203287</v>
      </c>
      <c r="J8" s="4">
        <f>MAX(EDATE(Statement!E10,60),EDATE(F8,12*65))</f>
        <v>50199</v>
      </c>
      <c r="L8" t="str" cm="1">
        <f t="array" ref="L8:M8">_xlfn.TEXTSPLIT(Record!C9,",")</f>
        <v>Larson</v>
      </c>
      <c r="M8" t="str">
        <v>DeeAnn Smith</v>
      </c>
    </row>
    <row r="9" spans="1:15" x14ac:dyDescent="0.35">
      <c r="B9" s="14">
        <v>50006</v>
      </c>
      <c r="C9" s="15" t="str">
        <f t="shared" si="0"/>
        <v>DeeAnn Smith Larson</v>
      </c>
      <c r="D9" s="16">
        <v>95000</v>
      </c>
      <c r="E9" s="16">
        <v>87000</v>
      </c>
      <c r="F9" s="17">
        <v>23072</v>
      </c>
      <c r="G9" s="17">
        <v>36163</v>
      </c>
      <c r="H9" s="18">
        <f t="shared" si="1"/>
        <v>55</v>
      </c>
      <c r="I9" s="19">
        <f t="shared" si="2"/>
        <v>19.994524298425734</v>
      </c>
      <c r="J9" s="4">
        <f t="shared" si="3"/>
        <v>46814</v>
      </c>
      <c r="L9" t="str" cm="1">
        <f t="array" ref="L9:M9">_xlfn.TEXTSPLIT(Record!C10,",")</f>
        <v>Nelson</v>
      </c>
      <c r="M9" t="str">
        <v>Susann</v>
      </c>
    </row>
    <row r="10" spans="1:15" x14ac:dyDescent="0.35">
      <c r="B10" s="14">
        <v>50007</v>
      </c>
      <c r="C10" s="15" t="str">
        <f t="shared" si="0"/>
        <v>Susann Nelson</v>
      </c>
      <c r="D10" s="16">
        <v>100000</v>
      </c>
      <c r="E10" s="16">
        <v>92000</v>
      </c>
      <c r="F10" s="17">
        <v>20070</v>
      </c>
      <c r="G10" s="17">
        <v>32743</v>
      </c>
      <c r="H10" s="18">
        <f t="shared" si="1"/>
        <v>64</v>
      </c>
      <c r="I10" s="19">
        <f t="shared" si="2"/>
        <v>29.357973990417523</v>
      </c>
      <c r="J10" s="4">
        <f t="shared" si="3"/>
        <v>43811</v>
      </c>
      <c r="L10" t="str" cm="1">
        <f t="array" ref="L10:M10">_xlfn.TEXTSPLIT(Record!C11,",")</f>
        <v>Asche</v>
      </c>
      <c r="M10" t="str">
        <v>Tracy A.</v>
      </c>
    </row>
    <row r="11" spans="1:15" x14ac:dyDescent="0.35">
      <c r="B11" s="14">
        <v>50008</v>
      </c>
      <c r="C11" s="15" t="str">
        <f t="shared" si="0"/>
        <v>Tracy A. Asche</v>
      </c>
      <c r="D11" s="16">
        <v>93000</v>
      </c>
      <c r="E11" s="16">
        <v>85000</v>
      </c>
      <c r="F11" s="17">
        <v>21491</v>
      </c>
      <c r="G11" s="17">
        <v>43078</v>
      </c>
      <c r="H11" s="18">
        <f t="shared" si="1"/>
        <v>60</v>
      </c>
      <c r="I11" s="19">
        <f t="shared" si="2"/>
        <v>1.0622861054072552</v>
      </c>
      <c r="J11" s="4">
        <f t="shared" si="3"/>
        <v>45232</v>
      </c>
      <c r="L11" t="str" cm="1">
        <f t="array" ref="L11:M11">_xlfn.TEXTSPLIT(Record!C12,",")</f>
        <v>Carlson</v>
      </c>
      <c r="M11" t="str">
        <v>Robert Lee</v>
      </c>
    </row>
    <row r="12" spans="1:15" x14ac:dyDescent="0.35">
      <c r="B12" s="14">
        <v>50009</v>
      </c>
      <c r="C12" s="15" t="str">
        <f t="shared" si="0"/>
        <v>Robert Lee Carlson</v>
      </c>
      <c r="D12" s="16">
        <v>92000</v>
      </c>
      <c r="E12" s="16">
        <v>84000</v>
      </c>
      <c r="F12" s="17">
        <v>20694</v>
      </c>
      <c r="G12" s="17">
        <v>36767</v>
      </c>
      <c r="H12" s="18">
        <f t="shared" si="1"/>
        <v>62</v>
      </c>
      <c r="I12" s="19">
        <f t="shared" si="2"/>
        <v>18.340862422997947</v>
      </c>
      <c r="J12" s="4">
        <f t="shared" si="3"/>
        <v>44435</v>
      </c>
      <c r="L12" t="str" cm="1">
        <f t="array" ref="L12:M12">_xlfn.TEXTSPLIT(Record!C13,",")</f>
        <v>Donovan</v>
      </c>
      <c r="M12" t="str">
        <v>Richard</v>
      </c>
    </row>
    <row r="13" spans="1:15" x14ac:dyDescent="0.35">
      <c r="B13" s="14">
        <v>50010</v>
      </c>
      <c r="C13" s="15" t="str">
        <f t="shared" si="0"/>
        <v>Richard Donovan</v>
      </c>
      <c r="D13" s="16">
        <v>91000</v>
      </c>
      <c r="E13" s="16">
        <v>83000</v>
      </c>
      <c r="F13" s="17">
        <v>22901</v>
      </c>
      <c r="G13" s="17">
        <v>32546</v>
      </c>
      <c r="H13" s="18">
        <f t="shared" si="1"/>
        <v>56</v>
      </c>
      <c r="I13" s="19">
        <f t="shared" si="2"/>
        <v>29.897330595482547</v>
      </c>
      <c r="J13" s="4">
        <f t="shared" si="3"/>
        <v>46642</v>
      </c>
      <c r="L13" t="e" cm="1">
        <f t="array" ref="L13">_xlfn.TEXTSPLIT(Record!C14,",")</f>
        <v>#VALUE!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Record</vt:lpstr>
      <vt:lpstr>Sort DB</vt:lpstr>
      <vt:lpstr>Filter DB</vt:lpstr>
      <vt:lpstr>Filter Advanced</vt:lpstr>
      <vt:lpstr>Qx</vt:lpstr>
      <vt:lpstr>Pivot Table</vt:lpstr>
      <vt:lpstr>Annuity</vt:lpstr>
      <vt:lpstr>Rate</vt:lpstr>
      <vt:lpstr>Statement</vt:lpstr>
      <vt:lpstr>Calculation name (to hide)</vt:lpstr>
      <vt:lpstr>'Filter Advanced'!Criteria</vt:lpstr>
      <vt:lpstr>Annuity!Print_Titles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</dc:creator>
  <cp:lastModifiedBy>Andrew C</cp:lastModifiedBy>
  <cp:lastPrinted>2024-10-19T23:43:47Z</cp:lastPrinted>
  <dcterms:created xsi:type="dcterms:W3CDTF">2024-10-19T15:05:31Z</dcterms:created>
  <dcterms:modified xsi:type="dcterms:W3CDTF">2024-10-19T23:43:54Z</dcterms:modified>
</cp:coreProperties>
</file>