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oachslimes\"/>
    </mc:Choice>
  </mc:AlternateContent>
  <xr:revisionPtr revIDLastSave="0" documentId="13_ncr:1_{6BD7EB40-3FD6-4E9D-B95A-5D6ECDC72F3A}" xr6:coauthVersionLast="47" xr6:coauthVersionMax="47" xr10:uidLastSave="{00000000-0000-0000-0000-000000000000}"/>
  <bookViews>
    <workbookView xWindow="9480" yWindow="-15870" windowWidth="29040" windowHeight="15990" xr2:uid="{AB7D66DD-99DB-4E79-8386-D1BE3E306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3" i="1" l="1"/>
  <c r="X33" i="1"/>
  <c r="W33" i="1"/>
  <c r="V33" i="1"/>
  <c r="T33" i="1"/>
  <c r="X34" i="1"/>
  <c r="W34" i="1"/>
  <c r="V34" i="1"/>
  <c r="U34" i="1"/>
  <c r="T34" i="1"/>
  <c r="X32" i="1"/>
  <c r="W32" i="1"/>
  <c r="V32" i="1"/>
  <c r="U32" i="1"/>
  <c r="T32" i="1"/>
  <c r="B4" i="1"/>
  <c r="B5" i="1" s="1" a="1"/>
  <c r="B5" i="1" s="1"/>
  <c r="B6" i="1" s="1"/>
  <c r="W24" i="1"/>
  <c r="C34" i="1"/>
  <c r="C35" i="1" s="1" a="1"/>
  <c r="C35" i="1" s="1"/>
  <c r="C36" i="1" s="1"/>
  <c r="C39" i="1" s="1"/>
  <c r="C43" i="1" s="1"/>
  <c r="X31" i="1"/>
  <c r="W31" i="1"/>
  <c r="V31" i="1"/>
  <c r="U31" i="1"/>
  <c r="T31" i="1"/>
  <c r="E32" i="1"/>
  <c r="E33" i="1"/>
  <c r="B34" i="1"/>
  <c r="B35" i="1" s="1" a="1"/>
  <c r="B35" i="1" s="1"/>
  <c r="B36" i="1" s="1"/>
  <c r="B39" i="1" s="1"/>
  <c r="B43" i="1" s="1"/>
  <c r="D34" i="1"/>
  <c r="D35" i="1" s="1" a="1"/>
  <c r="D35" i="1" s="1"/>
  <c r="D36" i="1" s="1"/>
  <c r="D39" i="1" s="1"/>
  <c r="D43" i="1" s="1"/>
  <c r="T23" i="1"/>
  <c r="T24" i="1"/>
  <c r="Q3" i="1"/>
  <c r="D22" i="1"/>
  <c r="D23" i="1" s="1" a="1"/>
  <c r="D23" i="1" s="1"/>
  <c r="D24" i="1" s="1"/>
  <c r="D27" i="1" s="1"/>
  <c r="U30" i="1" s="1"/>
  <c r="X24" i="1"/>
  <c r="X23" i="1"/>
  <c r="H4" i="1"/>
  <c r="H5" i="1" s="1" a="1"/>
  <c r="H5" i="1" s="1"/>
  <c r="H6" i="1" s="1"/>
  <c r="H9" i="1" s="1"/>
  <c r="K4" i="1"/>
  <c r="K5" i="1" s="1" a="1"/>
  <c r="K5" i="1" s="1"/>
  <c r="K6" i="1" s="1"/>
  <c r="K9" i="1" s="1"/>
  <c r="L4" i="1"/>
  <c r="L5" i="1" s="1" a="1"/>
  <c r="L5" i="1" s="1"/>
  <c r="L6" i="1" s="1"/>
  <c r="L9" i="1" s="1"/>
  <c r="W23" i="1"/>
  <c r="V24" i="1"/>
  <c r="U24" i="1"/>
  <c r="V23" i="1"/>
  <c r="U23" i="1"/>
  <c r="B22" i="1"/>
  <c r="B23" i="1" s="1" a="1"/>
  <c r="B23" i="1" s="1"/>
  <c r="B24" i="1" s="1"/>
  <c r="B27" i="1" s="1"/>
  <c r="X18" i="1" s="1"/>
  <c r="C22" i="1"/>
  <c r="C23" i="1" s="1" a="1"/>
  <c r="C23" i="1" s="1"/>
  <c r="C24" i="1" s="1"/>
  <c r="C27" i="1" s="1"/>
  <c r="X17" i="1" s="1"/>
  <c r="C4" i="1"/>
  <c r="C5" i="1" s="1" a="1"/>
  <c r="C5" i="1" s="1"/>
  <c r="D4" i="1"/>
  <c r="D5" i="1" s="1" a="1"/>
  <c r="D5" i="1" s="1"/>
  <c r="E4" i="1"/>
  <c r="E5" i="1" s="1" a="1"/>
  <c r="E5" i="1" s="1"/>
  <c r="E6" i="1" s="1"/>
  <c r="E9" i="1" s="1"/>
  <c r="F4" i="1"/>
  <c r="F5" i="1" s="1" a="1"/>
  <c r="F5" i="1" s="1"/>
  <c r="F6" i="1" s="1"/>
  <c r="F9" i="1" s="1"/>
  <c r="G4" i="1"/>
  <c r="G5" i="1" s="1" a="1"/>
  <c r="G5" i="1" s="1"/>
  <c r="G6" i="1" s="1"/>
  <c r="G9" i="1" s="1"/>
  <c r="I4" i="1"/>
  <c r="I5" i="1" s="1" a="1"/>
  <c r="I5" i="1" s="1"/>
  <c r="I6" i="1" s="1"/>
  <c r="I9" i="1" s="1"/>
  <c r="J4" i="1"/>
  <c r="J5" i="1" s="1" a="1"/>
  <c r="J5" i="1" s="1"/>
  <c r="J6" i="1" s="1"/>
  <c r="J9" i="1" s="1"/>
  <c r="M4" i="1"/>
  <c r="M5" i="1" s="1" a="1"/>
  <c r="M5" i="1" s="1"/>
  <c r="M6" i="1" s="1"/>
  <c r="M9" i="1" s="1"/>
  <c r="N4" i="1"/>
  <c r="N5" i="1" s="1" a="1"/>
  <c r="N5" i="1" s="1"/>
  <c r="N6" i="1" s="1"/>
  <c r="N9" i="1" s="1"/>
  <c r="N14" i="1" s="1"/>
  <c r="O4" i="1"/>
  <c r="O5" i="1" s="1" a="1"/>
  <c r="O5" i="1" s="1"/>
  <c r="O6" i="1" s="1"/>
  <c r="O9" i="1" s="1"/>
  <c r="P4" i="1"/>
  <c r="P5" i="1" s="1" a="1"/>
  <c r="P5" i="1" s="1"/>
  <c r="U36" i="1" l="1"/>
  <c r="W25" i="1"/>
  <c r="T30" i="1"/>
  <c r="T36" i="1" s="1"/>
  <c r="E43" i="1"/>
  <c r="G43" i="1" s="1"/>
  <c r="E36" i="1"/>
  <c r="E35" i="1"/>
  <c r="E34" i="1"/>
  <c r="T17" i="1"/>
  <c r="T18" i="1"/>
  <c r="U17" i="1"/>
  <c r="V18" i="1"/>
  <c r="T25" i="1"/>
  <c r="V30" i="1"/>
  <c r="V36" i="1" s="1"/>
  <c r="W30" i="1"/>
  <c r="W36" i="1" s="1"/>
  <c r="X30" i="1"/>
  <c r="X36" i="1" s="1"/>
  <c r="X25" i="1"/>
  <c r="Q5" i="1"/>
  <c r="Q4" i="1"/>
  <c r="H14" i="1"/>
  <c r="H15" i="1"/>
  <c r="K14" i="1"/>
  <c r="K15" i="1"/>
  <c r="L15" i="1"/>
  <c r="L14" i="1"/>
  <c r="V25" i="1"/>
  <c r="U25" i="1"/>
  <c r="W17" i="1"/>
  <c r="V17" i="1"/>
  <c r="W18" i="1"/>
  <c r="U18" i="1"/>
  <c r="P6" i="1"/>
  <c r="P9" i="1" s="1"/>
  <c r="P14" i="1" s="1"/>
  <c r="D6" i="1"/>
  <c r="D9" i="1" s="1"/>
  <c r="D15" i="1" s="1"/>
  <c r="C6" i="1"/>
  <c r="C9" i="1" s="1"/>
  <c r="C15" i="1" s="1"/>
  <c r="G15" i="1"/>
  <c r="E15" i="1"/>
  <c r="I14" i="1"/>
  <c r="O14" i="1"/>
  <c r="F15" i="1"/>
  <c r="M14" i="1"/>
  <c r="J14" i="1"/>
  <c r="N15" i="1"/>
  <c r="F14" i="1"/>
  <c r="I15" i="1"/>
  <c r="G14" i="1"/>
  <c r="E14" i="1"/>
  <c r="O15" i="1"/>
  <c r="M15" i="1"/>
  <c r="J15" i="1"/>
  <c r="Q6" i="1" l="1"/>
  <c r="P15" i="1"/>
  <c r="D14" i="1"/>
  <c r="C14" i="1"/>
  <c r="B9" i="1"/>
  <c r="B15" i="1" l="1"/>
  <c r="Q15" i="1" s="1"/>
  <c r="B14" i="1"/>
  <c r="Q14" i="1" s="1"/>
  <c r="X14" i="1" s="1"/>
  <c r="X15" i="1" l="1"/>
  <c r="T14" i="1"/>
  <c r="U14" i="1"/>
  <c r="V14" i="1"/>
  <c r="W14" i="1"/>
  <c r="X20" i="1" l="1"/>
  <c r="W15" i="1"/>
  <c r="W20" i="1" s="1"/>
  <c r="W27" i="1" s="1"/>
  <c r="W38" i="1" s="1"/>
  <c r="T15" i="1"/>
  <c r="T20" i="1" s="1"/>
  <c r="T27" i="1" s="1"/>
  <c r="T38" i="1" s="1"/>
  <c r="V15" i="1"/>
  <c r="V20" i="1" s="1"/>
  <c r="V27" i="1" s="1"/>
  <c r="V38" i="1" s="1"/>
  <c r="U15" i="1"/>
  <c r="U20" i="1" s="1"/>
  <c r="U27" i="1" s="1"/>
  <c r="U38" i="1" s="1"/>
  <c r="X27" i="1" l="1"/>
  <c r="X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<sst xmlns="http://schemas.openxmlformats.org/spreadsheetml/2006/main" count="109" uniqueCount="75">
  <si>
    <t>D1 Mini</t>
  </si>
  <si>
    <t>BMI160</t>
  </si>
  <si>
    <t>TP4056</t>
  </si>
  <si>
    <t>Price Per Unit</t>
  </si>
  <si>
    <t>GY-271</t>
  </si>
  <si>
    <t>B5817WS</t>
  </si>
  <si>
    <t>0805 180k</t>
  </si>
  <si>
    <t>Daughterboard</t>
  </si>
  <si>
    <t>Motherboard</t>
  </si>
  <si>
    <t>Quantity Per Primary Tracker</t>
  </si>
  <si>
    <t>Quantity Per Secondary Tracker</t>
  </si>
  <si>
    <t>Price Per Primary Tracker</t>
  </si>
  <si>
    <t>Price Per Secondary Tracker</t>
  </si>
  <si>
    <t>Total</t>
  </si>
  <si>
    <t>JST-PH-4P</t>
  </si>
  <si>
    <t>Lower Body Set</t>
  </si>
  <si>
    <t>Core Set</t>
  </si>
  <si>
    <t>Enhanced Core Set</t>
  </si>
  <si>
    <t>Full Body Set</t>
  </si>
  <si>
    <t>Primary Tracker Quantity</t>
  </si>
  <si>
    <t>Secondary Tracker Quantity</t>
  </si>
  <si>
    <t>Price of Secondary Trackers</t>
  </si>
  <si>
    <t>Total Price of Set</t>
  </si>
  <si>
    <t>Price of Primary Trackers</t>
  </si>
  <si>
    <t>Wires</t>
  </si>
  <si>
    <t>803450</t>
  </si>
  <si>
    <t xml:space="preserve"> </t>
  </si>
  <si>
    <t>Listing Price</t>
  </si>
  <si>
    <t>Shipping</t>
  </si>
  <si>
    <t>Tax</t>
  </si>
  <si>
    <t>Order Quantity</t>
  </si>
  <si>
    <t>Item Quantity</t>
  </si>
  <si>
    <t>Tax Rate</t>
  </si>
  <si>
    <t>Subtotal</t>
  </si>
  <si>
    <t>38x300mm Strap</t>
  </si>
  <si>
    <t>38x500mm Strap</t>
  </si>
  <si>
    <t>300mm Strap Quantity</t>
  </si>
  <si>
    <t>500mm Strap Quantity</t>
  </si>
  <si>
    <t>Price of 500mm Straps</t>
  </si>
  <si>
    <t>Price of 300mm Straps</t>
  </si>
  <si>
    <t>Assembly Time Per Primary Tracker</t>
  </si>
  <si>
    <t>Assembly Time Per Secondary Tracker</t>
  </si>
  <si>
    <t>Hourly Wage</t>
  </si>
  <si>
    <t>Total Price of Assembly</t>
  </si>
  <si>
    <t>Total Price of Primary Assembly</t>
  </si>
  <si>
    <t>Total Price of Secondary Assembly</t>
  </si>
  <si>
    <t>Total Price of Assembled Set</t>
  </si>
  <si>
    <t xml:space="preserve">  </t>
  </si>
  <si>
    <t xml:space="preserve">SK12D07VG4 </t>
  </si>
  <si>
    <t>0805 LED</t>
  </si>
  <si>
    <t>Comment</t>
  </si>
  <si>
    <t>Optional</t>
  </si>
  <si>
    <t>0806 620r</t>
  </si>
  <si>
    <t>Pogo Female</t>
  </si>
  <si>
    <t>Pogo Male</t>
  </si>
  <si>
    <t>Deluxe Tracker Set</t>
  </si>
  <si>
    <t>Chest Harness</t>
  </si>
  <si>
    <t>Optional Addons</t>
  </si>
  <si>
    <t xml:space="preserve"> Materials Cost</t>
  </si>
  <si>
    <t>Assembly Cost</t>
  </si>
  <si>
    <t>Charging Dock</t>
  </si>
  <si>
    <t>Total Price of Addons</t>
  </si>
  <si>
    <t>Ancillary Components</t>
  </si>
  <si>
    <t>Charging Dock Components</t>
  </si>
  <si>
    <t>Quantity Per Dock</t>
  </si>
  <si>
    <t>Price Per Dock</t>
  </si>
  <si>
    <t>PCB</t>
  </si>
  <si>
    <t>Total Price</t>
  </si>
  <si>
    <t>USB-C Female SMD</t>
  </si>
  <si>
    <t>Assembly Time Per Charging Dock</t>
  </si>
  <si>
    <t>Assembled Price</t>
  </si>
  <si>
    <t xml:space="preserve"> Tracker Components</t>
  </si>
  <si>
    <t>Identity LEDs</t>
  </si>
  <si>
    <t>3D Printed Motherboard Cases</t>
  </si>
  <si>
    <t>3D Printed Daughterboard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</si>
</sst>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2" applyFill="1"/>
    <xf numFmtId="44" fontId="0" fillId="0" borderId="0" xfId="1" applyFont="1" applyFill="1"/>
    <xf numFmtId="44" fontId="0" fillId="0" borderId="0" xfId="0" applyNumberFormat="1"/>
    <xf numFmtId="9" fontId="0" fillId="0" borderId="0" xfId="3" applyFont="1" applyFill="1"/>
    <xf numFmtId="44" fontId="0" fillId="0" borderId="0" xfId="1" applyFont="1"/>
    <xf numFmtId="0" fontId="0" fillId="2" borderId="1" xfId="0" applyFill="1" applyBorder="1"/>
    <xf numFmtId="0" fontId="0" fillId="0" borderId="1" xfId="0" applyBorder="1"/>
    <xf numFmtId="44" fontId="0" fillId="0" borderId="1" xfId="0" applyNumberFormat="1" applyBorder="1"/>
    <xf numFmtId="44" fontId="0" fillId="2" borderId="1" xfId="0" applyNumberFormat="1" applyFill="1" applyBorder="1"/>
    <xf numFmtId="0" fontId="0" fillId="0" borderId="3" xfId="0" applyBorder="1"/>
    <xf numFmtId="0" fontId="0" fillId="2" borderId="2" xfId="0" applyFill="1" applyBorder="1"/>
    <xf numFmtId="44" fontId="0" fillId="2" borderId="2" xfId="0" applyNumberFormat="1" applyFill="1" applyBorder="1"/>
    <xf numFmtId="0" fontId="0" fillId="0" borderId="4" xfId="0" applyBorder="1"/>
    <xf numFmtId="0" fontId="0" fillId="4" borderId="4" xfId="0" applyFill="1" applyBorder="1"/>
    <xf numFmtId="0" fontId="5" fillId="0" borderId="0" xfId="0" applyFont="1"/>
    <xf numFmtId="0" fontId="4" fillId="3" borderId="5" xfId="0" applyFont="1" applyFill="1" applyBorder="1"/>
    <xf numFmtId="0" fontId="0" fillId="0" borderId="6" xfId="0" applyBorder="1"/>
    <xf numFmtId="0" fontId="4" fillId="0" borderId="5" xfId="0" applyFont="1" applyBorder="1"/>
    <xf numFmtId="0" fontId="2" fillId="0" borderId="0" xfId="2" applyFill="1" applyBorder="1"/>
    <xf numFmtId="44" fontId="0" fillId="0" borderId="0" xfId="1" applyFont="1" applyFill="1" applyBorder="1"/>
    <xf numFmtId="0" fontId="2" fillId="0" borderId="0" xfId="2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59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5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left style="thin">
          <color theme="5" tint="0.39997558519241921"/>
        </lef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R$30" lockText="1" noThreeD="1"/>
</file>

<file path=xl/ctrlProps/ctrlProp2.xml><?xml version="1.0" encoding="utf-8"?>
<formControlPr xmlns="http://schemas.microsoft.com/office/spreadsheetml/2009/9/main" objectType="CheckBox" fmlaLink="$R$31" lockText="1" noThreeD="1"/>
</file>

<file path=xl/ctrlProps/ctrlProp3.xml><?xml version="1.0" encoding="utf-8"?>
<formControlPr xmlns="http://schemas.microsoft.com/office/spreadsheetml/2009/9/main" objectType="CheckBox" fmlaLink="$R$32" lockText="1" noThreeD="1"/>
</file>

<file path=xl/ctrlProps/ctrlProp4.xml><?xml version="1.0" encoding="utf-8"?>
<formControlPr xmlns="http://schemas.microsoft.com/office/spreadsheetml/2009/9/main" objectType="CheckBox" checked="Checked" fmlaLink="$R$33" lockText="1" noThreeD="1"/>
</file>

<file path=xl/ctrlProps/ctrlProp5.xml><?xml version="1.0" encoding="utf-8"?>
<formControlPr xmlns="http://schemas.microsoft.com/office/spreadsheetml/2009/9/main" objectType="CheckBox" checked="Checked" fmlaLink="$R$3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29</xdr:row>
          <xdr:rowOff>0</xdr:rowOff>
        </xdr:from>
        <xdr:to>
          <xdr:col>18</xdr:col>
          <xdr:colOff>0</xdr:colOff>
          <xdr:row>30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30</xdr:row>
          <xdr:rowOff>0</xdr:rowOff>
        </xdr:from>
        <xdr:to>
          <xdr:col>18</xdr:col>
          <xdr:colOff>0</xdr:colOff>
          <xdr:row>31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31</xdr:row>
          <xdr:rowOff>0</xdr:rowOff>
        </xdr:from>
        <xdr:to>
          <xdr:col>18</xdr:col>
          <xdr:colOff>0</xdr:colOff>
          <xdr:row>32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067C1F4-563E-BE97-9EC5-28F75CC15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32</xdr:row>
          <xdr:rowOff>0</xdr:rowOff>
        </xdr:from>
        <xdr:to>
          <xdr:col>18</xdr:col>
          <xdr:colOff>0</xdr:colOff>
          <xdr:row>33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E2EA2D5-F728-C09D-912A-BE33E1F43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33</xdr:row>
          <xdr:rowOff>0</xdr:rowOff>
        </xdr:from>
        <xdr:to>
          <xdr:col>18</xdr:col>
          <xdr:colOff>0</xdr:colOff>
          <xdr:row>34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0A4A08F-3CC8-F8A1-09A2-6D412EED8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A7224-19B0-4C1A-A967-E81C81040A40}" name="Table1" displayName="Table1" ref="A1:Q17" totalsRowShown="0" headerRowDxfId="58" dataDxfId="57">
  <autoFilter ref="A1:Q17" xr:uid="{B14A7224-19B0-4C1A-A967-E81C81040A40}"/>
  <tableColumns count="17">
    <tableColumn id="1" xr3:uid="{FCE3FD92-4E2D-4CDD-8748-B2B792C3CC2B}" name=" Tracker Components" dataDxfId="56"/>
    <tableColumn id="2" xr3:uid="{C043608B-6B21-430A-A486-3DBF4D729827}" name="D1 Mini" dataDxfId="55"/>
    <tableColumn id="3" xr3:uid="{0FD903D3-5CF3-4816-A12C-6B81AD38D598}" name="BMI160" dataDxfId="54"/>
    <tableColumn id="4" xr3:uid="{AF1B510F-1F13-4EBF-9516-C6875CCCE2FD}" name="TP4056" dataDxfId="53"/>
    <tableColumn id="5" xr3:uid="{EDED6859-BC93-4D0F-9315-A40F96119E83}" name="GY-271" dataDxfId="52"/>
    <tableColumn id="6" xr3:uid="{7FD415BD-A930-4596-BA13-FDA67B16B7F4}" name="SK12D07VG4 " dataDxfId="51"/>
    <tableColumn id="7" xr3:uid="{A90A17C3-9B69-4679-A66B-0EDE0EB27F40}" name="JST-PH-4P" dataDxfId="50"/>
    <tableColumn id="20" xr3:uid="{BB4AB17F-F072-4577-B885-41BCCBC80B3B}" name="Pogo Female"/>
    <tableColumn id="8" xr3:uid="{A914F9A6-5FD6-48EC-9D66-948BA78CA99E}" name="B5817WS" dataDxfId="49"/>
    <tableColumn id="9" xr3:uid="{38CC02EE-7A21-4150-81A5-541E2C9611DA}" name="0805 180k" dataDxfId="48"/>
    <tableColumn id="17" xr3:uid="{D06AA3FD-469E-44E7-954C-59BA219B5A1D}" name="0806 620r"/>
    <tableColumn id="18" xr3:uid="{A346B222-7458-4A1F-8FDB-BE9A824753D5}" name="0805 LED"/>
    <tableColumn id="10" xr3:uid="{F09ECC99-91ED-41A2-B73F-32BA143514AC}" name="803450" dataDxfId="47"/>
    <tableColumn id="11" xr3:uid="{D2F40E9F-6B6D-42C4-81A7-8C00F83ACB72}" name="Wires" dataDxfId="46"/>
    <tableColumn id="12" xr3:uid="{1CAFA1EE-4F95-4300-8E25-43760021F16D}" name="Motherboard" dataDxfId="45"/>
    <tableColumn id="13" xr3:uid="{EBB820E5-8589-4BC4-925B-FE2B3CF62FFC}" name="Daughterboard" dataDxfId="44"/>
    <tableColumn id="14" xr3:uid="{A324B42F-BFC5-4670-BD72-3FF95C7E905F}" name="Total" dataDxfId="4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3392DA-EFC7-40A8-935E-E4659A1D9845}" name="Table2" displayName="Table2" ref="S7:X20" totalsRowShown="0" headerRowDxfId="42" dataDxfId="41">
  <autoFilter ref="S7:X20" xr:uid="{B93392DA-EFC7-40A8-935E-E4659A1D9845}"/>
  <tableColumns count="6">
    <tableColumn id="1" xr3:uid="{B05F922E-1AED-4BDF-AF79-C73D0E339E8C}" name=" Materials Cost" dataDxfId="40"/>
    <tableColumn id="2" xr3:uid="{890D8999-0321-4F67-A5E0-25676EB95AFA}" name="Lower Body Set" dataDxfId="39"/>
    <tableColumn id="3" xr3:uid="{965D71D9-87D7-40F0-AB78-E63CEFFF194C}" name="Core Set" dataDxfId="38"/>
    <tableColumn id="4" xr3:uid="{A87423F7-0BA3-4F6A-B4AF-D56080DE192B}" name="Enhanced Core Set" dataDxfId="37"/>
    <tableColumn id="5" xr3:uid="{15F82D2F-735C-4D15-9CD1-2FFAC68D783A}" name="Full Body Set" dataDxfId="36"/>
    <tableColumn id="6" xr3:uid="{268904B6-4873-466C-AF49-A18E0B9EB3F6}" name="Deluxe Tracker Set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449F7F-F1EE-4A89-9E33-10E64038C7E2}" name="Table3" displayName="Table3" ref="S4:S5" totalsRowShown="0" headerRowDxfId="34" dataDxfId="33" dataCellStyle="Percent">
  <autoFilter ref="S4:S5" xr:uid="{B9449F7F-F1EE-4A89-9E33-10E64038C7E2}"/>
  <tableColumns count="1">
    <tableColumn id="1" xr3:uid="{EEFB88A1-114F-47A3-9703-1AFADE80F2C2}" name="Tax Rate" dataDxfId="32" dataCellStyle="Percen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07A193-5055-47E6-93D0-DBFC148987EE}" name="Table4" displayName="Table4" ref="Z8:AA13" totalsRowShown="0">
  <autoFilter ref="Z8:AA13" xr:uid="{F107A193-5055-47E6-93D0-DBFC148987EE}"/>
  <tableColumns count="2">
    <tableColumn id="1" xr3:uid="{06B2B759-7FA4-4C83-94D6-B0E453F75745}" name=" "/>
    <tableColumn id="2" xr3:uid="{18135DD1-1A02-48AA-9046-C954FD999D0A}" name="  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99898-DD8A-4B5A-A7B3-AF75683FC4CB}" name="Table5" displayName="Table5" ref="S29:X38" totalsRowShown="0">
  <autoFilter ref="S29:X38" xr:uid="{2B999898-DD8A-4B5A-A7B3-AF75683FC4CB}"/>
  <tableColumns count="6">
    <tableColumn id="1" xr3:uid="{CD1F3E9F-0911-4C67-939E-F467E2073547}" name="Optional Addons"/>
    <tableColumn id="2" xr3:uid="{55F83CB7-D989-4E16-A502-12C3EAA859FB}" name="Lower Body Set" dataDxfId="31">
      <calculatedColumnFormula>D20</calculatedColumnFormula>
    </tableColumn>
    <tableColumn id="3" xr3:uid="{06B391EB-990B-4926-A197-9F33A33BAD50}" name="Core Set" dataDxfId="30">
      <calculatedColumnFormula>D20</calculatedColumnFormula>
    </tableColumn>
    <tableColumn id="4" xr3:uid="{4570C0AE-F627-499E-9AC8-B57DC386F056}" name="Enhanced Core Set" dataDxfId="29">
      <calculatedColumnFormula>D20</calculatedColumnFormula>
    </tableColumn>
    <tableColumn id="5" xr3:uid="{FB9069AA-C219-42C1-AA67-2E8E5F9EABE8}" name="Full Body Set" dataDxfId="28">
      <calculatedColumnFormula>D20</calculatedColumnFormula>
    </tableColumn>
    <tableColumn id="6" xr3:uid="{A94B1009-C6AC-47E2-9BE1-3AC6A7F36D5E}" name="Deluxe Tracker Set" dataDxfId="27">
      <calculatedColumnFormula>D20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777F21-5F7E-4E4B-BA66-B45089E35C2A}" name="Table6" displayName="Table6" ref="S22:X27" totalsRowShown="0" headerRowDxfId="26" dataDxfId="24" headerRowBorderDxfId="25" tableBorderDxfId="23" totalsRowBorderDxfId="22">
  <autoFilter ref="S22:X27" xr:uid="{BE777F21-5F7E-4E4B-BA66-B45089E35C2A}"/>
  <tableColumns count="6">
    <tableColumn id="1" xr3:uid="{E726F6E9-420E-4590-B851-07612196E2FB}" name="Assembly Cost" dataDxfId="21"/>
    <tableColumn id="2" xr3:uid="{E9A0F7D3-1A39-4714-8999-E746F3794DC3}" name="Lower Body Set" dataDxfId="20"/>
    <tableColumn id="3" xr3:uid="{808BC733-43EE-4E21-B368-8E1B59008315}" name="Core Set" dataDxfId="19"/>
    <tableColumn id="4" xr3:uid="{CC518581-4A7B-4E11-93F3-6E9AF562DF4A}" name="Enhanced Core Set" dataDxfId="18"/>
    <tableColumn id="5" xr3:uid="{969C46CE-554F-4ADC-99B4-77B362460AD8}" name="Full Body Set" dataDxfId="17"/>
    <tableColumn id="6" xr3:uid="{36E35190-C3BD-491D-8815-1BE12BF88F4F}" name="Deluxe Tracker Set" dataDxfId="16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37CD80-BE1B-4C67-939F-3565AB142AEB}" name="Table7" displayName="Table7" ref="A19:D29" totalsRowShown="0" headerRowBorderDxfId="15" tableBorderDxfId="14">
  <autoFilter ref="A19:D29" xr:uid="{1937CD80-BE1B-4C67-939F-3565AB142AEB}"/>
  <tableColumns count="4">
    <tableColumn id="1" xr3:uid="{3262E418-5713-49DA-AD70-0C8321B09A04}" name="Ancillary Components" dataDxfId="13"/>
    <tableColumn id="2" xr3:uid="{8A405A15-7C4C-4AE3-9170-9C663FAB89AF}" name="38x300mm Strap" dataDxfId="12"/>
    <tableColumn id="3" xr3:uid="{B59260DC-D256-4C9D-AC51-156D65EEF719}" name="38x500mm Strap" dataDxfId="11"/>
    <tableColumn id="4" xr3:uid="{E65489C3-1F46-4035-8CE1-771CDA52DDB7}" name="Chest Harness" dataDxfId="1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B4EC49-725A-464E-B7E5-5A1558A20F02}" name="Table79" displayName="Table79" ref="A31:E45" totalsRowShown="0" headerRowDxfId="9" dataDxfId="7" headerRowBorderDxfId="8" tableBorderDxfId="6">
  <autoFilter ref="A31:E45" xr:uid="{5CB4EC49-725A-464E-B7E5-5A1558A20F02}"/>
  <tableColumns count="5">
    <tableColumn id="1" xr3:uid="{06896587-D3F2-4DE0-855E-6C92FFC78119}" name="Charging Dock Components" dataDxfId="5"/>
    <tableColumn id="2" xr3:uid="{B0680A55-24DD-4CA4-8565-B40C9F09C265}" name="Pogo Male" dataDxfId="4"/>
    <tableColumn id="6" xr3:uid="{734E177A-4BEC-438B-B66D-EE9E42806AE3}" name="USB-C Female SMD" dataDxfId="3"/>
    <tableColumn id="3" xr3:uid="{38294D5D-5885-4DF9-BCAA-920959E2E41D}" name="PCB" dataDxfId="2"/>
    <tableColumn id="4" xr3:uid="{33512293-1FD2-42B9-86BB-D7FA3982F7A4}" name="Total" dataDxfId="1">
      <calculatedColumnFormula>SUM(Table79[[#This Row],[Pogo Male]:[PCB]])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A77239-5CC6-4DF4-BEE8-7839C6D245F6}" name="Table9" displayName="Table9" ref="G42:G43" totalsRowShown="0">
  <autoFilter ref="G42:G43" xr:uid="{F4A77239-5CC6-4DF4-BEE8-7839C6D245F6}"/>
  <tableColumns count="1">
    <tableColumn id="1" xr3:uid="{3D81F484-FB66-48E8-88F7-0E5537E0AE89}" name="Assembled Price" dataDxfId="0">
      <calculatedColumnFormula>SUM(((AA9)/60)*AA13,Table79[[#This Row],[Total]])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iexpress.us/item/3256804960956555.html" TargetMode="External"/><Relationship Id="rId18" Type="http://schemas.openxmlformats.org/officeDocument/2006/relationships/printerSettings" Target="../printerSettings/printerSettings1.bin"/><Relationship Id="rId26" Type="http://schemas.openxmlformats.org/officeDocument/2006/relationships/table" Target="../tables/table1.xml"/><Relationship Id="rId3" Type="http://schemas.openxmlformats.org/officeDocument/2006/relationships/hyperlink" Target="https://www.aliexpress.us/item/1005003621836701.html" TargetMode="External"/><Relationship Id="rId21" Type="http://schemas.openxmlformats.org/officeDocument/2006/relationships/ctrlProp" Target="../ctrlProps/ctrlProp1.xml"/><Relationship Id="rId34" Type="http://schemas.openxmlformats.org/officeDocument/2006/relationships/table" Target="../tables/table9.xml"/><Relationship Id="rId7" Type="http://schemas.openxmlformats.org/officeDocument/2006/relationships/hyperlink" Target="https://www.aliexpress.us/item/1005007032369041.html" TargetMode="External"/><Relationship Id="rId12" Type="http://schemas.openxmlformats.org/officeDocument/2006/relationships/hyperlink" Target="https://www.aliexpress.us/item/3256806846054289.html" TargetMode="External"/><Relationship Id="rId17" Type="http://schemas.openxmlformats.org/officeDocument/2006/relationships/hyperlink" Target="https://www.aliexpress.us/item/3256801722425879.html" TargetMode="External"/><Relationship Id="rId25" Type="http://schemas.openxmlformats.org/officeDocument/2006/relationships/ctrlProp" Target="../ctrlProps/ctrlProp5.xml"/><Relationship Id="rId33" Type="http://schemas.openxmlformats.org/officeDocument/2006/relationships/table" Target="../tables/table8.xml"/><Relationship Id="rId2" Type="http://schemas.openxmlformats.org/officeDocument/2006/relationships/hyperlink" Target="https://www.aliexpress.us/item/1005007143698152.html" TargetMode="External"/><Relationship Id="rId16" Type="http://schemas.openxmlformats.org/officeDocument/2006/relationships/hyperlink" Target="https://www.aliexpress.us/item/3256801722425879.html" TargetMode="External"/><Relationship Id="rId20" Type="http://schemas.openxmlformats.org/officeDocument/2006/relationships/vmlDrawing" Target="../drawings/vmlDrawing1.vml"/><Relationship Id="rId29" Type="http://schemas.openxmlformats.org/officeDocument/2006/relationships/table" Target="../tables/table4.xml"/><Relationship Id="rId1" Type="http://schemas.openxmlformats.org/officeDocument/2006/relationships/hyperlink" Target="https://www.aliexpress.us/item/32831353752.html" TargetMode="External"/><Relationship Id="rId6" Type="http://schemas.openxmlformats.org/officeDocument/2006/relationships/hyperlink" Target="https://www.aliexpress.us/item/1005004633629467.html" TargetMode="External"/><Relationship Id="rId11" Type="http://schemas.openxmlformats.org/officeDocument/2006/relationships/hyperlink" Target="https://www.aliexpress.us/item/3256805245629305.html" TargetMode="External"/><Relationship Id="rId24" Type="http://schemas.openxmlformats.org/officeDocument/2006/relationships/ctrlProp" Target="../ctrlProps/ctrlProp4.xml"/><Relationship Id="rId32" Type="http://schemas.openxmlformats.org/officeDocument/2006/relationships/table" Target="../tables/table7.xml"/><Relationship Id="rId5" Type="http://schemas.openxmlformats.org/officeDocument/2006/relationships/hyperlink" Target="https://www.aliexpress.us/item/3256806149664764.html" TargetMode="External"/><Relationship Id="rId15" Type="http://schemas.openxmlformats.org/officeDocument/2006/relationships/hyperlink" Target="https://www.aliexpress.us/item/2251832640172299.html" TargetMode="External"/><Relationship Id="rId23" Type="http://schemas.openxmlformats.org/officeDocument/2006/relationships/ctrlProp" Target="../ctrlProps/ctrlProp3.xml"/><Relationship Id="rId28" Type="http://schemas.openxmlformats.org/officeDocument/2006/relationships/table" Target="../tables/table3.xml"/><Relationship Id="rId10" Type="http://schemas.openxmlformats.org/officeDocument/2006/relationships/hyperlink" Target="https://www.aliexpress.us/item/1005007558078161.html" TargetMode="External"/><Relationship Id="rId19" Type="http://schemas.openxmlformats.org/officeDocument/2006/relationships/drawing" Target="../drawings/drawing1.xml"/><Relationship Id="rId31" Type="http://schemas.openxmlformats.org/officeDocument/2006/relationships/table" Target="../tables/table6.xml"/><Relationship Id="rId4" Type="http://schemas.openxmlformats.org/officeDocument/2006/relationships/hyperlink" Target="https://www.aliexpress.us/item/1556804905.html" TargetMode="External"/><Relationship Id="rId9" Type="http://schemas.openxmlformats.org/officeDocument/2006/relationships/hyperlink" Target="https://www.aliexpress.us/item/33011797617.html" TargetMode="External"/><Relationship Id="rId14" Type="http://schemas.openxmlformats.org/officeDocument/2006/relationships/hyperlink" Target="https://www.aliexpress.us/item/2255800604645252.html" TargetMode="External"/><Relationship Id="rId22" Type="http://schemas.openxmlformats.org/officeDocument/2006/relationships/ctrlProp" Target="../ctrlProps/ctrlProp2.xml"/><Relationship Id="rId27" Type="http://schemas.openxmlformats.org/officeDocument/2006/relationships/table" Target="../tables/table2.xml"/><Relationship Id="rId30" Type="http://schemas.openxmlformats.org/officeDocument/2006/relationships/table" Target="../tables/table5.xml"/><Relationship Id="rId8" Type="http://schemas.openxmlformats.org/officeDocument/2006/relationships/hyperlink" Target="https://www.aliexpress.us/item/10050063794036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E1AB-97AA-4510-B945-E7BF9EBEF607}">
  <dimension ref="A1:AA45"/>
  <sheetViews>
    <sheetView tabSelected="1" topLeftCell="A10" workbookViewId="0">
      <selection activeCell="O30" sqref="O30"/>
    </sheetView>
  </sheetViews>
  <sheetFormatPr defaultRowHeight="15" x14ac:dyDescent="0.25"/>
  <cols>
    <col min="1" max="1" width="29.140625" bestFit="1" customWidth="1"/>
    <col min="2" max="2" width="17.85546875" bestFit="1" customWidth="1"/>
    <col min="3" max="3" width="20.5703125" bestFit="1" customWidth="1"/>
    <col min="4" max="4" width="15.85546875" bestFit="1" customWidth="1"/>
    <col min="5" max="5" width="9.5703125" bestFit="1" customWidth="1"/>
    <col min="6" max="6" width="14.140625" bestFit="1" customWidth="1"/>
    <col min="7" max="7" width="17.85546875" customWidth="1"/>
    <col min="8" max="8" width="14.7109375" bestFit="1" customWidth="1"/>
    <col min="9" max="9" width="11.42578125" bestFit="1" customWidth="1"/>
    <col min="10" max="10" width="11.7109375" bestFit="1" customWidth="1"/>
    <col min="11" max="12" width="11.7109375" customWidth="1"/>
    <col min="13" max="13" width="9.28515625" bestFit="1" customWidth="1"/>
    <col min="14" max="14" width="8.5703125" bestFit="1" customWidth="1"/>
    <col min="15" max="15" width="15.140625" bestFit="1" customWidth="1"/>
    <col min="16" max="16" width="16.7109375" bestFit="1" customWidth="1"/>
    <col min="17" max="17" width="9" bestFit="1" customWidth="1"/>
    <col min="19" max="19" width="31.85546875" bestFit="1" customWidth="1"/>
    <col min="20" max="20" width="17" bestFit="1" customWidth="1"/>
    <col min="21" max="21" width="12.42578125" customWidth="1"/>
    <col min="22" max="22" width="20" bestFit="1" customWidth="1"/>
    <col min="23" max="23" width="14.7109375" bestFit="1" customWidth="1"/>
    <col min="24" max="24" width="20" bestFit="1" customWidth="1"/>
    <col min="25" max="25" width="9.140625" customWidth="1"/>
    <col min="26" max="26" width="35.140625" bestFit="1" customWidth="1"/>
    <col min="27" max="27" width="8" bestFit="1" customWidth="1"/>
  </cols>
  <sheetData>
    <row r="1" spans="1:27" x14ac:dyDescent="0.25">
      <c r="A1" t="s">
        <v>71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48</v>
      </c>
      <c r="G1" s="1" t="s">
        <v>14</v>
      </c>
      <c r="H1" s="1" t="s">
        <v>53</v>
      </c>
      <c r="I1" s="1" t="s">
        <v>5</v>
      </c>
      <c r="J1" s="1" t="s">
        <v>6</v>
      </c>
      <c r="K1" s="1" t="s">
        <v>52</v>
      </c>
      <c r="L1" s="1" t="s">
        <v>49</v>
      </c>
      <c r="M1" s="1" t="s">
        <v>25</v>
      </c>
      <c r="N1" s="1" t="s">
        <v>24</v>
      </c>
      <c r="O1" t="s">
        <v>8</v>
      </c>
      <c r="P1" t="s">
        <v>7</v>
      </c>
      <c r="Q1" t="s">
        <v>13</v>
      </c>
    </row>
    <row r="2" spans="1:27" x14ac:dyDescent="0.25">
      <c r="A2" t="s">
        <v>27</v>
      </c>
      <c r="B2" s="2">
        <v>1.43</v>
      </c>
      <c r="C2" s="2">
        <v>0.88</v>
      </c>
      <c r="D2" s="2">
        <v>3.27</v>
      </c>
      <c r="E2" s="2">
        <v>0.57999999999999996</v>
      </c>
      <c r="F2" s="2">
        <v>1.2</v>
      </c>
      <c r="G2" s="2">
        <v>3.79</v>
      </c>
      <c r="H2" s="2">
        <v>12.93</v>
      </c>
      <c r="I2" s="2">
        <v>1.2</v>
      </c>
      <c r="J2" s="2">
        <v>1.05</v>
      </c>
      <c r="K2" s="2">
        <v>1.05</v>
      </c>
      <c r="L2" s="2">
        <v>2.4700000000000002</v>
      </c>
      <c r="M2" s="2">
        <v>25.99</v>
      </c>
      <c r="N2" s="2">
        <v>11.93</v>
      </c>
      <c r="O2" s="2">
        <v>2</v>
      </c>
      <c r="P2" s="2">
        <v>2</v>
      </c>
      <c r="Q2" s="3"/>
    </row>
    <row r="3" spans="1:27" x14ac:dyDescent="0.25">
      <c r="A3" t="s">
        <v>28</v>
      </c>
      <c r="B3" s="2">
        <v>2.63</v>
      </c>
      <c r="C3" s="2">
        <v>2.3199999999999998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1.52</v>
      </c>
      <c r="P3" s="2">
        <v>1.52</v>
      </c>
      <c r="Q3" s="3">
        <f>SUM(B3:P3)</f>
        <v>7.9899999999999984</v>
      </c>
    </row>
    <row r="4" spans="1:27" x14ac:dyDescent="0.25">
      <c r="A4" t="s">
        <v>33</v>
      </c>
      <c r="B4" s="2">
        <f t="shared" ref="B4:P4" si="0">SUM(B2*B7,B3)</f>
        <v>15.5</v>
      </c>
      <c r="C4" s="2">
        <f t="shared" si="0"/>
        <v>12.88</v>
      </c>
      <c r="D4" s="2">
        <f t="shared" si="0"/>
        <v>3.27</v>
      </c>
      <c r="E4" s="2">
        <f t="shared" si="0"/>
        <v>6.9599999999999991</v>
      </c>
      <c r="F4" s="2">
        <f t="shared" si="0"/>
        <v>1.2</v>
      </c>
      <c r="G4" s="2">
        <f t="shared" si="0"/>
        <v>3.79</v>
      </c>
      <c r="H4" s="2">
        <f t="shared" si="0"/>
        <v>12.93</v>
      </c>
      <c r="I4" s="2">
        <f t="shared" si="0"/>
        <v>1.2</v>
      </c>
      <c r="J4" s="2">
        <f t="shared" si="0"/>
        <v>1.05</v>
      </c>
      <c r="K4" s="2">
        <f t="shared" si="0"/>
        <v>1.05</v>
      </c>
      <c r="L4" s="2">
        <f t="shared" si="0"/>
        <v>2.4700000000000002</v>
      </c>
      <c r="M4" s="2">
        <f t="shared" si="0"/>
        <v>25.99</v>
      </c>
      <c r="N4" s="2">
        <f t="shared" si="0"/>
        <v>11.93</v>
      </c>
      <c r="O4" s="2">
        <f t="shared" si="0"/>
        <v>3.52</v>
      </c>
      <c r="P4" s="2">
        <f t="shared" si="0"/>
        <v>3.52</v>
      </c>
      <c r="Q4" s="3">
        <f>SUM(B4:P4)</f>
        <v>107.25999999999999</v>
      </c>
      <c r="S4" t="s">
        <v>32</v>
      </c>
    </row>
    <row r="5" spans="1:27" x14ac:dyDescent="0.25">
      <c r="A5" t="s">
        <v>29</v>
      </c>
      <c r="B5" s="3" cm="1">
        <f t="array" ref="B5">B4*Table3[Tax Rate]</f>
        <v>1.2787500000000001</v>
      </c>
      <c r="C5" s="3" cm="1">
        <f t="array" ref="C5">C4*Table3[Tax Rate]</f>
        <v>1.0626000000000002</v>
      </c>
      <c r="D5" s="3" cm="1">
        <f t="array" ref="D5">D4*Table3[Tax Rate]</f>
        <v>0.26977499999999999</v>
      </c>
      <c r="E5" s="3" cm="1">
        <f t="array" ref="E5">E4*Table3[Tax Rate]</f>
        <v>0.57419999999999993</v>
      </c>
      <c r="F5" s="3" cm="1">
        <f t="array" ref="F5">F4*Table3[Tax Rate]</f>
        <v>9.9000000000000005E-2</v>
      </c>
      <c r="G5" s="3" cm="1">
        <f t="array" ref="G5">G4*Table3[Tax Rate]</f>
        <v>0.31267500000000004</v>
      </c>
      <c r="H5" s="3" cm="1">
        <f t="array" ref="H5">H4*Table3[Tax Rate]</f>
        <v>1.0667249999999999</v>
      </c>
      <c r="I5" s="3" cm="1">
        <f t="array" ref="I5">I4*Table3[Tax Rate]</f>
        <v>9.9000000000000005E-2</v>
      </c>
      <c r="J5" s="3" cm="1">
        <f t="array" ref="J5">J4*Table3[Tax Rate]</f>
        <v>8.6625000000000008E-2</v>
      </c>
      <c r="K5" s="3" cm="1">
        <f t="array" ref="K5">K4*Table3[Tax Rate]</f>
        <v>8.6625000000000008E-2</v>
      </c>
      <c r="L5" s="3" cm="1">
        <f t="array" ref="L5">L4*Table3[Tax Rate]</f>
        <v>0.20377500000000004</v>
      </c>
      <c r="M5" s="3" cm="1">
        <f t="array" ref="M5">M4*Table3[Tax Rate]</f>
        <v>2.1441750000000002</v>
      </c>
      <c r="N5" s="3" cm="1">
        <f t="array" ref="N5">N4*Table3[Tax Rate]</f>
        <v>0.98422500000000002</v>
      </c>
      <c r="O5" s="3" cm="1">
        <f t="array" ref="O5">O4*Table3[Tax Rate]</f>
        <v>0.29039999999999999</v>
      </c>
      <c r="P5" s="3" cm="1">
        <f t="array" ref="P5">P4*Table3[Tax Rate]</f>
        <v>0.29039999999999999</v>
      </c>
      <c r="Q5" s="3">
        <f>SUM(B5:P5)</f>
        <v>8.8489500000000003</v>
      </c>
      <c r="S5" s="4">
        <v>8.2500000000000004E-2</v>
      </c>
    </row>
    <row r="6" spans="1:27" x14ac:dyDescent="0.25">
      <c r="A6" t="s">
        <v>13</v>
      </c>
      <c r="B6" s="3">
        <f>SUM(B5,B4)</f>
        <v>16.778749999999999</v>
      </c>
      <c r="C6" s="3">
        <f t="shared" ref="C6:P6" si="1">SUM(C5,C4)</f>
        <v>13.942600000000001</v>
      </c>
      <c r="D6" s="3">
        <f t="shared" si="1"/>
        <v>3.5397750000000001</v>
      </c>
      <c r="E6" s="3">
        <f t="shared" si="1"/>
        <v>7.5341999999999993</v>
      </c>
      <c r="F6" s="3">
        <f t="shared" si="1"/>
        <v>1.2989999999999999</v>
      </c>
      <c r="G6" s="3">
        <f t="shared" si="1"/>
        <v>4.1026749999999996</v>
      </c>
      <c r="H6" s="3">
        <f t="shared" ref="H6" si="2">SUM(H5,H4)</f>
        <v>13.996725</v>
      </c>
      <c r="I6" s="3">
        <f t="shared" si="1"/>
        <v>1.2989999999999999</v>
      </c>
      <c r="J6" s="3">
        <f t="shared" si="1"/>
        <v>1.136625</v>
      </c>
      <c r="K6" s="3">
        <f t="shared" ref="K6" si="3">SUM(K5,K4)</f>
        <v>1.136625</v>
      </c>
      <c r="L6" s="3">
        <f t="shared" ref="L6" si="4">SUM(L5,L4)</f>
        <v>2.673775</v>
      </c>
      <c r="M6" s="3">
        <f t="shared" si="1"/>
        <v>28.134174999999999</v>
      </c>
      <c r="N6" s="3">
        <f t="shared" si="1"/>
        <v>12.914225</v>
      </c>
      <c r="O6" s="3">
        <f t="shared" si="1"/>
        <v>3.8104</v>
      </c>
      <c r="P6" s="3">
        <f t="shared" si="1"/>
        <v>3.8104</v>
      </c>
      <c r="Q6" s="3">
        <f>SUM(B6:P6)</f>
        <v>116.10895000000001</v>
      </c>
    </row>
    <row r="7" spans="1:27" x14ac:dyDescent="0.25">
      <c r="A7" t="s">
        <v>30</v>
      </c>
      <c r="B7">
        <v>9</v>
      </c>
      <c r="C7">
        <v>12</v>
      </c>
      <c r="D7">
        <v>1</v>
      </c>
      <c r="E7">
        <v>12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 t="s">
        <v>58</v>
      </c>
      <c r="T7" t="s">
        <v>15</v>
      </c>
      <c r="U7" t="s">
        <v>16</v>
      </c>
      <c r="V7" t="s">
        <v>17</v>
      </c>
      <c r="W7" t="s">
        <v>18</v>
      </c>
      <c r="X7" t="s">
        <v>55</v>
      </c>
    </row>
    <row r="8" spans="1:27" x14ac:dyDescent="0.25">
      <c r="A8" t="s">
        <v>31</v>
      </c>
      <c r="B8">
        <v>1</v>
      </c>
      <c r="C8">
        <v>1</v>
      </c>
      <c r="D8">
        <v>20</v>
      </c>
      <c r="E8">
        <v>1</v>
      </c>
      <c r="F8">
        <v>20</v>
      </c>
      <c r="G8">
        <v>100</v>
      </c>
      <c r="H8">
        <v>20</v>
      </c>
      <c r="I8">
        <v>100</v>
      </c>
      <c r="J8">
        <v>100</v>
      </c>
      <c r="K8">
        <v>100</v>
      </c>
      <c r="L8">
        <v>600</v>
      </c>
      <c r="M8">
        <v>10</v>
      </c>
      <c r="N8">
        <v>12</v>
      </c>
      <c r="O8">
        <v>20</v>
      </c>
      <c r="P8">
        <v>40</v>
      </c>
      <c r="S8" t="s">
        <v>19</v>
      </c>
      <c r="T8">
        <v>5</v>
      </c>
      <c r="U8">
        <v>5</v>
      </c>
      <c r="V8">
        <v>5</v>
      </c>
      <c r="W8">
        <v>7</v>
      </c>
      <c r="X8">
        <v>10</v>
      </c>
      <c r="Z8" t="s">
        <v>26</v>
      </c>
      <c r="AA8" t="s">
        <v>47</v>
      </c>
    </row>
    <row r="9" spans="1:27" x14ac:dyDescent="0.25">
      <c r="A9" t="s">
        <v>3</v>
      </c>
      <c r="B9" s="3">
        <f t="shared" ref="B9:P9" si="5">(B6/B7)/B8</f>
        <v>1.8643055555555554</v>
      </c>
      <c r="C9" s="3">
        <f t="shared" si="5"/>
        <v>1.1618833333333334</v>
      </c>
      <c r="D9" s="3">
        <f t="shared" si="5"/>
        <v>0.17698875</v>
      </c>
      <c r="E9" s="3">
        <f t="shared" si="5"/>
        <v>0.62784999999999991</v>
      </c>
      <c r="F9" s="3">
        <f t="shared" si="5"/>
        <v>6.4949999999999994E-2</v>
      </c>
      <c r="G9" s="3">
        <f t="shared" si="5"/>
        <v>4.1026749999999994E-2</v>
      </c>
      <c r="H9" s="3">
        <f t="shared" si="5"/>
        <v>0.69983624999999994</v>
      </c>
      <c r="I9" s="3">
        <f t="shared" si="5"/>
        <v>1.299E-2</v>
      </c>
      <c r="J9" s="3">
        <f t="shared" si="5"/>
        <v>1.136625E-2</v>
      </c>
      <c r="K9" s="3">
        <f t="shared" si="5"/>
        <v>1.136625E-2</v>
      </c>
      <c r="L9" s="3">
        <f t="shared" si="5"/>
        <v>4.4562916666666666E-3</v>
      </c>
      <c r="M9" s="3">
        <f t="shared" si="5"/>
        <v>2.8134174999999999</v>
      </c>
      <c r="N9" s="3">
        <f t="shared" si="5"/>
        <v>1.0761854166666667</v>
      </c>
      <c r="O9" s="3">
        <f t="shared" si="5"/>
        <v>0.19051999999999999</v>
      </c>
      <c r="P9" s="3">
        <f t="shared" si="5"/>
        <v>9.5259999999999997E-2</v>
      </c>
      <c r="Q9" s="3"/>
      <c r="S9" t="s">
        <v>20</v>
      </c>
      <c r="T9">
        <v>0</v>
      </c>
      <c r="U9">
        <v>1</v>
      </c>
      <c r="V9">
        <v>3</v>
      </c>
      <c r="W9">
        <v>3</v>
      </c>
      <c r="X9">
        <v>6</v>
      </c>
      <c r="Z9" t="s">
        <v>40</v>
      </c>
      <c r="AA9">
        <v>33</v>
      </c>
    </row>
    <row r="10" spans="1:27" x14ac:dyDescent="0.25">
      <c r="Z10" t="s">
        <v>41</v>
      </c>
      <c r="AA10">
        <v>5</v>
      </c>
    </row>
    <row r="11" spans="1:27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S11" t="s">
        <v>37</v>
      </c>
      <c r="T11">
        <v>6</v>
      </c>
      <c r="U11">
        <v>8</v>
      </c>
      <c r="V11">
        <v>8</v>
      </c>
      <c r="W11">
        <v>10</v>
      </c>
      <c r="X11">
        <v>10</v>
      </c>
      <c r="Z11" t="s">
        <v>69</v>
      </c>
      <c r="AA11">
        <v>30</v>
      </c>
    </row>
    <row r="12" spans="1:27" x14ac:dyDescent="0.25">
      <c r="A12" t="s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S12" t="s">
        <v>36</v>
      </c>
      <c r="T12">
        <v>0</v>
      </c>
      <c r="U12">
        <v>0</v>
      </c>
      <c r="V12">
        <v>2</v>
      </c>
      <c r="W12">
        <v>2</v>
      </c>
      <c r="X12">
        <v>2</v>
      </c>
    </row>
    <row r="13" spans="1:27" x14ac:dyDescent="0.25">
      <c r="T13" s="3"/>
      <c r="U13" s="3"/>
      <c r="V13" s="3"/>
      <c r="W13" s="3"/>
      <c r="X13" s="3"/>
      <c r="Z13" t="s">
        <v>42</v>
      </c>
      <c r="AA13" s="5">
        <v>22</v>
      </c>
    </row>
    <row r="14" spans="1:27" x14ac:dyDescent="0.25">
      <c r="A14" t="s">
        <v>11</v>
      </c>
      <c r="B14" s="3">
        <f>B9*B11</f>
        <v>1.8643055555555554</v>
      </c>
      <c r="C14" s="3">
        <f t="shared" ref="C14:P14" si="6">C9*C11</f>
        <v>1.1618833333333334</v>
      </c>
      <c r="D14" s="3">
        <f t="shared" si="6"/>
        <v>0.17698875</v>
      </c>
      <c r="E14" s="3">
        <f t="shared" si="6"/>
        <v>0.62784999999999991</v>
      </c>
      <c r="F14" s="3">
        <f t="shared" si="6"/>
        <v>6.4949999999999994E-2</v>
      </c>
      <c r="G14" s="3">
        <f t="shared" si="6"/>
        <v>4.1026749999999994E-2</v>
      </c>
      <c r="H14" s="3">
        <f t="shared" ref="H14" si="7">H9*H11</f>
        <v>0.69983624999999994</v>
      </c>
      <c r="I14" s="3">
        <f t="shared" si="6"/>
        <v>2.598E-2</v>
      </c>
      <c r="J14" s="3">
        <f t="shared" si="6"/>
        <v>1.136625E-2</v>
      </c>
      <c r="K14" s="3">
        <f t="shared" ref="K14" si="8">K9*K11</f>
        <v>1.136625E-2</v>
      </c>
      <c r="L14" s="3">
        <f t="shared" ref="L14" si="9">L9*L11</f>
        <v>4.4562916666666666E-3</v>
      </c>
      <c r="M14" s="3">
        <f t="shared" si="6"/>
        <v>2.8134174999999999</v>
      </c>
      <c r="N14" s="3">
        <f>N9*N11</f>
        <v>0</v>
      </c>
      <c r="O14" s="3">
        <f t="shared" si="6"/>
        <v>0.19051999999999999</v>
      </c>
      <c r="P14" s="3">
        <f t="shared" si="6"/>
        <v>0</v>
      </c>
      <c r="Q14" s="3">
        <f>SUM(B14:P14)</f>
        <v>7.6939469305555557</v>
      </c>
      <c r="S14" t="s">
        <v>23</v>
      </c>
      <c r="T14" s="3">
        <f>Q14*T8</f>
        <v>38.469734652777781</v>
      </c>
      <c r="U14" s="3">
        <f>Q14*U8</f>
        <v>38.469734652777781</v>
      </c>
      <c r="V14" s="3">
        <f>Q14*V8</f>
        <v>38.469734652777781</v>
      </c>
      <c r="W14" s="3">
        <f>Q14*W8</f>
        <v>53.857628513888891</v>
      </c>
      <c r="X14" s="3">
        <f>Q14*X8</f>
        <v>76.939469305555562</v>
      </c>
    </row>
    <row r="15" spans="1:27" x14ac:dyDescent="0.25">
      <c r="A15" t="s">
        <v>12</v>
      </c>
      <c r="B15" s="3">
        <f>B9*B12</f>
        <v>0</v>
      </c>
      <c r="C15" s="3">
        <f t="shared" ref="C15:P15" si="10">C9*C12</f>
        <v>1.1618833333333334</v>
      </c>
      <c r="D15" s="3">
        <f t="shared" si="10"/>
        <v>0</v>
      </c>
      <c r="E15" s="3">
        <f t="shared" si="10"/>
        <v>0.62784999999999991</v>
      </c>
      <c r="F15" s="3">
        <f t="shared" si="10"/>
        <v>0</v>
      </c>
      <c r="G15" s="3">
        <f t="shared" si="10"/>
        <v>4.1026749999999994E-2</v>
      </c>
      <c r="H15" s="3">
        <f t="shared" ref="H15" si="11">H9*H12</f>
        <v>0</v>
      </c>
      <c r="I15" s="3">
        <f t="shared" si="10"/>
        <v>0</v>
      </c>
      <c r="J15" s="3">
        <f t="shared" si="10"/>
        <v>0</v>
      </c>
      <c r="K15" s="3">
        <f t="shared" ref="K15" si="12">K9*K12</f>
        <v>0</v>
      </c>
      <c r="L15" s="3">
        <f t="shared" ref="L15" si="13">L9*L12</f>
        <v>0</v>
      </c>
      <c r="M15" s="3">
        <f t="shared" si="10"/>
        <v>0</v>
      </c>
      <c r="N15" s="3">
        <f t="shared" ref="N15" si="14">N9*N12</f>
        <v>1.0761854166666667</v>
      </c>
      <c r="O15" s="3">
        <f t="shared" si="10"/>
        <v>0</v>
      </c>
      <c r="P15" s="3">
        <f t="shared" si="10"/>
        <v>9.5259999999999997E-2</v>
      </c>
      <c r="Q15" s="3">
        <f>SUM(B15:P15)</f>
        <v>3.0022055000000001</v>
      </c>
      <c r="S15" t="s">
        <v>21</v>
      </c>
      <c r="T15" s="3">
        <f>Q15*T9</f>
        <v>0</v>
      </c>
      <c r="U15" s="3">
        <f>Q15*U9</f>
        <v>3.0022055000000001</v>
      </c>
      <c r="V15" s="3">
        <f>Q15*V9</f>
        <v>9.0066164999999998</v>
      </c>
      <c r="W15" s="3">
        <f>Q15*W9</f>
        <v>9.0066164999999998</v>
      </c>
      <c r="X15" s="3">
        <f>Q15*X9</f>
        <v>18.013233</v>
      </c>
    </row>
    <row r="16" spans="1:27" x14ac:dyDescent="0.25">
      <c r="L16" s="3"/>
      <c r="T16" s="3"/>
      <c r="U16" s="3"/>
      <c r="V16" s="3"/>
      <c r="W16" s="3"/>
      <c r="X16" s="3"/>
    </row>
    <row r="17" spans="1:24" x14ac:dyDescent="0.25">
      <c r="A17" t="s">
        <v>50</v>
      </c>
      <c r="H17" t="s">
        <v>51</v>
      </c>
      <c r="K17" t="s">
        <v>51</v>
      </c>
      <c r="L17" t="s">
        <v>51</v>
      </c>
      <c r="S17" t="s">
        <v>38</v>
      </c>
      <c r="T17" s="3">
        <f>C27*T11</f>
        <v>4.7803199999999997</v>
      </c>
      <c r="U17" s="3">
        <f>C27*U11</f>
        <v>6.3737599999999999</v>
      </c>
      <c r="V17" s="3">
        <f>C27*V11</f>
        <v>6.3737599999999999</v>
      </c>
      <c r="W17" s="3">
        <f>C27*W11</f>
        <v>7.9672000000000001</v>
      </c>
      <c r="X17" s="3">
        <f>C27*X11</f>
        <v>7.9672000000000001</v>
      </c>
    </row>
    <row r="18" spans="1:24" x14ac:dyDescent="0.25">
      <c r="S18" t="s">
        <v>39</v>
      </c>
      <c r="T18" s="3">
        <f>B27*T12</f>
        <v>0</v>
      </c>
      <c r="U18" s="3">
        <f>B27*U12</f>
        <v>0</v>
      </c>
      <c r="V18" s="3">
        <f>B27*V12</f>
        <v>1.32498</v>
      </c>
      <c r="W18" s="3">
        <f>B27*W12</f>
        <v>1.32498</v>
      </c>
      <c r="X18" s="3">
        <f>B27*X12</f>
        <v>1.32498</v>
      </c>
    </row>
    <row r="19" spans="1:24" x14ac:dyDescent="0.25">
      <c r="A19" s="16" t="s">
        <v>62</v>
      </c>
      <c r="B19" s="21" t="s">
        <v>34</v>
      </c>
      <c r="C19" s="21" t="s">
        <v>35</v>
      </c>
      <c r="D19" s="21" t="s">
        <v>56</v>
      </c>
      <c r="T19" s="3"/>
      <c r="U19" s="3"/>
      <c r="V19" s="3"/>
      <c r="W19" s="3"/>
      <c r="X19" s="3"/>
    </row>
    <row r="20" spans="1:24" x14ac:dyDescent="0.25">
      <c r="A20" s="14" t="s">
        <v>27</v>
      </c>
      <c r="B20" s="2">
        <v>3.06</v>
      </c>
      <c r="C20" s="2">
        <v>3.68</v>
      </c>
      <c r="D20" s="2">
        <v>8.0500000000000007</v>
      </c>
      <c r="S20" t="s">
        <v>22</v>
      </c>
      <c r="T20" s="3">
        <f>SUM(T14:T18)</f>
        <v>43.250054652777777</v>
      </c>
      <c r="U20" s="3">
        <f>SUM(U14:U18)</f>
        <v>47.845700152777781</v>
      </c>
      <c r="V20" s="3">
        <f>SUM(V14:V18)</f>
        <v>55.175091152777782</v>
      </c>
      <c r="W20" s="3">
        <f>SUM(W14:W18)</f>
        <v>72.156425013888892</v>
      </c>
      <c r="X20" s="3">
        <f>SUM(X14:X18)</f>
        <v>104.24488230555556</v>
      </c>
    </row>
    <row r="21" spans="1:24" x14ac:dyDescent="0.25">
      <c r="A21" s="13" t="s">
        <v>28</v>
      </c>
      <c r="B21" s="2">
        <v>0</v>
      </c>
      <c r="C21" s="2">
        <v>0</v>
      </c>
      <c r="D21" s="2">
        <v>0</v>
      </c>
    </row>
    <row r="22" spans="1:24" x14ac:dyDescent="0.25">
      <c r="A22" s="14" t="s">
        <v>33</v>
      </c>
      <c r="B22" s="2">
        <f>SUM(B20*B25,B21)</f>
        <v>6.12</v>
      </c>
      <c r="C22" s="2">
        <f>SUM(C20*C25,C21)</f>
        <v>7.36</v>
      </c>
      <c r="D22" s="2">
        <f>SUM(D20*D25,D21)</f>
        <v>8.0500000000000007</v>
      </c>
      <c r="S22" s="10" t="s">
        <v>59</v>
      </c>
      <c r="T22" t="s">
        <v>15</v>
      </c>
      <c r="U22" t="s">
        <v>16</v>
      </c>
      <c r="V22" t="s">
        <v>17</v>
      </c>
      <c r="W22" t="s">
        <v>18</v>
      </c>
      <c r="X22" t="s">
        <v>55</v>
      </c>
    </row>
    <row r="23" spans="1:24" x14ac:dyDescent="0.25">
      <c r="A23" s="13" t="s">
        <v>29</v>
      </c>
      <c r="B23" s="3" cm="1">
        <f t="array" ref="B23">B22*Table3[Tax Rate]</f>
        <v>0.50490000000000002</v>
      </c>
      <c r="C23" s="3" cm="1">
        <f t="array" ref="C23">C22*Table3[Tax Rate]</f>
        <v>0.60720000000000007</v>
      </c>
      <c r="D23" s="3" cm="1">
        <f t="array" ref="D23">D22*Table3[Tax Rate]</f>
        <v>0.66412500000000008</v>
      </c>
      <c r="S23" s="6" t="s">
        <v>44</v>
      </c>
      <c r="T23" s="9">
        <f>((T8*AA9)/60)*AA13</f>
        <v>60.5</v>
      </c>
      <c r="U23" s="9">
        <f>((U8*AA9)/60)*AA13</f>
        <v>60.5</v>
      </c>
      <c r="V23" s="9">
        <f>((V8*AA9)/60)*AA13</f>
        <v>60.5</v>
      </c>
      <c r="W23" s="9">
        <f>((W8*AA9)/60)*AA13</f>
        <v>84.7</v>
      </c>
      <c r="X23" s="9">
        <f>((X8*AA9)/60)*AA13</f>
        <v>121</v>
      </c>
    </row>
    <row r="24" spans="1:24" x14ac:dyDescent="0.25">
      <c r="A24" s="14" t="s">
        <v>13</v>
      </c>
      <c r="B24" s="3">
        <f t="shared" ref="B24" si="15">SUM(B23,B22)</f>
        <v>6.6249000000000002</v>
      </c>
      <c r="C24" s="3">
        <f>SUM(C23,C22)</f>
        <v>7.9672000000000001</v>
      </c>
      <c r="D24" s="3">
        <f>SUM(D23,D22)</f>
        <v>8.714125000000001</v>
      </c>
      <c r="S24" s="7" t="s">
        <v>45</v>
      </c>
      <c r="T24" s="8">
        <f>((T9*AA10)/60)*AA13</f>
        <v>0</v>
      </c>
      <c r="U24" s="8">
        <f>((U9*AA10)/60)*AA13</f>
        <v>1.8333333333333333</v>
      </c>
      <c r="V24" s="8">
        <f>((V9*AA10)/60)*AA13</f>
        <v>5.5</v>
      </c>
      <c r="W24" s="8">
        <f>((W9*AA10)/60)*AA13</f>
        <v>5.5</v>
      </c>
      <c r="X24" s="8">
        <f>((X9*AA10)/60)*AA13</f>
        <v>11</v>
      </c>
    </row>
    <row r="25" spans="1:24" x14ac:dyDescent="0.25">
      <c r="A25" s="13" t="s">
        <v>30</v>
      </c>
      <c r="B25">
        <v>2</v>
      </c>
      <c r="C25">
        <v>2</v>
      </c>
      <c r="D25">
        <v>1</v>
      </c>
      <c r="S25" s="6" t="s">
        <v>43</v>
      </c>
      <c r="T25" s="9">
        <f>SUM(T23:T24)</f>
        <v>60.5</v>
      </c>
      <c r="U25" s="9">
        <f t="shared" ref="U25:V25" si="16">SUM(U23:U24)</f>
        <v>62.333333333333336</v>
      </c>
      <c r="V25" s="9">
        <f t="shared" si="16"/>
        <v>66</v>
      </c>
      <c r="W25" s="9">
        <f>SUM(W23:W24)</f>
        <v>90.2</v>
      </c>
      <c r="X25" s="9">
        <f>SUM(X23:X24)</f>
        <v>132</v>
      </c>
    </row>
    <row r="26" spans="1:24" x14ac:dyDescent="0.25">
      <c r="A26" s="14" t="s">
        <v>31</v>
      </c>
      <c r="B26">
        <v>5</v>
      </c>
      <c r="C26">
        <v>5</v>
      </c>
      <c r="D26">
        <v>1</v>
      </c>
      <c r="S26" s="7"/>
      <c r="T26" s="8"/>
      <c r="U26" s="8"/>
      <c r="V26" s="8"/>
      <c r="W26" s="8"/>
      <c r="X26" s="8"/>
    </row>
    <row r="27" spans="1:24" x14ac:dyDescent="0.25">
      <c r="A27" s="13" t="s">
        <v>3</v>
      </c>
      <c r="B27" s="3">
        <f>(B24/B25)/B26</f>
        <v>0.66249000000000002</v>
      </c>
      <c r="C27" s="3">
        <f>(C24/C25)/C26</f>
        <v>0.79671999999999998</v>
      </c>
      <c r="D27" s="3">
        <f>(D24/D25)/D26</f>
        <v>8.714125000000001</v>
      </c>
      <c r="S27" s="11" t="s">
        <v>46</v>
      </c>
      <c r="T27" s="12">
        <f>SUM(T25,T20)</f>
        <v>103.75005465277778</v>
      </c>
      <c r="U27" s="12">
        <f>SUM(U25,U20)</f>
        <v>110.17903348611111</v>
      </c>
      <c r="V27" s="12">
        <f>SUM(V25,V20)</f>
        <v>121.17509115277778</v>
      </c>
      <c r="W27" s="12">
        <f>SUM(W25,W20)</f>
        <v>162.3564250138889</v>
      </c>
      <c r="X27" s="12">
        <f>SUM(X25,X20)</f>
        <v>236.24488230555556</v>
      </c>
    </row>
    <row r="28" spans="1:24" x14ac:dyDescent="0.25">
      <c r="A28" s="14"/>
      <c r="B28" s="3"/>
      <c r="C28" s="3"/>
      <c r="D28" s="3"/>
    </row>
    <row r="29" spans="1:24" x14ac:dyDescent="0.25">
      <c r="A29" s="17" t="s">
        <v>50</v>
      </c>
      <c r="D29" t="s">
        <v>51</v>
      </c>
      <c r="S29" t="s">
        <v>57</v>
      </c>
      <c r="T29" t="s">
        <v>15</v>
      </c>
      <c r="U29" t="s">
        <v>16</v>
      </c>
      <c r="V29" t="s">
        <v>17</v>
      </c>
      <c r="W29" t="s">
        <v>18</v>
      </c>
      <c r="X29" t="s">
        <v>55</v>
      </c>
    </row>
    <row r="30" spans="1:24" x14ac:dyDescent="0.25">
      <c r="R30" s="15" t="b">
        <v>0</v>
      </c>
      <c r="S30" t="s">
        <v>56</v>
      </c>
      <c r="T30" s="3">
        <f>IF(R30,D27,0)</f>
        <v>0</v>
      </c>
      <c r="U30" s="3">
        <f>IF(R30,D27,0)</f>
        <v>0</v>
      </c>
      <c r="V30" s="3">
        <f>IF(R30,D27,0)</f>
        <v>0</v>
      </c>
      <c r="W30" s="3">
        <f>IF(R30,D27,0)</f>
        <v>0</v>
      </c>
      <c r="X30" s="3">
        <f>IF(R30,D27,0)</f>
        <v>0</v>
      </c>
    </row>
    <row r="31" spans="1:24" x14ac:dyDescent="0.25">
      <c r="A31" s="18" t="s">
        <v>63</v>
      </c>
      <c r="B31" s="19" t="s">
        <v>54</v>
      </c>
      <c r="C31" s="19" t="s">
        <v>68</v>
      </c>
      <c r="D31" t="s">
        <v>66</v>
      </c>
      <c r="E31" t="s">
        <v>13</v>
      </c>
      <c r="R31" s="15" t="b">
        <v>0</v>
      </c>
      <c r="S31" t="s">
        <v>60</v>
      </c>
      <c r="T31" s="3">
        <f>IF(R31,E43,0)</f>
        <v>0</v>
      </c>
      <c r="U31" s="3">
        <f>IF(R31,E43,0)</f>
        <v>0</v>
      </c>
      <c r="V31" s="3">
        <f>IF(R31,E43,0)</f>
        <v>0</v>
      </c>
      <c r="W31" s="3">
        <f>IF(R31,E43,0)</f>
        <v>0</v>
      </c>
      <c r="X31" s="3">
        <f>IF(R31,E43,0)</f>
        <v>0</v>
      </c>
    </row>
    <row r="32" spans="1:24" x14ac:dyDescent="0.25">
      <c r="A32" s="13" t="s">
        <v>27</v>
      </c>
      <c r="B32" s="20">
        <v>2.83</v>
      </c>
      <c r="C32" s="20">
        <v>1.43</v>
      </c>
      <c r="D32" s="2">
        <v>2</v>
      </c>
      <c r="E32" s="3">
        <f>SUM(Table79[[#This Row],[Pogo Male]:[PCB]])</f>
        <v>6.26</v>
      </c>
      <c r="R32" s="15" t="b">
        <v>0</v>
      </c>
      <c r="S32" t="s">
        <v>72</v>
      </c>
      <c r="T32" s="3">
        <f>IF(R32,((2.5/60)*AA13)*T8,0)</f>
        <v>0</v>
      </c>
      <c r="U32" s="3">
        <f>IF(R32,((2.5/60)*AA13)*U8,0)</f>
        <v>0</v>
      </c>
      <c r="V32" s="3">
        <f>IF(R32,((2.5/60)*AA13)*V8,0)</f>
        <v>0</v>
      </c>
      <c r="W32" s="3">
        <f>IF(R32,((2.5/60)*AA13)*W8,0)</f>
        <v>0</v>
      </c>
      <c r="X32" s="3">
        <f>IF(R32,((2.5/60)*AA13)*X8,0)</f>
        <v>0</v>
      </c>
    </row>
    <row r="33" spans="1:24" x14ac:dyDescent="0.25">
      <c r="A33" s="13" t="s">
        <v>28</v>
      </c>
      <c r="B33" s="20">
        <v>0</v>
      </c>
      <c r="C33" s="20">
        <v>0</v>
      </c>
      <c r="D33" s="2">
        <v>1.52</v>
      </c>
      <c r="E33" s="20">
        <f>SUM(Table79[[#This Row],[Pogo Male]:[PCB]])</f>
        <v>1.52</v>
      </c>
      <c r="R33" s="15" t="b">
        <v>1</v>
      </c>
      <c r="S33" t="s">
        <v>73</v>
      </c>
      <c r="T33" s="3">
        <f>IF(R33,(1.69)*T8,0)</f>
        <v>8.4499999999999993</v>
      </c>
      <c r="U33" s="3">
        <f>IF(R33,(1.69)*U8,0)</f>
        <v>8.4499999999999993</v>
      </c>
      <c r="V33" s="3">
        <f>IF(R33,(1.69)*V8,0)</f>
        <v>8.4499999999999993</v>
      </c>
      <c r="W33" s="3">
        <f>IF(R33,(1.69)*W8,0)</f>
        <v>11.83</v>
      </c>
      <c r="X33" s="3">
        <f>IF(R33,(1.69)*X8,0)</f>
        <v>16.899999999999999</v>
      </c>
    </row>
    <row r="34" spans="1:24" x14ac:dyDescent="0.25">
      <c r="A34" s="13" t="s">
        <v>33</v>
      </c>
      <c r="B34" s="20">
        <f>SUM(B32*B37,B33)</f>
        <v>11.32</v>
      </c>
      <c r="C34" s="20">
        <f>SUM(C32*C37,C33)</f>
        <v>1.43</v>
      </c>
      <c r="D34" s="20">
        <f>SUM(D32*D37,D33)</f>
        <v>3.52</v>
      </c>
      <c r="E34" s="20">
        <f>SUM(Table79[[#This Row],[Pogo Male]:[PCB]])</f>
        <v>16.27</v>
      </c>
      <c r="R34" s="15" t="b">
        <v>1</v>
      </c>
      <c r="S34" t="s">
        <v>74</v>
      </c>
      <c r="T34" s="3">
        <f>IF(R34,(0.83)*T9,0)</f>
        <v>0</v>
      </c>
      <c r="U34" s="3">
        <f>IF(R34,(0.83)*U9,0)</f>
        <v>0.83</v>
      </c>
      <c r="V34" s="3">
        <f>IF(R34,(0.83)*V9,0)</f>
        <v>2.4899999999999998</v>
      </c>
      <c r="W34" s="3">
        <f>IF(R34,(0.83)*W9,0)</f>
        <v>2.4899999999999998</v>
      </c>
      <c r="X34" s="3">
        <f>IF(R34,(0.83)*X9,0)</f>
        <v>4.9799999999999995</v>
      </c>
    </row>
    <row r="35" spans="1:24" x14ac:dyDescent="0.25">
      <c r="A35" s="13" t="s">
        <v>29</v>
      </c>
      <c r="B35" s="3" cm="1">
        <f t="array" ref="B35">B34*Table3[Tax Rate]</f>
        <v>0.93390000000000006</v>
      </c>
      <c r="C35" s="3" cm="1">
        <f t="array" ref="C35">C34*Table3[Tax Rate]</f>
        <v>0.117975</v>
      </c>
      <c r="D35" s="3" cm="1">
        <f t="array" ref="D35">D34*Table3[Tax Rate]</f>
        <v>0.29039999999999999</v>
      </c>
      <c r="E35" s="3">
        <f>SUM(Table79[[#This Row],[Pogo Male]:[PCB]])</f>
        <v>1.3422750000000001</v>
      </c>
      <c r="T35" s="3"/>
      <c r="U35" s="3"/>
      <c r="V35" s="3"/>
      <c r="W35" s="3"/>
      <c r="X35" s="3"/>
    </row>
    <row r="36" spans="1:24" x14ac:dyDescent="0.25">
      <c r="A36" s="13" t="s">
        <v>13</v>
      </c>
      <c r="B36" s="3">
        <f>SUM(B35,B34)</f>
        <v>12.2539</v>
      </c>
      <c r="C36" s="3">
        <f>SUM(C35,C34)</f>
        <v>1.5479749999999999</v>
      </c>
      <c r="D36" s="3">
        <f>SUM(D35,D34)</f>
        <v>3.8104</v>
      </c>
      <c r="E36" s="3">
        <f>SUM(Table79[[#This Row],[Pogo Male]:[PCB]])</f>
        <v>17.612275</v>
      </c>
      <c r="S36" t="s">
        <v>61</v>
      </c>
      <c r="T36" s="3">
        <f>SUM(T30:T34)</f>
        <v>8.4499999999999993</v>
      </c>
      <c r="U36" s="3">
        <f t="shared" ref="U36:X36" si="17">SUM(U30:U34)</f>
        <v>9.2799999999999994</v>
      </c>
      <c r="V36" s="3">
        <f t="shared" si="17"/>
        <v>10.94</v>
      </c>
      <c r="W36" s="3">
        <f t="shared" si="17"/>
        <v>14.32</v>
      </c>
      <c r="X36" s="3">
        <f t="shared" si="17"/>
        <v>21.88</v>
      </c>
    </row>
    <row r="37" spans="1:24" x14ac:dyDescent="0.25">
      <c r="A37" s="13" t="s">
        <v>30</v>
      </c>
      <c r="B37">
        <v>4</v>
      </c>
      <c r="C37">
        <v>1</v>
      </c>
      <c r="D37">
        <v>1</v>
      </c>
      <c r="E37" s="3"/>
      <c r="T37" s="3"/>
      <c r="U37" s="3"/>
      <c r="V37" s="3"/>
      <c r="W37" s="3"/>
      <c r="X37" s="3"/>
    </row>
    <row r="38" spans="1:24" x14ac:dyDescent="0.25">
      <c r="A38" s="13" t="s">
        <v>31</v>
      </c>
      <c r="B38">
        <v>5</v>
      </c>
      <c r="C38">
        <v>10</v>
      </c>
      <c r="D38">
        <v>5</v>
      </c>
      <c r="E38" s="3"/>
      <c r="S38" t="s">
        <v>67</v>
      </c>
      <c r="T38" s="3">
        <f>SUM(T36,T27)</f>
        <v>112.20005465277778</v>
      </c>
      <c r="U38" s="3">
        <f>SUM(U36,U27)</f>
        <v>119.45903348611111</v>
      </c>
      <c r="V38" s="3">
        <f>SUM(V36,V27)</f>
        <v>132.11509115277778</v>
      </c>
      <c r="W38" s="3">
        <f>SUM(W36,W27)</f>
        <v>176.67642501388889</v>
      </c>
      <c r="X38" s="3">
        <f>SUM(X36,X27)</f>
        <v>258.12488230555556</v>
      </c>
    </row>
    <row r="39" spans="1:24" x14ac:dyDescent="0.25">
      <c r="A39" s="13" t="s">
        <v>3</v>
      </c>
      <c r="B39" s="3">
        <f>(B36/B37)/B38</f>
        <v>0.61269499999999999</v>
      </c>
      <c r="C39" s="3">
        <f>(C36/C37)/C38</f>
        <v>0.15479749999999998</v>
      </c>
      <c r="D39" s="3">
        <f>(D36/D37)/D38</f>
        <v>0.76207999999999998</v>
      </c>
      <c r="E39" s="3"/>
    </row>
    <row r="40" spans="1:24" x14ac:dyDescent="0.25">
      <c r="A40" s="13"/>
      <c r="D40" s="3"/>
      <c r="E40" s="3"/>
    </row>
    <row r="41" spans="1:24" x14ac:dyDescent="0.25">
      <c r="A41" s="13" t="s">
        <v>64</v>
      </c>
      <c r="B41">
        <v>8</v>
      </c>
      <c r="C41">
        <v>1</v>
      </c>
      <c r="D41">
        <v>2</v>
      </c>
      <c r="E41" s="3"/>
    </row>
    <row r="42" spans="1:24" x14ac:dyDescent="0.25">
      <c r="A42" s="13"/>
      <c r="B42" s="3"/>
      <c r="C42" s="3"/>
      <c r="D42" s="3"/>
      <c r="E42" s="3"/>
      <c r="G42" t="s">
        <v>70</v>
      </c>
    </row>
    <row r="43" spans="1:24" x14ac:dyDescent="0.25">
      <c r="A43" s="13" t="s">
        <v>65</v>
      </c>
      <c r="B43" s="3">
        <f>B41*B39</f>
        <v>4.9015599999999999</v>
      </c>
      <c r="C43" s="3">
        <f>C41*C39</f>
        <v>0.15479749999999998</v>
      </c>
      <c r="D43" s="3">
        <f>D41*D39</f>
        <v>1.52416</v>
      </c>
      <c r="E43" s="3">
        <f>SUM(Table79[[#This Row],[Pogo Male]:[PCB]])</f>
        <v>6.5805175</v>
      </c>
      <c r="G43" s="3">
        <f>SUM(((AA9)/60)*AA13,Table79[[#This Row],[Total]])</f>
        <v>18.680517500000001</v>
      </c>
      <c r="T43" s="3"/>
    </row>
    <row r="44" spans="1:24" x14ac:dyDescent="0.25">
      <c r="A44" s="13"/>
      <c r="B44" s="3"/>
      <c r="C44" s="3"/>
      <c r="D44" s="3"/>
      <c r="E44" s="3"/>
      <c r="T44" s="3"/>
    </row>
    <row r="45" spans="1:24" x14ac:dyDescent="0.25">
      <c r="A45" s="17" t="s">
        <v>50</v>
      </c>
      <c r="E45" s="3"/>
    </row>
  </sheetData>
  <phoneticPr fontId="3" type="noConversion"/>
  <hyperlinks>
    <hyperlink ref="B1" r:id="rId1" xr:uid="{2C3408F2-7587-412A-A86B-EBACB4070ED6}"/>
    <hyperlink ref="C1" r:id="rId2" xr:uid="{ACDCF6F5-765A-4665-909B-88DDE0026BAB}"/>
    <hyperlink ref="M1" r:id="rId3" display="https://www.aliexpress.us/item/1005003621836701.html" xr:uid="{2C5963DB-B219-4FCC-A916-72CC28405F3D}"/>
    <hyperlink ref="E1" r:id="rId4" xr:uid="{207B5C87-5B2B-4A85-B9C4-4B1CBAE1467B}"/>
    <hyperlink ref="F1" r:id="rId5" xr:uid="{A3D5DBB4-FFF2-410B-9197-0E507F624697}"/>
    <hyperlink ref="I1" r:id="rId6" xr:uid="{7C920F76-9FCB-413E-A611-E0E8DFD87D63}"/>
    <hyperlink ref="J1" r:id="rId7" xr:uid="{8B232549-32D8-46A8-B5FA-174F1EFC671F}"/>
    <hyperlink ref="D1" r:id="rId8" xr:uid="{2542D608-C754-4ABB-824D-1DD4B6074EF7}"/>
    <hyperlink ref="G1" r:id="rId9" xr:uid="{90E5CA13-940C-4CAD-877E-A257752753D0}"/>
    <hyperlink ref="N1" r:id="rId10" xr:uid="{63DB5117-0501-42A1-9A78-2A255B905020}"/>
    <hyperlink ref="L1" r:id="rId11" display="806 180k" xr:uid="{813FE5E4-8D8C-498C-80D9-D4D06CED9E21}"/>
    <hyperlink ref="K1" r:id="rId12" xr:uid="{F4E5F754-FB96-4763-BCA0-BE3B51B26CCC}"/>
    <hyperlink ref="H1" r:id="rId13" xr:uid="{9E69DB61-50D5-4B07-8504-652B39EF87A7}"/>
    <hyperlink ref="B31" r:id="rId14" xr:uid="{1C40E70B-CB41-4039-AD7A-3684E7733544}"/>
    <hyperlink ref="D19" r:id="rId15" xr:uid="{A6F901DF-9399-4619-BEBA-ABA678436C0C}"/>
    <hyperlink ref="B19" r:id="rId16" xr:uid="{BC0ABDEB-CB05-46AA-952F-6B19588526D9}"/>
    <hyperlink ref="C19" r:id="rId17" xr:uid="{BE26F90E-F18C-4325-9898-4EF9AF31F1BB}"/>
  </hyperlinks>
  <pageMargins left="0.7" right="0.7" top="0.75" bottom="0.75" header="0.3" footer="0.3"/>
  <pageSetup orientation="portrait" horizontalDpi="0" verticalDpi="0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1" name="Check Box 1">
              <controlPr defaultSize="0" autoFill="0" autoLine="0" autoPict="0">
                <anchor moveWithCells="1">
                  <from>
                    <xdr:col>17</xdr:col>
                    <xdr:colOff>390525</xdr:colOff>
                    <xdr:row>29</xdr:row>
                    <xdr:rowOff>0</xdr:rowOff>
                  </from>
                  <to>
                    <xdr:col>18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2" name="Check Box 2">
              <controlPr defaultSize="0" autoFill="0" autoLine="0" autoPict="0">
                <anchor moveWithCells="1">
                  <from>
                    <xdr:col>17</xdr:col>
                    <xdr:colOff>390525</xdr:colOff>
                    <xdr:row>30</xdr:row>
                    <xdr:rowOff>0</xdr:rowOff>
                  </from>
                  <to>
                    <xdr:col>18</xdr:col>
                    <xdr:colOff>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3" name="Check Box 3">
              <controlPr defaultSize="0" autoFill="0" autoLine="0" autoPict="0">
                <anchor moveWithCells="1">
                  <from>
                    <xdr:col>17</xdr:col>
                    <xdr:colOff>390525</xdr:colOff>
                    <xdr:row>31</xdr:row>
                    <xdr:rowOff>0</xdr:rowOff>
                  </from>
                  <to>
                    <xdr:col>18</xdr:col>
                    <xdr:colOff>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24" name="Check Box 4">
              <controlPr defaultSize="0" autoFill="0" autoLine="0" autoPict="0">
                <anchor moveWithCells="1">
                  <from>
                    <xdr:col>17</xdr:col>
                    <xdr:colOff>390525</xdr:colOff>
                    <xdr:row>32</xdr:row>
                    <xdr:rowOff>0</xdr:rowOff>
                  </from>
                  <to>
                    <xdr:col>18</xdr:col>
                    <xdr:colOff>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5" name="Check Box 5">
              <controlPr defaultSize="0" autoFill="0" autoLine="0" autoPict="0">
                <anchor moveWithCells="1">
                  <from>
                    <xdr:col>17</xdr:col>
                    <xdr:colOff>390525</xdr:colOff>
                    <xdr:row>33</xdr:row>
                    <xdr:rowOff>0</xdr:rowOff>
                  </from>
                  <to>
                    <xdr:col>18</xdr:col>
                    <xdr:colOff>0</xdr:colOff>
                    <xdr:row>34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9"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HairGuy</dc:creator>
  <cp:lastModifiedBy>Crazy HairGuy</cp:lastModifiedBy>
  <dcterms:created xsi:type="dcterms:W3CDTF">2024-09-20T11:30:00Z</dcterms:created>
  <dcterms:modified xsi:type="dcterms:W3CDTF">2024-10-14T17:48:07Z</dcterms:modified>
</cp:coreProperties>
</file>