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60" windowWidth="15480" windowHeight="11640" tabRatio="789" activeTab="6"/>
  </bookViews>
  <sheets>
    <sheet name="ejército" sheetId="1" r:id="rId1"/>
    <sheet name="producción" sheetId="2" r:id="rId2"/>
    <sheet name="desarollo" sheetId="3" r:id="rId3"/>
    <sheet name="consumo" sheetId="8" r:id="rId4"/>
    <sheet name="cifras" sheetId="7" r:id="rId5"/>
    <sheet name="impuestos" sheetId="5" r:id="rId6"/>
    <sheet name="gastos del gobierno" sheetId="4" r:id="rId7"/>
    <sheet name="petroleo" sheetId="6" r:id="rId8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" i="2"/>
  <c r="B10"/>
  <c r="B11"/>
  <c r="B12"/>
  <c r="B13"/>
  <c r="B14"/>
  <c r="B15"/>
  <c r="B16"/>
  <c r="B17"/>
  <c r="B18"/>
  <c r="B19"/>
  <c r="B20"/>
  <c r="B21"/>
  <c r="B22"/>
  <c r="B8"/>
  <c r="E8" i="5"/>
  <c r="E9"/>
  <c r="E10"/>
  <c r="E11"/>
  <c r="E12"/>
  <c r="E13"/>
  <c r="E14"/>
  <c r="E15"/>
  <c r="E16"/>
  <c r="E17"/>
  <c r="E18"/>
  <c r="E19"/>
  <c r="E20"/>
  <c r="E21"/>
  <c r="E7"/>
  <c r="E11" i="3"/>
  <c r="E12"/>
  <c r="E13"/>
  <c r="E14"/>
  <c r="E15"/>
  <c r="E16"/>
  <c r="E17"/>
  <c r="E18"/>
  <c r="E19"/>
  <c r="E20"/>
  <c r="E21"/>
  <c r="E22"/>
  <c r="E23"/>
  <c r="E10"/>
  <c r="E9"/>
  <c r="C9" i="7"/>
  <c r="C8" i="2"/>
  <c r="J8"/>
  <c r="D8" i="7"/>
  <c r="F8"/>
  <c r="E8"/>
  <c r="C10"/>
  <c r="C9" i="2"/>
  <c r="J9"/>
  <c r="D9" i="7"/>
  <c r="F9"/>
  <c r="E9"/>
  <c r="C11"/>
  <c r="C10" i="2"/>
  <c r="J10"/>
  <c r="D10" i="7"/>
  <c r="F10"/>
  <c r="E10"/>
  <c r="C12"/>
  <c r="C11" i="2"/>
  <c r="J11"/>
  <c r="D11" i="7"/>
  <c r="F11"/>
  <c r="E11"/>
  <c r="C13"/>
  <c r="C12" i="2"/>
  <c r="J12"/>
  <c r="D12" i="7"/>
  <c r="F12"/>
  <c r="E12"/>
  <c r="C14"/>
  <c r="C13" i="2"/>
  <c r="J13"/>
  <c r="D13" i="7"/>
  <c r="F13"/>
  <c r="E13"/>
  <c r="C15"/>
  <c r="C14" i="2"/>
  <c r="J14"/>
  <c r="D14" i="7"/>
  <c r="F14"/>
  <c r="E14"/>
  <c r="C16"/>
  <c r="C15" i="2"/>
  <c r="J15"/>
  <c r="D15" i="7"/>
  <c r="F15"/>
  <c r="E15"/>
  <c r="C17"/>
  <c r="C16" i="2"/>
  <c r="J16"/>
  <c r="D16" i="7"/>
  <c r="F16"/>
  <c r="E16"/>
  <c r="C18"/>
  <c r="C17" i="2"/>
  <c r="J17"/>
  <c r="D17" i="7"/>
  <c r="F17"/>
  <c r="E17"/>
  <c r="C19"/>
  <c r="C18" i="2"/>
  <c r="J18"/>
  <c r="D18" i="7"/>
  <c r="F18"/>
  <c r="E18"/>
  <c r="C20"/>
  <c r="C19" i="2"/>
  <c r="J19"/>
  <c r="D19" i="7"/>
  <c r="F19"/>
  <c r="E19"/>
  <c r="C21"/>
  <c r="C20" i="2"/>
  <c r="J20"/>
  <c r="D20" i="7"/>
  <c r="F20"/>
  <c r="E20"/>
  <c r="C22"/>
  <c r="C21" i="2"/>
  <c r="J21"/>
  <c r="D21" i="7"/>
  <c r="F21"/>
  <c r="E21"/>
  <c r="C23"/>
  <c r="C22" i="2"/>
  <c r="J22"/>
  <c r="D22" i="7"/>
  <c r="F22"/>
  <c r="E22"/>
  <c r="D10" i="8"/>
  <c r="G10"/>
  <c r="G9" i="7"/>
  <c r="D11" i="8"/>
  <c r="G11"/>
  <c r="G10" i="7"/>
  <c r="D12" i="8"/>
  <c r="G12"/>
  <c r="G11" i="7"/>
  <c r="D13" i="8"/>
  <c r="G13"/>
  <c r="G12" i="7"/>
  <c r="D14" i="8"/>
  <c r="G14"/>
  <c r="G13" i="7"/>
  <c r="D15" i="8"/>
  <c r="G15"/>
  <c r="G14" i="7"/>
  <c r="D16" i="8"/>
  <c r="G16"/>
  <c r="G15" i="7"/>
  <c r="D17" i="8"/>
  <c r="G17"/>
  <c r="G16" i="7"/>
  <c r="D18" i="8"/>
  <c r="G18"/>
  <c r="G17" i="7"/>
  <c r="D19" i="8"/>
  <c r="G19"/>
  <c r="G18" i="7"/>
  <c r="D20" i="8"/>
  <c r="G20"/>
  <c r="G19" i="7"/>
  <c r="D21" i="8"/>
  <c r="G21"/>
  <c r="G20" i="7"/>
  <c r="D22" i="8"/>
  <c r="G22"/>
  <c r="G21" i="7"/>
  <c r="D23" i="8"/>
  <c r="G23"/>
  <c r="G22" i="7"/>
  <c r="D9" i="8"/>
  <c r="G9"/>
  <c r="G8" i="7"/>
  <c r="F9" i="8"/>
  <c r="F10"/>
  <c r="F11"/>
  <c r="F12"/>
  <c r="F13"/>
  <c r="F14"/>
  <c r="F15"/>
  <c r="F16"/>
  <c r="F17"/>
  <c r="F18"/>
  <c r="F19"/>
  <c r="F20"/>
  <c r="F21"/>
  <c r="F22"/>
  <c r="F23"/>
  <c r="C23"/>
  <c r="C22"/>
  <c r="C21"/>
  <c r="C20"/>
  <c r="C19"/>
  <c r="C18"/>
  <c r="C17"/>
  <c r="C16"/>
  <c r="C15"/>
  <c r="C14"/>
  <c r="C13"/>
  <c r="C12"/>
  <c r="C11"/>
  <c r="C10"/>
  <c r="C9"/>
  <c r="E9"/>
  <c r="E10"/>
  <c r="E11"/>
  <c r="E12"/>
  <c r="E13"/>
  <c r="E14"/>
  <c r="E15"/>
  <c r="E16"/>
  <c r="E17"/>
  <c r="E18"/>
  <c r="E19"/>
  <c r="E20"/>
  <c r="E21"/>
  <c r="E22"/>
  <c r="E23"/>
  <c r="H9" i="3"/>
  <c r="H11"/>
  <c r="H12"/>
  <c r="H13"/>
  <c r="H14"/>
  <c r="H15"/>
  <c r="H16"/>
  <c r="H17"/>
  <c r="H18"/>
  <c r="H19"/>
  <c r="H20"/>
  <c r="H21"/>
  <c r="H22"/>
  <c r="H23"/>
  <c r="H10"/>
  <c r="C10"/>
  <c r="C9"/>
  <c r="C12"/>
  <c r="C13"/>
  <c r="C14"/>
  <c r="C15"/>
  <c r="C16"/>
  <c r="C17"/>
  <c r="C18"/>
  <c r="C19"/>
  <c r="C20"/>
  <c r="C21"/>
  <c r="C22"/>
  <c r="C23"/>
  <c r="C11"/>
  <c r="I23"/>
  <c r="I22"/>
  <c r="I21"/>
  <c r="I20"/>
  <c r="I19"/>
  <c r="I18"/>
  <c r="I17"/>
  <c r="I16"/>
  <c r="I15"/>
  <c r="I14"/>
  <c r="I13"/>
  <c r="I12"/>
  <c r="I11"/>
  <c r="I10"/>
  <c r="I9"/>
  <c r="H11" i="1"/>
  <c r="H12"/>
  <c r="H13"/>
  <c r="H14"/>
  <c r="H15"/>
  <c r="H16"/>
  <c r="H17"/>
  <c r="H18"/>
  <c r="H19"/>
  <c r="H20"/>
  <c r="H21"/>
  <c r="H22"/>
  <c r="H23"/>
  <c r="H10"/>
  <c r="H9"/>
  <c r="E14"/>
  <c r="C9"/>
  <c r="C23"/>
  <c r="E23"/>
  <c r="J23"/>
  <c r="E10"/>
  <c r="E11"/>
  <c r="E12"/>
  <c r="E13"/>
  <c r="E15"/>
  <c r="E16"/>
  <c r="E17"/>
  <c r="E18"/>
  <c r="E19"/>
  <c r="E20"/>
  <c r="E21"/>
  <c r="E22"/>
  <c r="C22"/>
  <c r="C21"/>
  <c r="C20"/>
  <c r="C19"/>
  <c r="C18"/>
  <c r="C17"/>
  <c r="C16"/>
  <c r="C15"/>
  <c r="C14"/>
  <c r="C13"/>
  <c r="C12"/>
  <c r="C11"/>
  <c r="C10"/>
  <c r="E9"/>
  <c r="J9"/>
  <c r="J10"/>
  <c r="J11"/>
  <c r="J12"/>
  <c r="J13"/>
  <c r="J14"/>
  <c r="J15"/>
  <c r="J16"/>
  <c r="J17"/>
  <c r="J18"/>
  <c r="J19"/>
  <c r="J20"/>
  <c r="J21"/>
  <c r="J22"/>
  <c r="F10" i="4"/>
  <c r="F11"/>
  <c r="F12"/>
  <c r="F13"/>
  <c r="F14"/>
  <c r="F15"/>
  <c r="F16"/>
  <c r="F17"/>
  <c r="F18"/>
  <c r="F19"/>
  <c r="F20"/>
  <c r="F21"/>
  <c r="F22"/>
  <c r="F23"/>
  <c r="F9"/>
  <c r="B14"/>
  <c r="B10"/>
  <c r="B11"/>
  <c r="B12"/>
  <c r="B13"/>
  <c r="B15"/>
  <c r="B16"/>
  <c r="B17"/>
  <c r="B18"/>
  <c r="B19"/>
  <c r="B20"/>
  <c r="B21"/>
  <c r="B22"/>
  <c r="B23"/>
  <c r="B9"/>
  <c r="F7" i="5"/>
  <c r="C28"/>
  <c r="C7"/>
  <c r="I7"/>
  <c r="H9" i="4"/>
  <c r="D9"/>
  <c r="D26"/>
  <c r="C21" i="5"/>
  <c r="F21"/>
  <c r="I21"/>
  <c r="H23" i="4"/>
  <c r="C23"/>
  <c r="D23"/>
  <c r="E23"/>
  <c r="G23"/>
  <c r="I23"/>
  <c r="C20" i="5"/>
  <c r="F20"/>
  <c r="I20"/>
  <c r="H22" i="4"/>
  <c r="C22"/>
  <c r="D22"/>
  <c r="E22"/>
  <c r="G22"/>
  <c r="I22"/>
  <c r="C19" i="5"/>
  <c r="F19"/>
  <c r="I19"/>
  <c r="H21" i="4"/>
  <c r="C21"/>
  <c r="D21"/>
  <c r="E21"/>
  <c r="G21"/>
  <c r="I21"/>
  <c r="C18" i="5"/>
  <c r="F18"/>
  <c r="I18"/>
  <c r="H20" i="4"/>
  <c r="C20"/>
  <c r="D20"/>
  <c r="E20"/>
  <c r="G20"/>
  <c r="I20"/>
  <c r="C17" i="5"/>
  <c r="F17"/>
  <c r="I17"/>
  <c r="H19" i="4"/>
  <c r="C19"/>
  <c r="D19"/>
  <c r="E19"/>
  <c r="G19"/>
  <c r="I19"/>
  <c r="C16" i="5"/>
  <c r="F16"/>
  <c r="I16"/>
  <c r="H18" i="4"/>
  <c r="C18"/>
  <c r="D18"/>
  <c r="E18"/>
  <c r="G18"/>
  <c r="I18"/>
  <c r="C15" i="5"/>
  <c r="F15"/>
  <c r="I15"/>
  <c r="H17" i="4"/>
  <c r="C17"/>
  <c r="D17"/>
  <c r="E17"/>
  <c r="G17"/>
  <c r="I17"/>
  <c r="C14" i="5"/>
  <c r="F14"/>
  <c r="I14"/>
  <c r="H16" i="4"/>
  <c r="C16"/>
  <c r="D16"/>
  <c r="E16"/>
  <c r="G16"/>
  <c r="I16"/>
  <c r="C13" i="5"/>
  <c r="F13"/>
  <c r="I13"/>
  <c r="H15" i="4"/>
  <c r="C15"/>
  <c r="D15"/>
  <c r="E15"/>
  <c r="G15"/>
  <c r="I15"/>
  <c r="C12" i="5"/>
  <c r="F12"/>
  <c r="I12"/>
  <c r="H14" i="4"/>
  <c r="C14"/>
  <c r="D14"/>
  <c r="E14"/>
  <c r="G14"/>
  <c r="I14"/>
  <c r="C11" i="5"/>
  <c r="F11"/>
  <c r="I11"/>
  <c r="H13" i="4"/>
  <c r="C13"/>
  <c r="D13"/>
  <c r="E13"/>
  <c r="G13"/>
  <c r="I13"/>
  <c r="C10" i="5"/>
  <c r="F10"/>
  <c r="I10"/>
  <c r="H12" i="4"/>
  <c r="C12"/>
  <c r="D12"/>
  <c r="E12"/>
  <c r="G12"/>
  <c r="I12"/>
  <c r="C9" i="5"/>
  <c r="F9"/>
  <c r="I9"/>
  <c r="H11" i="4"/>
  <c r="C11"/>
  <c r="D11"/>
  <c r="E11"/>
  <c r="G11"/>
  <c r="I11"/>
  <c r="C8" i="5"/>
  <c r="F8"/>
  <c r="I8"/>
  <c r="H10" i="4"/>
  <c r="C10"/>
  <c r="D10"/>
  <c r="E10"/>
  <c r="G10"/>
  <c r="I10"/>
  <c r="C9"/>
  <c r="E9"/>
  <c r="G9"/>
  <c r="I9"/>
  <c r="L9"/>
  <c r="L10"/>
  <c r="L11"/>
  <c r="L12"/>
  <c r="L13"/>
  <c r="L14"/>
  <c r="L15"/>
  <c r="L16"/>
  <c r="L17"/>
  <c r="L18"/>
  <c r="L20"/>
  <c r="L21"/>
  <c r="L22"/>
  <c r="L23"/>
  <c r="B8" i="5"/>
  <c r="B9"/>
  <c r="B10"/>
  <c r="B11"/>
  <c r="B12"/>
  <c r="B13"/>
  <c r="B14"/>
  <c r="B15"/>
  <c r="B16"/>
  <c r="B17"/>
  <c r="B18"/>
  <c r="B19"/>
  <c r="B20"/>
  <c r="B21"/>
  <c r="D8"/>
  <c r="D9"/>
  <c r="D10"/>
  <c r="D11"/>
  <c r="D12"/>
  <c r="D13"/>
  <c r="D14"/>
  <c r="D15"/>
  <c r="D16"/>
  <c r="D17"/>
  <c r="D18"/>
  <c r="D19"/>
  <c r="D20"/>
  <c r="D21"/>
  <c r="D7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D5" i="6"/>
  <c r="D6"/>
  <c r="D7"/>
  <c r="D9"/>
  <c r="B9"/>
  <c r="C11"/>
  <c r="C9"/>
  <c r="F8" i="2"/>
  <c r="F9"/>
  <c r="H9"/>
  <c r="D9"/>
  <c r="E9"/>
  <c r="F10"/>
  <c r="H10"/>
  <c r="D10"/>
  <c r="E10"/>
  <c r="F11"/>
  <c r="H11"/>
  <c r="D11"/>
  <c r="E11"/>
  <c r="F12"/>
  <c r="H12"/>
  <c r="D12"/>
  <c r="E12"/>
  <c r="F13"/>
  <c r="H13"/>
  <c r="D13"/>
  <c r="E13"/>
  <c r="F14"/>
  <c r="H14"/>
  <c r="D14"/>
  <c r="E14"/>
  <c r="F15"/>
  <c r="H15"/>
  <c r="D15"/>
  <c r="E15"/>
  <c r="F16"/>
  <c r="H16"/>
  <c r="D16"/>
  <c r="E16"/>
  <c r="F17"/>
  <c r="H17"/>
  <c r="D17"/>
  <c r="E17"/>
  <c r="F18"/>
  <c r="H18"/>
  <c r="D18"/>
  <c r="E18"/>
  <c r="F19"/>
  <c r="H19"/>
  <c r="D19"/>
  <c r="E19"/>
  <c r="F20"/>
  <c r="H20"/>
  <c r="D20"/>
  <c r="E20"/>
  <c r="F21"/>
  <c r="H21"/>
  <c r="D21"/>
  <c r="E21"/>
  <c r="F22"/>
  <c r="H22"/>
  <c r="D22"/>
  <c r="E22"/>
  <c r="H8"/>
  <c r="D8"/>
  <c r="E8"/>
</calcChain>
</file>

<file path=xl/sharedStrings.xml><?xml version="1.0" encoding="utf-8"?>
<sst xmlns="http://schemas.openxmlformats.org/spreadsheetml/2006/main" count="152" uniqueCount="141">
  <si>
    <t xml:space="preserve">Barcos o tanques </t>
    <phoneticPr fontId="8" type="noConversion"/>
  </si>
  <si>
    <t>$ usado para armas</t>
    <phoneticPr fontId="8" type="noConversion"/>
  </si>
  <si>
    <t>$ para construir</t>
    <phoneticPr fontId="8" type="noConversion"/>
  </si>
  <si>
    <t>$ usado para taladrar una mina</t>
    <phoneticPr fontId="8" type="noConversion"/>
  </si>
  <si>
    <t>Total en Materiales de construcción</t>
    <phoneticPr fontId="8" type="noConversion"/>
  </si>
  <si>
    <t># de casas</t>
    <phoneticPr fontId="8" type="noConversion"/>
  </si>
  <si>
    <t>es precio de 3,000 libras de materiales de construcción + $20,000 + 100 barriles de petróleo</t>
    <phoneticPr fontId="8" type="noConversion"/>
  </si>
  <si>
    <t>$ de personas</t>
    <phoneticPr fontId="8" type="noConversion"/>
  </si>
  <si>
    <t>es población * promedio de salario * 30%</t>
    <phoneticPr fontId="8" type="noConversion"/>
  </si>
  <si>
    <t>Promedio de salario</t>
    <phoneticPr fontId="8" type="noConversion"/>
  </si>
  <si>
    <t>población</t>
  </si>
  <si>
    <t>población</t>
    <phoneticPr fontId="8" type="noConversion"/>
  </si>
  <si>
    <t xml:space="preserve"> </t>
    <phoneticPr fontId="8" type="noConversion"/>
  </si>
  <si>
    <t># de solados</t>
    <phoneticPr fontId="8" type="noConversion"/>
  </si>
  <si>
    <t>Ejército</t>
    <phoneticPr fontId="8" type="noConversion"/>
  </si>
  <si>
    <t>Costos</t>
    <phoneticPr fontId="8" type="noConversion"/>
  </si>
  <si>
    <t>1 bomba</t>
    <phoneticPr fontId="8" type="noConversion"/>
  </si>
  <si>
    <t>Soldado</t>
    <phoneticPr fontId="8" type="noConversion"/>
  </si>
  <si>
    <t>avion</t>
    <phoneticPr fontId="8" type="noConversion"/>
  </si>
  <si>
    <t>barril de petróleo</t>
    <phoneticPr fontId="8" type="noConversion"/>
  </si>
  <si>
    <t>es (Petroleo + $100,000) X bombas</t>
    <phoneticPr fontId="8" type="noConversion"/>
  </si>
  <si>
    <t>libra de construcción</t>
    <phoneticPr fontId="8" type="noConversion"/>
  </si>
  <si>
    <t>es 20,000 libras X $3 +$10,000,000</t>
    <phoneticPr fontId="8" type="noConversion"/>
  </si>
  <si>
    <t>es 20,000 libras X $3 +$30,000,000</t>
    <phoneticPr fontId="8" type="noConversion"/>
  </si>
  <si>
    <t>es $1 X # de libras</t>
    <phoneticPr fontId="8" type="noConversion"/>
  </si>
  <si>
    <t>$1/libra</t>
    <phoneticPr fontId="8" type="noConversion"/>
  </si>
  <si>
    <t xml:space="preserve">Producción </t>
    <phoneticPr fontId="8" type="noConversion"/>
  </si>
  <si>
    <t>$ usado para residentes</t>
    <phoneticPr fontId="8" type="noConversion"/>
  </si>
  <si>
    <t>Total gastos para ejército</t>
    <phoneticPr fontId="8" type="noConversion"/>
  </si>
  <si>
    <t>pozo petrolero</t>
  </si>
  <si>
    <t>comida producido - Libras</t>
    <phoneticPr fontId="8" type="noConversion"/>
  </si>
  <si>
    <t>$ generado de petroleo</t>
    <phoneticPr fontId="8" type="noConversion"/>
  </si>
  <si>
    <t>petroleo producido barriles</t>
    <phoneticPr fontId="8" type="noConversion"/>
  </si>
  <si>
    <t>promedio de salario</t>
    <phoneticPr fontId="8" type="noConversion"/>
  </si>
  <si>
    <t>es $10,000,000 X # de fábricas ÷ 12</t>
    <phoneticPr fontId="8" type="noConversion"/>
  </si>
  <si>
    <t>es $50000 X # de casas ÷ 12</t>
    <phoneticPr fontId="8" type="noConversion"/>
  </si>
  <si>
    <t>$ en fábricas</t>
    <phoneticPr fontId="8" type="noConversion"/>
  </si>
  <si>
    <t>10 barriles de petroleo</t>
    <phoneticPr fontId="8" type="noConversion"/>
  </si>
  <si>
    <t>Materiales</t>
    <phoneticPr fontId="8" type="noConversion"/>
  </si>
  <si>
    <t>$</t>
    <phoneticPr fontId="8" type="noConversion"/>
  </si>
  <si>
    <t>% de perdida por clima</t>
    <phoneticPr fontId="8" type="noConversion"/>
  </si>
  <si>
    <t>$ usado para salud</t>
    <phoneticPr fontId="8" type="noConversion"/>
  </si>
  <si>
    <t>40 toneladas de materiales de construcción + 500 barriles de petroleo</t>
    <phoneticPr fontId="8" type="noConversion"/>
  </si>
  <si>
    <t>$ usado para el ejército</t>
    <phoneticPr fontId="8" type="noConversion"/>
  </si>
  <si>
    <t>Cada persona necesita 4 libras cada día de comida</t>
    <phoneticPr fontId="8" type="noConversion"/>
  </si>
  <si>
    <t>t</t>
    <phoneticPr fontId="8" type="noConversion"/>
  </si>
  <si>
    <t>Total en dinero</t>
    <phoneticPr fontId="8" type="noConversion"/>
  </si>
  <si>
    <t>$ para empezar</t>
    <phoneticPr fontId="8" type="noConversion"/>
  </si>
  <si>
    <t>Total Dinero que ganan</t>
    <phoneticPr fontId="8" type="noConversion"/>
  </si>
  <si>
    <t>10 toneladas de hierro</t>
    <phoneticPr fontId="8" type="noConversion"/>
  </si>
  <si>
    <t>fabrica</t>
    <phoneticPr fontId="8" type="noConversion"/>
  </si>
  <si>
    <t>10 toneladas de hierro</t>
    <phoneticPr fontId="8" type="noConversion"/>
  </si>
  <si>
    <t>10 toneladas de hierro</t>
    <phoneticPr fontId="8" type="noConversion"/>
  </si>
  <si>
    <t>barco</t>
    <phoneticPr fontId="8" type="noConversion"/>
  </si>
  <si>
    <t>5 libras de comida</t>
    <phoneticPr fontId="8" type="noConversion"/>
  </si>
  <si>
    <t>Día 1</t>
    <phoneticPr fontId="8" type="noConversion"/>
  </si>
  <si>
    <t>$ en petroleo</t>
    <phoneticPr fontId="8" type="noConversion"/>
  </si>
  <si>
    <t>Total $ recolectado de impuestos</t>
    <phoneticPr fontId="8" type="noConversion"/>
  </si>
  <si>
    <t>$ en casas</t>
    <phoneticPr fontId="8" type="noConversion"/>
  </si>
  <si>
    <t>1 casa</t>
    <phoneticPr fontId="8" type="noConversion"/>
  </si>
  <si>
    <t>$ usado para educación</t>
    <phoneticPr fontId="8" type="noConversion"/>
  </si>
  <si>
    <t># de fábricas</t>
    <phoneticPr fontId="8" type="noConversion"/>
  </si>
  <si>
    <t>es precio de 80,000 libras de materiales de construcción + $1,000,000 + 2000 barriles de petroleo</t>
    <phoneticPr fontId="8" type="noConversion"/>
  </si>
  <si>
    <t>es 1,000,000 + 40,000 libras de materiales de construcción + 800 barriles de petroleo</t>
    <phoneticPr fontId="8" type="noConversion"/>
  </si>
  <si>
    <t>Libras usados materiales de construcción</t>
    <phoneticPr fontId="8" type="noConversion"/>
  </si>
  <si>
    <t>Barriles usado para desarollo</t>
    <phoneticPr fontId="8" type="noConversion"/>
  </si>
  <si>
    <t>Desempleo</t>
    <phoneticPr fontId="8" type="noConversion"/>
  </si>
  <si>
    <t>es poblacion*produccion/(promedio del salario-55)</t>
    <phoneticPr fontId="8" type="noConversion"/>
  </si>
  <si>
    <t>Fabricas extranjeras</t>
    <phoneticPr fontId="8" type="noConversion"/>
  </si>
  <si>
    <t>Total gastos en desarrollo</t>
    <phoneticPr fontId="8" type="noConversion"/>
  </si>
  <si>
    <t>comida</t>
    <phoneticPr fontId="8" type="noConversion"/>
  </si>
  <si>
    <t>Construcción</t>
    <phoneticPr fontId="8" type="noConversion"/>
  </si>
  <si>
    <t>petróleo</t>
    <phoneticPr fontId="8" type="noConversion"/>
  </si>
  <si>
    <t>población crece cada mes por .0001</t>
    <phoneticPr fontId="8" type="noConversion"/>
  </si>
  <si>
    <t>1 tonelada = 2,000 libras</t>
    <phoneticPr fontId="8" type="noConversion"/>
  </si>
  <si>
    <t>es $93 X# de  barriles</t>
    <phoneticPr fontId="8" type="noConversion"/>
  </si>
  <si>
    <t>$ infraestructura</t>
    <phoneticPr fontId="8" type="noConversion"/>
  </si>
  <si>
    <t>$ de comida</t>
    <phoneticPr fontId="8" type="noConversion"/>
  </si>
  <si>
    <t>$ de construcción</t>
    <phoneticPr fontId="8" type="noConversion"/>
  </si>
  <si>
    <t xml:space="preserve">Aviones </t>
    <phoneticPr fontId="8" type="noConversion"/>
  </si>
  <si>
    <t>c</t>
    <phoneticPr fontId="8" type="noConversion"/>
  </si>
  <si>
    <t>Total en Barriles de Petroleo</t>
    <phoneticPr fontId="8" type="noConversion"/>
  </si>
  <si>
    <t>es Soldados + comida + bombas + petróleo</t>
    <phoneticPr fontId="8" type="noConversion"/>
  </si>
  <si>
    <t>total barriles de petroleo</t>
    <phoneticPr fontId="8" type="noConversion"/>
  </si>
  <si>
    <t>salario</t>
    <phoneticPr fontId="8" type="noConversion"/>
  </si>
  <si>
    <t>8% de comida producido y construcción y petroleo + 10% valor de casas y fábricas/año + 10% de salarios de personas</t>
    <phoneticPr fontId="8" type="noConversion"/>
  </si>
  <si>
    <t># de personas</t>
    <phoneticPr fontId="8" type="noConversion"/>
  </si>
  <si>
    <t>barriles de petroleo</t>
    <phoneticPr fontId="8" type="noConversion"/>
  </si>
  <si>
    <t># de minas de petróleo</t>
    <phoneticPr fontId="8" type="noConversion"/>
  </si>
  <si>
    <t xml:space="preserve"> </t>
    <phoneticPr fontId="8" type="noConversion"/>
  </si>
  <si>
    <t>Gastos de desarollo</t>
    <phoneticPr fontId="8" type="noConversion"/>
  </si>
  <si>
    <t>Total consumo del gobierno</t>
    <phoneticPr fontId="8" type="noConversion"/>
  </si>
  <si>
    <t>Total Impuestos</t>
    <phoneticPr fontId="8" type="noConversion"/>
  </si>
  <si>
    <t>$/persona en programs para residentes</t>
    <phoneticPr fontId="8" type="noConversion"/>
  </si>
  <si>
    <r>
      <t xml:space="preserve">es total en producción÷población + </t>
    </r>
    <r>
      <rPr>
        <b/>
        <sz val="10"/>
        <rFont val="Verdana"/>
        <family val="2"/>
      </rPr>
      <t>Programas para residentes/población</t>
    </r>
    <phoneticPr fontId="8" type="noConversion"/>
  </si>
  <si>
    <t>$3/libra</t>
    <phoneticPr fontId="8" type="noConversion"/>
  </si>
  <si>
    <t>$93/barril</t>
    <phoneticPr fontId="8" type="noConversion"/>
  </si>
  <si>
    <t>cifra de impuestos para salario</t>
    <phoneticPr fontId="8" type="noConversion"/>
  </si>
  <si>
    <t>cifra de impuestos para producción</t>
    <phoneticPr fontId="8" type="noConversion"/>
  </si>
  <si>
    <t>cifra de impuestsos producción</t>
    <phoneticPr fontId="8" type="noConversion"/>
  </si>
  <si>
    <t>es $4 X Libra</t>
    <phoneticPr fontId="8" type="noConversion"/>
  </si>
  <si>
    <t xml:space="preserve">es# de fábricas/3 X 1000 </t>
    <phoneticPr fontId="8" type="noConversion"/>
  </si>
  <si>
    <t># de fábricas/3 X 600</t>
    <phoneticPr fontId="8" type="noConversion"/>
  </si>
  <si>
    <t># de fuentes alternativas</t>
    <phoneticPr fontId="8" type="noConversion"/>
  </si>
  <si>
    <t>fuente alternativa</t>
    <phoneticPr fontId="8" type="noConversion"/>
  </si>
  <si>
    <t>Barriles/persona</t>
    <phoneticPr fontId="8" type="noConversion"/>
  </si>
  <si>
    <t>cifra de impuestos para casas</t>
    <phoneticPr fontId="8" type="noConversion"/>
  </si>
  <si>
    <t>cifra de impuestos para salario</t>
    <phoneticPr fontId="8" type="noConversion"/>
  </si>
  <si>
    <t>$ distributed</t>
    <phoneticPr fontId="8" type="noConversion"/>
  </si>
  <si>
    <t>Total $ en producción</t>
    <phoneticPr fontId="8" type="noConversion"/>
  </si>
  <si>
    <t>tanque</t>
    <phoneticPr fontId="8" type="noConversion"/>
  </si>
  <si>
    <t>Usa</t>
    <phoneticPr fontId="8" type="noConversion"/>
  </si>
  <si>
    <t>produce</t>
    <phoneticPr fontId="8" type="noConversion"/>
  </si>
  <si>
    <t>es de producción</t>
    <phoneticPr fontId="8" type="noConversion"/>
  </si>
  <si>
    <t>$ usado para soldados</t>
    <phoneticPr fontId="8" type="noConversion"/>
  </si>
  <si>
    <t>$ usado para bombas</t>
    <phoneticPr fontId="8" type="noConversion"/>
  </si>
  <si>
    <t>Bombas usados este mes</t>
    <phoneticPr fontId="8" type="noConversion"/>
  </si>
  <si>
    <t>$ en construcción</t>
    <phoneticPr fontId="8" type="noConversion"/>
  </si>
  <si>
    <t>$ en Comida</t>
    <phoneticPr fontId="8" type="noConversion"/>
  </si>
  <si>
    <t>Total</t>
    <phoneticPr fontId="8" type="noConversion"/>
  </si>
  <si>
    <t>Total</t>
    <phoneticPr fontId="8" type="noConversion"/>
  </si>
  <si>
    <t>promedio</t>
    <phoneticPr fontId="8" type="noConversion"/>
  </si>
  <si>
    <t>Xtensica</t>
    <phoneticPr fontId="8" type="noConversion"/>
  </si>
  <si>
    <t>Filios</t>
    <phoneticPr fontId="8" type="noConversion"/>
  </si>
  <si>
    <t>Intelibus</t>
    <phoneticPr fontId="8" type="noConversion"/>
  </si>
  <si>
    <t>Ahora</t>
    <phoneticPr fontId="8" type="noConversion"/>
  </si>
  <si>
    <t>Tiene que ser</t>
    <phoneticPr fontId="8" type="noConversion"/>
  </si>
  <si>
    <t>precio</t>
    <phoneticPr fontId="8" type="noConversion"/>
  </si>
  <si>
    <t>precios para construir</t>
    <phoneticPr fontId="8" type="noConversion"/>
  </si>
  <si>
    <t>Costo para el gobierno</t>
    <phoneticPr fontId="8" type="noConversion"/>
  </si>
  <si>
    <t>valor para impuestos</t>
    <phoneticPr fontId="8" type="noConversion"/>
  </si>
  <si>
    <t>Material</t>
    <phoneticPr fontId="8" type="noConversion"/>
  </si>
  <si>
    <t>material de construcción producido</t>
    <phoneticPr fontId="8" type="noConversion"/>
  </si>
  <si>
    <t>3 toneladas de materiales de construcción + 20 barriles de petroleo</t>
    <phoneticPr fontId="8" type="noConversion"/>
  </si>
  <si>
    <t>libra de comida</t>
    <phoneticPr fontId="8" type="noConversion"/>
  </si>
  <si>
    <t xml:space="preserve"> $libra de comida X 5 libras X # de solados * $500</t>
    <phoneticPr fontId="8" type="noConversion"/>
  </si>
  <si>
    <t>Clima</t>
  </si>
  <si>
    <t>Dinero pagado a otro país</t>
  </si>
  <si>
    <t>Diner recibido de otro país</t>
  </si>
  <si>
    <t>lluvia</t>
  </si>
  <si>
    <t>nublado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</si>
</sst>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64" formatCode="&quot;$&quot;#,##0"/>
    <numFmt numFmtId="165" formatCode="&quot;$&quot;#,##0.00"/>
    <numFmt numFmtId="166" formatCode="&quot;$&quot;#,##0.0_);[Red]\(&quot;$&quot;#,##0.0\)"/>
    <numFmt numFmtId="167" formatCode="0.0"/>
  </numFmts>
  <fonts count="12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color indexed="48"/>
      <name val="Verdana"/>
      <family val="2"/>
    </font>
    <font>
      <sz val="10"/>
      <color rgb="FF00B0F0"/>
      <name val="Verdana"/>
      <family val="2"/>
    </font>
    <font>
      <b/>
      <sz val="10"/>
      <color rgb="FF00B0F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6" fillId="0" borderId="0" xfId="0" applyFont="1"/>
    <xf numFmtId="2" fontId="0" fillId="0" borderId="0" xfId="0" applyNumberFormat="1"/>
    <xf numFmtId="2" fontId="6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165" fontId="6" fillId="0" borderId="0" xfId="0" applyNumberFormat="1" applyFont="1"/>
    <xf numFmtId="165" fontId="0" fillId="0" borderId="0" xfId="0" applyNumberFormat="1"/>
    <xf numFmtId="165" fontId="0" fillId="0" borderId="0" xfId="0" applyNumberFormat="1"/>
    <xf numFmtId="165" fontId="6" fillId="0" borderId="0" xfId="0" applyNumberFormat="1" applyFont="1"/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/>
    <xf numFmtId="165" fontId="7" fillId="0" borderId="0" xfId="0" applyNumberFormat="1" applyFont="1"/>
    <xf numFmtId="165" fontId="6" fillId="0" borderId="0" xfId="0" applyNumberFormat="1" applyFont="1"/>
    <xf numFmtId="1" fontId="0" fillId="0" borderId="0" xfId="0" applyNumberFormat="1"/>
    <xf numFmtId="16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6" fillId="0" borderId="0" xfId="0" applyNumberFormat="1" applyFont="1"/>
    <xf numFmtId="165" fontId="7" fillId="0" borderId="0" xfId="0" applyNumberFormat="1" applyFont="1"/>
    <xf numFmtId="165" fontId="0" fillId="0" borderId="0" xfId="0" applyNumberFormat="1"/>
    <xf numFmtId="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/>
    <xf numFmtId="165" fontId="6" fillId="0" borderId="0" xfId="0" applyNumberFormat="1" applyFont="1"/>
    <xf numFmtId="165" fontId="0" fillId="0" borderId="0" xfId="0" applyNumberFormat="1"/>
    <xf numFmtId="4" fontId="0" fillId="0" borderId="0" xfId="0" applyNumberFormat="1"/>
    <xf numFmtId="3" fontId="9" fillId="0" borderId="0" xfId="0" applyNumberFormat="1" applyFont="1" applyAlignment="1">
      <alignment horizontal="right"/>
    </xf>
    <xf numFmtId="1" fontId="9" fillId="0" borderId="0" xfId="0" applyNumberFormat="1" applyFont="1"/>
    <xf numFmtId="0" fontId="9" fillId="0" borderId="0" xfId="0" applyFont="1"/>
    <xf numFmtId="3" fontId="9" fillId="0" borderId="0" xfId="0" applyNumberFormat="1" applyFont="1"/>
    <xf numFmtId="4" fontId="9" fillId="0" borderId="0" xfId="0" applyNumberFormat="1" applyFont="1"/>
    <xf numFmtId="165" fontId="9" fillId="0" borderId="0" xfId="0" applyNumberFormat="1" applyFont="1"/>
    <xf numFmtId="10" fontId="9" fillId="0" borderId="0" xfId="0" applyNumberFormat="1" applyFont="1"/>
    <xf numFmtId="10" fontId="9" fillId="0" borderId="0" xfId="0" applyNumberFormat="1" applyFont="1"/>
    <xf numFmtId="0" fontId="5" fillId="0" borderId="0" xfId="0" applyFont="1"/>
    <xf numFmtId="164" fontId="0" fillId="0" borderId="0" xfId="0" applyNumberFormat="1"/>
    <xf numFmtId="164" fontId="6" fillId="0" borderId="0" xfId="0" applyNumberFormat="1" applyFont="1"/>
    <xf numFmtId="165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165" fontId="4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9" fontId="0" fillId="0" borderId="0" xfId="0" applyNumberFormat="1"/>
    <xf numFmtId="167" fontId="0" fillId="0" borderId="0" xfId="0" applyNumberFormat="1"/>
    <xf numFmtId="2" fontId="0" fillId="0" borderId="0" xfId="0" applyNumberFormat="1"/>
    <xf numFmtId="167" fontId="2" fillId="0" borderId="0" xfId="0" applyNumberFormat="1" applyFont="1"/>
    <xf numFmtId="9" fontId="9" fillId="0" borderId="0" xfId="0" applyNumberFormat="1" applyFont="1"/>
    <xf numFmtId="9" fontId="9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0" fontId="10" fillId="0" borderId="0" xfId="0" applyFont="1"/>
    <xf numFmtId="0" fontId="10" fillId="0" borderId="0" xfId="0" applyNumberFormat="1" applyFont="1" applyAlignment="1">
      <alignment horizontal="right"/>
    </xf>
    <xf numFmtId="0" fontId="10" fillId="0" borderId="0" xfId="0" applyNumberFormat="1" applyFont="1"/>
    <xf numFmtId="165" fontId="10" fillId="0" borderId="0" xfId="0" applyNumberFormat="1" applyFont="1"/>
    <xf numFmtId="165" fontId="1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N38"/>
  <sheetViews>
    <sheetView workbookViewId="0">
      <selection activeCell="E10" sqref="E10"/>
    </sheetView>
  </sheetViews>
  <sheetFormatPr defaultColWidth="11" defaultRowHeight="12.75"/>
  <cols>
    <col min="1" max="2" width="10.75" style="4"/>
    <col min="3" max="3" width="17.75" style="19" customWidth="1"/>
    <col min="4" max="4" width="25.125" style="9" customWidth="1"/>
    <col min="5" max="5" width="23.25" style="19" customWidth="1"/>
    <col min="6" max="7" width="14.125" customWidth="1"/>
    <col min="8" max="8" width="13.75" style="19" customWidth="1"/>
    <col min="10" max="10" width="12.75" style="19" bestFit="1" customWidth="1"/>
    <col min="12" max="12" width="18" customWidth="1"/>
    <col min="13" max="13" width="11" bestFit="1" customWidth="1"/>
    <col min="14" max="14" width="14" style="31" customWidth="1"/>
    <col min="15" max="15" width="11" bestFit="1" customWidth="1"/>
  </cols>
  <sheetData>
    <row r="4" spans="1:10">
      <c r="A4" s="4" t="s">
        <v>14</v>
      </c>
    </row>
    <row r="6" spans="1:10">
      <c r="A6" t="s">
        <v>111</v>
      </c>
      <c r="B6"/>
    </row>
    <row r="7" spans="1:10">
      <c r="B7" s="4" t="s">
        <v>13</v>
      </c>
      <c r="C7" s="21" t="s">
        <v>114</v>
      </c>
      <c r="D7" s="10" t="s">
        <v>116</v>
      </c>
      <c r="E7" s="21" t="s">
        <v>115</v>
      </c>
      <c r="F7" s="6" t="s">
        <v>79</v>
      </c>
      <c r="G7" s="6" t="s">
        <v>0</v>
      </c>
      <c r="H7" s="34" t="s">
        <v>1</v>
      </c>
      <c r="I7" s="6"/>
      <c r="J7" s="20" t="s">
        <v>28</v>
      </c>
    </row>
    <row r="8" spans="1:10">
      <c r="C8" s="19" t="s">
        <v>135</v>
      </c>
      <c r="D8" s="9" t="s">
        <v>12</v>
      </c>
      <c r="E8" s="19" t="s">
        <v>20</v>
      </c>
      <c r="F8" t="s">
        <v>23</v>
      </c>
      <c r="G8" t="s">
        <v>22</v>
      </c>
    </row>
    <row r="9" spans="1:10">
      <c r="A9" s="5" t="s">
        <v>55</v>
      </c>
      <c r="B9" s="37">
        <v>10000</v>
      </c>
      <c r="C9" s="19">
        <f>E34*5*B9*200</f>
        <v>10000000</v>
      </c>
      <c r="D9" s="38">
        <v>1</v>
      </c>
      <c r="E9" s="19">
        <f>(10*93+100000)*D9</f>
        <v>100930</v>
      </c>
      <c r="F9" s="39">
        <v>10</v>
      </c>
      <c r="G9" s="39">
        <v>13</v>
      </c>
      <c r="H9" s="19">
        <f>(20000*3+30000000)*(F9-10)+(20000*3+10000000)*(G9-13)</f>
        <v>0</v>
      </c>
      <c r="J9" s="19">
        <f t="shared" ref="J9:J23" si="0">H9+E9+C9</f>
        <v>10100930</v>
      </c>
    </row>
    <row r="10" spans="1:10">
      <c r="A10" s="4">
        <v>2</v>
      </c>
      <c r="B10" s="37">
        <v>10000</v>
      </c>
      <c r="C10" s="19">
        <f>E34*5*B10*200</f>
        <v>10000000</v>
      </c>
      <c r="D10" s="38">
        <v>0</v>
      </c>
      <c r="E10" s="19">
        <f t="shared" ref="E10:E23" si="1">(10*93+100000)*D10</f>
        <v>0</v>
      </c>
      <c r="F10" s="39">
        <v>10</v>
      </c>
      <c r="G10" s="39">
        <v>13</v>
      </c>
      <c r="H10" s="35">
        <f>(20000*3+30000000)*(F10-F9)+(20000*3+10000000)*(G10-G9)</f>
        <v>0</v>
      </c>
      <c r="J10" s="19">
        <f t="shared" si="0"/>
        <v>10000000</v>
      </c>
    </row>
    <row r="11" spans="1:10">
      <c r="A11" s="4">
        <v>3</v>
      </c>
      <c r="B11" s="37">
        <v>10000</v>
      </c>
      <c r="C11" s="19">
        <f>E34*5*B11*200</f>
        <v>10000000</v>
      </c>
      <c r="D11" s="38">
        <v>0</v>
      </c>
      <c r="E11" s="19">
        <f t="shared" si="1"/>
        <v>0</v>
      </c>
      <c r="F11" s="39">
        <v>10</v>
      </c>
      <c r="G11" s="39">
        <v>13</v>
      </c>
      <c r="H11" s="35">
        <f t="shared" ref="H11:H23" si="2">(20000*3+30000000)*(F11-F10)+(20000*3+10000000)*(G11-G10)</f>
        <v>0</v>
      </c>
      <c r="J11" s="19">
        <f t="shared" si="0"/>
        <v>10000000</v>
      </c>
    </row>
    <row r="12" spans="1:10">
      <c r="A12" s="4">
        <v>4</v>
      </c>
      <c r="B12" s="37">
        <v>10150</v>
      </c>
      <c r="C12" s="19">
        <f>E34*5*B12*200</f>
        <v>10150000</v>
      </c>
      <c r="D12" s="38">
        <v>0</v>
      </c>
      <c r="E12" s="19">
        <f t="shared" si="1"/>
        <v>0</v>
      </c>
      <c r="F12" s="39">
        <v>10</v>
      </c>
      <c r="G12" s="39">
        <v>13</v>
      </c>
      <c r="H12" s="35">
        <f t="shared" si="2"/>
        <v>0</v>
      </c>
      <c r="J12" s="19">
        <f t="shared" si="0"/>
        <v>10150000</v>
      </c>
    </row>
    <row r="13" spans="1:10">
      <c r="A13" s="4">
        <v>5</v>
      </c>
      <c r="B13" s="37">
        <v>10150</v>
      </c>
      <c r="C13" s="19">
        <f>E34*5*B13*200</f>
        <v>10150000</v>
      </c>
      <c r="D13" s="38">
        <v>0</v>
      </c>
      <c r="E13" s="19">
        <f t="shared" si="1"/>
        <v>0</v>
      </c>
      <c r="F13" s="39">
        <v>10</v>
      </c>
      <c r="G13" s="39">
        <v>13</v>
      </c>
      <c r="H13" s="35">
        <f t="shared" si="2"/>
        <v>0</v>
      </c>
      <c r="J13" s="19">
        <f t="shared" si="0"/>
        <v>10150000</v>
      </c>
    </row>
    <row r="14" spans="1:10">
      <c r="A14" s="4">
        <v>6</v>
      </c>
      <c r="B14" s="37">
        <v>10150</v>
      </c>
      <c r="C14" s="19">
        <f>E34*5*B14*200</f>
        <v>10150000</v>
      </c>
      <c r="D14" s="38">
        <v>0</v>
      </c>
      <c r="E14" s="35">
        <f t="shared" si="1"/>
        <v>0</v>
      </c>
      <c r="F14" s="39">
        <v>10</v>
      </c>
      <c r="G14" s="39">
        <v>13</v>
      </c>
      <c r="H14" s="35">
        <f t="shared" si="2"/>
        <v>0</v>
      </c>
      <c r="J14" s="19">
        <f t="shared" si="0"/>
        <v>10150000</v>
      </c>
    </row>
    <row r="15" spans="1:10">
      <c r="A15" s="4">
        <v>7</v>
      </c>
      <c r="B15" s="37">
        <v>10150</v>
      </c>
      <c r="C15" s="19">
        <f>E34*5*B15*200</f>
        <v>10150000</v>
      </c>
      <c r="D15" s="38">
        <v>0</v>
      </c>
      <c r="E15" s="19">
        <f t="shared" si="1"/>
        <v>0</v>
      </c>
      <c r="F15" s="39">
        <v>10</v>
      </c>
      <c r="G15" s="39">
        <v>13</v>
      </c>
      <c r="H15" s="35">
        <f t="shared" si="2"/>
        <v>0</v>
      </c>
      <c r="J15" s="19">
        <f t="shared" si="0"/>
        <v>10150000</v>
      </c>
    </row>
    <row r="16" spans="1:10">
      <c r="A16" s="4">
        <v>8</v>
      </c>
      <c r="B16" s="37">
        <v>10150</v>
      </c>
      <c r="C16" s="19">
        <f>E34*5*B16*200</f>
        <v>10150000</v>
      </c>
      <c r="D16" s="38">
        <v>0</v>
      </c>
      <c r="E16" s="19">
        <f t="shared" si="1"/>
        <v>0</v>
      </c>
      <c r="F16" s="39">
        <v>10</v>
      </c>
      <c r="G16" s="39">
        <v>13</v>
      </c>
      <c r="H16" s="35">
        <f t="shared" si="2"/>
        <v>0</v>
      </c>
      <c r="J16" s="19">
        <f t="shared" si="0"/>
        <v>10150000</v>
      </c>
    </row>
    <row r="17" spans="1:10">
      <c r="A17" s="4">
        <v>9</v>
      </c>
      <c r="B17" s="37">
        <v>10150</v>
      </c>
      <c r="C17" s="19">
        <f>E34*5*B17*200</f>
        <v>10150000</v>
      </c>
      <c r="D17" s="38">
        <v>0</v>
      </c>
      <c r="E17" s="19">
        <f t="shared" si="1"/>
        <v>0</v>
      </c>
      <c r="F17" s="39">
        <v>10</v>
      </c>
      <c r="G17" s="39">
        <v>13</v>
      </c>
      <c r="H17" s="35">
        <f t="shared" si="2"/>
        <v>0</v>
      </c>
      <c r="J17" s="19">
        <f t="shared" si="0"/>
        <v>10150000</v>
      </c>
    </row>
    <row r="18" spans="1:10">
      <c r="A18" s="4">
        <v>10</v>
      </c>
      <c r="B18" s="37">
        <v>10150</v>
      </c>
      <c r="C18" s="19">
        <f>E34*5*B18*200</f>
        <v>10150000</v>
      </c>
      <c r="D18" s="38">
        <v>0</v>
      </c>
      <c r="E18" s="19">
        <f t="shared" si="1"/>
        <v>0</v>
      </c>
      <c r="F18" s="39">
        <v>10</v>
      </c>
      <c r="G18" s="39">
        <v>13</v>
      </c>
      <c r="H18" s="35">
        <f t="shared" si="2"/>
        <v>0</v>
      </c>
      <c r="J18" s="19">
        <f t="shared" si="0"/>
        <v>10150000</v>
      </c>
    </row>
    <row r="19" spans="1:10">
      <c r="A19" s="4">
        <v>11</v>
      </c>
      <c r="B19" s="37">
        <v>10150</v>
      </c>
      <c r="C19" s="19">
        <f>E34*5*B19*200</f>
        <v>10150000</v>
      </c>
      <c r="D19" s="38">
        <v>0</v>
      </c>
      <c r="E19" s="19">
        <f t="shared" si="1"/>
        <v>0</v>
      </c>
      <c r="F19" s="39">
        <v>10</v>
      </c>
      <c r="G19" s="39">
        <v>13</v>
      </c>
      <c r="H19" s="35">
        <f t="shared" si="2"/>
        <v>0</v>
      </c>
      <c r="J19" s="19">
        <f t="shared" si="0"/>
        <v>10150000</v>
      </c>
    </row>
    <row r="20" spans="1:10">
      <c r="A20" s="4">
        <v>12</v>
      </c>
      <c r="B20" s="37">
        <v>10150</v>
      </c>
      <c r="C20" s="19">
        <f>E34*5*B20*200</f>
        <v>10150000</v>
      </c>
      <c r="D20" s="38">
        <v>0</v>
      </c>
      <c r="E20" s="19">
        <f t="shared" si="1"/>
        <v>0</v>
      </c>
      <c r="F20" s="39">
        <v>10</v>
      </c>
      <c r="G20" s="39">
        <v>13</v>
      </c>
      <c r="H20" s="35">
        <f t="shared" si="2"/>
        <v>0</v>
      </c>
      <c r="J20" s="19">
        <f t="shared" si="0"/>
        <v>10150000</v>
      </c>
    </row>
    <row r="21" spans="1:10">
      <c r="A21" s="4">
        <v>13</v>
      </c>
      <c r="B21" s="37">
        <v>10150</v>
      </c>
      <c r="C21" s="19">
        <f>E34*5*B21*200</f>
        <v>10150000</v>
      </c>
      <c r="D21" s="38">
        <v>0</v>
      </c>
      <c r="E21" s="19">
        <f t="shared" si="1"/>
        <v>0</v>
      </c>
      <c r="F21" s="39">
        <v>10</v>
      </c>
      <c r="G21" s="39">
        <v>13</v>
      </c>
      <c r="H21" s="35">
        <f t="shared" si="2"/>
        <v>0</v>
      </c>
      <c r="J21" s="19">
        <f t="shared" si="0"/>
        <v>10150000</v>
      </c>
    </row>
    <row r="22" spans="1:10">
      <c r="A22" s="4">
        <v>14</v>
      </c>
      <c r="B22" s="37">
        <v>10150</v>
      </c>
      <c r="C22" s="19">
        <f>E34*5*B22*200</f>
        <v>10150000</v>
      </c>
      <c r="D22" s="38">
        <v>0</v>
      </c>
      <c r="E22" s="19">
        <f t="shared" si="1"/>
        <v>0</v>
      </c>
      <c r="F22" s="39">
        <v>10</v>
      </c>
      <c r="G22" s="39">
        <v>13</v>
      </c>
      <c r="H22" s="35">
        <f t="shared" si="2"/>
        <v>0</v>
      </c>
      <c r="J22" s="19">
        <f t="shared" si="0"/>
        <v>10150000</v>
      </c>
    </row>
    <row r="23" spans="1:10">
      <c r="A23" s="4">
        <v>15</v>
      </c>
      <c r="B23" s="37">
        <v>10150</v>
      </c>
      <c r="C23" s="19">
        <f>E34*5*B23*200</f>
        <v>10150000</v>
      </c>
      <c r="D23" s="38">
        <v>0</v>
      </c>
      <c r="E23" s="19">
        <f t="shared" si="1"/>
        <v>0</v>
      </c>
      <c r="F23" s="39">
        <v>10</v>
      </c>
      <c r="G23" s="39">
        <v>13</v>
      </c>
      <c r="H23" s="35">
        <f t="shared" si="2"/>
        <v>0</v>
      </c>
      <c r="J23" s="19">
        <f t="shared" si="0"/>
        <v>10150000</v>
      </c>
    </row>
    <row r="28" spans="1:10">
      <c r="D28"/>
      <c r="E28" t="s">
        <v>15</v>
      </c>
      <c r="F28" s="31" t="s">
        <v>38</v>
      </c>
      <c r="G28" t="s">
        <v>39</v>
      </c>
    </row>
    <row r="29" spans="1:10">
      <c r="D29"/>
      <c r="E29" t="s">
        <v>16</v>
      </c>
      <c r="F29" s="31" t="s">
        <v>37</v>
      </c>
      <c r="G29" s="3">
        <v>100000</v>
      </c>
    </row>
    <row r="30" spans="1:10">
      <c r="D30" t="s">
        <v>17</v>
      </c>
      <c r="E30" t="s">
        <v>54</v>
      </c>
      <c r="F30" s="36" t="s">
        <v>45</v>
      </c>
    </row>
    <row r="31" spans="1:10">
      <c r="D31" t="s">
        <v>18</v>
      </c>
      <c r="E31" t="s">
        <v>49</v>
      </c>
      <c r="F31" s="30">
        <v>30000000</v>
      </c>
    </row>
    <row r="32" spans="1:10">
      <c r="D32" t="s">
        <v>53</v>
      </c>
      <c r="E32" t="s">
        <v>51</v>
      </c>
      <c r="F32" s="30">
        <v>10000000</v>
      </c>
    </row>
    <row r="33" spans="4:6">
      <c r="D33" t="s">
        <v>110</v>
      </c>
      <c r="E33" t="s">
        <v>52</v>
      </c>
      <c r="F33" s="30">
        <v>10000000</v>
      </c>
    </row>
    <row r="34" spans="4:6">
      <c r="D34" t="s">
        <v>134</v>
      </c>
      <c r="E34" s="3">
        <v>1</v>
      </c>
      <c r="F34" s="31"/>
    </row>
    <row r="35" spans="4:6">
      <c r="D35" t="s">
        <v>19</v>
      </c>
      <c r="E35" s="3">
        <v>93</v>
      </c>
      <c r="F35" s="31"/>
    </row>
    <row r="36" spans="4:6">
      <c r="D36" t="s">
        <v>21</v>
      </c>
      <c r="E36" s="3">
        <v>3</v>
      </c>
      <c r="F36" s="31"/>
    </row>
    <row r="37" spans="4:6">
      <c r="D37"/>
      <c r="E37"/>
      <c r="F37" s="31"/>
    </row>
    <row r="38" spans="4:6">
      <c r="D38"/>
      <c r="E38"/>
      <c r="F38" s="31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6:J42"/>
  <sheetViews>
    <sheetView workbookViewId="0">
      <selection activeCell="C16" sqref="C16"/>
    </sheetView>
  </sheetViews>
  <sheetFormatPr defaultColWidth="11" defaultRowHeight="12.75"/>
  <cols>
    <col min="2" max="2" width="19.375" customWidth="1"/>
    <col min="3" max="3" width="14.375" style="15" customWidth="1"/>
    <col min="4" max="4" width="20.875" customWidth="1"/>
    <col min="5" max="5" width="11.875" style="18" bestFit="1" customWidth="1"/>
    <col min="6" max="7" width="8.375" customWidth="1"/>
    <col min="8" max="8" width="15.375" style="15" customWidth="1"/>
    <col min="9" max="9" width="18" customWidth="1"/>
    <col min="10" max="10" width="20.25" style="15" customWidth="1"/>
  </cols>
  <sheetData>
    <row r="6" spans="1:10">
      <c r="A6" s="6" t="s">
        <v>26</v>
      </c>
      <c r="B6" s="6" t="s">
        <v>30</v>
      </c>
      <c r="C6" s="34" t="s">
        <v>77</v>
      </c>
      <c r="D6" s="6" t="s">
        <v>132</v>
      </c>
      <c r="E6" s="34" t="s">
        <v>78</v>
      </c>
      <c r="F6" s="6" t="s">
        <v>32</v>
      </c>
      <c r="G6" s="6" t="s">
        <v>104</v>
      </c>
      <c r="H6" s="16" t="s">
        <v>31</v>
      </c>
      <c r="J6" s="17" t="s">
        <v>109</v>
      </c>
    </row>
    <row r="7" spans="1:10">
      <c r="B7" s="22" t="s">
        <v>101</v>
      </c>
      <c r="C7" s="15" t="s">
        <v>24</v>
      </c>
      <c r="D7" t="s">
        <v>102</v>
      </c>
      <c r="E7" s="35" t="s">
        <v>100</v>
      </c>
      <c r="H7" s="15" t="s">
        <v>75</v>
      </c>
      <c r="I7" t="s">
        <v>40</v>
      </c>
    </row>
    <row r="8" spans="1:10">
      <c r="A8" s="5" t="s">
        <v>55</v>
      </c>
      <c r="B8">
        <f>desarollo!D9/8*80000</f>
        <v>10000000</v>
      </c>
      <c r="C8" s="35">
        <f t="shared" ref="C8:C22" si="0">1*B8</f>
        <v>10000000</v>
      </c>
      <c r="D8" s="57">
        <f>desarollo!D9/3*600</f>
        <v>200000</v>
      </c>
      <c r="E8" s="18">
        <f t="shared" ref="E8:E22" si="1">4*D8</f>
        <v>800000</v>
      </c>
      <c r="F8">
        <f>desarollo!F9*10000</f>
        <v>200000</v>
      </c>
      <c r="G8" s="39">
        <v>0</v>
      </c>
      <c r="H8" s="15">
        <f t="shared" ref="H8:H22" si="2">93*F8+93*G8</f>
        <v>18600000</v>
      </c>
      <c r="I8" s="39">
        <v>0</v>
      </c>
      <c r="J8" s="15">
        <f t="shared" ref="J8:J22" si="3">(H8+E8+C8)*(1-(I8/100))</f>
        <v>29400000</v>
      </c>
    </row>
    <row r="9" spans="1:10">
      <c r="A9" s="4">
        <v>2</v>
      </c>
      <c r="B9">
        <f>desarollo!D10/8*80000</f>
        <v>10000000</v>
      </c>
      <c r="C9" s="15">
        <f t="shared" si="0"/>
        <v>10000000</v>
      </c>
      <c r="D9" s="57">
        <f>desarollo!D10/3*600</f>
        <v>200000</v>
      </c>
      <c r="E9" s="35">
        <f t="shared" si="1"/>
        <v>800000</v>
      </c>
      <c r="F9">
        <f>desarollo!F10*10000</f>
        <v>200000</v>
      </c>
      <c r="G9" s="39">
        <v>0</v>
      </c>
      <c r="H9" s="35">
        <f t="shared" si="2"/>
        <v>18600000</v>
      </c>
      <c r="I9" s="39">
        <v>0</v>
      </c>
      <c r="J9" s="35">
        <f t="shared" si="3"/>
        <v>29400000</v>
      </c>
    </row>
    <row r="10" spans="1:10">
      <c r="A10" s="4">
        <v>3</v>
      </c>
      <c r="B10">
        <f>desarollo!D11/8*80000</f>
        <v>10000000</v>
      </c>
      <c r="C10" s="15">
        <f t="shared" si="0"/>
        <v>10000000</v>
      </c>
      <c r="D10" s="57">
        <f>desarollo!D11/3*600</f>
        <v>200000</v>
      </c>
      <c r="E10" s="35">
        <f t="shared" si="1"/>
        <v>800000</v>
      </c>
      <c r="F10">
        <f>desarollo!F11*10000</f>
        <v>200000</v>
      </c>
      <c r="G10" s="39">
        <v>0</v>
      </c>
      <c r="H10" s="35">
        <f t="shared" si="2"/>
        <v>18600000</v>
      </c>
      <c r="I10" s="39">
        <v>0</v>
      </c>
      <c r="J10" s="35">
        <f t="shared" si="3"/>
        <v>29400000</v>
      </c>
    </row>
    <row r="11" spans="1:10">
      <c r="A11" s="4">
        <v>4</v>
      </c>
      <c r="B11">
        <f>desarollo!D12/8*80000</f>
        <v>10000000</v>
      </c>
      <c r="C11" s="15">
        <f t="shared" si="0"/>
        <v>10000000</v>
      </c>
      <c r="D11" s="57">
        <f>desarollo!D12/3*600</f>
        <v>200000</v>
      </c>
      <c r="E11" s="35">
        <f t="shared" si="1"/>
        <v>800000</v>
      </c>
      <c r="F11">
        <f>desarollo!F12*10000</f>
        <v>200000</v>
      </c>
      <c r="G11" s="39">
        <v>0</v>
      </c>
      <c r="H11" s="35">
        <f t="shared" si="2"/>
        <v>18600000</v>
      </c>
      <c r="I11" s="39">
        <v>0</v>
      </c>
      <c r="J11" s="35">
        <f t="shared" si="3"/>
        <v>29400000</v>
      </c>
    </row>
    <row r="12" spans="1:10">
      <c r="A12" s="4">
        <v>5</v>
      </c>
      <c r="B12">
        <f>desarollo!D13/8*80000</f>
        <v>10000000</v>
      </c>
      <c r="C12" s="15">
        <f t="shared" si="0"/>
        <v>10000000</v>
      </c>
      <c r="D12" s="57">
        <f>desarollo!D13/3*600</f>
        <v>200000</v>
      </c>
      <c r="E12" s="35">
        <f t="shared" si="1"/>
        <v>800000</v>
      </c>
      <c r="F12">
        <f>desarollo!F13*10000</f>
        <v>200000</v>
      </c>
      <c r="G12" s="39">
        <v>0</v>
      </c>
      <c r="H12" s="35">
        <f t="shared" si="2"/>
        <v>18600000</v>
      </c>
      <c r="I12" s="39">
        <v>0</v>
      </c>
      <c r="J12" s="35">
        <f t="shared" si="3"/>
        <v>29400000</v>
      </c>
    </row>
    <row r="13" spans="1:10">
      <c r="A13" s="4">
        <v>6</v>
      </c>
      <c r="B13">
        <f>desarollo!D14/8*80000</f>
        <v>10000000</v>
      </c>
      <c r="C13" s="15">
        <f t="shared" si="0"/>
        <v>10000000</v>
      </c>
      <c r="D13" s="57">
        <f>desarollo!D14/3*600</f>
        <v>200000</v>
      </c>
      <c r="E13" s="35">
        <f t="shared" si="1"/>
        <v>800000</v>
      </c>
      <c r="F13">
        <f>desarollo!F14*10000</f>
        <v>200000</v>
      </c>
      <c r="G13" s="39">
        <v>0</v>
      </c>
      <c r="H13" s="35">
        <f t="shared" si="2"/>
        <v>18600000</v>
      </c>
      <c r="I13" s="39">
        <v>0</v>
      </c>
      <c r="J13" s="35">
        <f t="shared" si="3"/>
        <v>29400000</v>
      </c>
    </row>
    <row r="14" spans="1:10">
      <c r="A14" s="4">
        <v>7</v>
      </c>
      <c r="B14">
        <f>desarollo!D15/8*80000</f>
        <v>10000000</v>
      </c>
      <c r="C14" s="15">
        <f t="shared" si="0"/>
        <v>10000000</v>
      </c>
      <c r="D14" s="57">
        <f>desarollo!D15/3*600</f>
        <v>200000</v>
      </c>
      <c r="E14" s="35">
        <f t="shared" si="1"/>
        <v>800000</v>
      </c>
      <c r="F14">
        <f>desarollo!F15*10000</f>
        <v>200000</v>
      </c>
      <c r="G14" s="39">
        <v>0</v>
      </c>
      <c r="H14" s="35">
        <f t="shared" si="2"/>
        <v>18600000</v>
      </c>
      <c r="I14" s="39">
        <v>0</v>
      </c>
      <c r="J14" s="35">
        <f t="shared" si="3"/>
        <v>29400000</v>
      </c>
    </row>
    <row r="15" spans="1:10">
      <c r="A15" s="4">
        <v>8</v>
      </c>
      <c r="B15">
        <f>desarollo!D16/8*80000</f>
        <v>10000000</v>
      </c>
      <c r="C15" s="15">
        <f t="shared" si="0"/>
        <v>10000000</v>
      </c>
      <c r="D15" s="57">
        <f>desarollo!D16/3*600</f>
        <v>200000</v>
      </c>
      <c r="E15" s="35">
        <f t="shared" si="1"/>
        <v>800000</v>
      </c>
      <c r="F15">
        <f>desarollo!F16*10000</f>
        <v>200000</v>
      </c>
      <c r="G15" s="39">
        <v>0</v>
      </c>
      <c r="H15" s="35">
        <f t="shared" si="2"/>
        <v>18600000</v>
      </c>
      <c r="I15" s="39">
        <v>0</v>
      </c>
      <c r="J15" s="35">
        <f t="shared" si="3"/>
        <v>29400000</v>
      </c>
    </row>
    <row r="16" spans="1:10">
      <c r="A16" s="4">
        <v>9</v>
      </c>
      <c r="B16">
        <f>desarollo!D17/8*80000</f>
        <v>10000000</v>
      </c>
      <c r="C16" s="15">
        <f t="shared" si="0"/>
        <v>10000000</v>
      </c>
      <c r="D16" s="57">
        <f>desarollo!D17/3*600</f>
        <v>200000</v>
      </c>
      <c r="E16" s="35">
        <f t="shared" si="1"/>
        <v>800000</v>
      </c>
      <c r="F16">
        <f>desarollo!F17*10000</f>
        <v>200000</v>
      </c>
      <c r="G16" s="39">
        <v>0</v>
      </c>
      <c r="H16" s="35">
        <f t="shared" si="2"/>
        <v>18600000</v>
      </c>
      <c r="I16" s="39">
        <v>0</v>
      </c>
      <c r="J16" s="35">
        <f t="shared" si="3"/>
        <v>29400000</v>
      </c>
    </row>
    <row r="17" spans="1:10">
      <c r="A17" s="4">
        <v>10</v>
      </c>
      <c r="B17">
        <f>desarollo!D18/8*80000</f>
        <v>10000000</v>
      </c>
      <c r="C17" s="15">
        <f t="shared" si="0"/>
        <v>10000000</v>
      </c>
      <c r="D17" s="57">
        <f>desarollo!D18/3*600</f>
        <v>200000</v>
      </c>
      <c r="E17" s="35">
        <f t="shared" si="1"/>
        <v>800000</v>
      </c>
      <c r="F17">
        <f>desarollo!F18*10000</f>
        <v>200000</v>
      </c>
      <c r="G17" s="39">
        <v>0</v>
      </c>
      <c r="H17" s="35">
        <f t="shared" si="2"/>
        <v>18600000</v>
      </c>
      <c r="I17" s="39">
        <v>0</v>
      </c>
      <c r="J17" s="35">
        <f t="shared" si="3"/>
        <v>29400000</v>
      </c>
    </row>
    <row r="18" spans="1:10">
      <c r="A18" s="4">
        <v>11</v>
      </c>
      <c r="B18">
        <f>desarollo!D19/8*80000</f>
        <v>10000000</v>
      </c>
      <c r="C18" s="15">
        <f t="shared" si="0"/>
        <v>10000000</v>
      </c>
      <c r="D18" s="57">
        <f>desarollo!D19/3*600</f>
        <v>200000</v>
      </c>
      <c r="E18" s="35">
        <f t="shared" si="1"/>
        <v>800000</v>
      </c>
      <c r="F18">
        <f>desarollo!F19*10000</f>
        <v>200000</v>
      </c>
      <c r="G18" s="39">
        <v>0</v>
      </c>
      <c r="H18" s="35">
        <f t="shared" si="2"/>
        <v>18600000</v>
      </c>
      <c r="I18" s="39">
        <v>0</v>
      </c>
      <c r="J18" s="35">
        <f t="shared" si="3"/>
        <v>29400000</v>
      </c>
    </row>
    <row r="19" spans="1:10">
      <c r="A19" s="4">
        <v>12</v>
      </c>
      <c r="B19">
        <f>desarollo!D20/8*80000</f>
        <v>10000000</v>
      </c>
      <c r="C19" s="15">
        <f t="shared" si="0"/>
        <v>10000000</v>
      </c>
      <c r="D19" s="57">
        <f>desarollo!D20/3*600</f>
        <v>200000</v>
      </c>
      <c r="E19" s="35">
        <f t="shared" si="1"/>
        <v>800000</v>
      </c>
      <c r="F19">
        <f>desarollo!F20*10000</f>
        <v>200000</v>
      </c>
      <c r="G19" s="39">
        <v>0</v>
      </c>
      <c r="H19" s="35">
        <f t="shared" si="2"/>
        <v>18600000</v>
      </c>
      <c r="I19" s="39">
        <v>0</v>
      </c>
      <c r="J19" s="35">
        <f t="shared" si="3"/>
        <v>29400000</v>
      </c>
    </row>
    <row r="20" spans="1:10">
      <c r="A20" s="4">
        <v>13</v>
      </c>
      <c r="B20">
        <f>desarollo!D21/8*80000</f>
        <v>10000000</v>
      </c>
      <c r="C20" s="15">
        <f t="shared" si="0"/>
        <v>10000000</v>
      </c>
      <c r="D20" s="57">
        <f>desarollo!D21/3*600</f>
        <v>200000</v>
      </c>
      <c r="E20" s="35">
        <f t="shared" si="1"/>
        <v>800000</v>
      </c>
      <c r="F20">
        <f>desarollo!F21*10000</f>
        <v>200000</v>
      </c>
      <c r="G20" s="39">
        <v>0</v>
      </c>
      <c r="H20" s="35">
        <f t="shared" si="2"/>
        <v>18600000</v>
      </c>
      <c r="I20" s="39">
        <v>0</v>
      </c>
      <c r="J20" s="35">
        <f t="shared" si="3"/>
        <v>29400000</v>
      </c>
    </row>
    <row r="21" spans="1:10">
      <c r="A21" s="4">
        <v>14</v>
      </c>
      <c r="B21">
        <f>desarollo!D22/8*80000</f>
        <v>10000000</v>
      </c>
      <c r="C21" s="15">
        <f t="shared" si="0"/>
        <v>10000000</v>
      </c>
      <c r="D21" s="57">
        <f>desarollo!D22/3*600</f>
        <v>200000</v>
      </c>
      <c r="E21" s="35">
        <f t="shared" si="1"/>
        <v>800000</v>
      </c>
      <c r="F21">
        <f>desarollo!F22*10000</f>
        <v>200000</v>
      </c>
      <c r="G21" s="39">
        <v>0</v>
      </c>
      <c r="H21" s="35">
        <f t="shared" si="2"/>
        <v>18600000</v>
      </c>
      <c r="I21" s="39">
        <v>0</v>
      </c>
      <c r="J21" s="35">
        <f t="shared" si="3"/>
        <v>29400000</v>
      </c>
    </row>
    <row r="22" spans="1:10">
      <c r="A22" s="4">
        <v>15</v>
      </c>
      <c r="B22">
        <f>desarollo!D23/8*80000</f>
        <v>10000000</v>
      </c>
      <c r="C22" s="15">
        <f t="shared" si="0"/>
        <v>10000000</v>
      </c>
      <c r="D22" s="57">
        <f>desarollo!D23/3*600</f>
        <v>200000</v>
      </c>
      <c r="E22" s="35">
        <f t="shared" si="1"/>
        <v>800000</v>
      </c>
      <c r="F22">
        <f>desarollo!F23*10000</f>
        <v>200000</v>
      </c>
      <c r="G22" s="39">
        <v>0</v>
      </c>
      <c r="H22" s="35">
        <f t="shared" si="2"/>
        <v>18600000</v>
      </c>
      <c r="I22" s="39">
        <v>0</v>
      </c>
      <c r="J22" s="35">
        <f t="shared" si="3"/>
        <v>29400000</v>
      </c>
    </row>
    <row r="32" spans="1:10">
      <c r="D32" s="6" t="s">
        <v>127</v>
      </c>
      <c r="E32"/>
    </row>
    <row r="33" spans="4:5">
      <c r="D33" s="6"/>
      <c r="E33"/>
    </row>
    <row r="34" spans="4:5">
      <c r="D34" s="6" t="s">
        <v>70</v>
      </c>
      <c r="E34" s="6" t="s">
        <v>25</v>
      </c>
    </row>
    <row r="35" spans="4:5">
      <c r="D35" s="6" t="s">
        <v>71</v>
      </c>
      <c r="E35" s="6" t="s">
        <v>95</v>
      </c>
    </row>
    <row r="36" spans="4:5">
      <c r="D36" s="6" t="s">
        <v>72</v>
      </c>
      <c r="E36" s="6" t="s">
        <v>96</v>
      </c>
    </row>
    <row r="37" spans="4:5">
      <c r="D37" s="6"/>
      <c r="E37"/>
    </row>
    <row r="38" spans="4:5">
      <c r="E38"/>
    </row>
    <row r="39" spans="4:5">
      <c r="D39" s="6" t="s">
        <v>73</v>
      </c>
      <c r="E39"/>
    </row>
    <row r="40" spans="4:5">
      <c r="D40" s="6" t="s">
        <v>74</v>
      </c>
      <c r="E40"/>
    </row>
    <row r="41" spans="4:5">
      <c r="D41" s="6" t="s">
        <v>44</v>
      </c>
      <c r="E41"/>
    </row>
    <row r="42" spans="4:5">
      <c r="E42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7:I39"/>
  <sheetViews>
    <sheetView workbookViewId="0">
      <selection activeCell="E19" sqref="E19"/>
    </sheetView>
  </sheetViews>
  <sheetFormatPr defaultColWidth="11" defaultRowHeight="12.75"/>
  <cols>
    <col min="2" max="2" width="8.875" customWidth="1"/>
    <col min="3" max="3" width="16.25" style="25" customWidth="1"/>
    <col min="4" max="4" width="11.75" customWidth="1"/>
    <col min="5" max="5" width="14.375" style="25" customWidth="1"/>
    <col min="6" max="6" width="8.875" style="26" customWidth="1"/>
    <col min="7" max="7" width="8.875" style="35" customWidth="1"/>
    <col min="8" max="8" width="11.25" customWidth="1"/>
    <col min="9" max="9" width="12.625" customWidth="1"/>
  </cols>
  <sheetData>
    <row r="7" spans="1:9">
      <c r="A7" t="s">
        <v>112</v>
      </c>
      <c r="C7" s="48" t="s">
        <v>2</v>
      </c>
      <c r="E7" s="48" t="s">
        <v>2</v>
      </c>
      <c r="F7" s="36"/>
      <c r="G7" s="36"/>
      <c r="H7" s="49" t="s">
        <v>3</v>
      </c>
      <c r="I7" s="48" t="s">
        <v>69</v>
      </c>
    </row>
    <row r="8" spans="1:9">
      <c r="B8" t="s">
        <v>5</v>
      </c>
      <c r="C8" s="51" t="s">
        <v>6</v>
      </c>
      <c r="D8" s="52" t="s">
        <v>61</v>
      </c>
      <c r="E8" s="35" t="s">
        <v>62</v>
      </c>
      <c r="F8" s="53" t="s">
        <v>88</v>
      </c>
      <c r="G8" s="53" t="s">
        <v>103</v>
      </c>
      <c r="H8" t="s">
        <v>63</v>
      </c>
      <c r="I8" s="35" t="s">
        <v>89</v>
      </c>
    </row>
    <row r="9" spans="1:9">
      <c r="A9" s="5" t="s">
        <v>55</v>
      </c>
      <c r="B9" s="40">
        <v>50000</v>
      </c>
      <c r="C9" s="35">
        <f>(B9-50000)*(20000)</f>
        <v>0</v>
      </c>
      <c r="D9" s="39">
        <v>1000</v>
      </c>
      <c r="E9" s="35">
        <f>(D9-1000)*(1000000)</f>
        <v>0</v>
      </c>
      <c r="F9" s="41">
        <v>20</v>
      </c>
      <c r="G9" s="41">
        <v>0</v>
      </c>
      <c r="H9">
        <f>(F9-20)*1000000+G9*2000000</f>
        <v>0</v>
      </c>
      <c r="I9" s="35">
        <f t="shared" ref="I9:I23" si="0">C9+E9+H9</f>
        <v>0</v>
      </c>
    </row>
    <row r="10" spans="1:9">
      <c r="A10" s="4">
        <v>2</v>
      </c>
      <c r="B10" s="40">
        <v>50000</v>
      </c>
      <c r="C10" s="35">
        <f>(B10-B9)*(20000)</f>
        <v>0</v>
      </c>
      <c r="D10" s="39">
        <v>1000</v>
      </c>
      <c r="E10" s="25">
        <f>(D10-D9)*1000000</f>
        <v>0</v>
      </c>
      <c r="F10" s="41">
        <v>20</v>
      </c>
      <c r="G10" s="41">
        <v>0</v>
      </c>
      <c r="H10">
        <f t="shared" ref="H10:H23" si="1">(F10-F9)*1000000+(G10-G9)*2000000</f>
        <v>0</v>
      </c>
      <c r="I10" s="35">
        <f t="shared" si="0"/>
        <v>0</v>
      </c>
    </row>
    <row r="11" spans="1:9">
      <c r="A11" s="4">
        <v>3</v>
      </c>
      <c r="B11" s="40">
        <v>50000</v>
      </c>
      <c r="C11" s="25">
        <f>(B11-B10)*(20000)</f>
        <v>0</v>
      </c>
      <c r="D11" s="39">
        <v>1000</v>
      </c>
      <c r="E11" s="35">
        <f t="shared" ref="E11:E23" si="2">(D11-D10)*1000000</f>
        <v>0</v>
      </c>
      <c r="F11" s="41">
        <v>20</v>
      </c>
      <c r="G11" s="41">
        <v>0</v>
      </c>
      <c r="H11">
        <f t="shared" si="1"/>
        <v>0</v>
      </c>
      <c r="I11" s="35">
        <f t="shared" si="0"/>
        <v>0</v>
      </c>
    </row>
    <row r="12" spans="1:9">
      <c r="A12" s="4">
        <v>4</v>
      </c>
      <c r="B12" s="40">
        <v>50000</v>
      </c>
      <c r="C12" s="35">
        <f t="shared" ref="C12:C23" si="3">(B12-B11)*(20000)</f>
        <v>0</v>
      </c>
      <c r="D12" s="39">
        <v>1000</v>
      </c>
      <c r="E12" s="35">
        <f t="shared" si="2"/>
        <v>0</v>
      </c>
      <c r="F12" s="41">
        <v>20</v>
      </c>
      <c r="G12" s="41">
        <v>0</v>
      </c>
      <c r="H12">
        <f t="shared" si="1"/>
        <v>0</v>
      </c>
      <c r="I12" s="35">
        <f t="shared" si="0"/>
        <v>0</v>
      </c>
    </row>
    <row r="13" spans="1:9">
      <c r="A13" s="4">
        <v>5</v>
      </c>
      <c r="B13" s="40">
        <v>50000</v>
      </c>
      <c r="C13" s="35">
        <f t="shared" si="3"/>
        <v>0</v>
      </c>
      <c r="D13" s="39">
        <v>1000</v>
      </c>
      <c r="E13" s="35">
        <f t="shared" si="2"/>
        <v>0</v>
      </c>
      <c r="F13" s="41">
        <v>20</v>
      </c>
      <c r="G13" s="41">
        <v>0</v>
      </c>
      <c r="H13">
        <f t="shared" si="1"/>
        <v>0</v>
      </c>
      <c r="I13" s="35">
        <f t="shared" si="0"/>
        <v>0</v>
      </c>
    </row>
    <row r="14" spans="1:9">
      <c r="A14" s="4">
        <v>6</v>
      </c>
      <c r="B14" s="40">
        <v>50000</v>
      </c>
      <c r="C14" s="35">
        <f t="shared" si="3"/>
        <v>0</v>
      </c>
      <c r="D14" s="39">
        <v>1000</v>
      </c>
      <c r="E14" s="35">
        <f t="shared" si="2"/>
        <v>0</v>
      </c>
      <c r="F14" s="41">
        <v>20</v>
      </c>
      <c r="G14" s="41">
        <v>0</v>
      </c>
      <c r="H14">
        <f t="shared" si="1"/>
        <v>0</v>
      </c>
      <c r="I14" s="35">
        <f t="shared" si="0"/>
        <v>0</v>
      </c>
    </row>
    <row r="15" spans="1:9">
      <c r="A15" s="4">
        <v>7</v>
      </c>
      <c r="B15" s="40">
        <v>50000</v>
      </c>
      <c r="C15" s="35">
        <f t="shared" si="3"/>
        <v>0</v>
      </c>
      <c r="D15" s="39">
        <v>1000</v>
      </c>
      <c r="E15" s="35">
        <f t="shared" si="2"/>
        <v>0</v>
      </c>
      <c r="F15" s="41">
        <v>20</v>
      </c>
      <c r="G15" s="41">
        <v>0</v>
      </c>
      <c r="H15">
        <f t="shared" si="1"/>
        <v>0</v>
      </c>
      <c r="I15" s="35">
        <f t="shared" si="0"/>
        <v>0</v>
      </c>
    </row>
    <row r="16" spans="1:9">
      <c r="A16" s="4">
        <v>8</v>
      </c>
      <c r="B16" s="40">
        <v>50000</v>
      </c>
      <c r="C16" s="35">
        <f t="shared" si="3"/>
        <v>0</v>
      </c>
      <c r="D16" s="39">
        <v>1000</v>
      </c>
      <c r="E16" s="35">
        <f t="shared" si="2"/>
        <v>0</v>
      </c>
      <c r="F16" s="41">
        <v>20</v>
      </c>
      <c r="G16" s="41">
        <v>0</v>
      </c>
      <c r="H16">
        <f t="shared" si="1"/>
        <v>0</v>
      </c>
      <c r="I16" s="35">
        <f t="shared" si="0"/>
        <v>0</v>
      </c>
    </row>
    <row r="17" spans="1:9">
      <c r="A17" s="4">
        <v>9</v>
      </c>
      <c r="B17" s="40">
        <v>50000</v>
      </c>
      <c r="C17" s="35">
        <f t="shared" si="3"/>
        <v>0</v>
      </c>
      <c r="D17" s="39">
        <v>1000</v>
      </c>
      <c r="E17" s="35">
        <f t="shared" si="2"/>
        <v>0</v>
      </c>
      <c r="F17" s="41">
        <v>20</v>
      </c>
      <c r="G17" s="41">
        <v>0</v>
      </c>
      <c r="H17">
        <f t="shared" si="1"/>
        <v>0</v>
      </c>
      <c r="I17" s="35">
        <f t="shared" si="0"/>
        <v>0</v>
      </c>
    </row>
    <row r="18" spans="1:9">
      <c r="A18" s="4">
        <v>10</v>
      </c>
      <c r="B18" s="40">
        <v>50000</v>
      </c>
      <c r="C18" s="35">
        <f t="shared" si="3"/>
        <v>0</v>
      </c>
      <c r="D18" s="39">
        <v>1000</v>
      </c>
      <c r="E18" s="35">
        <f t="shared" si="2"/>
        <v>0</v>
      </c>
      <c r="F18" s="41">
        <v>20</v>
      </c>
      <c r="G18" s="41">
        <v>0</v>
      </c>
      <c r="H18">
        <f t="shared" si="1"/>
        <v>0</v>
      </c>
      <c r="I18" s="35">
        <f t="shared" si="0"/>
        <v>0</v>
      </c>
    </row>
    <row r="19" spans="1:9">
      <c r="A19" s="4">
        <v>11</v>
      </c>
      <c r="B19" s="40">
        <v>50000</v>
      </c>
      <c r="C19" s="35">
        <f t="shared" si="3"/>
        <v>0</v>
      </c>
      <c r="D19" s="39">
        <v>1000</v>
      </c>
      <c r="E19" s="35">
        <f t="shared" si="2"/>
        <v>0</v>
      </c>
      <c r="F19" s="41">
        <v>20</v>
      </c>
      <c r="G19" s="41">
        <v>0</v>
      </c>
      <c r="H19">
        <f t="shared" si="1"/>
        <v>0</v>
      </c>
      <c r="I19" s="35">
        <f t="shared" si="0"/>
        <v>0</v>
      </c>
    </row>
    <row r="20" spans="1:9">
      <c r="A20" s="4">
        <v>12</v>
      </c>
      <c r="B20" s="40">
        <v>50000</v>
      </c>
      <c r="C20" s="35">
        <f t="shared" si="3"/>
        <v>0</v>
      </c>
      <c r="D20" s="39">
        <v>1000</v>
      </c>
      <c r="E20" s="35">
        <f t="shared" si="2"/>
        <v>0</v>
      </c>
      <c r="F20" s="41">
        <v>20</v>
      </c>
      <c r="G20" s="41">
        <v>0</v>
      </c>
      <c r="H20">
        <f t="shared" si="1"/>
        <v>0</v>
      </c>
      <c r="I20" s="35">
        <f t="shared" si="0"/>
        <v>0</v>
      </c>
    </row>
    <row r="21" spans="1:9">
      <c r="A21" s="4">
        <v>13</v>
      </c>
      <c r="B21" s="40">
        <v>50000</v>
      </c>
      <c r="C21" s="35">
        <f t="shared" si="3"/>
        <v>0</v>
      </c>
      <c r="D21" s="39">
        <v>1000</v>
      </c>
      <c r="E21" s="35">
        <f t="shared" si="2"/>
        <v>0</v>
      </c>
      <c r="F21" s="41">
        <v>20</v>
      </c>
      <c r="G21" s="41">
        <v>0</v>
      </c>
      <c r="H21">
        <f t="shared" si="1"/>
        <v>0</v>
      </c>
      <c r="I21" s="35">
        <f t="shared" si="0"/>
        <v>0</v>
      </c>
    </row>
    <row r="22" spans="1:9">
      <c r="A22" s="4">
        <v>14</v>
      </c>
      <c r="B22" s="40">
        <v>50000</v>
      </c>
      <c r="C22" s="35">
        <f t="shared" si="3"/>
        <v>0</v>
      </c>
      <c r="D22" s="39">
        <v>1000</v>
      </c>
      <c r="E22" s="35">
        <f t="shared" si="2"/>
        <v>0</v>
      </c>
      <c r="F22" s="41">
        <v>20</v>
      </c>
      <c r="G22" s="41">
        <v>0</v>
      </c>
      <c r="H22">
        <f t="shared" si="1"/>
        <v>0</v>
      </c>
      <c r="I22" s="35">
        <f t="shared" si="0"/>
        <v>0</v>
      </c>
    </row>
    <row r="23" spans="1:9">
      <c r="A23" s="4">
        <v>15</v>
      </c>
      <c r="B23" s="40">
        <v>50000</v>
      </c>
      <c r="C23" s="35">
        <f t="shared" si="3"/>
        <v>0</v>
      </c>
      <c r="D23" s="39">
        <v>1000</v>
      </c>
      <c r="E23" s="35">
        <f t="shared" si="2"/>
        <v>0</v>
      </c>
      <c r="F23" s="41">
        <v>20</v>
      </c>
      <c r="G23" s="41">
        <v>0</v>
      </c>
      <c r="H23">
        <f t="shared" si="1"/>
        <v>0</v>
      </c>
      <c r="I23" s="35">
        <f t="shared" si="0"/>
        <v>0</v>
      </c>
    </row>
    <row r="24" spans="1:9">
      <c r="A24" s="2"/>
      <c r="B24" s="2"/>
      <c r="F24" s="42"/>
      <c r="G24" s="42"/>
    </row>
    <row r="25" spans="1:9">
      <c r="A25" s="2"/>
      <c r="B25" s="2"/>
    </row>
    <row r="26" spans="1:9">
      <c r="A26" s="2"/>
      <c r="B26" s="2"/>
    </row>
    <row r="27" spans="1:9">
      <c r="A27" t="s">
        <v>128</v>
      </c>
      <c r="B27" t="s">
        <v>131</v>
      </c>
      <c r="C27" t="s">
        <v>129</v>
      </c>
      <c r="D27" t="s">
        <v>130</v>
      </c>
      <c r="E27"/>
    </row>
    <row r="28" spans="1:9">
      <c r="A28" t="s">
        <v>59</v>
      </c>
      <c r="B28" t="s">
        <v>133</v>
      </c>
      <c r="C28" s="3">
        <v>20000</v>
      </c>
      <c r="D28" s="3">
        <v>50000</v>
      </c>
      <c r="E28"/>
    </row>
    <row r="29" spans="1:9">
      <c r="A29" t="s">
        <v>50</v>
      </c>
      <c r="B29" t="s">
        <v>42</v>
      </c>
      <c r="C29" s="3">
        <v>1000000</v>
      </c>
      <c r="D29" s="3">
        <v>10000000</v>
      </c>
      <c r="E29"/>
    </row>
    <row r="30" spans="1:9">
      <c r="A30" t="s">
        <v>29</v>
      </c>
      <c r="C30" s="3">
        <v>1000000</v>
      </c>
      <c r="E30"/>
    </row>
    <row r="31" spans="1:9">
      <c r="A31" t="s">
        <v>104</v>
      </c>
      <c r="C31" s="62">
        <v>2000000</v>
      </c>
      <c r="E31"/>
    </row>
    <row r="32" spans="1:9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9" sqref="F9:F23"/>
    </sheetView>
  </sheetViews>
  <sheetFormatPr defaultColWidth="11" defaultRowHeight="12.75"/>
  <cols>
    <col min="3" max="3" width="31.75" customWidth="1"/>
    <col min="4" max="4" width="29" customWidth="1"/>
    <col min="5" max="5" width="28.625" customWidth="1"/>
    <col min="6" max="6" width="26.125" customWidth="1"/>
    <col min="7" max="7" width="10.75" style="56"/>
  </cols>
  <sheetData>
    <row r="1" spans="1:7">
      <c r="A1" t="s">
        <v>80</v>
      </c>
    </row>
    <row r="7" spans="1:7">
      <c r="C7" s="50" t="s">
        <v>64</v>
      </c>
      <c r="D7" s="50" t="s">
        <v>65</v>
      </c>
      <c r="E7" s="49" t="s">
        <v>4</v>
      </c>
      <c r="F7" s="49" t="s">
        <v>81</v>
      </c>
      <c r="G7" s="58" t="s">
        <v>105</v>
      </c>
    </row>
    <row r="8" spans="1:7">
      <c r="C8" s="22"/>
      <c r="D8" s="22"/>
    </row>
    <row r="9" spans="1:7">
      <c r="C9" s="22">
        <f>(desarollo!B9-50000)*3000+(desarollo!D9-1000)*80000 +(desarollo!F9-20)*40000</f>
        <v>0</v>
      </c>
      <c r="D9" s="22">
        <f>(desarollo!B9-50000)*100+(desarollo!D9-1000)*500+(desarollo!F9-20)*500 +(producción!J8/100)</f>
        <v>294000</v>
      </c>
      <c r="E9" s="22">
        <f>producción!D8-consumo!C9</f>
        <v>200000</v>
      </c>
      <c r="F9" s="22">
        <f>producción!F8+producción!G8-consumo!D9</f>
        <v>-94000</v>
      </c>
      <c r="G9" s="56">
        <f>consumo!D9/cifras!C9-producción!G8/cifras!C9</f>
        <v>2.94</v>
      </c>
    </row>
    <row r="10" spans="1:7">
      <c r="C10" s="22">
        <f>(desarollo!B10-desarollo!B9)*3000+(desarollo!D10-desarollo!D9)*10000+(desarollo!F10-desarollo!F9)*10000</f>
        <v>0</v>
      </c>
      <c r="D10" s="22">
        <f>(desarollo!B10-desarollo!B9)*100+(desarollo!D10-desarollo!D9)*500+(desarollo!F10-desarollo!F9)*500 +(producción!J9/100)</f>
        <v>294000</v>
      </c>
      <c r="E10" s="22">
        <f>producción!D9-consumo!C10+E9</f>
        <v>400000</v>
      </c>
      <c r="F10" s="22">
        <f>producción!F9+producción!G9-consumo!D10+F9</f>
        <v>-188000</v>
      </c>
      <c r="G10" s="56">
        <f>consumo!D10/cifras!C10-producción!G9/cifras!C10</f>
        <v>2.9137760158572843</v>
      </c>
    </row>
    <row r="11" spans="1:7">
      <c r="C11" s="22">
        <f>(desarollo!B11-desarollo!B10)*3000+(desarollo!D11-desarollo!D10)*10000+(desarollo!F11-desarollo!F10)*10000</f>
        <v>0</v>
      </c>
      <c r="D11" s="22">
        <f>(desarollo!B11-desarollo!B10)*100+(desarollo!D11-desarollo!D10)*500+(desarollo!F11-desarollo!F10)*500 +(producción!J10/100)</f>
        <v>294000</v>
      </c>
      <c r="E11" s="22">
        <f>producción!D10-consumo!C11+E10</f>
        <v>600000</v>
      </c>
      <c r="F11" s="22">
        <f>producción!F10+producción!G10-consumo!D11+F10</f>
        <v>-282000</v>
      </c>
      <c r="G11" s="56">
        <f>consumo!D11/cifras!C11-producción!G10/cifras!C11</f>
        <v>2.8880157170923377</v>
      </c>
    </row>
    <row r="12" spans="1:7">
      <c r="C12" s="22">
        <f>(desarollo!B12-desarollo!B11)*3000+(desarollo!D12-desarollo!D11)*10000+(desarollo!F12-desarollo!F11)*10000</f>
        <v>0</v>
      </c>
      <c r="D12" s="22">
        <f>(desarollo!B12-desarollo!B11)*100+(desarollo!D12-desarollo!D11)*500+(desarollo!F12-desarollo!F11)*500 +(producción!J11/100)</f>
        <v>294000</v>
      </c>
      <c r="E12" s="22">
        <f>producción!D11-consumo!C12+E11</f>
        <v>800000</v>
      </c>
      <c r="F12" s="22">
        <f>producción!F11+producción!G11-consumo!D12+F11</f>
        <v>-376000</v>
      </c>
      <c r="G12" s="56">
        <f>consumo!D12/cifras!C12-producción!G11/cifras!C12</f>
        <v>2.8627069133398249</v>
      </c>
    </row>
    <row r="13" spans="1:7">
      <c r="C13" s="22">
        <f>(desarollo!B13-desarollo!B12)*3000+(desarollo!D13-desarollo!D12)*10000+(desarollo!F13-desarollo!F12)*10000</f>
        <v>0</v>
      </c>
      <c r="D13" s="22">
        <f>(desarollo!B13-desarollo!B12)*100+(desarollo!D13-desarollo!D12)*500+(desarollo!F13-desarollo!F12)*500 +(producción!J12/100)</f>
        <v>294000</v>
      </c>
      <c r="E13" s="22">
        <f>producción!D12-consumo!C13+E12</f>
        <v>1000000</v>
      </c>
      <c r="F13" s="22">
        <f>producción!F12+producción!G12-consumo!D13+F12</f>
        <v>-470000</v>
      </c>
      <c r="G13" s="56">
        <f>consumo!D13/cifras!C13-producción!G12/cifras!C13</f>
        <v>2.8378378378378377</v>
      </c>
    </row>
    <row r="14" spans="1:7">
      <c r="C14" s="22">
        <f>(desarollo!B14-desarollo!B13)*3000+(desarollo!D14-desarollo!D13)*10000+(desarollo!F14-desarollo!F13)*10000</f>
        <v>0</v>
      </c>
      <c r="D14" s="22">
        <f>(desarollo!B14-desarollo!B13)*100+(desarollo!D14-desarollo!D13)*500+(desarollo!F14-desarollo!F13)*500 +(producción!J13/100)</f>
        <v>294000</v>
      </c>
      <c r="E14" s="22">
        <f>producción!D13-consumo!C14+E13</f>
        <v>1200000</v>
      </c>
      <c r="F14" s="22">
        <f>producción!F13+producción!G13-consumo!D14+F13</f>
        <v>-564000</v>
      </c>
      <c r="G14" s="56">
        <f>consumo!D14/cifras!C14-producción!G13/cifras!C14</f>
        <v>2.8133971291866029</v>
      </c>
    </row>
    <row r="15" spans="1:7">
      <c r="C15" s="22">
        <f>(desarollo!B15-desarollo!B14)*3000+(desarollo!D15-desarollo!D14)*10000+(desarollo!F15-desarollo!F14)*10000</f>
        <v>0</v>
      </c>
      <c r="D15" s="22">
        <f>(desarollo!B15-desarollo!B14)*100+(desarollo!D15-desarollo!D14)*500+(desarollo!F15-desarollo!F14)*500 +(producción!J14/100)</f>
        <v>294000</v>
      </c>
      <c r="E15" s="22">
        <f>producción!D14-consumo!C15+E14</f>
        <v>1400000</v>
      </c>
      <c r="F15" s="22">
        <f>producción!F14+producción!G14-consumo!D15+F14</f>
        <v>-658000</v>
      </c>
      <c r="G15" s="56">
        <f>consumo!D15/cifras!C15-producción!G14/cifras!C15</f>
        <v>2.7893738140417459</v>
      </c>
    </row>
    <row r="16" spans="1:7">
      <c r="C16" s="22">
        <f>(desarollo!B16-desarollo!B15)*3000+(desarollo!D16-desarollo!D15)*10000+(desarollo!F16-desarollo!F15)*10000</f>
        <v>0</v>
      </c>
      <c r="D16" s="22">
        <f>(desarollo!B16-desarollo!B15)*100+(desarollo!D16-desarollo!D15)*500+(desarollo!F16-desarollo!F15)*500 +(producción!J15/100)</f>
        <v>294000</v>
      </c>
      <c r="E16" s="22">
        <f>producción!D15-consumo!C16+E15</f>
        <v>1600000</v>
      </c>
      <c r="F16" s="22">
        <f>producción!F15+producción!G15-consumo!D16+F15</f>
        <v>-752000</v>
      </c>
      <c r="G16" s="56">
        <f>consumo!D16/cifras!C16-producción!G15/cifras!C16</f>
        <v>2.7657572906867358</v>
      </c>
    </row>
    <row r="17" spans="3:7">
      <c r="C17" s="22">
        <f>(desarollo!B17-desarollo!B16)*3000+(desarollo!D17-desarollo!D16)*10000+(desarollo!F17-desarollo!F16)*10000</f>
        <v>0</v>
      </c>
      <c r="D17" s="22">
        <f>(desarollo!B17-desarollo!B16)*100+(desarollo!D17-desarollo!D16)*500+(desarollo!F17-desarollo!F16)*500 +(producción!J16/100)</f>
        <v>294000</v>
      </c>
      <c r="E17" s="22">
        <f>producción!D16-consumo!C17+E16</f>
        <v>1800000</v>
      </c>
      <c r="F17" s="22">
        <f>producción!F16+producción!G16-consumo!D17+F16</f>
        <v>-846000</v>
      </c>
      <c r="G17" s="56">
        <f>consumo!D17/cifras!C17-producción!G16/cifras!C17</f>
        <v>2.7425373134328357</v>
      </c>
    </row>
    <row r="18" spans="3:7">
      <c r="C18" s="22">
        <f>(desarollo!B18-desarollo!B17)*3000+(desarollo!D18-desarollo!D17)*10000+(desarollo!F18-desarollo!F17)*10000</f>
        <v>0</v>
      </c>
      <c r="D18" s="22">
        <f>(desarollo!B18-desarollo!B17)*100+(desarollo!D18-desarollo!D17)*500+(desarollo!F18-desarollo!F17)*500 +(producción!J17/100)</f>
        <v>294000</v>
      </c>
      <c r="E18" s="22">
        <f>producción!D17-consumo!C18+E17</f>
        <v>2000000</v>
      </c>
      <c r="F18" s="22">
        <f>producción!F17+producción!G17-consumo!D18+F17</f>
        <v>-940000</v>
      </c>
      <c r="G18" s="56">
        <f>consumo!D18/cifras!C18-producción!G17/cifras!C18</f>
        <v>2.7197039777983347</v>
      </c>
    </row>
    <row r="19" spans="3:7">
      <c r="C19" s="22">
        <f>(desarollo!B19-desarollo!B18)*3000+(desarollo!D19-desarollo!D18)*10000+(desarollo!F19-desarollo!F18)*10000</f>
        <v>0</v>
      </c>
      <c r="D19" s="22">
        <f>(desarollo!B19-desarollo!B18)*100+(desarollo!D19-desarollo!D18)*500+(desarollo!F19-desarollo!F18)*500 +(producción!J18/100)</f>
        <v>294000</v>
      </c>
      <c r="E19" s="22">
        <f>producción!D18-consumo!C19+E18</f>
        <v>2200000</v>
      </c>
      <c r="F19" s="22">
        <f>producción!F18+producción!G18-consumo!D19+F18</f>
        <v>-1034000</v>
      </c>
      <c r="G19" s="56">
        <f>consumo!D19/cifras!C19-producción!G18/cifras!C19</f>
        <v>2.6972477064220182</v>
      </c>
    </row>
    <row r="20" spans="3:7">
      <c r="C20" s="22">
        <f>(desarollo!B20-desarollo!B19)*3000+(desarollo!D20-desarollo!D19)*10000+(desarollo!F20-desarollo!F19)*10000</f>
        <v>0</v>
      </c>
      <c r="D20" s="22">
        <f>(desarollo!B20-desarollo!B19)*100+(desarollo!D20-desarollo!D19)*500+(desarollo!F20-desarollo!F19)*500 +(producción!J19/100)</f>
        <v>294000</v>
      </c>
      <c r="E20" s="22">
        <f>producción!D19-consumo!C20+E19</f>
        <v>2400000</v>
      </c>
      <c r="F20" s="22">
        <f>producción!F19+producción!G19-consumo!D20+F19</f>
        <v>-1128000</v>
      </c>
      <c r="G20" s="56">
        <f>consumo!D20/cifras!C20-producción!G19/cifras!C20</f>
        <v>2.6751592356687897</v>
      </c>
    </row>
    <row r="21" spans="3:7">
      <c r="C21" s="22">
        <f>(desarollo!B21-desarollo!B20)*3000+(desarollo!D21-desarollo!D20)*10000+(desarollo!F21-desarollo!F20)*10000</f>
        <v>0</v>
      </c>
      <c r="D21" s="22">
        <f>(desarollo!B21-desarollo!B20)*100+(desarollo!D21-desarollo!D20)*500+(desarollo!F21-desarollo!F20)*500 +(producción!J20/100)</f>
        <v>294000</v>
      </c>
      <c r="E21" s="22">
        <f>producción!D20-consumo!C21+E20</f>
        <v>2600000</v>
      </c>
      <c r="F21" s="22">
        <f>producción!F20+producción!G20-consumo!D21+F20</f>
        <v>-1222000</v>
      </c>
      <c r="G21" s="56">
        <f>consumo!D21/cifras!C21-producción!G20/cifras!C21</f>
        <v>2.6534296028880866</v>
      </c>
    </row>
    <row r="22" spans="3:7">
      <c r="C22" s="22">
        <f>(desarollo!B22-desarollo!B21)*3000+(desarollo!D22-desarollo!D21)*10000+(desarollo!F22-desarollo!F21)*10000</f>
        <v>0</v>
      </c>
      <c r="D22" s="22">
        <f>(desarollo!B22-desarollo!B21)*100+(desarollo!D22-desarollo!D21)*500+(desarollo!F22-desarollo!F21)*500 +(producción!J21/100)</f>
        <v>294000</v>
      </c>
      <c r="E22" s="22">
        <f>producción!D21-consumo!C22+E21</f>
        <v>2800000</v>
      </c>
      <c r="F22" s="22">
        <f>producción!F21+producción!G21-consumo!D22+F21</f>
        <v>-1316000</v>
      </c>
      <c r="G22" s="56">
        <f>consumo!D22/cifras!C22-producción!G21/cifras!C22</f>
        <v>2.6320501342882721</v>
      </c>
    </row>
    <row r="23" spans="3:7">
      <c r="C23" s="22">
        <f>(desarollo!B23-desarollo!B22)*3000+(desarollo!D23-desarollo!D22)*10000+(desarollo!F23-desarollo!F22)*10000</f>
        <v>0</v>
      </c>
      <c r="D23" s="22">
        <f>(desarollo!B23-desarollo!B22)*100+(desarollo!D23-desarollo!D22)*500+(desarollo!F23-desarollo!F22)*500 +(producción!J22/100)</f>
        <v>294000</v>
      </c>
      <c r="E23" s="22">
        <f>producción!D22-consumo!C23+E22</f>
        <v>3000000</v>
      </c>
      <c r="F23" s="22">
        <f>producción!F22+producción!G22-consumo!D23+F22</f>
        <v>-1410000</v>
      </c>
      <c r="G23" s="56">
        <f>consumo!D23/cifras!C23-producción!G22/cifras!C23</f>
        <v>2.6110124333925397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3:G40"/>
  <sheetViews>
    <sheetView workbookViewId="0">
      <selection activeCell="B12" sqref="B12"/>
    </sheetView>
  </sheetViews>
  <sheetFormatPr defaultColWidth="11" defaultRowHeight="12.75"/>
  <cols>
    <col min="2" max="2" width="5.125" customWidth="1"/>
    <col min="3" max="3" width="10.75" style="7"/>
    <col min="4" max="4" width="17.375" customWidth="1"/>
    <col min="6" max="6" width="12.75" customWidth="1"/>
  </cols>
  <sheetData>
    <row r="3" spans="1:7">
      <c r="B3" s="1"/>
      <c r="C3" s="32"/>
    </row>
    <row r="5" spans="1:7">
      <c r="C5" s="8" t="s">
        <v>11</v>
      </c>
    </row>
    <row r="6" spans="1:7">
      <c r="D6" s="6" t="s">
        <v>33</v>
      </c>
      <c r="E6" s="54" t="s">
        <v>66</v>
      </c>
      <c r="F6" s="63" t="s">
        <v>108</v>
      </c>
      <c r="G6" s="58" t="s">
        <v>105</v>
      </c>
    </row>
    <row r="7" spans="1:7">
      <c r="D7" t="s">
        <v>94</v>
      </c>
      <c r="E7" s="55" t="s">
        <v>67</v>
      </c>
    </row>
    <row r="8" spans="1:7">
      <c r="B8" s="65" t="s">
        <v>136</v>
      </c>
      <c r="D8" s="35">
        <f>(producción!J8/cifras!C9)+348</f>
        <v>642</v>
      </c>
      <c r="E8" s="55">
        <f>1-(producción!J8/F8)</f>
        <v>5.7692307692307709E-2</v>
      </c>
      <c r="F8" s="35">
        <f>cifras!C9*(D8-330)</f>
        <v>31200000</v>
      </c>
      <c r="G8" s="64">
        <f>consumo!G9</f>
        <v>2.94</v>
      </c>
    </row>
    <row r="9" spans="1:7">
      <c r="A9">
        <v>1</v>
      </c>
      <c r="B9" s="66" t="s">
        <v>139</v>
      </c>
      <c r="C9" s="7">
        <f>impuestos!B7</f>
        <v>100000</v>
      </c>
      <c r="D9" s="35">
        <f>(producción!J9/cifras!C10)+348</f>
        <v>639.37760158572837</v>
      </c>
      <c r="E9" s="55">
        <f>1-(producción!J9/F9)</f>
        <v>5.8181328925365428E-2</v>
      </c>
      <c r="F9" s="35">
        <f>cifras!C10*(D9-330)</f>
        <v>31216199.999999993</v>
      </c>
      <c r="G9" s="64">
        <f>consumo!G10</f>
        <v>2.9137760158572843</v>
      </c>
    </row>
    <row r="10" spans="1:7">
      <c r="A10">
        <v>2</v>
      </c>
      <c r="B10" s="67" t="s">
        <v>140</v>
      </c>
      <c r="C10" s="7">
        <f>impuestos!B8</f>
        <v>100900</v>
      </c>
      <c r="D10" s="35">
        <f>(producción!J10/cifras!C11)+348</f>
        <v>636.80157170923371</v>
      </c>
      <c r="E10" s="55">
        <f>1-(producción!J10/F10)</f>
        <v>5.8669842855496035E-2</v>
      </c>
      <c r="F10" s="35">
        <f>cifras!C11*(D10-330)</f>
        <v>31232399.999999993</v>
      </c>
      <c r="G10" s="64">
        <f>consumo!G11</f>
        <v>2.8880157170923377</v>
      </c>
    </row>
    <row r="11" spans="1:7">
      <c r="A11">
        <v>3</v>
      </c>
      <c r="B11" s="67" t="s">
        <v>140</v>
      </c>
      <c r="C11" s="7">
        <f>impuestos!B9</f>
        <v>101800</v>
      </c>
      <c r="D11" s="35">
        <f>(producción!J11/cifras!C12)+348</f>
        <v>634.27069133398254</v>
      </c>
      <c r="E11" s="55">
        <f>1-(producción!J11/F11)</f>
        <v>5.9157850271692403E-2</v>
      </c>
      <c r="F11" s="35">
        <f>cifras!C12*(D11-330)</f>
        <v>31248600.000000007</v>
      </c>
      <c r="G11" s="64">
        <f>consumo!G12</f>
        <v>2.8627069133398249</v>
      </c>
    </row>
    <row r="12" spans="1:7">
      <c r="A12">
        <v>4</v>
      </c>
      <c r="B12" s="67"/>
      <c r="C12" s="7">
        <f>impuestos!B10</f>
        <v>102700</v>
      </c>
      <c r="D12" s="35">
        <f>(producción!J12/cifras!C13)+348</f>
        <v>631.78378378378375</v>
      </c>
      <c r="E12" s="55">
        <f>1-(producción!J12/F12)</f>
        <v>5.9645351961311044E-2</v>
      </c>
      <c r="F12" s="35">
        <f>cifras!C13*(D12-330)</f>
        <v>31264799.999999996</v>
      </c>
      <c r="G12" s="64">
        <f>consumo!G13</f>
        <v>2.8378378378378377</v>
      </c>
    </row>
    <row r="13" spans="1:7">
      <c r="A13">
        <v>5</v>
      </c>
      <c r="B13" s="67"/>
      <c r="C13" s="7">
        <f>impuestos!B11</f>
        <v>103600</v>
      </c>
      <c r="D13" s="35">
        <f>(producción!J13/cifras!C14)+348</f>
        <v>629.33971291866033</v>
      </c>
      <c r="E13" s="55">
        <f>1-(producción!J13/F13)</f>
        <v>6.0132348710079664E-2</v>
      </c>
      <c r="F13" s="35">
        <f>cifras!C14*(D13-330)</f>
        <v>31281000.000000004</v>
      </c>
      <c r="G13" s="64">
        <f>consumo!G14</f>
        <v>2.8133971291866029</v>
      </c>
    </row>
    <row r="14" spans="1:7">
      <c r="A14">
        <v>6</v>
      </c>
      <c r="B14" s="67"/>
      <c r="C14" s="7">
        <f>impuestos!B12</f>
        <v>104500</v>
      </c>
      <c r="D14" s="35">
        <f>(producción!J14/cifras!C15)+348</f>
        <v>626.93738140417463</v>
      </c>
      <c r="E14" s="55">
        <f>1-(producción!J14/F14)</f>
        <v>6.0618841302097493E-2</v>
      </c>
      <c r="F14" s="35">
        <f>cifras!C15*(D14-330)</f>
        <v>31297200.000000007</v>
      </c>
      <c r="G14" s="64">
        <f>consumo!G15</f>
        <v>2.7893738140417459</v>
      </c>
    </row>
    <row r="15" spans="1:7">
      <c r="A15">
        <v>7</v>
      </c>
      <c r="B15" s="67"/>
      <c r="C15" s="7">
        <f>impuestos!B13</f>
        <v>105400</v>
      </c>
      <c r="D15" s="35">
        <f>(producción!J15/cifras!C16)+348</f>
        <v>624.57572906867358</v>
      </c>
      <c r="E15" s="55">
        <f>1-(producción!J15/F15)</f>
        <v>6.1104830519841391E-2</v>
      </c>
      <c r="F15" s="35">
        <f>cifras!C16*(D15-330)</f>
        <v>31313400</v>
      </c>
      <c r="G15" s="64">
        <f>consumo!G16</f>
        <v>2.7657572906867358</v>
      </c>
    </row>
    <row r="16" spans="1:7">
      <c r="A16">
        <v>8</v>
      </c>
      <c r="B16" s="67"/>
      <c r="C16" s="7">
        <f>impuestos!B14</f>
        <v>106300</v>
      </c>
      <c r="D16" s="35">
        <f>(producción!J16/cifras!C17)+348</f>
        <v>622.25373134328356</v>
      </c>
      <c r="E16" s="55">
        <f>1-(producción!J16/F16)</f>
        <v>6.1590317144170292E-2</v>
      </c>
      <c r="F16" s="35">
        <f>cifras!C17*(D16-330)</f>
        <v>31329599.999999996</v>
      </c>
      <c r="G16" s="64">
        <f>consumo!G17</f>
        <v>2.7425373134328357</v>
      </c>
    </row>
    <row r="17" spans="1:7">
      <c r="A17">
        <v>9</v>
      </c>
      <c r="B17" s="67"/>
      <c r="C17" s="7">
        <f>impuestos!B15</f>
        <v>107200</v>
      </c>
      <c r="D17" s="35">
        <f>(producción!J17/cifras!C18)+348</f>
        <v>619.97039777983355</v>
      </c>
      <c r="E17" s="55">
        <f>1-(producción!J17/F17)</f>
        <v>6.2075301954329087E-2</v>
      </c>
      <c r="F17" s="35">
        <f>cifras!C18*(D17-330)</f>
        <v>31345800.000000007</v>
      </c>
      <c r="G17" s="64">
        <f>consumo!G18</f>
        <v>2.7197039777983347</v>
      </c>
    </row>
    <row r="18" spans="1:7">
      <c r="A18">
        <v>10</v>
      </c>
      <c r="B18" s="67"/>
      <c r="C18" s="7">
        <f>impuestos!B16</f>
        <v>108100</v>
      </c>
      <c r="D18" s="35">
        <f>(producción!J18/cifras!C19)+348</f>
        <v>617.72477064220186</v>
      </c>
      <c r="E18" s="55">
        <f>1-(producción!J18/F18)</f>
        <v>6.2559785727951178E-2</v>
      </c>
      <c r="F18" s="35">
        <f>cifras!C19*(D18-330)</f>
        <v>31362000.000000004</v>
      </c>
      <c r="G18" s="64">
        <f>consumo!G19</f>
        <v>2.6972477064220182</v>
      </c>
    </row>
    <row r="19" spans="1:7">
      <c r="A19">
        <v>11</v>
      </c>
      <c r="B19" s="67"/>
      <c r="C19" s="7">
        <f>impuestos!B17</f>
        <v>109000</v>
      </c>
      <c r="D19" s="35">
        <f>(producción!J19/cifras!C20)+348</f>
        <v>615.515923566879</v>
      </c>
      <c r="E19" s="55">
        <f>1-(producción!J19/F19)</f>
        <v>6.3043769241065473E-2</v>
      </c>
      <c r="F19" s="35">
        <f>cifras!C20*(D19-330)</f>
        <v>31378200</v>
      </c>
      <c r="G19" s="64">
        <f>consumo!G20</f>
        <v>2.6751592356687897</v>
      </c>
    </row>
    <row r="20" spans="1:7">
      <c r="A20">
        <v>12</v>
      </c>
      <c r="B20" s="67"/>
      <c r="C20" s="7">
        <f>impuestos!B18</f>
        <v>109900</v>
      </c>
      <c r="D20" s="35">
        <f>(producción!J20/cifras!C21)+348</f>
        <v>613.34296028880863</v>
      </c>
      <c r="E20" s="55">
        <f>1-(producción!J20/F20)</f>
        <v>6.3527253268098605E-2</v>
      </c>
      <c r="F20" s="35">
        <f>cifras!C21*(D20-330)</f>
        <v>31394399.999999996</v>
      </c>
      <c r="G20" s="64">
        <f>consumo!G21</f>
        <v>2.6534296028880866</v>
      </c>
    </row>
    <row r="21" spans="1:7">
      <c r="A21">
        <v>13</v>
      </c>
      <c r="B21" s="67"/>
      <c r="C21" s="7">
        <f>impuestos!B19</f>
        <v>110800</v>
      </c>
      <c r="D21" s="35">
        <f>(producción!J21/cifras!C22)+348</f>
        <v>611.20501342882721</v>
      </c>
      <c r="E21" s="55">
        <f>1-(producción!J21/F21)</f>
        <v>6.4010238581880041E-2</v>
      </c>
      <c r="F21" s="35">
        <f>cifras!C22*(D21-330)</f>
        <v>31410600</v>
      </c>
      <c r="G21" s="64">
        <f>consumo!G22</f>
        <v>2.6320501342882721</v>
      </c>
    </row>
    <row r="22" spans="1:7">
      <c r="A22">
        <v>14</v>
      </c>
      <c r="B22" s="67"/>
      <c r="C22" s="7">
        <f>impuestos!B20</f>
        <v>111700</v>
      </c>
      <c r="D22" s="35">
        <f>(producción!J22/cifras!C23)+348</f>
        <v>609.10124333925398</v>
      </c>
      <c r="E22" s="55">
        <f>1-(producción!J22/F22)</f>
        <v>6.4492725953644636E-2</v>
      </c>
      <c r="F22" s="35">
        <f>cifras!C23*(D22-330)</f>
        <v>31426800</v>
      </c>
      <c r="G22" s="64">
        <f>consumo!G23</f>
        <v>2.6110124333925397</v>
      </c>
    </row>
    <row r="23" spans="1:7">
      <c r="A23">
        <v>15</v>
      </c>
      <c r="B23" s="67"/>
      <c r="C23" s="7">
        <f>impuestos!B21</f>
        <v>112600</v>
      </c>
    </row>
    <row r="24" spans="1:7">
      <c r="B24" s="23"/>
    </row>
    <row r="25" spans="1:7">
      <c r="B25" s="23"/>
    </row>
    <row r="26" spans="1:7">
      <c r="B26" s="23"/>
    </row>
    <row r="27" spans="1:7">
      <c r="B27" s="23"/>
    </row>
    <row r="28" spans="1:7">
      <c r="B28" s="23"/>
    </row>
    <row r="29" spans="1:7">
      <c r="B29" s="23"/>
    </row>
    <row r="30" spans="1:7">
      <c r="B30" s="23"/>
    </row>
    <row r="31" spans="1:7">
      <c r="B31" s="23"/>
    </row>
    <row r="32" spans="1:7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5:J42"/>
  <sheetViews>
    <sheetView topLeftCell="A13" workbookViewId="0">
      <selection activeCell="E7" sqref="E7:E21"/>
    </sheetView>
  </sheetViews>
  <sheetFormatPr defaultColWidth="11" defaultRowHeight="12.75"/>
  <cols>
    <col min="3" max="3" width="12.375" customWidth="1"/>
    <col min="4" max="4" width="15.125" style="14" customWidth="1"/>
    <col min="5" max="5" width="18.375" style="14" customWidth="1"/>
    <col min="6" max="6" width="17.25" style="14" customWidth="1"/>
    <col min="7" max="7" width="19.875" style="14" customWidth="1"/>
    <col min="8" max="8" width="18.25" style="14" customWidth="1"/>
    <col min="9" max="9" width="11.75" style="12" bestFit="1" customWidth="1"/>
  </cols>
  <sheetData>
    <row r="5" spans="1:10">
      <c r="B5" s="6" t="s">
        <v>10</v>
      </c>
      <c r="C5" s="6" t="s">
        <v>7</v>
      </c>
      <c r="D5" s="13" t="s">
        <v>58</v>
      </c>
      <c r="E5" s="13" t="s">
        <v>36</v>
      </c>
      <c r="F5" s="13" t="s">
        <v>118</v>
      </c>
      <c r="G5" s="13" t="s">
        <v>56</v>
      </c>
      <c r="H5" s="13" t="s">
        <v>117</v>
      </c>
      <c r="I5" s="11" t="s">
        <v>57</v>
      </c>
      <c r="J5" s="49" t="s">
        <v>68</v>
      </c>
    </row>
    <row r="6" spans="1:10">
      <c r="C6" t="s">
        <v>8</v>
      </c>
      <c r="D6" s="14" t="s">
        <v>35</v>
      </c>
      <c r="E6" s="14" t="s">
        <v>34</v>
      </c>
      <c r="F6" s="14" t="s">
        <v>113</v>
      </c>
      <c r="G6" s="14" t="s">
        <v>113</v>
      </c>
      <c r="H6" s="14" t="s">
        <v>113</v>
      </c>
      <c r="I6" s="12" t="s">
        <v>85</v>
      </c>
    </row>
    <row r="7" spans="1:10">
      <c r="A7" s="5" t="s">
        <v>55</v>
      </c>
      <c r="B7" s="22">
        <v>100000</v>
      </c>
      <c r="C7" s="24">
        <f>B7*C28*H27</f>
        <v>19260000</v>
      </c>
      <c r="D7" s="14">
        <f>50000*desarollo!B9/12</f>
        <v>208333333.33333334</v>
      </c>
      <c r="E7" s="14">
        <f>desarollo!D9*10000000/12+(J7*500000/12)</f>
        <v>833333333.33333337</v>
      </c>
      <c r="F7" s="14">
        <f>producción!C8</f>
        <v>10000000</v>
      </c>
      <c r="G7" s="14">
        <f>producción!H8</f>
        <v>18600000</v>
      </c>
      <c r="H7" s="14">
        <f>producción!E8</f>
        <v>800000</v>
      </c>
      <c r="I7" s="12">
        <f>H25*(F7+G7+H7)+H26*(D7+E7)+C7</f>
        <v>125778666.66666669</v>
      </c>
      <c r="J7">
        <v>0</v>
      </c>
    </row>
    <row r="8" spans="1:10">
      <c r="A8" s="4">
        <v>2</v>
      </c>
      <c r="B8" s="22">
        <f>B7+900</f>
        <v>100900</v>
      </c>
      <c r="C8" s="24">
        <f>B8*C28*H27</f>
        <v>19433340</v>
      </c>
      <c r="D8" s="14">
        <f>50000*desarollo!B10/12</f>
        <v>208333333.33333334</v>
      </c>
      <c r="E8" s="35">
        <f>desarollo!D10*10000000/12+(J8*500000/12)</f>
        <v>833333333.33333337</v>
      </c>
      <c r="F8" s="14">
        <f>producción!C9</f>
        <v>10000000</v>
      </c>
      <c r="G8" s="14">
        <f>producción!H9</f>
        <v>18600000</v>
      </c>
      <c r="H8" s="14">
        <f>producción!E9</f>
        <v>800000</v>
      </c>
      <c r="I8" s="46">
        <f>H25*(F8+G8+H8)+H26*(D8+E8)+C8</f>
        <v>125952006.66666669</v>
      </c>
      <c r="J8">
        <v>0</v>
      </c>
    </row>
    <row r="9" spans="1:10">
      <c r="A9" s="4">
        <v>3</v>
      </c>
      <c r="B9" s="22">
        <f t="shared" ref="B9:B21" si="0">B8+900</f>
        <v>101800</v>
      </c>
      <c r="C9" s="24">
        <f>B9*C28*H27</f>
        <v>19606680</v>
      </c>
      <c r="D9" s="14">
        <f>50000*desarollo!B11/12</f>
        <v>208333333.33333334</v>
      </c>
      <c r="E9" s="35">
        <f>desarollo!D11*10000000/12+(J9*500000/12)</f>
        <v>833333333.33333337</v>
      </c>
      <c r="F9" s="14">
        <f>producción!C10</f>
        <v>10000000</v>
      </c>
      <c r="G9" s="14">
        <f>producción!H10</f>
        <v>18600000</v>
      </c>
      <c r="H9" s="14">
        <f>producción!E10</f>
        <v>800000</v>
      </c>
      <c r="I9" s="46">
        <f>H25*(F9+G9+H9)+H26*(D9+E9)+C9</f>
        <v>126125346.66666669</v>
      </c>
      <c r="J9">
        <v>0</v>
      </c>
    </row>
    <row r="10" spans="1:10">
      <c r="A10" s="4">
        <v>4</v>
      </c>
      <c r="B10" s="22">
        <f t="shared" si="0"/>
        <v>102700</v>
      </c>
      <c r="C10" s="24">
        <f>B10*C28*H27</f>
        <v>19780020</v>
      </c>
      <c r="D10" s="14">
        <f>50000*desarollo!B12/12</f>
        <v>208333333.33333334</v>
      </c>
      <c r="E10" s="35">
        <f>desarollo!D12*10000000/12+(J10*500000/12)</f>
        <v>833333333.33333337</v>
      </c>
      <c r="F10" s="14">
        <f>producción!C11</f>
        <v>10000000</v>
      </c>
      <c r="G10" s="14">
        <f>producción!H11</f>
        <v>18600000</v>
      </c>
      <c r="H10" s="14">
        <f>producción!E11</f>
        <v>800000</v>
      </c>
      <c r="I10" s="12">
        <f>H25*(F10+G10+H10)+H26*(D10+E10)+C10</f>
        <v>126298686.66666669</v>
      </c>
      <c r="J10">
        <v>0</v>
      </c>
    </row>
    <row r="11" spans="1:10">
      <c r="A11" s="4">
        <v>5</v>
      </c>
      <c r="B11" s="22">
        <f t="shared" si="0"/>
        <v>103600</v>
      </c>
      <c r="C11" s="24">
        <f>B11*C28*H27</f>
        <v>19953360</v>
      </c>
      <c r="D11" s="14">
        <f>50000*desarollo!B13/12</f>
        <v>208333333.33333334</v>
      </c>
      <c r="E11" s="35">
        <f>desarollo!D13*10000000/12+(J11*500000/12)</f>
        <v>833333333.33333337</v>
      </c>
      <c r="F11" s="14">
        <f>producción!C12</f>
        <v>10000000</v>
      </c>
      <c r="G11" s="14">
        <f>producción!H12</f>
        <v>18600000</v>
      </c>
      <c r="H11" s="14">
        <f>producción!E12</f>
        <v>800000</v>
      </c>
      <c r="I11" s="12">
        <f>H25*(F11+G11+H11)+H26*(D11+E11)+C11</f>
        <v>126472026.66666669</v>
      </c>
      <c r="J11">
        <v>0</v>
      </c>
    </row>
    <row r="12" spans="1:10">
      <c r="A12" s="4">
        <v>6</v>
      </c>
      <c r="B12" s="22">
        <f t="shared" si="0"/>
        <v>104500</v>
      </c>
      <c r="C12" s="24">
        <f>B12*C28*H27</f>
        <v>20126700</v>
      </c>
      <c r="D12" s="14">
        <f>50000*desarollo!B14/12</f>
        <v>208333333.33333334</v>
      </c>
      <c r="E12" s="35">
        <f>desarollo!D14*10000000/12+(J12*500000/12)</f>
        <v>833333333.33333337</v>
      </c>
      <c r="F12" s="14">
        <f>producción!C13</f>
        <v>10000000</v>
      </c>
      <c r="G12" s="14">
        <f>producción!H13</f>
        <v>18600000</v>
      </c>
      <c r="H12" s="14">
        <f>producción!E13</f>
        <v>800000</v>
      </c>
      <c r="I12" s="12">
        <f>H25*(F12+G12+H12)+H26*(D12+E12)+C12</f>
        <v>126645366.66666669</v>
      </c>
      <c r="J12">
        <v>0</v>
      </c>
    </row>
    <row r="13" spans="1:10">
      <c r="A13" s="4">
        <v>7</v>
      </c>
      <c r="B13" s="22">
        <f t="shared" si="0"/>
        <v>105400</v>
      </c>
      <c r="C13" s="24">
        <f>B13*C28*H27</f>
        <v>20300040</v>
      </c>
      <c r="D13" s="14">
        <f>50000*desarollo!B15/12</f>
        <v>208333333.33333334</v>
      </c>
      <c r="E13" s="35">
        <f>desarollo!D15*10000000/12+(J13*500000/12)</f>
        <v>833333333.33333337</v>
      </c>
      <c r="F13" s="14">
        <f>producción!C14</f>
        <v>10000000</v>
      </c>
      <c r="G13" s="14">
        <f>producción!H14</f>
        <v>18600000</v>
      </c>
      <c r="H13" s="14">
        <f>producción!E14</f>
        <v>800000</v>
      </c>
      <c r="I13" s="12">
        <f>H25*(F13+G13+H13)+H26*(D13+E13)+C13</f>
        <v>126818706.66666669</v>
      </c>
      <c r="J13">
        <v>0</v>
      </c>
    </row>
    <row r="14" spans="1:10">
      <c r="A14" s="4">
        <v>8</v>
      </c>
      <c r="B14" s="22">
        <f t="shared" si="0"/>
        <v>106300</v>
      </c>
      <c r="C14" s="24">
        <f>B14*C28*H27</f>
        <v>20473380</v>
      </c>
      <c r="D14" s="14">
        <f>50000*desarollo!B16/12</f>
        <v>208333333.33333334</v>
      </c>
      <c r="E14" s="35">
        <f>desarollo!D16*10000000/12+(J14*500000/12)</f>
        <v>833333333.33333337</v>
      </c>
      <c r="F14" s="14">
        <f>producción!C15</f>
        <v>10000000</v>
      </c>
      <c r="G14" s="14">
        <f>producción!H15</f>
        <v>18600000</v>
      </c>
      <c r="H14" s="14">
        <f>producción!E15</f>
        <v>800000</v>
      </c>
      <c r="I14" s="12">
        <f>H25*(F14+G14+H14)+H26*(D14+E14)+C14</f>
        <v>126992046.66666669</v>
      </c>
      <c r="J14">
        <v>0</v>
      </c>
    </row>
    <row r="15" spans="1:10">
      <c r="A15" s="4">
        <v>9</v>
      </c>
      <c r="B15" s="22">
        <f t="shared" si="0"/>
        <v>107200</v>
      </c>
      <c r="C15" s="24">
        <f>B15*C28*H27</f>
        <v>20646720</v>
      </c>
      <c r="D15" s="14">
        <f>50000*desarollo!B17/12</f>
        <v>208333333.33333334</v>
      </c>
      <c r="E15" s="35">
        <f>desarollo!D17*10000000/12+(J15*500000/12)</f>
        <v>833333333.33333337</v>
      </c>
      <c r="F15" s="14">
        <f>producción!C16</f>
        <v>10000000</v>
      </c>
      <c r="G15" s="14">
        <f>producción!H16</f>
        <v>18600000</v>
      </c>
      <c r="H15" s="14">
        <f>producción!E16</f>
        <v>800000</v>
      </c>
      <c r="I15" s="12">
        <f>H25*(F15+G15+H15)+H26*(D15+E15)+C15</f>
        <v>127165386.66666669</v>
      </c>
      <c r="J15">
        <v>0</v>
      </c>
    </row>
    <row r="16" spans="1:10">
      <c r="A16" s="4">
        <v>10</v>
      </c>
      <c r="B16" s="22">
        <f t="shared" si="0"/>
        <v>108100</v>
      </c>
      <c r="C16" s="24">
        <f>B16*C28*H27</f>
        <v>20820060</v>
      </c>
      <c r="D16" s="14">
        <f>50000*desarollo!B18/12</f>
        <v>208333333.33333334</v>
      </c>
      <c r="E16" s="35">
        <f>desarollo!D18*10000000/12+(J16*500000/12)</f>
        <v>833333333.33333337</v>
      </c>
      <c r="F16" s="14">
        <f>producción!C17</f>
        <v>10000000</v>
      </c>
      <c r="G16" s="14">
        <f>producción!H17</f>
        <v>18600000</v>
      </c>
      <c r="H16" s="14">
        <f>producción!E17</f>
        <v>800000</v>
      </c>
      <c r="I16" s="12">
        <f>H25*(F16+G16+H16)+H26*(D16+E16)+C16</f>
        <v>127338726.66666669</v>
      </c>
      <c r="J16">
        <v>0</v>
      </c>
    </row>
    <row r="17" spans="1:10">
      <c r="A17" s="4">
        <v>11</v>
      </c>
      <c r="B17" s="22">
        <f t="shared" si="0"/>
        <v>109000</v>
      </c>
      <c r="C17" s="24">
        <f>B17*C28*H27</f>
        <v>20993400</v>
      </c>
      <c r="D17" s="14">
        <f>50000*desarollo!B19/12</f>
        <v>208333333.33333334</v>
      </c>
      <c r="E17" s="35">
        <f>desarollo!D19*10000000/12+(J17*500000/12)</f>
        <v>833333333.33333337</v>
      </c>
      <c r="F17" s="14">
        <f>producción!C18</f>
        <v>10000000</v>
      </c>
      <c r="G17" s="14">
        <f>producción!H18</f>
        <v>18600000</v>
      </c>
      <c r="H17" s="14">
        <f>producción!E18</f>
        <v>800000</v>
      </c>
      <c r="I17" s="12">
        <f>H25*(F17+G17+H17)+H26*(D17+E17)+C17</f>
        <v>127512066.66666669</v>
      </c>
      <c r="J17">
        <v>0</v>
      </c>
    </row>
    <row r="18" spans="1:10">
      <c r="A18" s="4">
        <v>12</v>
      </c>
      <c r="B18" s="22">
        <f t="shared" si="0"/>
        <v>109900</v>
      </c>
      <c r="C18" s="24">
        <f>B18*C28*H27</f>
        <v>21166740</v>
      </c>
      <c r="D18" s="14">
        <f>50000*desarollo!B20/12</f>
        <v>208333333.33333334</v>
      </c>
      <c r="E18" s="35">
        <f>desarollo!D20*10000000/12+(J18*500000/12)</f>
        <v>833333333.33333337</v>
      </c>
      <c r="F18" s="14">
        <f>producción!C19</f>
        <v>10000000</v>
      </c>
      <c r="G18" s="14">
        <f>producción!H19</f>
        <v>18600000</v>
      </c>
      <c r="H18" s="14">
        <f>producción!E19</f>
        <v>800000</v>
      </c>
      <c r="I18" s="12">
        <f>H25*(F18+G18+H18)+H26*(D18+E18)+C18</f>
        <v>127685406.66666669</v>
      </c>
      <c r="J18">
        <v>0</v>
      </c>
    </row>
    <row r="19" spans="1:10">
      <c r="A19" s="4">
        <v>13</v>
      </c>
      <c r="B19" s="22">
        <f t="shared" si="0"/>
        <v>110800</v>
      </c>
      <c r="C19" s="24">
        <f>B19*C28*H27</f>
        <v>21340080</v>
      </c>
      <c r="D19" s="14">
        <f>50000*desarollo!B21/12</f>
        <v>208333333.33333334</v>
      </c>
      <c r="E19" s="35">
        <f>desarollo!D21*10000000/12+(J19*500000/12)</f>
        <v>833333333.33333337</v>
      </c>
      <c r="F19" s="14">
        <f>producción!C20</f>
        <v>10000000</v>
      </c>
      <c r="G19" s="14">
        <f>producción!H20</f>
        <v>18600000</v>
      </c>
      <c r="H19" s="14">
        <f>producción!E20</f>
        <v>800000</v>
      </c>
      <c r="I19" s="12">
        <f>H25*(F19+G19+H19)+H26*(D19+E19)+C19</f>
        <v>127858746.66666669</v>
      </c>
      <c r="J19">
        <v>0</v>
      </c>
    </row>
    <row r="20" spans="1:10">
      <c r="A20" s="4">
        <v>14</v>
      </c>
      <c r="B20" s="22">
        <f t="shared" si="0"/>
        <v>111700</v>
      </c>
      <c r="C20" s="24">
        <f>B20*C28*H27</f>
        <v>21513420</v>
      </c>
      <c r="D20" s="14">
        <f>50000*desarollo!B22/12</f>
        <v>208333333.33333334</v>
      </c>
      <c r="E20" s="35">
        <f>desarollo!D22*10000000/12+(J20*500000/12)</f>
        <v>833333333.33333337</v>
      </c>
      <c r="F20" s="14">
        <f>producción!C21</f>
        <v>10000000</v>
      </c>
      <c r="G20" s="14">
        <f>producción!H21</f>
        <v>18600000</v>
      </c>
      <c r="H20" s="14">
        <f>producción!E21</f>
        <v>800000</v>
      </c>
      <c r="I20" s="12">
        <f>H25*(F20+G20+H20)+H26*(D20+E20)+C20</f>
        <v>128032086.66666669</v>
      </c>
      <c r="J20">
        <v>0</v>
      </c>
    </row>
    <row r="21" spans="1:10">
      <c r="A21" s="4">
        <v>15</v>
      </c>
      <c r="B21" s="22">
        <f t="shared" si="0"/>
        <v>112600</v>
      </c>
      <c r="C21" s="24">
        <f>B21*C28*H27</f>
        <v>21686760</v>
      </c>
      <c r="D21" s="14">
        <f>50000*desarollo!B23/12</f>
        <v>208333333.33333334</v>
      </c>
      <c r="E21" s="35">
        <f>desarollo!D23*10000000/12+(J21*500000/12)</f>
        <v>833333333.33333337</v>
      </c>
      <c r="F21" s="14">
        <f>producción!C22</f>
        <v>10000000</v>
      </c>
      <c r="G21" s="14">
        <f>producción!H22</f>
        <v>18600000</v>
      </c>
      <c r="H21" s="14">
        <f>producción!E22</f>
        <v>800000</v>
      </c>
      <c r="I21" s="12">
        <f>H25*(F21+G21+H21)+H26*(D21+E21)+C21</f>
        <v>128205426.66666669</v>
      </c>
      <c r="J21">
        <v>0</v>
      </c>
    </row>
    <row r="22" spans="1:10">
      <c r="A22" s="2"/>
    </row>
    <row r="23" spans="1:10">
      <c r="A23" s="2"/>
    </row>
    <row r="24" spans="1:10">
      <c r="A24" s="2"/>
    </row>
    <row r="25" spans="1:10">
      <c r="A25" s="2"/>
      <c r="G25" s="61" t="s">
        <v>99</v>
      </c>
      <c r="H25" s="59">
        <v>0.08</v>
      </c>
    </row>
    <row r="26" spans="1:10">
      <c r="A26" s="2"/>
      <c r="B26" s="23"/>
      <c r="G26" s="61" t="s">
        <v>106</v>
      </c>
      <c r="H26" s="59">
        <v>0.1</v>
      </c>
    </row>
    <row r="27" spans="1:10">
      <c r="A27" s="2"/>
      <c r="B27" s="23"/>
      <c r="C27" t="s">
        <v>9</v>
      </c>
      <c r="G27" s="61" t="s">
        <v>107</v>
      </c>
      <c r="H27" s="60">
        <v>0.3</v>
      </c>
    </row>
    <row r="28" spans="1:10">
      <c r="A28" s="2"/>
      <c r="B28" s="23"/>
      <c r="C28" s="3">
        <f>cifras!D8</f>
        <v>642</v>
      </c>
    </row>
    <row r="29" spans="1:10">
      <c r="A29" s="2"/>
      <c r="B29" s="23"/>
    </row>
    <row r="30" spans="1:10">
      <c r="A30" s="2"/>
      <c r="B30" s="23"/>
    </row>
    <row r="31" spans="1:10">
      <c r="A31" s="2"/>
      <c r="B31" s="23"/>
    </row>
    <row r="32" spans="1:10">
      <c r="A32" s="2"/>
      <c r="B32" s="23"/>
    </row>
    <row r="33" spans="1:4">
      <c r="A33" s="2"/>
      <c r="B33" s="23"/>
    </row>
    <row r="34" spans="1:4">
      <c r="B34" s="23"/>
      <c r="D34" s="7" t="s">
        <v>97</v>
      </c>
    </row>
    <row r="35" spans="1:4">
      <c r="B35" s="23"/>
      <c r="D35" s="7" t="s">
        <v>98</v>
      </c>
    </row>
    <row r="36" spans="1:4">
      <c r="B36" s="23"/>
    </row>
    <row r="37" spans="1:4">
      <c r="B37" s="23"/>
    </row>
    <row r="38" spans="1:4">
      <c r="B38" s="23"/>
    </row>
    <row r="39" spans="1:4">
      <c r="B39" s="23"/>
    </row>
    <row r="40" spans="1:4">
      <c r="B40" s="23"/>
    </row>
    <row r="41" spans="1:4">
      <c r="B41" s="23"/>
    </row>
    <row r="42" spans="1:4">
      <c r="B42" s="2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3:L40"/>
  <sheetViews>
    <sheetView tabSelected="1" topLeftCell="H4" workbookViewId="0">
      <selection activeCell="L19" sqref="L19"/>
    </sheetView>
  </sheetViews>
  <sheetFormatPr defaultColWidth="11" defaultRowHeight="12.75"/>
  <cols>
    <col min="1" max="1" width="5.125" customWidth="1"/>
    <col min="2" max="2" width="20.375" style="27" customWidth="1"/>
    <col min="3" max="3" width="19.875" style="27" customWidth="1"/>
    <col min="4" max="4" width="20.375" style="33" customWidth="1"/>
    <col min="5" max="5" width="15.875" style="27" customWidth="1"/>
    <col min="6" max="6" width="15" style="27" customWidth="1"/>
    <col min="7" max="7" width="20.625" style="27" customWidth="1"/>
    <col min="8" max="8" width="19.625" style="27" customWidth="1"/>
    <col min="9" max="9" width="22" style="27" customWidth="1"/>
    <col min="10" max="10" width="24.5" style="68" customWidth="1"/>
    <col min="11" max="11" width="25.375" style="68" customWidth="1"/>
    <col min="12" max="12" width="18.375" style="46" customWidth="1"/>
  </cols>
  <sheetData>
    <row r="3" spans="1:12">
      <c r="A3" s="1"/>
    </row>
    <row r="5" spans="1:12">
      <c r="B5" s="28" t="s">
        <v>43</v>
      </c>
      <c r="C5" s="28" t="s">
        <v>60</v>
      </c>
      <c r="D5" s="34" t="s">
        <v>27</v>
      </c>
      <c r="E5" s="28" t="s">
        <v>41</v>
      </c>
      <c r="F5" s="34" t="s">
        <v>76</v>
      </c>
      <c r="G5" s="29" t="s">
        <v>91</v>
      </c>
      <c r="H5" s="28" t="s">
        <v>92</v>
      </c>
      <c r="I5" s="34" t="s">
        <v>48</v>
      </c>
      <c r="J5" s="69" t="s">
        <v>137</v>
      </c>
      <c r="K5" s="69" t="s">
        <v>138</v>
      </c>
      <c r="L5" s="47" t="s">
        <v>46</v>
      </c>
    </row>
    <row r="6" spans="1:12">
      <c r="B6" s="27" t="s">
        <v>82</v>
      </c>
      <c r="C6" s="43">
        <v>0.12</v>
      </c>
      <c r="D6" s="44">
        <v>0.3</v>
      </c>
      <c r="E6" s="43">
        <v>0.2</v>
      </c>
      <c r="F6" s="27" t="s">
        <v>90</v>
      </c>
      <c r="H6" s="29"/>
      <c r="I6" s="29"/>
      <c r="J6" s="69"/>
      <c r="K6" s="69"/>
    </row>
    <row r="7" spans="1:12">
      <c r="L7" s="46" t="s">
        <v>47</v>
      </c>
    </row>
    <row r="8" spans="1:12">
      <c r="L8" s="46">
        <v>50000000</v>
      </c>
    </row>
    <row r="9" spans="1:12">
      <c r="A9" s="5" t="s">
        <v>55</v>
      </c>
      <c r="B9" s="27">
        <f>ejército!J9</f>
        <v>10100930</v>
      </c>
      <c r="C9" s="27">
        <f>H9*C6</f>
        <v>15093440.000000002</v>
      </c>
      <c r="D9" s="33">
        <f>H9*D6</f>
        <v>37733600.000000007</v>
      </c>
      <c r="E9" s="27">
        <f>E6*H9</f>
        <v>25155733.33333334</v>
      </c>
      <c r="F9" s="27">
        <f>desarollo!I9</f>
        <v>0</v>
      </c>
      <c r="G9" s="27">
        <f>B9+C9+D9+E9+F9</f>
        <v>88083703.333333343</v>
      </c>
      <c r="H9" s="27">
        <f>impuestos!I7</f>
        <v>125778666.66666669</v>
      </c>
      <c r="I9" s="27">
        <f>H9-G9</f>
        <v>37694963.333333343</v>
      </c>
      <c r="J9" s="68">
        <v>4000100930</v>
      </c>
      <c r="K9" s="68">
        <v>0</v>
      </c>
      <c r="L9" s="46">
        <f>I9+L8+K9-J9</f>
        <v>-3912405966.6666665</v>
      </c>
    </row>
    <row r="10" spans="1:12">
      <c r="A10" s="4">
        <v>2</v>
      </c>
      <c r="B10" s="27">
        <f>ejército!J10</f>
        <v>10000000</v>
      </c>
      <c r="C10" s="27">
        <f>H10*C6</f>
        <v>15114240.800000003</v>
      </c>
      <c r="D10" s="33">
        <f>H10*D6</f>
        <v>37785602.000000007</v>
      </c>
      <c r="E10" s="27">
        <f>E6*H10</f>
        <v>25190401.33333334</v>
      </c>
      <c r="F10" s="35">
        <f>desarollo!I10</f>
        <v>0</v>
      </c>
      <c r="G10" s="27">
        <f t="shared" ref="G10:G23" si="0">B10+C10+D10+E10+F10</f>
        <v>88090244.133333355</v>
      </c>
      <c r="H10" s="27">
        <f>impuestos!I8</f>
        <v>125952006.66666669</v>
      </c>
      <c r="I10" s="35">
        <f t="shared" ref="I10:I23" si="1">H10-G10</f>
        <v>37861762.533333331</v>
      </c>
      <c r="J10" s="68">
        <v>0</v>
      </c>
      <c r="K10" s="68">
        <v>0</v>
      </c>
      <c r="L10" s="46">
        <f t="shared" ref="L10:L23" si="2">I10+L9+K10-J10</f>
        <v>-3874544204.1333332</v>
      </c>
    </row>
    <row r="11" spans="1:12">
      <c r="A11" s="4">
        <v>3</v>
      </c>
      <c r="B11" s="27">
        <f>ejército!J11</f>
        <v>10000000</v>
      </c>
      <c r="C11" s="27">
        <f>H11*C6</f>
        <v>15135041.600000001</v>
      </c>
      <c r="D11" s="33">
        <f>H11*D6</f>
        <v>37837604.000000007</v>
      </c>
      <c r="E11" s="27">
        <f>E6*H11</f>
        <v>25225069.33333334</v>
      </c>
      <c r="F11" s="35">
        <f>desarollo!I11</f>
        <v>0</v>
      </c>
      <c r="G11" s="27">
        <f t="shared" si="0"/>
        <v>88197714.933333352</v>
      </c>
      <c r="H11" s="27">
        <f>impuestos!I9</f>
        <v>126125346.66666669</v>
      </c>
      <c r="I11" s="35">
        <f t="shared" si="1"/>
        <v>37927631.733333334</v>
      </c>
      <c r="J11" s="68">
        <v>0</v>
      </c>
      <c r="K11" s="68">
        <v>0</v>
      </c>
      <c r="L11" s="46">
        <f t="shared" si="2"/>
        <v>-3836616572.4000001</v>
      </c>
    </row>
    <row r="12" spans="1:12">
      <c r="A12" s="4">
        <v>4</v>
      </c>
      <c r="B12" s="27">
        <f>ejército!J12</f>
        <v>10150000</v>
      </c>
      <c r="C12" s="27">
        <f>H12*C6</f>
        <v>15155842.400000002</v>
      </c>
      <c r="D12" s="33">
        <f>H12*D6</f>
        <v>37889606.000000007</v>
      </c>
      <c r="E12" s="27">
        <f>E6*H12</f>
        <v>25259737.33333334</v>
      </c>
      <c r="F12" s="35">
        <f>desarollo!I12</f>
        <v>0</v>
      </c>
      <c r="G12" s="27">
        <f t="shared" si="0"/>
        <v>88455185.733333349</v>
      </c>
      <c r="H12" s="27">
        <f>impuestos!I10</f>
        <v>126298686.66666669</v>
      </c>
      <c r="I12" s="35">
        <f t="shared" si="1"/>
        <v>37843500.933333337</v>
      </c>
      <c r="J12" s="68">
        <v>0</v>
      </c>
      <c r="K12" s="68">
        <v>0</v>
      </c>
      <c r="L12" s="46">
        <f t="shared" si="2"/>
        <v>-3798773071.4666667</v>
      </c>
    </row>
    <row r="13" spans="1:12">
      <c r="A13" s="4">
        <v>5</v>
      </c>
      <c r="B13" s="27">
        <f>ejército!J13</f>
        <v>10150000</v>
      </c>
      <c r="C13" s="27">
        <f>H13*C6</f>
        <v>15176643.200000001</v>
      </c>
      <c r="D13" s="33">
        <f>H13*D6</f>
        <v>37941608.000000007</v>
      </c>
      <c r="E13" s="27">
        <f>E6*H13</f>
        <v>25294405.33333334</v>
      </c>
      <c r="F13" s="35">
        <f>desarollo!I13</f>
        <v>0</v>
      </c>
      <c r="G13" s="27">
        <f t="shared" si="0"/>
        <v>88562656.533333346</v>
      </c>
      <c r="H13" s="27">
        <f>impuestos!I11</f>
        <v>126472026.66666669</v>
      </c>
      <c r="I13" s="35">
        <f t="shared" si="1"/>
        <v>37909370.13333334</v>
      </c>
      <c r="J13" s="68">
        <v>3000000</v>
      </c>
      <c r="K13" s="68">
        <v>0</v>
      </c>
      <c r="L13" s="46">
        <f t="shared" si="2"/>
        <v>-3763863701.3333335</v>
      </c>
    </row>
    <row r="14" spans="1:12">
      <c r="A14" s="4">
        <v>6</v>
      </c>
      <c r="B14" s="27">
        <f>ejército!J14</f>
        <v>10150000</v>
      </c>
      <c r="C14" s="27">
        <f>H14*C6</f>
        <v>15197444.000000002</v>
      </c>
      <c r="D14" s="33">
        <f>H14*D6</f>
        <v>37993610.000000007</v>
      </c>
      <c r="E14" s="27">
        <f>E6*H14</f>
        <v>25329073.33333334</v>
      </c>
      <c r="F14" s="35">
        <f>desarollo!I14</f>
        <v>0</v>
      </c>
      <c r="G14" s="27">
        <f t="shared" si="0"/>
        <v>88670127.333333343</v>
      </c>
      <c r="H14" s="27">
        <f>impuestos!I12</f>
        <v>126645366.66666669</v>
      </c>
      <c r="I14" s="35">
        <f t="shared" si="1"/>
        <v>37975239.333333343</v>
      </c>
      <c r="J14" s="68">
        <v>0</v>
      </c>
      <c r="K14" s="68">
        <v>0</v>
      </c>
      <c r="L14" s="46">
        <f t="shared" si="2"/>
        <v>-3725888462</v>
      </c>
    </row>
    <row r="15" spans="1:12">
      <c r="A15" s="4">
        <v>7</v>
      </c>
      <c r="B15" s="27">
        <f>ejército!J15</f>
        <v>10150000</v>
      </c>
      <c r="C15" s="27">
        <f>H15*C6</f>
        <v>15218244.800000003</v>
      </c>
      <c r="D15" s="33">
        <f>H15*D6</f>
        <v>38045612.000000007</v>
      </c>
      <c r="E15" s="27">
        <f>E6*H15</f>
        <v>25363741.33333334</v>
      </c>
      <c r="F15" s="35">
        <f>desarollo!I15</f>
        <v>0</v>
      </c>
      <c r="G15" s="27">
        <f t="shared" si="0"/>
        <v>88777598.133333355</v>
      </c>
      <c r="H15" s="27">
        <f>impuestos!I13</f>
        <v>126818706.66666669</v>
      </c>
      <c r="I15" s="35">
        <f t="shared" si="1"/>
        <v>38041108.533333331</v>
      </c>
      <c r="J15" s="68">
        <v>350000000</v>
      </c>
      <c r="K15" s="68">
        <v>0</v>
      </c>
      <c r="L15" s="46">
        <f t="shared" si="2"/>
        <v>-4037847353.4666667</v>
      </c>
    </row>
    <row r="16" spans="1:12">
      <c r="A16" s="4">
        <v>8</v>
      </c>
      <c r="B16" s="27">
        <f>ejército!J16</f>
        <v>10150000</v>
      </c>
      <c r="C16" s="27">
        <f>H16*C6</f>
        <v>15239045.600000001</v>
      </c>
      <c r="D16" s="33">
        <f>H16*D6</f>
        <v>38097614.000000007</v>
      </c>
      <c r="E16" s="27">
        <f>E6*H16</f>
        <v>25398409.33333334</v>
      </c>
      <c r="F16" s="35">
        <f>desarollo!I16</f>
        <v>0</v>
      </c>
      <c r="G16" s="27">
        <f t="shared" si="0"/>
        <v>88885068.933333352</v>
      </c>
      <c r="H16" s="27">
        <f>impuestos!I14</f>
        <v>126992046.66666669</v>
      </c>
      <c r="I16" s="35">
        <f t="shared" si="1"/>
        <v>38106977.733333334</v>
      </c>
      <c r="J16" s="68">
        <v>0</v>
      </c>
      <c r="K16" s="68">
        <v>350000000</v>
      </c>
      <c r="L16" s="46">
        <f t="shared" si="2"/>
        <v>-3649740375.7333336</v>
      </c>
    </row>
    <row r="17" spans="1:12">
      <c r="A17" s="4">
        <v>9</v>
      </c>
      <c r="B17" s="27">
        <f>ejército!J17</f>
        <v>10150000</v>
      </c>
      <c r="C17" s="27">
        <f>H17*C6</f>
        <v>15259846.400000002</v>
      </c>
      <c r="D17" s="33">
        <f>H17*D6</f>
        <v>38149616.000000007</v>
      </c>
      <c r="E17" s="27">
        <f>E6*H17</f>
        <v>25433077.33333334</v>
      </c>
      <c r="F17" s="35">
        <f>desarollo!I17</f>
        <v>0</v>
      </c>
      <c r="G17" s="27">
        <f t="shared" si="0"/>
        <v>88992539.733333349</v>
      </c>
      <c r="H17" s="27">
        <f>impuestos!I15</f>
        <v>127165386.66666669</v>
      </c>
      <c r="I17" s="35">
        <f t="shared" si="1"/>
        <v>38172846.933333337</v>
      </c>
      <c r="J17" s="68">
        <v>0</v>
      </c>
      <c r="K17" s="68">
        <v>0</v>
      </c>
      <c r="L17" s="46">
        <f t="shared" si="2"/>
        <v>-3611567528.8000002</v>
      </c>
    </row>
    <row r="18" spans="1:12">
      <c r="A18" s="4">
        <v>10</v>
      </c>
      <c r="B18" s="27">
        <f>ejército!J18</f>
        <v>10150000</v>
      </c>
      <c r="C18" s="27">
        <f>H18*C6</f>
        <v>15280647.200000001</v>
      </c>
      <c r="D18" s="33">
        <f>H18*D6</f>
        <v>38201618.000000007</v>
      </c>
      <c r="E18" s="27">
        <f>E6*H18</f>
        <v>25467745.33333334</v>
      </c>
      <c r="F18" s="35">
        <f>desarollo!I18</f>
        <v>0</v>
      </c>
      <c r="G18" s="27">
        <f t="shared" si="0"/>
        <v>89100010.533333346</v>
      </c>
      <c r="H18" s="27">
        <f>impuestos!I16</f>
        <v>127338726.66666669</v>
      </c>
      <c r="I18" s="35">
        <f t="shared" si="1"/>
        <v>38238716.13333334</v>
      </c>
      <c r="J18" s="68">
        <v>0</v>
      </c>
      <c r="K18" s="68">
        <v>0</v>
      </c>
      <c r="L18" s="46">
        <f t="shared" si="2"/>
        <v>-3573328812.666667</v>
      </c>
    </row>
    <row r="19" spans="1:12">
      <c r="A19" s="4">
        <v>11</v>
      </c>
      <c r="B19" s="27">
        <f>ejército!J19</f>
        <v>10150000</v>
      </c>
      <c r="C19" s="27">
        <f>H19*C6</f>
        <v>15301448.000000002</v>
      </c>
      <c r="D19" s="33">
        <f>H19*D6</f>
        <v>38253620.000000007</v>
      </c>
      <c r="E19" s="27">
        <f>E6*H19</f>
        <v>25502413.33333334</v>
      </c>
      <c r="F19" s="35">
        <f>desarollo!I19</f>
        <v>0</v>
      </c>
      <c r="G19" s="27">
        <f t="shared" si="0"/>
        <v>89207481.333333343</v>
      </c>
      <c r="H19" s="27">
        <f>impuestos!I17</f>
        <v>127512066.66666669</v>
      </c>
      <c r="I19" s="35">
        <f t="shared" si="1"/>
        <v>38304585.333333343</v>
      </c>
      <c r="J19" s="68">
        <v>0</v>
      </c>
      <c r="K19" s="68">
        <v>0</v>
      </c>
    </row>
    <row r="20" spans="1:12">
      <c r="A20" s="4">
        <v>12</v>
      </c>
      <c r="B20" s="27">
        <f>ejército!J20</f>
        <v>10150000</v>
      </c>
      <c r="C20" s="27">
        <f>H20*C6</f>
        <v>15322248.800000003</v>
      </c>
      <c r="D20" s="33">
        <f>H20*D6</f>
        <v>38305622.000000007</v>
      </c>
      <c r="E20" s="27">
        <f>E6*H20</f>
        <v>25537081.33333334</v>
      </c>
      <c r="F20" s="35">
        <f>desarollo!I20</f>
        <v>0</v>
      </c>
      <c r="G20" s="27">
        <f t="shared" si="0"/>
        <v>89314952.133333355</v>
      </c>
      <c r="H20" s="27">
        <f>impuestos!I18</f>
        <v>127685406.66666669</v>
      </c>
      <c r="I20" s="35">
        <f t="shared" si="1"/>
        <v>38370454.533333331</v>
      </c>
      <c r="J20" s="68">
        <v>0</v>
      </c>
      <c r="K20" s="68">
        <v>0</v>
      </c>
      <c r="L20" s="46">
        <f t="shared" si="2"/>
        <v>38370454.533333331</v>
      </c>
    </row>
    <row r="21" spans="1:12">
      <c r="A21" s="4">
        <v>13</v>
      </c>
      <c r="B21" s="27">
        <f>ejército!J21</f>
        <v>10150000</v>
      </c>
      <c r="C21" s="27">
        <f>H21*C6</f>
        <v>15343049.600000001</v>
      </c>
      <c r="D21" s="33">
        <f>H21*D6</f>
        <v>38357624.000000007</v>
      </c>
      <c r="E21" s="27">
        <f>E6*H21</f>
        <v>25571749.33333334</v>
      </c>
      <c r="F21" s="35">
        <f>desarollo!I21</f>
        <v>0</v>
      </c>
      <c r="G21" s="27">
        <f t="shared" si="0"/>
        <v>89422422.933333352</v>
      </c>
      <c r="H21" s="27">
        <f>impuestos!I19</f>
        <v>127858746.66666669</v>
      </c>
      <c r="I21" s="35">
        <f t="shared" si="1"/>
        <v>38436323.733333334</v>
      </c>
      <c r="J21" s="68">
        <v>0</v>
      </c>
      <c r="K21" s="68">
        <v>0</v>
      </c>
      <c r="L21" s="46">
        <f t="shared" si="2"/>
        <v>76806778.266666666</v>
      </c>
    </row>
    <row r="22" spans="1:12">
      <c r="A22" s="4">
        <v>14</v>
      </c>
      <c r="B22" s="27">
        <f>ejército!J22</f>
        <v>10150000</v>
      </c>
      <c r="C22" s="27">
        <f>H22*C6</f>
        <v>15363850.400000002</v>
      </c>
      <c r="D22" s="33">
        <f>H22*D6</f>
        <v>38409626.000000007</v>
      </c>
      <c r="E22" s="27">
        <f>E6*H22</f>
        <v>25606417.33333334</v>
      </c>
      <c r="F22" s="35">
        <f>desarollo!I22</f>
        <v>0</v>
      </c>
      <c r="G22" s="27">
        <f t="shared" si="0"/>
        <v>89529893.733333349</v>
      </c>
      <c r="H22" s="27">
        <f>impuestos!I20</f>
        <v>128032086.66666669</v>
      </c>
      <c r="I22" s="35">
        <f t="shared" si="1"/>
        <v>38502192.933333337</v>
      </c>
      <c r="J22" s="68">
        <v>0</v>
      </c>
      <c r="K22" s="68">
        <v>0</v>
      </c>
      <c r="L22" s="46">
        <f t="shared" si="2"/>
        <v>115308971.2</v>
      </c>
    </row>
    <row r="23" spans="1:12">
      <c r="A23" s="4">
        <v>15</v>
      </c>
      <c r="B23" s="27">
        <f>ejército!J23</f>
        <v>10150000</v>
      </c>
      <c r="C23" s="27">
        <f>H23*C6</f>
        <v>15384651.200000001</v>
      </c>
      <c r="D23" s="33">
        <f>H23*D6</f>
        <v>38461628.000000007</v>
      </c>
      <c r="E23" s="27">
        <f>E6*H23</f>
        <v>25641085.33333334</v>
      </c>
      <c r="F23" s="35">
        <f>desarollo!I23</f>
        <v>0</v>
      </c>
      <c r="G23" s="27">
        <f t="shared" si="0"/>
        <v>89637364.533333346</v>
      </c>
      <c r="H23" s="27">
        <f>impuestos!I21</f>
        <v>128205426.66666669</v>
      </c>
      <c r="I23" s="35">
        <f t="shared" si="1"/>
        <v>38568062.13333334</v>
      </c>
      <c r="J23" s="68">
        <v>0</v>
      </c>
      <c r="K23" s="68">
        <v>0</v>
      </c>
      <c r="L23" s="46">
        <f t="shared" si="2"/>
        <v>153877033.33333334</v>
      </c>
    </row>
    <row r="24" spans="1:12">
      <c r="A24" s="2"/>
    </row>
    <row r="25" spans="1:12">
      <c r="A25" s="2"/>
    </row>
    <row r="26" spans="1:12">
      <c r="A26" s="2"/>
      <c r="C26" s="27" t="s">
        <v>93</v>
      </c>
      <c r="D26" s="33">
        <f>D9/cifras!C9</f>
        <v>377.33600000000007</v>
      </c>
    </row>
    <row r="27" spans="1:12">
      <c r="A27" s="2"/>
    </row>
    <row r="28" spans="1:12">
      <c r="A28" s="2"/>
    </row>
    <row r="29" spans="1:12">
      <c r="A29" s="2"/>
    </row>
    <row r="30" spans="1:12">
      <c r="A30" s="2"/>
    </row>
    <row r="31" spans="1:12">
      <c r="A31" s="2"/>
    </row>
    <row r="32" spans="1:1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4:F13"/>
  <sheetViews>
    <sheetView workbookViewId="0">
      <selection activeCell="J16" sqref="J16"/>
    </sheetView>
  </sheetViews>
  <sheetFormatPr defaultColWidth="11" defaultRowHeight="12.75"/>
  <sheetData>
    <row r="4" spans="1:6">
      <c r="B4" s="45" t="s">
        <v>86</v>
      </c>
      <c r="C4" s="45" t="s">
        <v>87</v>
      </c>
      <c r="D4" s="45" t="s">
        <v>83</v>
      </c>
      <c r="E4" s="45"/>
      <c r="F4" s="45" t="s">
        <v>84</v>
      </c>
    </row>
    <row r="5" spans="1:6">
      <c r="A5" t="s">
        <v>122</v>
      </c>
      <c r="B5">
        <v>350000</v>
      </c>
      <c r="C5">
        <v>2</v>
      </c>
      <c r="D5">
        <f>C5*B5</f>
        <v>700000</v>
      </c>
      <c r="F5">
        <v>200</v>
      </c>
    </row>
    <row r="6" spans="1:6">
      <c r="A6" t="s">
        <v>123</v>
      </c>
      <c r="B6">
        <v>100000</v>
      </c>
      <c r="C6">
        <v>2</v>
      </c>
      <c r="D6">
        <f t="shared" ref="D6:D7" si="0">C6*B6</f>
        <v>200000</v>
      </c>
      <c r="F6">
        <v>400</v>
      </c>
    </row>
    <row r="7" spans="1:6">
      <c r="A7" t="s">
        <v>124</v>
      </c>
      <c r="B7">
        <v>400000</v>
      </c>
      <c r="C7">
        <v>0.2</v>
      </c>
      <c r="D7">
        <f t="shared" si="0"/>
        <v>80000</v>
      </c>
      <c r="F7">
        <v>50</v>
      </c>
    </row>
    <row r="8" spans="1:6">
      <c r="B8" t="s">
        <v>119</v>
      </c>
      <c r="C8" t="s">
        <v>120</v>
      </c>
    </row>
    <row r="9" spans="1:6">
      <c r="B9">
        <f>SUM(B5:B7)</f>
        <v>850000</v>
      </c>
      <c r="C9">
        <f>SUM(C5:C7)</f>
        <v>4.2</v>
      </c>
      <c r="D9">
        <f>SUM(D5:D7)</f>
        <v>980000</v>
      </c>
    </row>
    <row r="11" spans="1:6">
      <c r="A11" t="s">
        <v>125</v>
      </c>
      <c r="B11" t="s">
        <v>121</v>
      </c>
      <c r="C11">
        <f>D9/B9</f>
        <v>1.1529411764705881</v>
      </c>
    </row>
    <row r="13" spans="1:6">
      <c r="A13" t="s">
        <v>126</v>
      </c>
      <c r="B13" t="s">
        <v>121</v>
      </c>
      <c r="C13">
        <v>1</v>
      </c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ejército</vt:lpstr>
      <vt:lpstr>producción</vt:lpstr>
      <vt:lpstr>desarollo</vt:lpstr>
      <vt:lpstr>consumo</vt:lpstr>
      <vt:lpstr>cifras</vt:lpstr>
      <vt:lpstr>impuestos</vt:lpstr>
      <vt:lpstr>gastos del gobierno</vt:lpstr>
      <vt:lpstr>petroleo</vt:lpstr>
    </vt:vector>
  </TitlesOfParts>
  <Company>Omaha Public Schools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student</cp:lastModifiedBy>
  <dcterms:created xsi:type="dcterms:W3CDTF">2011-12-17T01:13:51Z</dcterms:created>
  <dcterms:modified xsi:type="dcterms:W3CDTF">2012-03-13T18:42:09Z</dcterms:modified>
</cp:coreProperties>
</file>