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eisekarte" sheetId="1" r:id="rId4"/>
    <sheet state="visible" name="Zutaten" sheetId="2" r:id="rId5"/>
    <sheet state="visible" name="Rezepte" sheetId="3" r:id="rId6"/>
    <sheet state="visible" name="Getränkekarte" sheetId="4" r:id="rId7"/>
    <sheet state="visible" name="Getränke" sheetId="5" r:id="rId8"/>
    <sheet state="hidden" name="ToDos" sheetId="6" r:id="rId9"/>
    <sheet state="hidden" name="Kopie von Nettopreisliste Speis" sheetId="7" r:id="rId10"/>
    <sheet state="hidden" name="Spallek" sheetId="8" r:id="rId11"/>
    <sheet state="hidden" name="Preise Chef Culinars" sheetId="9" r:id="rId12"/>
  </sheets>
  <definedNames>
    <definedName hidden="1" localSheetId="0" name="_xlnm._FilterDatabase">Speisekarte!$A$1:$K$773</definedName>
    <definedName hidden="1" localSheetId="1" name="_xlnm._FilterDatabase">Zutaten!$A$1:$F$244</definedName>
    <definedName hidden="1" localSheetId="2" name="_xlnm._FilterDatabase">Rezepte!$A$1:$G$1371</definedName>
    <definedName hidden="1" localSheetId="3" name="_xlnm._FilterDatabase">'Getränkekarte'!$A$1:$H$1000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04">
      <text>
        <t xml:space="preserve">vor dem Braten 3000
</t>
      </text>
    </comment>
    <comment authorId="0" ref="A246">
      <text>
        <t xml:space="preserve">Schlotze fehlt
</t>
      </text>
    </comment>
    <comment authorId="0" ref="C749">
      <text>
        <t xml:space="preserve">vor dem Braten 1000g</t>
      </text>
    </comment>
  </commentList>
</comments>
</file>

<file path=xl/sharedStrings.xml><?xml version="1.0" encoding="utf-8"?>
<sst xmlns="http://schemas.openxmlformats.org/spreadsheetml/2006/main" count="5570" uniqueCount="855">
  <si>
    <t>Produkt</t>
  </si>
  <si>
    <t>Typ</t>
  </si>
  <si>
    <t>Aktuell</t>
  </si>
  <si>
    <t>Netto Ware</t>
  </si>
  <si>
    <t>Kalkulation</t>
  </si>
  <si>
    <t>Ust</t>
  </si>
  <si>
    <t>Brutto Richtpreis</t>
  </si>
  <si>
    <t>Aktueller Preis</t>
  </si>
  <si>
    <t>Neuer Preis</t>
  </si>
  <si>
    <t>Veränderung</t>
  </si>
  <si>
    <t>"Rosemarie" Honey Chicken</t>
  </si>
  <si>
    <t>Gericht</t>
  </si>
  <si>
    <t>nein</t>
  </si>
  <si>
    <t>Al capone</t>
  </si>
  <si>
    <t>ja</t>
  </si>
  <si>
    <t>Apfel Senf Dressing</t>
  </si>
  <si>
    <t>Eigene Zutat</t>
  </si>
  <si>
    <t>Al capone (Single)</t>
  </si>
  <si>
    <t>Asian Chicken Burger</t>
  </si>
  <si>
    <t>Avocado Salat</t>
  </si>
  <si>
    <t>Backofengemüse</t>
  </si>
  <si>
    <t>Asian Rib Burger</t>
  </si>
  <si>
    <t>Bärlauch Mayo</t>
  </si>
  <si>
    <t>Backwood Wings</t>
  </si>
  <si>
    <t>Basilikum Mayo</t>
  </si>
  <si>
    <t>BBQ-Sauce</t>
  </si>
  <si>
    <t>BBQ-Sauce Cranberries</t>
  </si>
  <si>
    <t>Basisburger</t>
  </si>
  <si>
    <t>BBQ-Burger</t>
  </si>
  <si>
    <t>BC Topping Erdnüsse</t>
  </si>
  <si>
    <t>Beef-Balls</t>
  </si>
  <si>
    <t>Birnen gezuckert</t>
  </si>
  <si>
    <t>Biskuitboden</t>
  </si>
  <si>
    <t>BC Topping Walnuss</t>
  </si>
  <si>
    <t>Brownie</t>
  </si>
  <si>
    <t>Beef Ribs</t>
  </si>
  <si>
    <t>Bowl</t>
  </si>
  <si>
    <t>Brownie (21er Teilung)</t>
  </si>
  <si>
    <t>Bulgur</t>
  </si>
  <si>
    <t>Bulgurpatty</t>
  </si>
  <si>
    <t>Bubblewaffel</t>
  </si>
  <si>
    <t>Caesar Dressing</t>
  </si>
  <si>
    <t>Bubblewaffel mit Softeis</t>
  </si>
  <si>
    <t>Caotina</t>
  </si>
  <si>
    <t>Getränk</t>
  </si>
  <si>
    <t>Champignons gebratene</t>
  </si>
  <si>
    <t xml:space="preserve">Caesar Chicken Burger </t>
  </si>
  <si>
    <t>Chili con carne</t>
  </si>
  <si>
    <t>Caesar Salad</t>
  </si>
  <si>
    <t xml:space="preserve">Cheeseburger </t>
  </si>
  <si>
    <t>Cole Slaw</t>
  </si>
  <si>
    <t>Creamy Cheesecake</t>
  </si>
  <si>
    <t>Chili con Carne Burger</t>
  </si>
  <si>
    <t>Chili con fries</t>
  </si>
  <si>
    <t>Creamy Cheesecake Cover</t>
  </si>
  <si>
    <t>Creme Fraiche c.c.c.</t>
  </si>
  <si>
    <t>Creamy Cheesecake (16er Teilung)</t>
  </si>
  <si>
    <t>Crispy Cheesy Mushroom</t>
  </si>
  <si>
    <t>Crispy Cheesy Mushroom Beef</t>
  </si>
  <si>
    <t>Crispy Chicken Nuggets</t>
  </si>
  <si>
    <t>Crispy Filets Nuggets</t>
  </si>
  <si>
    <t>Croutons</t>
  </si>
  <si>
    <t>Crispy Lollipops</t>
  </si>
  <si>
    <t>Crispy Prawns</t>
  </si>
  <si>
    <t>Cuince Pumpkin Burger</t>
  </si>
  <si>
    <t>Der Schweizer</t>
  </si>
  <si>
    <t>Dressing Cole Slaw</t>
  </si>
  <si>
    <t>Dirty Road</t>
  </si>
  <si>
    <t>Eingelegte Rotkohl</t>
  </si>
  <si>
    <t>Double Burger</t>
  </si>
  <si>
    <t>Double Burger (Single)</t>
  </si>
  <si>
    <t>Ei Caramba</t>
  </si>
  <si>
    <t>Eisbecher Crunch</t>
  </si>
  <si>
    <t>Eisbecher Frucht</t>
  </si>
  <si>
    <t>Eisbecher Mango</t>
  </si>
  <si>
    <t>Eisbecher Nuss</t>
  </si>
  <si>
    <t>Eisbecher Oreo</t>
  </si>
  <si>
    <t>Eistee</t>
  </si>
  <si>
    <t>Erbbeeren chili</t>
  </si>
  <si>
    <t>Erbsen Topping</t>
  </si>
  <si>
    <t>Erdbeerziegenkäse</t>
  </si>
  <si>
    <t>Erdnuss Chicken Burger marinade</t>
  </si>
  <si>
    <t>Erdnuss-Honig-Sauce</t>
  </si>
  <si>
    <t>Eisbecher Salted Lemons Vanilla</t>
  </si>
  <si>
    <t>Eisbecher Schoko</t>
  </si>
  <si>
    <t>Eiskaffee</t>
  </si>
  <si>
    <t>Explorer-Burger</t>
  </si>
  <si>
    <t>Extra Beef Patty</t>
  </si>
  <si>
    <t>Extra Bulgur Patty</t>
  </si>
  <si>
    <t>Extra Chicken Patty</t>
  </si>
  <si>
    <t>Extra Wild Boar Patty</t>
  </si>
  <si>
    <t>Fish &amp; Chips</t>
  </si>
  <si>
    <t>Fried Ribs</t>
  </si>
  <si>
    <t>Fried Salmon Burger</t>
  </si>
  <si>
    <t>Grilled Salmon Burger</t>
  </si>
  <si>
    <t>Gebratene Weißkohl</t>
  </si>
  <si>
    <t>Glasierte Ananas</t>
  </si>
  <si>
    <t>Gorgonzola Mayo</t>
  </si>
  <si>
    <t>Granatapfelkerne</t>
  </si>
  <si>
    <t>Hearty pork</t>
  </si>
  <si>
    <t>Guacamole</t>
  </si>
  <si>
    <t>Hähnchen Patty</t>
  </si>
  <si>
    <t>Hähnchenstreifen</t>
  </si>
  <si>
    <t>Hauslimo Eistee</t>
  </si>
  <si>
    <t>Hauslimo Himbeer</t>
  </si>
  <si>
    <t>Hauslimo Zitrone</t>
  </si>
  <si>
    <t>Holy Mushrooms</t>
  </si>
  <si>
    <t>Heiße Schokolade (0,2l) mit Sahne</t>
  </si>
  <si>
    <t>Heiße Schokolade (0,4l) mit Sahne</t>
  </si>
  <si>
    <t>Himbeersauce</t>
  </si>
  <si>
    <t>Käsefondue Burger</t>
  </si>
  <si>
    <t xml:space="preserve">Honig Bacon sauce </t>
  </si>
  <si>
    <t>honig chili sauce</t>
  </si>
  <si>
    <t>Honig Senf Sauce</t>
  </si>
  <si>
    <t>Housesauce</t>
  </si>
  <si>
    <t>Kandierte Kirschtomaten</t>
  </si>
  <si>
    <t>Karamellisierte Erdnüsse</t>
  </si>
  <si>
    <t>Karamellisierte Walnüsse</t>
  </si>
  <si>
    <t>Käse Sauce</t>
  </si>
  <si>
    <t>Käsefondue</t>
  </si>
  <si>
    <t>Käsekuchen (12er Teilung)</t>
  </si>
  <si>
    <t>Käsekuchen</t>
  </si>
  <si>
    <t>Kinderburger</t>
  </si>
  <si>
    <t>Käsemakkaroni</t>
  </si>
  <si>
    <t>Mac n cheese</t>
  </si>
  <si>
    <t>Kirschwasser beeren</t>
  </si>
  <si>
    <t>lollipop chicken</t>
  </si>
  <si>
    <t>Mac n chees</t>
  </si>
  <si>
    <t>Makkaroni</t>
  </si>
  <si>
    <t>Mexikan Bowl</t>
  </si>
  <si>
    <t>Malzbierteig</t>
  </si>
  <si>
    <t>Mangotopping</t>
  </si>
  <si>
    <t>Mangotopping Heike</t>
  </si>
  <si>
    <t>Mayo</t>
  </si>
  <si>
    <t>Mayo Ochsenbacken</t>
  </si>
  <si>
    <t xml:space="preserve">Mini Mixed Salat </t>
  </si>
  <si>
    <t>Milchshake Softeis Vanille</t>
  </si>
  <si>
    <t>Milchshake Vanille</t>
  </si>
  <si>
    <t>Mouse au Chocolat Torte (12er Teilung)</t>
  </si>
  <si>
    <t>Mouse au Chocolat Torte</t>
  </si>
  <si>
    <t>Mozarella Sticks</t>
  </si>
  <si>
    <t>My Burger (Beef)</t>
  </si>
  <si>
    <t>Mozarella Sticks (zubereitet)</t>
  </si>
  <si>
    <t>Mürbeteig dunkel</t>
  </si>
  <si>
    <t>Mürbeteig hell</t>
  </si>
  <si>
    <t xml:space="preserve">My Burger (Hähnchen) </t>
  </si>
  <si>
    <t xml:space="preserve">My Burger (Veggy) </t>
  </si>
  <si>
    <t>My Nuggets</t>
  </si>
  <si>
    <t>Ochsenbacken Burger</t>
  </si>
  <si>
    <t>Onion RIngs (Schale)</t>
  </si>
  <si>
    <t>Ochsenbacken zubereitet</t>
  </si>
  <si>
    <t>Paprika Mangel</t>
  </si>
  <si>
    <t>Panierte Garnelen</t>
  </si>
  <si>
    <t>Panierte Hähnchen</t>
  </si>
  <si>
    <t xml:space="preserve">Panierte Hähnchen </t>
  </si>
  <si>
    <t>Panierte Ziegenkäse</t>
  </si>
  <si>
    <t>panierter Lachs</t>
  </si>
  <si>
    <t>Paprika Marmelade</t>
  </si>
  <si>
    <t>Pastinaken Chips</t>
  </si>
  <si>
    <t>Petersilien Alioli</t>
  </si>
  <si>
    <t>Pfifferlinge gebratene</t>
  </si>
  <si>
    <t>Pilzsuppe</t>
  </si>
  <si>
    <t>Pilzsuppe fertig</t>
  </si>
  <si>
    <t>Portobello mit Käse gebacken</t>
  </si>
  <si>
    <t>Pulled Duck</t>
  </si>
  <si>
    <t>Pulled Pork</t>
  </si>
  <si>
    <t xml:space="preserve">Pulled Pork Burger </t>
  </si>
  <si>
    <t>Remoulade</t>
  </si>
  <si>
    <t>Rindfleischpatty</t>
  </si>
  <si>
    <t>Rosmarin Hähnchen zubereitet</t>
  </si>
  <si>
    <t>Röstzwiebeln</t>
  </si>
  <si>
    <t>Rote Zwiebel (eingelegt)</t>
  </si>
  <si>
    <t>Rotkohl roh</t>
  </si>
  <si>
    <t>Rotkohl, angemacht</t>
  </si>
  <si>
    <t>Onion Rings</t>
  </si>
  <si>
    <t>Pulled Pork Balls</t>
  </si>
  <si>
    <t>Pumpkin Patty</t>
  </si>
  <si>
    <t>Pumpkin pear salad Kürbis</t>
  </si>
  <si>
    <t>Pumpkin pear salad dressing</t>
  </si>
  <si>
    <t>Pumpkin pear salad</t>
  </si>
  <si>
    <t>Quitten Chutney</t>
  </si>
  <si>
    <t>Rustic Fries</t>
  </si>
  <si>
    <t>Salad Garnelen</t>
  </si>
  <si>
    <t>Salad Hähnchen</t>
  </si>
  <si>
    <t>Salad Lachs</t>
  </si>
  <si>
    <t>Salad Ziegenkäse</t>
  </si>
  <si>
    <t>Sauce BBQ</t>
  </si>
  <si>
    <t>Sauce Guacamole</t>
  </si>
  <si>
    <t>Sauce House Sauce</t>
  </si>
  <si>
    <t>Sauce Käse Sauce</t>
  </si>
  <si>
    <t>Sauce Ketchup</t>
  </si>
  <si>
    <t>Sauce Mayo</t>
  </si>
  <si>
    <t>Sauce Petersilien Aioli</t>
  </si>
  <si>
    <t>Sauce Smokey Mayo</t>
  </si>
  <si>
    <t>Sauce Sour Creme</t>
  </si>
  <si>
    <t>Sauce Spicysauce</t>
  </si>
  <si>
    <t>Sauce Sweet &amp; Sour</t>
  </si>
  <si>
    <t>Sauce Sweet &amp; Sour Mayo</t>
  </si>
  <si>
    <t>Sauce Teriyaki Mayo</t>
  </si>
  <si>
    <t>Sauce Trüffel Mayo</t>
  </si>
  <si>
    <t>Sauce Zwiebel Mayo</t>
  </si>
  <si>
    <t>Schlagsahne</t>
  </si>
  <si>
    <t>Schmelzzwiebeln</t>
  </si>
  <si>
    <t>Schokoladensauce</t>
  </si>
  <si>
    <t>Schülermenü Cheeseburger</t>
  </si>
  <si>
    <t>Schülermenü Nuggets</t>
  </si>
  <si>
    <t>Schweinerippchen (zubereitet)</t>
  </si>
  <si>
    <t>Sesam Mayo</t>
  </si>
  <si>
    <t>Shotshake Softeis Vanille</t>
  </si>
  <si>
    <t>Smoked Jalapenos Mayo</t>
  </si>
  <si>
    <t>Smokey Mayo</t>
  </si>
  <si>
    <t>Smokey Ribs</t>
  </si>
  <si>
    <t>Softeis Topping Cookie Streusel</t>
  </si>
  <si>
    <t>Softeis Topping Erdbeeren</t>
  </si>
  <si>
    <t>Softeis Topping Erdnüsse</t>
  </si>
  <si>
    <t>Softeis Topping Fruchtgummi</t>
  </si>
  <si>
    <t>Softeis Topping Giotto</t>
  </si>
  <si>
    <t>Softeis Topping Haselnuss-Krokant</t>
  </si>
  <si>
    <t>Softeis Topping Heidelbeeren</t>
  </si>
  <si>
    <t>Softeis Topping Himbeeren</t>
  </si>
  <si>
    <t>Softeis Topping Kitkat</t>
  </si>
  <si>
    <t>Softeis Topping Marshmallows</t>
  </si>
  <si>
    <t>Softeis Topping Oreo</t>
  </si>
  <si>
    <t>Softeis Topping Schokolinsen</t>
  </si>
  <si>
    <t>Softeis Topping Toffee Stückchen</t>
  </si>
  <si>
    <t>Softeis Topping Walnüsse</t>
  </si>
  <si>
    <t>Softeis Vanille</t>
  </si>
  <si>
    <t>Softeis Vanille in der Eiswaffel</t>
  </si>
  <si>
    <t>Softeis Vanille in der Eiswaffel groß</t>
  </si>
  <si>
    <t>Sourcream</t>
  </si>
  <si>
    <t>Spicy Asia Sauce</t>
  </si>
  <si>
    <t>Spicysauce</t>
  </si>
  <si>
    <t xml:space="preserve">Surf N`Turf Burger </t>
  </si>
  <si>
    <t>Süßsauer Mayo</t>
  </si>
  <si>
    <t>Süßsauer Sauce</t>
  </si>
  <si>
    <t>Sweet pork</t>
  </si>
  <si>
    <t>Sweet Potatos Fries</t>
  </si>
  <si>
    <t>Tahini Koriander Dressing</t>
  </si>
  <si>
    <t xml:space="preserve">Teriyaki Chicken Burger </t>
  </si>
  <si>
    <t>Teriyaki Mayo</t>
  </si>
  <si>
    <t>Teriyakisauce</t>
  </si>
  <si>
    <t>The Beef Rib Burger</t>
  </si>
  <si>
    <t>Toffee Sauce</t>
  </si>
  <si>
    <t>Tomatenmarmelade Chili-Koreander</t>
  </si>
  <si>
    <t>Topping Bacon</t>
  </si>
  <si>
    <t>Topping Blauschimmelkäse</t>
  </si>
  <si>
    <t>Topping Champignons</t>
  </si>
  <si>
    <t>Topping Cheddar</t>
  </si>
  <si>
    <t>Topping Eisbergsalat</t>
  </si>
  <si>
    <t>Topping Garnelen</t>
  </si>
  <si>
    <t>Topping Gewürzgurken</t>
  </si>
  <si>
    <t>Topping Jalapenos</t>
  </si>
  <si>
    <t>Topping Makkaroni</t>
  </si>
  <si>
    <t>Topping Paprika Marmelade</t>
  </si>
  <si>
    <t>Topping Pflaumenmus</t>
  </si>
  <si>
    <t>Topping Raclette</t>
  </si>
  <si>
    <t>Topping Röstzwiebeln</t>
  </si>
  <si>
    <t>Topping Scamorza</t>
  </si>
  <si>
    <t>Topping SChmelzzwiebeln</t>
  </si>
  <si>
    <t>Topping Tomante</t>
  </si>
  <si>
    <t>Topping Ziegenkäse</t>
  </si>
  <si>
    <t>Tortilla Bacon</t>
  </si>
  <si>
    <t>Tortilla Bacon Portion</t>
  </si>
  <si>
    <t>Trüffel Mayo</t>
  </si>
  <si>
    <t>Vegan Bowl 2021</t>
  </si>
  <si>
    <t>Vegan Bowl Auberginen</t>
  </si>
  <si>
    <t>Vegan Bowl Bulgur</t>
  </si>
  <si>
    <t>Vegan Bowl kichererbsen</t>
  </si>
  <si>
    <t xml:space="preserve">Vegan Bowl Okraschoten </t>
  </si>
  <si>
    <t>Vegan Bowl Paprika rot</t>
  </si>
  <si>
    <t>Vegan Bowl Rotkohl</t>
  </si>
  <si>
    <t xml:space="preserve">Vegan Burger </t>
  </si>
  <si>
    <t>Waffelteig</t>
  </si>
  <si>
    <t>Walnussdressing</t>
  </si>
  <si>
    <t>Weiße Schokoladensauce</t>
  </si>
  <si>
    <t>Wild Boar Burger</t>
  </si>
  <si>
    <t>Wildfleischpatty</t>
  </si>
  <si>
    <t>Wings</t>
  </si>
  <si>
    <t>Ziegenkäse Erdbeer Salat</t>
  </si>
  <si>
    <t>Ziegenkäse kugeln</t>
  </si>
  <si>
    <t>Zitronen-Limonade</t>
  </si>
  <si>
    <t>zwiebel blaubeermarmelade</t>
  </si>
  <si>
    <t>Zwiebelmayo</t>
  </si>
  <si>
    <t>Lieferant</t>
  </si>
  <si>
    <t>Art Nr</t>
  </si>
  <si>
    <t xml:space="preserve">Produkte </t>
  </si>
  <si>
    <t>Gewicht(g)/ ml / Stk</t>
  </si>
  <si>
    <t>Preis(€)</t>
  </si>
  <si>
    <t>Preis pro g/ml</t>
  </si>
  <si>
    <t>CC</t>
  </si>
  <si>
    <t>Ananasstücke</t>
  </si>
  <si>
    <t>Apfelessig</t>
  </si>
  <si>
    <t>Apfelsaft</t>
  </si>
  <si>
    <t>Apfelspalten</t>
  </si>
  <si>
    <t>Appenzeller</t>
  </si>
  <si>
    <t>Auberginen</t>
  </si>
  <si>
    <t>Austernpilze</t>
  </si>
  <si>
    <t>REWE</t>
  </si>
  <si>
    <t>Avocado</t>
  </si>
  <si>
    <t>Avocadocreme</t>
  </si>
  <si>
    <t>Babyspinat</t>
  </si>
  <si>
    <t>Backpulver</t>
  </si>
  <si>
    <t>Bacon</t>
  </si>
  <si>
    <t>Baguette</t>
  </si>
  <si>
    <t>Balsmico Essig</t>
  </si>
  <si>
    <t>Bar Standard</t>
  </si>
  <si>
    <t>Bärlauch</t>
  </si>
  <si>
    <t>Basilikum getr.</t>
  </si>
  <si>
    <t>Bavaria Blue</t>
  </si>
  <si>
    <t>Birnen</t>
  </si>
  <si>
    <t>Blaubeeren</t>
  </si>
  <si>
    <t>Bohnen schwarz</t>
  </si>
  <si>
    <t>Brombeeren</t>
  </si>
  <si>
    <t>Brötchen</t>
  </si>
  <si>
    <t>Butter</t>
  </si>
  <si>
    <t>Caotina Original</t>
  </si>
  <si>
    <t>Cayennpfeffer</t>
  </si>
  <si>
    <t>Champignons</t>
  </si>
  <si>
    <t>Cheddar</t>
  </si>
  <si>
    <t xml:space="preserve">Cherrystrauchtomaten </t>
  </si>
  <si>
    <t>Chili</t>
  </si>
  <si>
    <t>Chili geschrotet</t>
  </si>
  <si>
    <t>Chipotle</t>
  </si>
  <si>
    <t>Chips</t>
  </si>
  <si>
    <t>Coca Cola</t>
  </si>
  <si>
    <t>Comprital Sauce Schokolade</t>
  </si>
  <si>
    <t>Cookiestreusel</t>
  </si>
  <si>
    <t>Cranberries</t>
  </si>
  <si>
    <t>Creme Fraiche</t>
  </si>
  <si>
    <t>Cumin</t>
  </si>
  <si>
    <t>Edamame</t>
  </si>
  <si>
    <t>Ei</t>
  </si>
  <si>
    <t>Eigelb</t>
  </si>
  <si>
    <t>Eisbecher 170ml</t>
  </si>
  <si>
    <t>Eisbecher 290ml</t>
  </si>
  <si>
    <t>Eisbecher 90ml</t>
  </si>
  <si>
    <t>Eisbergsalat</t>
  </si>
  <si>
    <t>Eislöffel aus Holz</t>
  </si>
  <si>
    <t>Eislöffel aus Papier</t>
  </si>
  <si>
    <t>Eistüte Laura</t>
  </si>
  <si>
    <t>Eistüte Laura schwarz</t>
  </si>
  <si>
    <t>Eistüte Maxi</t>
  </si>
  <si>
    <t>Eistüte Mini</t>
  </si>
  <si>
    <t>Emmentaler</t>
  </si>
  <si>
    <t>Ente (ganz)</t>
  </si>
  <si>
    <t>Entenbrust</t>
  </si>
  <si>
    <t>Erbsen</t>
  </si>
  <si>
    <t>Erdbeereis</t>
  </si>
  <si>
    <t>Köthe</t>
  </si>
  <si>
    <t>Erdbeeren</t>
  </si>
  <si>
    <t>Erdnüsse</t>
  </si>
  <si>
    <t>Essig</t>
  </si>
  <si>
    <t>Estragon</t>
  </si>
  <si>
    <t>Fenchel</t>
  </si>
  <si>
    <t>Frischkäse</t>
  </si>
  <si>
    <t>Frittieröl</t>
  </si>
  <si>
    <t>Frittiervorgang (66,977g Öl)</t>
  </si>
  <si>
    <t>Gänsekeule</t>
  </si>
  <si>
    <t>Garnelen</t>
  </si>
  <si>
    <t>Gewürzgurken</t>
  </si>
  <si>
    <t>Giotto</t>
  </si>
  <si>
    <t>Gorgonzola</t>
  </si>
  <si>
    <t>Granatapfel</t>
  </si>
  <si>
    <t>Gruyere</t>
  </si>
  <si>
    <t>Gummibärchen</t>
  </si>
  <si>
    <t>Hafermilch</t>
  </si>
  <si>
    <t>Hähnchenbrust</t>
  </si>
  <si>
    <t>METRO</t>
  </si>
  <si>
    <t>Hähnchenflügel</t>
  </si>
  <si>
    <t>Hähnchenoberschenkel</t>
  </si>
  <si>
    <t>Hähnchenunterkeulen</t>
  </si>
  <si>
    <t>Haselnuss-Krokant-Streusel</t>
  </si>
  <si>
    <t>Heidelbeeren frisch</t>
  </si>
  <si>
    <t>Himbeeren frisch</t>
  </si>
  <si>
    <t>Himbeeren TK</t>
  </si>
  <si>
    <t>Hoisin Paste</t>
  </si>
  <si>
    <t>Holundersirup</t>
  </si>
  <si>
    <t>Honig</t>
  </si>
  <si>
    <t>Ingwer</t>
  </si>
  <si>
    <t>ISI Kapseln</t>
  </si>
  <si>
    <t>Jalapenos</t>
  </si>
  <si>
    <t>Kakao</t>
  </si>
  <si>
    <t>Kardamom</t>
  </si>
  <si>
    <t>Karotten</t>
  </si>
  <si>
    <t>Kartoffel</t>
  </si>
  <si>
    <t>Kartoffelmehl</t>
  </si>
  <si>
    <t>Kartoffelstärke</t>
  </si>
  <si>
    <t>kerbel</t>
  </si>
  <si>
    <t>Ketjap Manis</t>
  </si>
  <si>
    <t>Kichererbsen</t>
  </si>
  <si>
    <t>kirschwasser</t>
  </si>
  <si>
    <t>Kitkat</t>
  </si>
  <si>
    <t>Knoblauch</t>
  </si>
  <si>
    <t>Knoblauchpulver</t>
  </si>
  <si>
    <t>Knoblauch Öl</t>
  </si>
  <si>
    <t>Konditor-Eiweiß</t>
  </si>
  <si>
    <t>Koriander</t>
  </si>
  <si>
    <t>Kräuterseitlinge</t>
  </si>
  <si>
    <t>Kreuzkümmel</t>
  </si>
  <si>
    <t>Kürbis Hokkaido</t>
  </si>
  <si>
    <t>Kürbiskerne</t>
  </si>
  <si>
    <t>Kurkuma</t>
  </si>
  <si>
    <t>Kuvertüre</t>
  </si>
  <si>
    <t>Lachsfilet TK</t>
  </si>
  <si>
    <t>Lauchzwiebeln</t>
  </si>
  <si>
    <t>Limetten</t>
  </si>
  <si>
    <t>Liquid Smoke</t>
  </si>
  <si>
    <t>Lorbeerblatt</t>
  </si>
  <si>
    <t>Magerquark</t>
  </si>
  <si>
    <t>Mais</t>
  </si>
  <si>
    <t>Malzbier</t>
  </si>
  <si>
    <t>Manchego</t>
  </si>
  <si>
    <t>Mandelmilch</t>
  </si>
  <si>
    <t>Mandeln</t>
  </si>
  <si>
    <t>Mango</t>
  </si>
  <si>
    <t>Mango Sauce PG</t>
  </si>
  <si>
    <t>Mango TK</t>
  </si>
  <si>
    <t>Maracujasaft</t>
  </si>
  <si>
    <t>Mini Marhsmallows</t>
  </si>
  <si>
    <t>Minze</t>
  </si>
  <si>
    <t>foodsetter.de</t>
  </si>
  <si>
    <t>Monin Caramel</t>
  </si>
  <si>
    <t>Monin Vanillesirup</t>
  </si>
  <si>
    <t>Mozzarellarolle</t>
  </si>
  <si>
    <t>Muskat</t>
  </si>
  <si>
    <t>Nelken</t>
  </si>
  <si>
    <t>Ochsenbacken</t>
  </si>
  <si>
    <t xml:space="preserve">okraschoten </t>
  </si>
  <si>
    <t>Olivenöl</t>
  </si>
  <si>
    <t>Orangen</t>
  </si>
  <si>
    <t>Orangensaft</t>
  </si>
  <si>
    <t>Oregano</t>
  </si>
  <si>
    <t>Oreo</t>
  </si>
  <si>
    <t>Panko Paniermehl</t>
  </si>
  <si>
    <t>Paprika geräuchert</t>
  </si>
  <si>
    <t>Paprika grün</t>
  </si>
  <si>
    <t>Paprika rot</t>
  </si>
  <si>
    <t>Paprikapulver</t>
  </si>
  <si>
    <t>Parmesan</t>
  </si>
  <si>
    <t>Pastinaken</t>
  </si>
  <si>
    <t>Pepperoni rot</t>
  </si>
  <si>
    <t>Petersilie</t>
  </si>
  <si>
    <t>Pfeffer schwarz</t>
  </si>
  <si>
    <t>Pfifferlinge</t>
  </si>
  <si>
    <t>Pfirsich</t>
  </si>
  <si>
    <t>Pflaumenmus</t>
  </si>
  <si>
    <t>Picanha</t>
  </si>
  <si>
    <t>Pinienkerne</t>
  </si>
  <si>
    <t>Pommes</t>
  </si>
  <si>
    <t>Porree</t>
  </si>
  <si>
    <t>Portobello</t>
  </si>
  <si>
    <t>Preiselbeeren</t>
  </si>
  <si>
    <t>Puderzucker</t>
  </si>
  <si>
    <t>Quitten</t>
  </si>
  <si>
    <t>Raclette</t>
  </si>
  <si>
    <t>Rapsöl</t>
  </si>
  <si>
    <t>Rinder Loinsribs</t>
  </si>
  <si>
    <t>Rinderrippchen</t>
  </si>
  <si>
    <t>Rindfleisch</t>
  </si>
  <si>
    <t>Rohrzucker</t>
  </si>
  <si>
    <t>Romanasalat</t>
  </si>
  <si>
    <t>Rosmarin</t>
  </si>
  <si>
    <t>Rotbarschfilet</t>
  </si>
  <si>
    <t>Rote Zwiebel</t>
  </si>
  <si>
    <t>Rotkohl</t>
  </si>
  <si>
    <t>Rotwein</t>
  </si>
  <si>
    <t>Sahne</t>
  </si>
  <si>
    <t>Salz</t>
  </si>
  <si>
    <t>Sambal Oelek</t>
  </si>
  <si>
    <t>Scamorza</t>
  </si>
  <si>
    <t>Schmand</t>
  </si>
  <si>
    <t>Schnittlauch</t>
  </si>
  <si>
    <t>Schokoeis</t>
  </si>
  <si>
    <t>Schokoladendrops</t>
  </si>
  <si>
    <t>Schokolinsen</t>
  </si>
  <si>
    <t xml:space="preserve">Schoten Rawit-Chili rot </t>
  </si>
  <si>
    <t>Schwarzteebeutel</t>
  </si>
  <si>
    <t>Schwein Bauch</t>
  </si>
  <si>
    <t>Schwein Nacken</t>
  </si>
  <si>
    <t>Schweinebauch</t>
  </si>
  <si>
    <t>Schweinerippchen</t>
  </si>
  <si>
    <t>Sellerie knollen</t>
  </si>
  <si>
    <t>Senf</t>
  </si>
  <si>
    <t>Senf körnig</t>
  </si>
  <si>
    <t>Serrano</t>
  </si>
  <si>
    <t>Sesam</t>
  </si>
  <si>
    <t>Sesamöl</t>
  </si>
  <si>
    <t>Shakesirup Erdbeere</t>
  </si>
  <si>
    <t>Shakesirup Schokolade</t>
  </si>
  <si>
    <t>Shakesirup Vanille</t>
  </si>
  <si>
    <t>Softeispulver Premium Schoko</t>
  </si>
  <si>
    <t>Softeispulver Premium Vanille</t>
  </si>
  <si>
    <t>Sojasauce</t>
  </si>
  <si>
    <t>Spargel grün</t>
  </si>
  <si>
    <t>Staudensellerie</t>
  </si>
  <si>
    <t>Sternanis</t>
  </si>
  <si>
    <t>Süßkartoffel-Pommes</t>
  </si>
  <si>
    <t>Süßkartoffeln</t>
  </si>
  <si>
    <t>Tafelwein rot</t>
  </si>
  <si>
    <t>Tahinipaste</t>
  </si>
  <si>
    <t>Thymian</t>
  </si>
  <si>
    <t>Toffee-Karamelstückchen</t>
  </si>
  <si>
    <t>Tomaten</t>
  </si>
  <si>
    <t>Tomaten getrocknet</t>
  </si>
  <si>
    <t>Tomaten passiert</t>
  </si>
  <si>
    <t>Tomatenketchup</t>
  </si>
  <si>
    <t>Trüffelöl</t>
  </si>
  <si>
    <t>Vanille gemahlen</t>
  </si>
  <si>
    <t>Vanilleeis</t>
  </si>
  <si>
    <t>Vanillezucker</t>
  </si>
  <si>
    <t>Vollei</t>
  </si>
  <si>
    <t>Vollmilch</t>
  </si>
  <si>
    <t>Wacholderbeeren</t>
  </si>
  <si>
    <t>Walnusskerne</t>
  </si>
  <si>
    <t>Wasser</t>
  </si>
  <si>
    <t>Weiße Schokoladendrops</t>
  </si>
  <si>
    <t>Weißkohl</t>
  </si>
  <si>
    <t>Weißwein</t>
  </si>
  <si>
    <t>Weizenmehl</t>
  </si>
  <si>
    <t>Wildkräutersalat</t>
  </si>
  <si>
    <t>Wildschwein</t>
  </si>
  <si>
    <t>Worcester Soße</t>
  </si>
  <si>
    <t>Ziegenkäse</t>
  </si>
  <si>
    <t>Ziegenkäse (Altenburger</t>
  </si>
  <si>
    <t xml:space="preserve">Zimtstangen </t>
  </si>
  <si>
    <t>Zitronen</t>
  </si>
  <si>
    <t>Zitronengras</t>
  </si>
  <si>
    <t>Zitronensaft</t>
  </si>
  <si>
    <t>Zucker</t>
  </si>
  <si>
    <t>Zwiebelgranulat</t>
  </si>
  <si>
    <t>Zwiebeln</t>
  </si>
  <si>
    <t>Zwiebelringe</t>
  </si>
  <si>
    <t>Eigene Zutaten (aus Rezepten)</t>
  </si>
  <si>
    <t>Zutat</t>
  </si>
  <si>
    <t>Menge</t>
  </si>
  <si>
    <t>Einheit</t>
  </si>
  <si>
    <t>Verlust</t>
  </si>
  <si>
    <t>Zubereitete Menge</t>
  </si>
  <si>
    <t>Preis pro Einheit</t>
  </si>
  <si>
    <t>g</t>
  </si>
  <si>
    <t>ml</t>
  </si>
  <si>
    <t>wildkräutersalat</t>
  </si>
  <si>
    <t>l</t>
  </si>
  <si>
    <t>Pulled pork</t>
  </si>
  <si>
    <t>butter</t>
  </si>
  <si>
    <t>salz</t>
  </si>
  <si>
    <t>Chili con Carne</t>
  </si>
  <si>
    <t>400g Tonne</t>
  </si>
  <si>
    <t>schmand</t>
  </si>
  <si>
    <t>Creamy Cheesecake im Glas 150g</t>
  </si>
  <si>
    <t>Stk</t>
  </si>
  <si>
    <t>sesamöl</t>
  </si>
  <si>
    <t>sesam</t>
  </si>
  <si>
    <t>zucker</t>
  </si>
  <si>
    <t>zitronengras</t>
  </si>
  <si>
    <t>honig</t>
  </si>
  <si>
    <t>apfelessig</t>
  </si>
  <si>
    <t>Kirschwasser</t>
  </si>
  <si>
    <t>hähnchenunterkeulen</t>
  </si>
  <si>
    <t>vollei</t>
  </si>
  <si>
    <t>karamellisierte Walnüsse</t>
  </si>
  <si>
    <t>Cole slaw</t>
  </si>
  <si>
    <t>Smokey mayo</t>
  </si>
  <si>
    <t>panierte Ziegenkäse</t>
  </si>
  <si>
    <t>Kapseln</t>
  </si>
  <si>
    <t>olivenöl</t>
  </si>
  <si>
    <t>koriander</t>
  </si>
  <si>
    <t xml:space="preserve">Okraschoten </t>
  </si>
  <si>
    <t>Abgabemenge ml</t>
  </si>
  <si>
    <t>Wareneinsatz</t>
  </si>
  <si>
    <t>Richt- kalkulation</t>
  </si>
  <si>
    <t>USt.</t>
  </si>
  <si>
    <t>Brutto Preis</t>
  </si>
  <si>
    <t>Pott Eierlikör</t>
  </si>
  <si>
    <t>Apricot Brandy</t>
  </si>
  <si>
    <t>Nettopreis</t>
  </si>
  <si>
    <t>Menge / ml</t>
  </si>
  <si>
    <t>Nettopreis / ml</t>
  </si>
  <si>
    <t>Horvath's Eier-Creme-Likör mit Bourbon-Vanille</t>
  </si>
  <si>
    <t>Monin Sirup Pfirsich</t>
  </si>
  <si>
    <t>Alergene</t>
  </si>
  <si>
    <t>Toppings aktualisieren</t>
  </si>
  <si>
    <t>Getränke</t>
  </si>
  <si>
    <t>Reduktion</t>
  </si>
  <si>
    <t>Bruttopreis (19%)</t>
  </si>
  <si>
    <t>Nettopreis * Faktor 3</t>
  </si>
  <si>
    <t>Bruttopreis * Faktor 3</t>
  </si>
  <si>
    <t>Verkaufspreis aktuell</t>
  </si>
  <si>
    <t>Differenz</t>
  </si>
  <si>
    <t>Anzahl Verkauf Oktober</t>
  </si>
  <si>
    <t>Gewicht / ml</t>
  </si>
  <si>
    <t>Kopfsalat</t>
  </si>
  <si>
    <t>Lachs</t>
  </si>
  <si>
    <t xml:space="preserve">Erdnuss Chicken Burger </t>
  </si>
  <si>
    <t>Erdnuss Chicken Burger</t>
  </si>
  <si>
    <t>Mini Cole slaw</t>
  </si>
  <si>
    <t>Backwood's Bowl</t>
  </si>
  <si>
    <t>Vegan Bowl</t>
  </si>
  <si>
    <t>Humus</t>
  </si>
  <si>
    <t xml:space="preserve">Erdnuss Chicken Burger marinade </t>
  </si>
  <si>
    <t xml:space="preserve">koriander samen </t>
  </si>
  <si>
    <t xml:space="preserve">erdnuss </t>
  </si>
  <si>
    <t xml:space="preserve">rotkohl </t>
  </si>
  <si>
    <t>H-Kd-Nr.</t>
  </si>
  <si>
    <t>Kd-Nr.</t>
  </si>
  <si>
    <t>RA</t>
  </si>
  <si>
    <t>Artikel-Nr.</t>
  </si>
  <si>
    <t>Vertriebs-Art.-Bez.</t>
  </si>
  <si>
    <t>VWG</t>
  </si>
  <si>
    <t>VWG-Bez.</t>
  </si>
  <si>
    <t>PBE</t>
  </si>
  <si>
    <t>Umsatz</t>
  </si>
  <si>
    <t>Durchschn.  Preis</t>
  </si>
  <si>
    <t>Ravensberg Basecamp GmbH  , Schulweg 2-4, 37441 Bad Sachsa</t>
  </si>
  <si>
    <t>deutsches Rinderzungenstück, pariert, ohne Knochen, im Stück, 1 KG</t>
  </si>
  <si>
    <t>Rind</t>
  </si>
  <si>
    <t>KG</t>
  </si>
  <si>
    <t>TK Lamb Weston Connoisseur Fries - Rustic Skin on, 2,5 KG/BT</t>
  </si>
  <si>
    <t>TK Kartoffelprodukte</t>
  </si>
  <si>
    <t>MEISTERFRISCH deutsches Rindfleisch in Stücken, 75/25, gereift, 1 KG</t>
  </si>
  <si>
    <t>polnisches Hähnchenbrustfilet, mit Innenfilet, unsortiert, ca. 1 KG</t>
  </si>
  <si>
    <t>Hähnchen / Huhn</t>
  </si>
  <si>
    <t>TK Lamb Weston Sweet Potatoe Fries, 9x13mm, 2,5 KG/BT</t>
  </si>
  <si>
    <t>Arla Cheddar Scheiben, Schnittkäse, Kuhmilch, 48% Fett i.Tr., Dänemark, 1 KG/PK</t>
  </si>
  <si>
    <t>Käse / Eier</t>
  </si>
  <si>
    <t>PK</t>
  </si>
  <si>
    <t>STAR CULINAR Schweinekotelettrippe, Stück ca. 350-650g, 1 KG</t>
  </si>
  <si>
    <t>Schwein</t>
  </si>
  <si>
    <t>Küchenchef Frittieröl Longlife, BiB, 10 L/BX</t>
  </si>
  <si>
    <t>Öle / Margarine / Fette</t>
  </si>
  <si>
    <t>L</t>
  </si>
  <si>
    <t>Soignon Ziegenweichkäserolle, Weichkäse aus Ziegenmilch, 45% Fett i.Tr., Frankreich, 1 KG/ST</t>
  </si>
  <si>
    <t>O+G BC Eisberg, geschnitten, 6mm, 1000g, verzehrfertig, 1 KG/BT</t>
  </si>
  <si>
    <t>Gemüse, frisch, geschält / geschnitten</t>
  </si>
  <si>
    <t>BT</t>
  </si>
  <si>
    <t>TK Lachsfilet, mit Haut, Seite, Trimmstufe D, IQF, 0-1% Glasur, ca.0,9-1,5kg, 1 KG</t>
  </si>
  <si>
    <t>TK Fisch, filetiert</t>
  </si>
  <si>
    <t>MEISTERFRISCH deutscher Rinderhals, gereift, ohne Knochen, im Stück ca. 4,5kg, 1 KG</t>
  </si>
  <si>
    <t>STAR CULINAR Schweinenacken, ohne Knochen, im Strang ca. 2,8kg 1 KG</t>
  </si>
  <si>
    <t>Brölio Rapsöl, 5 L/FL</t>
  </si>
  <si>
    <t>Scamorza Affumicata, Schnittkäse, Kuhmilch, 42% Fett i.Tr., Italien, 300 G/ST</t>
  </si>
  <si>
    <t>ST</t>
  </si>
  <si>
    <t>STAR CULINAR Bacon-Delikatess Frühstücksspeck, Schweinebauch, gesalzen, kaltgeräuchert, 1 KG/PK</t>
  </si>
  <si>
    <t>Speck</t>
  </si>
  <si>
    <t>STAR CULINAR Schweinebauch, ohne Rippe, mit Schwarte, im Stück ca. 3,5kg 1 KG</t>
  </si>
  <si>
    <t>TK STAR CULINAR Black Tiger Garnelen, ohne Schale, IQF, 20% Glasur, 26-30 Stück per lb, 1 KG/BT</t>
  </si>
  <si>
    <t>TK Schalen-, Krusten- und Weichtiere</t>
  </si>
  <si>
    <t>O+G Tomaten, runde, 57+, 1 KG</t>
  </si>
  <si>
    <t>Gemüse, frisch, ganz</t>
  </si>
  <si>
    <t>Le Rustique Raclette l'Originale 48% Fett i. Tr. 400 G/PK</t>
  </si>
  <si>
    <t>O+G SC Salatmischung mit Wildkräutern, 300g, verzehrfertig, 300 G/BT</t>
  </si>
  <si>
    <t>Samlip Paniermehl (Panko), 1 KG/BT</t>
  </si>
  <si>
    <t>Feinkost, Asien</t>
  </si>
  <si>
    <t>Huber H-Schmand aus Sauerrahm, 24% Fett, stichfest, 1 KG/PK</t>
  </si>
  <si>
    <t>Butter / Milchprodukte</t>
  </si>
  <si>
    <t>O+G Zwiebeln CC, gelb, Ringe 2-3mm, 2,5 KG/BT</t>
  </si>
  <si>
    <t>Eifix frisches Eigelb, 1 KG/PK</t>
  </si>
  <si>
    <t>TK Avocado-Creme, pur, 1000g, 1 BT</t>
  </si>
  <si>
    <t>Obst, frisch, geschnitten</t>
  </si>
  <si>
    <t>Eifix frisches Vollei aus Bodenhaltung, 1 KG/PK</t>
  </si>
  <si>
    <t>O+G Salat, Mini-Spinat, küchenfertig, 250g 1 PK</t>
  </si>
  <si>
    <t>Heinz Tomatenketchup, ohne Konservierungsstoffe, 11,5 KG/EI</t>
  </si>
  <si>
    <t>Ketchup / Mayonnaise / Senf &amp; Co.</t>
  </si>
  <si>
    <t>deutsche Rinder-Loinribs, 1 KG</t>
  </si>
  <si>
    <t>Ravensberg Basecamp GmbH Nonfood, Schulweg 2-4, 37441 Bad Sachsa</t>
  </si>
  <si>
    <t>Mensch Elastic Vinyl Handschuh, puderfrei, Gr. XL, 100 Stück, (26801/010338) 1 PK</t>
  </si>
  <si>
    <t>Einweghandschuhe</t>
  </si>
  <si>
    <t>Milram H-Schlagsahne, 30% Fett, 1 PK</t>
  </si>
  <si>
    <t>BASE CULINAR Bacon, Schweinebauch in Scheiben, gepökelt, geräuchert, ohne Schwarte, 1 KG/PK</t>
  </si>
  <si>
    <t>Dreyer Imkerhonig, cremig, 500 G/GL</t>
  </si>
  <si>
    <t>Brotaufstrich</t>
  </si>
  <si>
    <t>GL</t>
  </si>
  <si>
    <t>O+G Spargel grün, 450g Bund, 450 G/BD</t>
  </si>
  <si>
    <t>BD</t>
  </si>
  <si>
    <t>Frischkäse Natur, Kuhmilch, 60% Fett i.Tr., Frankreich, 2 KG/EI</t>
  </si>
  <si>
    <t>EI</t>
  </si>
  <si>
    <t>Wiberg Paprika geräuchert, (204093) 0,27 KG/DS</t>
  </si>
  <si>
    <t>Gewürze</t>
  </si>
  <si>
    <t>DS</t>
  </si>
  <si>
    <t>TK BASE CULINAR Hähnchenbrustfilet, natur, ungewürzt, Teilstück, ca. 160g, 5 KG/KT</t>
  </si>
  <si>
    <t>TK Geflügel, Convenience</t>
  </si>
  <si>
    <t>O+G Pilze, Kräuterseitlinge, grob, 1 KG</t>
  </si>
  <si>
    <t>Bartolini Olivenöl nat. ex. m. weißen Trüffeln aromatisiert, Condimento al Tartufo Bianco, 250 ML/FL</t>
  </si>
  <si>
    <t>Feinkost, Öle</t>
  </si>
  <si>
    <t>FL</t>
  </si>
  <si>
    <t>H-Vollmilch, 3,5% Fett, 1 L/PK</t>
  </si>
  <si>
    <t>Julia Pergamentersatz, 1/4 Bogen, 375x500mm, 12,5kg-Packung, ca.1350 Bogen, (J52423) 12,5 KG/PK</t>
  </si>
  <si>
    <t>Folien / Beutel</t>
  </si>
  <si>
    <t>deutsche Rinderbrust, gepökelt, ohne Knochen, im Stück ca. 3,0kg, 1 KG</t>
  </si>
  <si>
    <t>Knorr Würzsauce Sojasauce Ketjap Manis, (97948) 1 L/FL</t>
  </si>
  <si>
    <t>O+G Tomaten, Cherrystrauchtomaten, 1 KG</t>
  </si>
  <si>
    <t>Fischer Gewürzgurken, 55/60, mit Süßstoff, ATG:5600g, 10200ml, 10200 ML/DS</t>
  </si>
  <si>
    <t>Sauerkonserven / Saure Salate</t>
  </si>
  <si>
    <t>TK Himbeeren, 2,5 KG/BT</t>
  </si>
  <si>
    <t>TK Obst / -mischungen</t>
  </si>
  <si>
    <t>Del Sol Jalapeno Chili, Scheiben, grün, ATG: 1.700g, 2890 G/DS</t>
  </si>
  <si>
    <t>Feinkost, Sonstiges</t>
  </si>
  <si>
    <t>BASE CULINAR Walnusskerne, 0,5 KG/BT</t>
  </si>
  <si>
    <t>Backartikel / -mischungen / -zutaten</t>
  </si>
  <si>
    <t>STAR CULINAR Schweinebauch, ohne Rippe, Speck und Schwarte, im Stück ca. 3,0kg 1 KG</t>
  </si>
  <si>
    <t>TK Delifrance Baguettes Royales 5er Mix, 20 ST/KT</t>
  </si>
  <si>
    <t>TK Backwaren</t>
  </si>
  <si>
    <t>Knorr Worcester Soße, (736) 1 L/FL</t>
  </si>
  <si>
    <t>Trockensuppen / -saucen</t>
  </si>
  <si>
    <t>Antersdorfer Mühle Bio Bulgur, 5 KG/BT</t>
  </si>
  <si>
    <t>Zucker / Salz / Mehl</t>
  </si>
  <si>
    <t>STAR CULINAR Pflaumenmus, 450 G/GL</t>
  </si>
  <si>
    <t>BASE CULINAR Pinienkerne, 1 KG/BT</t>
  </si>
  <si>
    <t>Temca racon comfort Handtuchpapier, natur, 24x23cm, 2lagig, 20x200 Stück, 1 KT</t>
  </si>
  <si>
    <t>Hygiene-/ Putzpapier</t>
  </si>
  <si>
    <t>KT</t>
  </si>
  <si>
    <t>Two in one, Reingungskartusche, 10 Stück, 0,9 KG/KT</t>
  </si>
  <si>
    <t>Reinigungs- / Putzmittel</t>
  </si>
  <si>
    <t>Wiberg Knoblauch, Pulver, 1200ml, (108761) 580 G/DS</t>
  </si>
  <si>
    <t>O+G Salat, Romana Salatherzen, 2er, 200 G/PK</t>
  </si>
  <si>
    <t>Deutsche Markenbutter, 250 G/PK</t>
  </si>
  <si>
    <t>BASE ELEMENTS Alufolie Ersatzrolle, 13my, 150m lang, 45 cm breit, 150 M/RO</t>
  </si>
  <si>
    <t>RO</t>
  </si>
  <si>
    <t>US NHTC Rinderbust, ohne Knochen, 1 KG</t>
  </si>
  <si>
    <t>Duni Zelltuch-Servietten, schwarz, 33x33cm, 3-lagig, 1/8 Falz, 250 Stück, (165559) 1 PK</t>
  </si>
  <si>
    <t>Papierwaren / Kerzen / Dekoration</t>
  </si>
  <si>
    <t>Grana Padano, Hartkäse, Kuhmilch, 32% Fett i.Tr., Italien, ca. 2,5 2,5 KG/ST</t>
  </si>
  <si>
    <t>Rauch 100% Zitrone, Zitronensaft, EWPET, 1 L/FL</t>
  </si>
  <si>
    <t>Säfte</t>
  </si>
  <si>
    <t>TK MEISTERFRISCH deutsche Rinder Loinribs, gereift, ca. 1,3-1,9kg, 1 KG</t>
  </si>
  <si>
    <t>TK Rind</t>
  </si>
  <si>
    <t>BASE CULINAR Streudose Paprika edelsüß, 0,6 KG/DS</t>
  </si>
  <si>
    <t>EU Ochsenbacken, 1 KG</t>
  </si>
  <si>
    <t>O+G Kürbis, Hokkaido, 1 KG</t>
  </si>
  <si>
    <t>Sweet Family Rohrzucker, braun, 0,5 KG/PK</t>
  </si>
  <si>
    <t>BASE CULINAR Streudose Pfeffer schwarz gemahlen, 0,6 KG/DS</t>
  </si>
  <si>
    <t>Burkhardt Apfelessig,  klar, 10 L/KN</t>
  </si>
  <si>
    <t>Feinkost, Essig</t>
  </si>
  <si>
    <t>O+G Auberginen, 1 KG</t>
  </si>
  <si>
    <t>Callebaut Dunkle Schokolade Kuvertüre Callets, 54,5 % Kakao, 2,5 KG/PK</t>
  </si>
  <si>
    <t>Rösch Sanomat, Hygiene-Waschmittel, Desinfektionsvollwaschmittel, (11113) 20 KG/SA</t>
  </si>
  <si>
    <t>Wasch- / Weich- / Spülmittel</t>
  </si>
  <si>
    <t>SA</t>
  </si>
  <si>
    <t>Grana Padano, gehobelt, Hartkäse, Kuhmilch, 32% Fett i.Tr., Italien, 500 G/PK</t>
  </si>
  <si>
    <t>O+G Paprika, rot, 1 KG</t>
  </si>
  <si>
    <t>Raffinade, feiner Zucker, 1 KG/PK</t>
  </si>
  <si>
    <t>BASE CLEAN Müllsäcke, blau, 120l, 700x1100mm, 38my, 25 Stück, (20232) 1 RO</t>
  </si>
  <si>
    <t>Eifix frisches Vollei, 1 KG/PK</t>
  </si>
  <si>
    <t>Optimahl STARLINE Chipotle South West, 850 G/FL</t>
  </si>
  <si>
    <t>Kühne Senf, würzig, pikant, 5 KG/EI</t>
  </si>
  <si>
    <t>Kikkoman Sojasauce, dunkel, 1 L/FL</t>
  </si>
  <si>
    <t>Frießinger Mühle Weizenmehl, Type 405, 1 KG/PK</t>
  </si>
  <si>
    <t>Schär Panini glutenfrei, Brötchen, 2 x 75 g, 150 G/PK</t>
  </si>
  <si>
    <t>Brot- und Backwaren / Zwieback</t>
  </si>
  <si>
    <t>TK Langnese Erdbeer Fruchteis, (32417) 5 L/DS</t>
  </si>
  <si>
    <t>TK Speiseeis</t>
  </si>
  <si>
    <t>TK Langnese Schokolade Eiscreme, (12356504) 5 L/DS</t>
  </si>
  <si>
    <t>Tork Matic Rollenhandtuch,TAD, weiß, 2lagig, H1, 6x100m, (290016) 1 KT</t>
  </si>
  <si>
    <t>O+G Speisekartoffeln, Süßkartoffeln, 1 KG</t>
  </si>
  <si>
    <t>Diamond Sesamöl, 1.Qualität, geröstet, 500 ML/FL</t>
  </si>
  <si>
    <t>Mensch Sense Latex Einweg-Handschuh, puderfrei, Gr. L, 100 Stück, (26711) 1 PK</t>
  </si>
  <si>
    <t>Karlowsky Grubentuch 45 x 90 cm, 10 Stück 1 PK</t>
  </si>
  <si>
    <t>Berufsbekleidung / Textilien</t>
  </si>
  <si>
    <t>Olivenöl nativ extra, 1 L/FL</t>
  </si>
  <si>
    <t>O+G Paprika, grün, 1 KG</t>
  </si>
  <si>
    <t>O+G Paprika, rot, 500g (Kal. 70-90mm), 1 BT</t>
  </si>
  <si>
    <t>Dick Imbisspalette Pro Dynamic, 12 cm x 8,5 cm 1 ST</t>
  </si>
  <si>
    <t>Küchenartikel</t>
  </si>
  <si>
    <t>O+G Kohl, Weißkohl, 1 KG</t>
  </si>
  <si>
    <t>O+G Knoblauch, geschält, 1kg Schale, 1 KG/PK</t>
  </si>
  <si>
    <t>BASE CLEAN Grillreiniger, 1 L/FL</t>
  </si>
  <si>
    <t>Rollcontainer</t>
  </si>
  <si>
    <t>Leergut</t>
  </si>
  <si>
    <t>BASE CULINAR Magerquark, 0,3% Fett, 5 KG/EI</t>
  </si>
  <si>
    <t>Milram Creme Fraiche, 30% Fett, Eimer, 5 KG/EI</t>
  </si>
  <si>
    <t>Rauch Happy Day Apfelsaft, 1 L/PK</t>
  </si>
  <si>
    <t>BASE CLEAN Reinigungsschwamm, gelb/grün, 70x150mm, (132712 BASE CLEAN 10 ST/PK</t>
  </si>
  <si>
    <t>Haushaltshelfer</t>
  </si>
  <si>
    <t>Wiberg Chillies, geschrotet, 470ml, (153343) 190 G/DS</t>
  </si>
  <si>
    <t>TK Apfelsegmente, ohne Schale, 2,5 KG/BT</t>
  </si>
  <si>
    <t>Dick Tranchiermesser Pro Dynamic, 21 cm 1 ST</t>
  </si>
  <si>
    <t>Paclan Müllbeutel, mit Griff, transparent, 53x54+16cm, 10my, 25 Liter, 30 Stück, 1 RO</t>
  </si>
  <si>
    <t>Pikarome Rotisseur Senf, körnig, 1000 G/GL</t>
  </si>
  <si>
    <t>O+G Tomaten, Cherrytomaten rot, 250g, 250 G/SH</t>
  </si>
  <si>
    <t>SH</t>
  </si>
  <si>
    <t>Calispa Tomaten passiert, ATG:2500, 2650 ML/DS</t>
  </si>
  <si>
    <t>Gemüsekonserven</t>
  </si>
  <si>
    <t>BASE ELEMENTS Frischhaltefolie-Ersatzrolle, 12my, 44cm breit, 300m lang, 300 M/RO</t>
  </si>
  <si>
    <t>TK Langnese Vanilla Eis, (32395) 5 L/DS</t>
  </si>
  <si>
    <t>BASE CLEAN Spülmittel, (0567) 1 L/FL</t>
  </si>
  <si>
    <t>BASE CULINAR Streudose Oregano gerebelt, 0,17 KG/DS</t>
  </si>
  <si>
    <t>Zwischenboden</t>
  </si>
  <si>
    <t>Cooks Love Schwarze Bohnen, ATG: 1750g, 2650 ML/DS</t>
  </si>
  <si>
    <t>BASE CLEAN Mikrofasertuch rot, 40x40cm, 80% Polyester, 20% Polyamid, 296,3g/qm, (121700 BASE CLEAN 10 ST/PK</t>
  </si>
  <si>
    <t>Ananas Stücke, ATG:1840g, 3100ml, 3100 ML/DS</t>
  </si>
  <si>
    <t>Obstkonserven</t>
  </si>
  <si>
    <t>Rauch Happy Day Orangensaft, 1 L/PK</t>
  </si>
  <si>
    <t>O+G Kräuter, Koriander, 100g Pk, 100 G/SH</t>
  </si>
  <si>
    <t>Maryland Erdnusskerne ungeröstet, 1 KG/BT</t>
  </si>
  <si>
    <t>Eurosatte</t>
  </si>
  <si>
    <t>TK Langnese Impulseis Max Push up Eis, (97109) 85 ML/ST</t>
  </si>
  <si>
    <t>Wiberg Wib.Rosmarin gefr.getr.140g (208756) 140 G/DS</t>
  </si>
  <si>
    <t>TK Langnese Impulseis Magnum White Chocolate+Cookies, (69162) 90 ML/ST</t>
  </si>
  <si>
    <t>Müller`s Mühle Bulgur, 5 KG/BT</t>
  </si>
  <si>
    <t>TK Langnese Impulseis Cornetto King Vanille , (13555101) 260 ML/ST</t>
  </si>
  <si>
    <t>TK Langnese Impulseis Cornetto King Choc, (80779) 260 ML/ST</t>
  </si>
  <si>
    <t>O+G Lauchzwiebeln, 120 G/BD</t>
  </si>
  <si>
    <t>Wiberg Kreuzkümmel gemahlen, (221860) 250 G/DS</t>
  </si>
  <si>
    <t>Amier Tahina Sesam Paste, 300 G/GL</t>
  </si>
  <si>
    <t>BASE CULINAR Schwarzer Tee, 20 Filterketten à 5 Beutel, 1 Beutel bis 10 Liter, 1 KT</t>
  </si>
  <si>
    <t>Tee</t>
  </si>
  <si>
    <t>TK Langnese Impulseis Flutschfinger, (64517) 64 ML/ST</t>
  </si>
  <si>
    <t>O+G Schoten, Peperoni rot, 1 KG</t>
  </si>
  <si>
    <t>O+G Zwiebeln, Gemüsezwiebeln, Import, 25kg Sack, 1 KG</t>
  </si>
  <si>
    <t>Mensch Ideal Light Vinyl Einweg-Handschuh, puderfrei, Gr. M, 100 Stück, (26859) 1 PK</t>
  </si>
  <si>
    <t>Wiberg Thymian, gefriergetrocknet, 1200ml, (108809) 75 G/DS</t>
  </si>
  <si>
    <t>Abrazo Edelstahl-Topfreingier, 60g, (5827 12) 1 ST</t>
  </si>
  <si>
    <t>O+G Kräuter, Schnittlauch, 100g Bund, 100 G/BD</t>
  </si>
  <si>
    <t>BASE CULINAR Kürbiskerne, 1 KG/BT</t>
  </si>
  <si>
    <t>IT Tafelwein Rot, 2 L/FL</t>
  </si>
  <si>
    <t>Wein, Italien</t>
  </si>
  <si>
    <t>O+G Ingwer, 1 KG</t>
  </si>
  <si>
    <t>Eifix frisches Konditor-Eiweiß, 1 L/PK</t>
  </si>
  <si>
    <t>Jeden Tag Küchentücher, Küchenrolle,  3-lagig, 51 Blatt, 4 Rollen, 1 PK</t>
  </si>
  <si>
    <t>deutsches Rinderschaufelstück, Mittelbug (Bugblatt), im Stück ca. 2,0kg, 1 KG</t>
  </si>
  <si>
    <t>Culinaria Dijon Senf, körnig, 1000 G/GL</t>
  </si>
  <si>
    <t>Feinkost, Frankreich</t>
  </si>
  <si>
    <t>TK Kürbis, gewürfelt, 10x10mm, 10 KG/KT</t>
  </si>
  <si>
    <t>TK Gemüse / -mischungen</t>
  </si>
  <si>
    <t>O+G Tomaten, Cherrystrauchtomaten, L'Amuse, 3 KG/KT</t>
  </si>
  <si>
    <t>O+G BC Blattsalat-Mix, 750g, verzehrfertig 750 G/BT</t>
  </si>
  <si>
    <t>O+G Pilze, Trüffel, Sommer, 1 G</t>
  </si>
  <si>
    <t>G</t>
  </si>
  <si>
    <t>Nitrit Pökelsalz, 25 KG/SA</t>
  </si>
  <si>
    <t>O+G Kräuter, Zitronengras, 100g Pk, 0,1 KG/SH</t>
  </si>
  <si>
    <t>Wiberg Zwiebel Granulat, (107576) 1 KG/BT</t>
  </si>
  <si>
    <t>O+G Kräuter, Petersilie kraus, 250g Bund, 250 G/BD</t>
  </si>
  <si>
    <t>Dr. Becher Fritteusen Reiniger, (006628) 1 KG/FL</t>
  </si>
  <si>
    <t>O+G Kräuter, Petersilie glatt, 250g Bund, 250 G/BD</t>
  </si>
  <si>
    <t>O+G Möhren, dicke, 1 KG</t>
  </si>
  <si>
    <t>BASE CULINAR Pfeffer schwarz ganz, 1 KG/BT</t>
  </si>
  <si>
    <t>BASE CULINAR Pasta Pennette Rigate Makkaroni, 5 KG/BT</t>
  </si>
  <si>
    <t>Teigwaren</t>
  </si>
  <si>
    <t>Oatly Haferdrink Barista, zum Aufschäumen geeignet, 1 L/PK</t>
  </si>
  <si>
    <t>MEISTERFRISCH deutsches Rindfleisch zur Verarbeitung, gereift, 1 KG</t>
  </si>
  <si>
    <t>O+G Zwiebeln, 1kg Beutel, 1 KG/BT</t>
  </si>
  <si>
    <t>O+G Zwiebeln, Gemüsezwiebeln groß, 6 KG/BT</t>
  </si>
  <si>
    <t>O+G Kräuter, Estragon, 100g Pk, 100 G/SH</t>
  </si>
  <si>
    <t>Jeden Tag Jodsalz, 0,5 KG/PK</t>
  </si>
  <si>
    <t>O+G Granatapfel, 200 G/ST</t>
  </si>
  <si>
    <t>Obst, frisch, ganz</t>
  </si>
  <si>
    <t>Kleen Purgatis Push Ami, Sanitärreiniger und Entkalker, (90.600.663) 1 L/FL</t>
  </si>
  <si>
    <t>TK Ardo Knoblauchzehen, 1 KG/BT</t>
  </si>
  <si>
    <t>O+G Möhren, 1kg Packung, 1 KG/PK</t>
  </si>
  <si>
    <t>O+G Porree, 1kg Packung, 1 KG/PK</t>
  </si>
  <si>
    <t>Halbe Satte (schwarz/grau)</t>
  </si>
  <si>
    <t>Schär Mehl Farine glutenfrei, Basismischung, 1 KG/PK</t>
  </si>
  <si>
    <t>O+G Kräuter, Kerbel, 100g Pk, 100 G/SH</t>
  </si>
  <si>
    <t>O+G Sellerie, Knollen, 1 KG</t>
  </si>
  <si>
    <t>O+G Möhren, 3kg Beutel, 3 KG/BT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</si>
</sst>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0\ [$€-1]"/>
    <numFmt numFmtId="165" formatCode="#,##0.000\ [$€-1]"/>
    <numFmt numFmtId="166" formatCode="#0"/>
    <numFmt numFmtId="167" formatCode="#,##0.00&quot;€&quot;"/>
    <numFmt numFmtId="168" formatCode="#,##0.00000\ [$€-1]"/>
  </numFmts>
  <fonts count="21">
    <font>
      <sz val="10.0"/>
      <color rgb="FF000000"/>
      <name val="Arial"/>
      <scheme val="minor"/>
    </font>
    <font>
      <b/>
      <color rgb="FF000000"/>
      <name val="Arial"/>
      <scheme val="minor"/>
    </font>
    <font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sz val="11.0"/>
      <color rgb="FF555555"/>
      <name val="&quot;Nunito Sans&quot;"/>
    </font>
    <font>
      <sz val="9.0"/>
      <color rgb="FF222222"/>
      <name val="&quot;Nunito Sans&quot;"/>
    </font>
    <font>
      <u/>
      <color rgb="FF1155CC"/>
    </font>
    <font>
      <sz val="10.0"/>
      <color rgb="FFFF0000"/>
      <name val="Arial"/>
      <scheme val="minor"/>
    </font>
    <font>
      <b/>
      <sz val="24.0"/>
      <color theme="1"/>
      <name val="Arial"/>
      <scheme val="minor"/>
    </font>
    <font>
      <sz val="6.0"/>
      <color theme="1"/>
      <name val="Arial"/>
    </font>
    <font>
      <sz val="10.0"/>
      <color theme="1"/>
      <name val="Arial"/>
    </font>
    <font>
      <sz val="11.0"/>
      <color rgb="FF000000"/>
      <name val="Arial"/>
    </font>
    <font>
      <color theme="1"/>
      <name val="Arial"/>
    </font>
    <font>
      <color rgb="FF222222"/>
      <name val="Merriweather"/>
    </font>
    <font>
      <color rgb="FF222222"/>
      <name val="Arial"/>
      <scheme val="minor"/>
    </font>
    <font>
      <color rgb="FF000000"/>
      <name val="Arial"/>
    </font>
    <font>
      <sz val="11.0"/>
      <color theme="1"/>
      <name val="Arial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1" numFmtId="164" xfId="0" applyAlignment="1" applyFont="1" applyNumberFormat="1">
      <alignment readingOrder="0" shrinkToFit="0" wrapText="1"/>
    </xf>
    <xf borderId="0" fillId="2" fontId="2" numFmtId="0" xfId="0" applyAlignment="1" applyFont="1">
      <alignment readingOrder="0"/>
    </xf>
    <xf borderId="0" fillId="2" fontId="2" numFmtId="164" xfId="0" applyFont="1" applyNumberFormat="1"/>
    <xf borderId="0" fillId="2" fontId="2" numFmtId="9" xfId="0" applyAlignment="1" applyFont="1" applyNumberFormat="1">
      <alignment readingOrder="0"/>
    </xf>
    <xf borderId="0" fillId="2" fontId="2" numFmtId="164" xfId="0" applyAlignment="1" applyFont="1" applyNumberFormat="1">
      <alignment readingOrder="0"/>
    </xf>
    <xf borderId="0" fillId="2" fontId="1" numFmtId="164" xfId="0" applyAlignment="1" applyFont="1" applyNumberFormat="1">
      <alignment readingOrder="0"/>
    </xf>
    <xf borderId="0" fillId="2" fontId="2" numFmtId="10" xfId="0" applyAlignment="1" applyFont="1" applyNumberForma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4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0" numFmtId="166" xfId="0" applyAlignment="1" applyFont="1" applyNumberFormat="1">
      <alignment vertical="top"/>
    </xf>
    <xf borderId="0" fillId="0" fontId="0" numFmtId="0" xfId="0" applyAlignment="1" applyFont="1">
      <alignment readingOrder="0" vertical="top"/>
    </xf>
    <xf borderId="0" fillId="0" fontId="4" numFmtId="4" xfId="0" applyFont="1" applyNumberFormat="1"/>
    <xf borderId="0" fillId="2" fontId="0" numFmtId="164" xfId="0" applyAlignment="1" applyFont="1" applyNumberFormat="1">
      <alignment readingOrder="0"/>
    </xf>
    <xf borderId="0" fillId="0" fontId="4" numFmtId="165" xfId="0" applyFont="1" applyNumberFormat="1"/>
    <xf borderId="0" fillId="2" fontId="6" numFmtId="0" xfId="0" applyAlignment="1" applyFont="1">
      <alignment readingOrder="0"/>
    </xf>
    <xf borderId="0" fillId="2" fontId="7" numFmtId="166" xfId="0" applyAlignment="1" applyFont="1" applyNumberFormat="1">
      <alignment readingOrder="0"/>
    </xf>
    <xf borderId="0" fillId="0" fontId="0" numFmtId="166" xfId="0" applyAlignment="1" applyFont="1" applyNumberFormat="1">
      <alignment readingOrder="0" vertical="top"/>
    </xf>
    <xf borderId="0" fillId="2" fontId="8" numFmtId="166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 vertical="top"/>
    </xf>
    <xf borderId="0" fillId="3" fontId="5" numFmtId="0" xfId="0" applyAlignment="1" applyFill="1" applyFont="1">
      <alignment readingOrder="0"/>
    </xf>
    <xf borderId="0" fillId="3" fontId="0" numFmtId="166" xfId="0" applyAlignment="1" applyFont="1" applyNumberFormat="1">
      <alignment vertical="top"/>
    </xf>
    <xf borderId="0" fillId="3" fontId="0" numFmtId="0" xfId="0" applyAlignment="1" applyFont="1">
      <alignment readingOrder="0" vertical="top"/>
    </xf>
    <xf borderId="0" fillId="3" fontId="4" numFmtId="4" xfId="0" applyFont="1" applyNumberFormat="1"/>
    <xf borderId="0" fillId="3" fontId="0" numFmtId="164" xfId="0" applyAlignment="1" applyFont="1" applyNumberFormat="1">
      <alignment readingOrder="0"/>
    </xf>
    <xf borderId="0" fillId="3" fontId="4" numFmtId="165" xfId="0" applyFont="1" applyNumberFormat="1"/>
    <xf borderId="0" fillId="3" fontId="4" numFmtId="0" xfId="0" applyFont="1"/>
    <xf borderId="0" fillId="4" fontId="11" numFmtId="0" xfId="0" applyAlignment="1" applyFill="1" applyFont="1">
      <alignment readingOrder="0"/>
    </xf>
    <xf borderId="0" fillId="4" fontId="4" numFmtId="0" xfId="0" applyFont="1"/>
    <xf borderId="0" fillId="4" fontId="4" numFmtId="0" xfId="0" applyFont="1"/>
    <xf borderId="0" fillId="4" fontId="4" numFmtId="4" xfId="0" applyFont="1" applyNumberFormat="1"/>
    <xf borderId="0" fillId="4" fontId="4" numFmtId="164" xfId="0" applyFont="1" applyNumberFormat="1"/>
    <xf borderId="0" fillId="4" fontId="4" numFmtId="165" xfId="0" applyFont="1" applyNumberFormat="1"/>
    <xf borderId="0" fillId="4" fontId="4" numFmtId="0" xfId="0" applyAlignment="1" applyFont="1">
      <alignment readingOrder="0"/>
    </xf>
    <xf borderId="0" fillId="4" fontId="4" numFmtId="167" xfId="0" applyAlignment="1" applyFont="1" applyNumberFormat="1">
      <alignment readingOrder="0"/>
    </xf>
    <xf borderId="0" fillId="4" fontId="5" numFmtId="0" xfId="0" applyFont="1"/>
    <xf borderId="0" fillId="4" fontId="5" numFmtId="0" xfId="0" applyFont="1"/>
    <xf borderId="0" fillId="4" fontId="4" numFmtId="2" xfId="0" applyFont="1" applyNumberFormat="1"/>
    <xf borderId="0" fillId="4" fontId="12" numFmtId="0" xfId="0" applyAlignment="1" applyFont="1">
      <alignment readingOrder="0" vertical="top"/>
    </xf>
    <xf borderId="0" fillId="4" fontId="13" numFmtId="0" xfId="0" applyAlignment="1" applyFont="1">
      <alignment readingOrder="0" vertical="top"/>
    </xf>
    <xf borderId="0" fillId="4" fontId="4" numFmtId="2" xfId="0" applyAlignment="1" applyFont="1" applyNumberFormat="1">
      <alignment readingOrder="0"/>
    </xf>
    <xf borderId="0" fillId="4" fontId="5" numFmtId="167" xfId="0" applyAlignment="1" applyFont="1" applyNumberFormat="1">
      <alignment readingOrder="0"/>
    </xf>
    <xf borderId="0" fillId="4" fontId="14" numFmtId="0" xfId="0" applyAlignment="1" applyFont="1">
      <alignment readingOrder="0"/>
    </xf>
    <xf borderId="0" fillId="4" fontId="4" numFmtId="4" xfId="0" applyAlignment="1" applyFont="1" applyNumberFormat="1">
      <alignment readingOrder="0"/>
    </xf>
    <xf borderId="0" fillId="4" fontId="14" numFmtId="0" xfId="0" applyFont="1"/>
    <xf borderId="0" fillId="0" fontId="4" numFmtId="0" xfId="0" applyAlignment="1" applyFont="1">
      <alignment readingOrder="0" shrinkToFit="0" wrapText="1"/>
    </xf>
    <xf borderId="0" fillId="0" fontId="4" numFmtId="10" xfId="0" applyAlignment="1" applyFont="1" applyNumberFormat="1">
      <alignment readingOrder="0" shrinkToFit="0" wrapText="1"/>
    </xf>
    <xf borderId="0" fillId="5" fontId="4" numFmtId="3" xfId="0" applyAlignment="1" applyFill="1" applyFont="1" applyNumberFormat="1">
      <alignment readingOrder="0" shrinkToFit="0" wrapText="1"/>
    </xf>
    <xf borderId="0" fillId="5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0" numFmtId="0" xfId="0" applyAlignment="1" applyFont="1">
      <alignment readingOrder="0"/>
    </xf>
    <xf borderId="0" fillId="0" fontId="0" numFmtId="0" xfId="0" applyAlignment="1" applyFont="1">
      <alignment horizontal="left" readingOrder="0" shrinkToFit="0" wrapText="1"/>
    </xf>
    <xf borderId="0" fillId="0" fontId="0" numFmtId="0" xfId="0" applyAlignment="1" applyFont="1">
      <alignment horizontal="right" readingOrder="0" shrinkToFit="0" wrapText="1"/>
    </xf>
    <xf borderId="0" fillId="0" fontId="4" numFmtId="0" xfId="0" applyAlignment="1" applyFont="1">
      <alignment readingOrder="0"/>
    </xf>
    <xf borderId="0" fillId="0" fontId="4" numFmtId="10" xfId="0" applyAlignment="1" applyFont="1" applyNumberFormat="1">
      <alignment readingOrder="0"/>
    </xf>
    <xf borderId="0" fillId="5" fontId="4" numFmtId="3" xfId="0" applyAlignment="1" applyFont="1" applyNumberFormat="1">
      <alignment shrinkToFit="0" wrapText="1"/>
    </xf>
    <xf borderId="0" fillId="5" fontId="4" numFmtId="164" xfId="0" applyAlignment="1" applyFont="1" applyNumberFormat="1">
      <alignment shrinkToFit="0" wrapText="1"/>
    </xf>
    <xf borderId="0" fillId="0" fontId="4" numFmtId="0" xfId="0" applyFont="1"/>
    <xf borderId="0" fillId="0" fontId="5" numFmtId="1" xfId="0" applyAlignment="1" applyFont="1" applyNumberFormat="1">
      <alignment readingOrder="0"/>
    </xf>
    <xf borderId="0" fillId="0" fontId="5" numFmtId="0" xfId="0" applyFont="1"/>
    <xf borderId="0" fillId="0" fontId="15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0" fontId="15" numFmtId="1" xfId="0" applyAlignment="1" applyFont="1" applyNumberFormat="1">
      <alignment horizontal="right" vertical="bottom"/>
    </xf>
    <xf borderId="0" fillId="0" fontId="16" numFmtId="0" xfId="0" applyAlignment="1" applyFont="1">
      <alignment readingOrder="0"/>
    </xf>
    <xf borderId="0" fillId="5" fontId="4" numFmtId="164" xfId="0" applyAlignment="1" applyFont="1" applyNumberFormat="1">
      <alignment readingOrder="0" shrinkToFit="0" wrapText="1"/>
    </xf>
    <xf borderId="0" fillId="0" fontId="5" numFmtId="1" xfId="0" applyFont="1" applyNumberFormat="1"/>
    <xf borderId="0" fillId="0" fontId="17" numFmtId="0" xfId="0" applyAlignment="1" applyFont="1">
      <alignment readingOrder="0"/>
    </xf>
    <xf borderId="0" fillId="2" fontId="18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2" fontId="18" numFmtId="0" xfId="0" applyAlignment="1" applyFont="1">
      <alignment vertical="bottom"/>
    </xf>
    <xf borderId="0" fillId="0" fontId="15" numFmtId="0" xfId="0" applyAlignment="1" applyFont="1">
      <alignment horizontal="right" readingOrder="0" vertical="bottom"/>
    </xf>
    <xf borderId="0" fillId="0" fontId="18" numFmtId="0" xfId="0" applyAlignment="1" applyFont="1">
      <alignment vertical="top"/>
    </xf>
    <xf borderId="0" fillId="0" fontId="5" numFmtId="168" xfId="0" applyAlignment="1" applyFont="1" applyNumberFormat="1">
      <alignment readingOrder="0"/>
    </xf>
    <xf borderId="0" fillId="0" fontId="19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vertical="bottom"/>
    </xf>
    <xf borderId="0" fillId="0" fontId="15" numFmtId="1" xfId="0" applyAlignment="1" applyFont="1" applyNumberFormat="1">
      <alignment horizontal="right" readingOrder="0" vertical="bottom"/>
    </xf>
    <xf borderId="0" fillId="0" fontId="4" numFmtId="0" xfId="0" applyAlignment="1" applyFont="1">
      <alignment readingOrder="0" vertical="top"/>
    </xf>
    <xf borderId="0" fillId="0" fontId="15" numFmtId="1" xfId="0" applyAlignment="1" applyFont="1" applyNumberFormat="1">
      <alignment readingOrder="0" vertical="bottom"/>
    </xf>
    <xf borderId="0" fillId="0" fontId="15" numFmtId="0" xfId="0" applyAlignment="1" applyFont="1">
      <alignment horizontal="right" vertical="bottom"/>
    </xf>
    <xf borderId="0" fillId="0" fontId="18" numFmtId="0" xfId="0" applyAlignment="1" applyFont="1">
      <alignment horizontal="right" shrinkToFit="0" vertical="bottom" wrapText="1"/>
    </xf>
    <xf borderId="0" fillId="0" fontId="18" numFmtId="0" xfId="0" applyAlignment="1" applyFont="1">
      <alignment horizontal="right" shrinkToFit="0" vertical="bottom" wrapText="1"/>
    </xf>
    <xf borderId="0" fillId="0" fontId="15" numFmtId="0" xfId="0" applyAlignment="1" applyFont="1">
      <alignment horizontal="right" vertical="bottom"/>
    </xf>
    <xf borderId="0" fillId="0" fontId="18" numFmtId="0" xfId="0" applyAlignment="1" applyFont="1">
      <alignment vertical="top"/>
    </xf>
    <xf borderId="0" fillId="0" fontId="20" numFmtId="0" xfId="0" applyAlignment="1" applyFont="1">
      <alignment readingOrder="0" shrinkToFit="0" wrapText="1"/>
    </xf>
    <xf borderId="0" fillId="0" fontId="20" numFmtId="0" xfId="0" applyAlignment="1" applyFont="1">
      <alignment shrinkToFit="0" wrapText="1"/>
    </xf>
    <xf borderId="0" fillId="0" fontId="5" numFmtId="164" xfId="0" applyFont="1" applyNumberFormat="1"/>
    <xf borderId="0" fillId="0" fontId="5" numFmtId="9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  <xf borderId="0" fillId="0" fontId="5" numFmtId="10" xfId="0" applyFont="1" applyNumberFormat="1"/>
    <xf borderId="0" fillId="0" fontId="20" numFmtId="0" xfId="0" applyAlignment="1" applyFont="1">
      <alignment readingOrder="0"/>
    </xf>
    <xf borderId="0" fillId="0" fontId="20" numFmtId="164" xfId="0" applyAlignment="1" applyFont="1" applyNumberFormat="1">
      <alignment readingOrder="0"/>
    </xf>
    <xf borderId="0" fillId="0" fontId="20" numFmtId="0" xfId="0" applyFont="1"/>
    <xf borderId="0" fillId="0" fontId="5" numFmtId="10" xfId="0" applyAlignment="1" applyFont="1" applyNumberFormat="1">
      <alignment readingOrder="0"/>
    </xf>
    <xf borderId="1" fillId="0" fontId="15" numFmtId="0" xfId="0" applyAlignment="1" applyBorder="1" applyFont="1">
      <alignment vertical="bottom"/>
    </xf>
    <xf borderId="0" fillId="0" fontId="15" numFmtId="164" xfId="0" applyAlignment="1" applyFont="1" applyNumberFormat="1">
      <alignment vertical="bottom"/>
    </xf>
    <xf borderId="1" fillId="0" fontId="15" numFmtId="0" xfId="0" applyAlignment="1" applyBorder="1" applyFont="1">
      <alignment horizontal="right" vertical="bottom"/>
    </xf>
    <xf borderId="0" fillId="0" fontId="5" numFmtId="168" xfId="0" applyFont="1" applyNumberFormat="1"/>
    <xf borderId="0" fillId="0" fontId="15" numFmtId="168" xfId="0" applyAlignment="1" applyFont="1" applyNumberFormat="1">
      <alignment vertical="bottom"/>
    </xf>
    <xf borderId="1" fillId="2" fontId="15" numFmtId="0" xfId="0" applyAlignment="1" applyBorder="1" applyFont="1">
      <alignment vertical="bottom"/>
    </xf>
    <xf borderId="1" fillId="2" fontId="15" numFmtId="0" xfId="0" applyAlignment="1" applyBorder="1" applyFont="1">
      <alignment readingOrder="0" vertical="bottom"/>
    </xf>
    <xf borderId="1" fillId="0" fontId="19" numFmtId="0" xfId="0" applyAlignment="1" applyBorder="1" applyFont="1">
      <alignment vertical="bottom"/>
    </xf>
    <xf borderId="1" fillId="2" fontId="19" numFmtId="0" xfId="0" applyAlignment="1" applyBorder="1" applyFont="1">
      <alignment vertical="bottom"/>
    </xf>
    <xf borderId="1" fillId="0" fontId="15" numFmtId="0" xfId="0" applyAlignment="1" applyBorder="1" applyFont="1">
      <alignment readingOrder="0" vertical="bottom"/>
    </xf>
    <xf borderId="0" fillId="0" fontId="5" numFmtId="167" xfId="0" applyAlignment="1" applyFont="1" applyNumberFormat="1">
      <alignment readingOrder="0"/>
    </xf>
    <xf borderId="0" fillId="0" fontId="5" numFmtId="4" xfId="0" applyAlignment="1" applyFont="1" applyNumberForma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BF9000"/>
          <bgColor rgb="FFBF9000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b/>
        <color rgb="FFFFFFFF"/>
      </font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foodsetter.de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32.5"/>
    <col customWidth="1" min="2" max="2" width="14.5"/>
    <col customWidth="1" min="3" max="3" width="9.88"/>
    <col customWidth="1" min="4" max="4" width="10.0"/>
    <col customWidth="1" min="5" max="5" width="20.5"/>
    <col customWidth="1" min="6" max="7" width="1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4</v>
      </c>
      <c r="K1" s="2" t="s">
        <v>9</v>
      </c>
    </row>
    <row r="2" hidden="1">
      <c r="A2" s="3" t="s">
        <v>10</v>
      </c>
      <c r="B2" s="3" t="s">
        <v>11</v>
      </c>
      <c r="C2" s="3" t="s">
        <v>12</v>
      </c>
      <c r="D2" s="4">
        <f>SUMIFS(Rezepte!G:G,Rezepte!A:A,A2)</f>
        <v>2.961495246</v>
      </c>
      <c r="E2" s="5">
        <v>3.9</v>
      </c>
      <c r="F2" s="5">
        <v>0.07</v>
      </c>
      <c r="G2" s="4">
        <f t="shared" ref="G2:G270" si="1">D2*E2*(1+F2)</f>
        <v>12.35831966</v>
      </c>
      <c r="H2" s="6">
        <v>13.9</v>
      </c>
      <c r="I2" s="7">
        <v>13.9</v>
      </c>
      <c r="J2" s="8">
        <f t="shared" ref="J2:J137" si="2">I2/(D2+D2*F2)</f>
        <v>4.386518675</v>
      </c>
      <c r="K2" s="6">
        <f t="shared" ref="K2:K11" si="3">I2-H2</f>
        <v>0</v>
      </c>
    </row>
    <row r="3">
      <c r="A3" s="9" t="s">
        <v>13</v>
      </c>
      <c r="B3" s="9" t="s">
        <v>11</v>
      </c>
      <c r="C3" s="3" t="s">
        <v>14</v>
      </c>
      <c r="D3" s="4">
        <f>SUMIFS(Rezepte!G:G,Rezepte!A:A,A3)</f>
        <v>5.622903902</v>
      </c>
      <c r="E3" s="5">
        <v>3.9</v>
      </c>
      <c r="F3" s="5">
        <v>0.07</v>
      </c>
      <c r="G3" s="4">
        <f t="shared" si="1"/>
        <v>23.46437798</v>
      </c>
      <c r="H3" s="6">
        <v>20.9</v>
      </c>
      <c r="I3" s="7">
        <v>20.9</v>
      </c>
      <c r="J3" s="8">
        <f t="shared" si="2"/>
        <v>3.473776294</v>
      </c>
      <c r="K3" s="6">
        <f t="shared" si="3"/>
        <v>0</v>
      </c>
    </row>
    <row r="4">
      <c r="A4" s="9" t="s">
        <v>15</v>
      </c>
      <c r="B4" s="3" t="s">
        <v>16</v>
      </c>
      <c r="C4" s="9"/>
      <c r="D4" s="4">
        <f>SUMIFS(Rezepte!G:G,Rezepte!A:A,A4)</f>
        <v>16.19736</v>
      </c>
      <c r="E4" s="5">
        <v>3.9</v>
      </c>
      <c r="F4" s="5">
        <v>0.07</v>
      </c>
      <c r="G4" s="4">
        <f t="shared" si="1"/>
        <v>67.59158328</v>
      </c>
      <c r="H4" s="6"/>
      <c r="I4" s="7"/>
      <c r="J4" s="8">
        <f t="shared" si="2"/>
        <v>0</v>
      </c>
      <c r="K4" s="6">
        <f t="shared" si="3"/>
        <v>0</v>
      </c>
    </row>
    <row r="5">
      <c r="A5" s="9" t="s">
        <v>17</v>
      </c>
      <c r="B5" s="9" t="s">
        <v>11</v>
      </c>
      <c r="C5" s="3" t="s">
        <v>14</v>
      </c>
      <c r="D5" s="4">
        <f>SUMIFS(Rezepte!G:G,Rezepte!A:A,A5)</f>
        <v>4.012503902</v>
      </c>
      <c r="E5" s="5">
        <v>3.9</v>
      </c>
      <c r="F5" s="5">
        <v>0.07</v>
      </c>
      <c r="G5" s="4">
        <f t="shared" si="1"/>
        <v>16.74417878</v>
      </c>
      <c r="H5" s="6">
        <v>16.5</v>
      </c>
      <c r="I5" s="7">
        <v>16.5</v>
      </c>
      <c r="J5" s="8">
        <f t="shared" si="2"/>
        <v>3.843126667</v>
      </c>
      <c r="K5" s="6">
        <f t="shared" si="3"/>
        <v>0</v>
      </c>
    </row>
    <row r="6" hidden="1">
      <c r="A6" s="9" t="s">
        <v>18</v>
      </c>
      <c r="B6" s="9" t="s">
        <v>11</v>
      </c>
      <c r="C6" s="3" t="s">
        <v>12</v>
      </c>
      <c r="D6" s="4">
        <f>SUMIFS(Rezepte!G:G,Rezepte!A:A,A6)</f>
        <v>2.722288013</v>
      </c>
      <c r="E6" s="5">
        <v>3.9</v>
      </c>
      <c r="F6" s="5">
        <v>0.07</v>
      </c>
      <c r="G6" s="4">
        <f t="shared" si="1"/>
        <v>11.36010788</v>
      </c>
      <c r="H6" s="6"/>
      <c r="I6" s="7"/>
      <c r="J6" s="8">
        <f t="shared" si="2"/>
        <v>0</v>
      </c>
      <c r="K6" s="6">
        <f t="shared" si="3"/>
        <v>0</v>
      </c>
    </row>
    <row r="7">
      <c r="A7" s="9" t="s">
        <v>19</v>
      </c>
      <c r="B7" s="9" t="s">
        <v>16</v>
      </c>
      <c r="C7" s="9"/>
      <c r="D7" s="4">
        <f>SUMIFS(Rezepte!G:G,Rezepte!A:A,A7)</f>
        <v>7.797212</v>
      </c>
      <c r="E7" s="5">
        <v>3.9</v>
      </c>
      <c r="F7" s="5">
        <v>0.07</v>
      </c>
      <c r="G7" s="4">
        <f t="shared" si="1"/>
        <v>32.53776568</v>
      </c>
      <c r="H7" s="6"/>
      <c r="I7" s="7"/>
      <c r="J7" s="8">
        <f t="shared" si="2"/>
        <v>0</v>
      </c>
      <c r="K7" s="6">
        <f t="shared" si="3"/>
        <v>0</v>
      </c>
    </row>
    <row r="8">
      <c r="A8" s="9" t="s">
        <v>20</v>
      </c>
      <c r="B8" s="9" t="s">
        <v>16</v>
      </c>
      <c r="C8" s="9"/>
      <c r="D8" s="4">
        <f>SUMIFS(Rezepte!G:G,Rezepte!A:A,A8)</f>
        <v>44.73451143</v>
      </c>
      <c r="E8" s="5">
        <v>3.9</v>
      </c>
      <c r="F8" s="5">
        <v>0.07</v>
      </c>
      <c r="G8" s="4">
        <f t="shared" si="1"/>
        <v>186.6771162</v>
      </c>
      <c r="H8" s="6"/>
      <c r="I8" s="7"/>
      <c r="J8" s="8">
        <f t="shared" si="2"/>
        <v>0</v>
      </c>
      <c r="K8" s="6">
        <f t="shared" si="3"/>
        <v>0</v>
      </c>
    </row>
    <row r="9" hidden="1">
      <c r="A9" s="9" t="s">
        <v>21</v>
      </c>
      <c r="B9" s="9" t="s">
        <v>11</v>
      </c>
      <c r="C9" s="3" t="s">
        <v>12</v>
      </c>
      <c r="D9" s="4">
        <f>SUMIFS(Rezepte!G:G,Rezepte!A:A,A9)</f>
        <v>2.744100437</v>
      </c>
      <c r="E9" s="5">
        <v>3.9</v>
      </c>
      <c r="F9" s="5">
        <v>0.07</v>
      </c>
      <c r="G9" s="4">
        <f t="shared" si="1"/>
        <v>11.45113113</v>
      </c>
      <c r="H9" s="6">
        <v>13.9</v>
      </c>
      <c r="I9" s="7">
        <v>13.9</v>
      </c>
      <c r="J9" s="8">
        <f t="shared" si="2"/>
        <v>4.73403015</v>
      </c>
      <c r="K9" s="6">
        <f t="shared" si="3"/>
        <v>0</v>
      </c>
    </row>
    <row r="10">
      <c r="A10" s="9" t="s">
        <v>22</v>
      </c>
      <c r="B10" s="9" t="s">
        <v>16</v>
      </c>
      <c r="C10" s="9"/>
      <c r="D10" s="4">
        <f>SUMIFS(Rezepte!G:G,Rezepte!A:A,A10)</f>
        <v>15.19644</v>
      </c>
      <c r="E10" s="5">
        <v>3.9</v>
      </c>
      <c r="F10" s="5">
        <v>0.07</v>
      </c>
      <c r="G10" s="4">
        <f t="shared" si="1"/>
        <v>63.41474412</v>
      </c>
      <c r="H10" s="6"/>
      <c r="I10" s="7"/>
      <c r="J10" s="8">
        <f t="shared" si="2"/>
        <v>0</v>
      </c>
      <c r="K10" s="6">
        <f t="shared" si="3"/>
        <v>0</v>
      </c>
    </row>
    <row r="11" hidden="1">
      <c r="A11" s="9" t="s">
        <v>23</v>
      </c>
      <c r="B11" s="9" t="s">
        <v>11</v>
      </c>
      <c r="C11" s="3" t="s">
        <v>12</v>
      </c>
      <c r="D11" s="4">
        <f>SUMIFS(Rezepte!G:G,Rezepte!A:A,A11)</f>
        <v>1.011927778</v>
      </c>
      <c r="E11" s="5">
        <v>3.9</v>
      </c>
      <c r="F11" s="5">
        <v>0.07</v>
      </c>
      <c r="G11" s="4">
        <f t="shared" si="1"/>
        <v>4.222774617</v>
      </c>
      <c r="H11" s="6"/>
      <c r="I11" s="7"/>
      <c r="J11" s="8">
        <f t="shared" si="2"/>
        <v>0</v>
      </c>
      <c r="K11" s="6">
        <f t="shared" si="3"/>
        <v>0</v>
      </c>
    </row>
    <row r="12">
      <c r="A12" s="3" t="s">
        <v>24</v>
      </c>
      <c r="B12" s="3" t="s">
        <v>16</v>
      </c>
      <c r="C12" s="3" t="s">
        <v>14</v>
      </c>
      <c r="D12" s="4">
        <f>SUMIFS(Rezepte!G:G,Rezepte!A:A,A12)</f>
        <v>2.967835966</v>
      </c>
      <c r="E12" s="5">
        <v>3.9</v>
      </c>
      <c r="F12" s="5">
        <v>0.07</v>
      </c>
      <c r="G12" s="4">
        <f t="shared" si="1"/>
        <v>12.38477949</v>
      </c>
      <c r="H12" s="6">
        <v>5.5</v>
      </c>
      <c r="I12" s="7">
        <v>5.5</v>
      </c>
      <c r="J12" s="8">
        <f t="shared" si="2"/>
        <v>1.731964628</v>
      </c>
      <c r="K12" s="6"/>
    </row>
    <row r="13">
      <c r="A13" s="9" t="s">
        <v>25</v>
      </c>
      <c r="B13" s="9" t="s">
        <v>16</v>
      </c>
      <c r="C13" s="9"/>
      <c r="D13" s="4">
        <f>SUMIFS(Rezepte!G:G,Rezepte!A:A,A13)</f>
        <v>158.7000582</v>
      </c>
      <c r="E13" s="5">
        <v>3.9</v>
      </c>
      <c r="F13" s="5">
        <v>0.07</v>
      </c>
      <c r="G13" s="4">
        <f t="shared" si="1"/>
        <v>662.255343</v>
      </c>
      <c r="H13" s="6"/>
      <c r="I13" s="7"/>
      <c r="J13" s="8">
        <f t="shared" si="2"/>
        <v>0</v>
      </c>
      <c r="K13" s="6">
        <f t="shared" ref="K13:K51" si="4">I13-H13</f>
        <v>0</v>
      </c>
    </row>
    <row r="14">
      <c r="A14" s="9" t="s">
        <v>26</v>
      </c>
      <c r="B14" s="9" t="s">
        <v>16</v>
      </c>
      <c r="C14" s="9"/>
      <c r="D14" s="4">
        <f>SUMIFS(Rezepte!G:G,Rezepte!A:A,A14)</f>
        <v>186.5313742</v>
      </c>
      <c r="E14" s="5">
        <v>3.9</v>
      </c>
      <c r="F14" s="5">
        <v>0.07</v>
      </c>
      <c r="G14" s="4">
        <f t="shared" si="1"/>
        <v>778.3954245</v>
      </c>
      <c r="H14" s="6"/>
      <c r="I14" s="7"/>
      <c r="J14" s="8">
        <f t="shared" si="2"/>
        <v>0</v>
      </c>
      <c r="K14" s="6">
        <f t="shared" si="4"/>
        <v>0</v>
      </c>
    </row>
    <row r="15">
      <c r="A15" s="9" t="s">
        <v>27</v>
      </c>
      <c r="B15" s="9" t="s">
        <v>11</v>
      </c>
      <c r="C15" s="3" t="s">
        <v>14</v>
      </c>
      <c r="D15" s="4">
        <f>SUMIFS(Rezepte!G:G,Rezepte!A:A,A15)</f>
        <v>1.9433</v>
      </c>
      <c r="E15" s="5">
        <v>3.9</v>
      </c>
      <c r="F15" s="5">
        <v>0.07</v>
      </c>
      <c r="G15" s="4">
        <f t="shared" si="1"/>
        <v>8.1093909</v>
      </c>
      <c r="H15" s="6">
        <v>7.5</v>
      </c>
      <c r="I15" s="7">
        <v>7.5</v>
      </c>
      <c r="J15" s="8">
        <f t="shared" si="2"/>
        <v>3.606929344</v>
      </c>
      <c r="K15" s="6">
        <f t="shared" si="4"/>
        <v>0</v>
      </c>
    </row>
    <row r="16">
      <c r="A16" s="9" t="s">
        <v>28</v>
      </c>
      <c r="B16" s="9" t="s">
        <v>11</v>
      </c>
      <c r="C16" s="3" t="s">
        <v>14</v>
      </c>
      <c r="D16" s="4">
        <f>SUMIFS(Rezepte!G:G,Rezepte!A:A,A16)</f>
        <v>3.118693852</v>
      </c>
      <c r="E16" s="5">
        <v>3.9</v>
      </c>
      <c r="F16" s="5">
        <v>0.07</v>
      </c>
      <c r="G16" s="4">
        <f t="shared" si="1"/>
        <v>13.01430944</v>
      </c>
      <c r="H16" s="6">
        <v>12.5</v>
      </c>
      <c r="I16" s="7">
        <v>12.5</v>
      </c>
      <c r="J16" s="8">
        <f t="shared" si="2"/>
        <v>3.745876814</v>
      </c>
      <c r="K16" s="6">
        <f t="shared" si="4"/>
        <v>0</v>
      </c>
    </row>
    <row r="17">
      <c r="A17" s="9" t="s">
        <v>29</v>
      </c>
      <c r="B17" s="9" t="s">
        <v>11</v>
      </c>
      <c r="C17" s="3" t="s">
        <v>14</v>
      </c>
      <c r="D17" s="4">
        <f>SUMIFS(Rezepte!G:G,Rezepte!A:A,A17)</f>
        <v>0.0399</v>
      </c>
      <c r="E17" s="5">
        <v>3.9</v>
      </c>
      <c r="F17" s="5">
        <v>0.07</v>
      </c>
      <c r="G17" s="4">
        <f t="shared" si="1"/>
        <v>0.1665027</v>
      </c>
      <c r="H17" s="6">
        <v>1.0</v>
      </c>
      <c r="I17" s="7">
        <v>1.0</v>
      </c>
      <c r="J17" s="8">
        <f t="shared" si="2"/>
        <v>23.42304359</v>
      </c>
      <c r="K17" s="6">
        <f t="shared" si="4"/>
        <v>0</v>
      </c>
    </row>
    <row r="18">
      <c r="A18" s="9" t="s">
        <v>30</v>
      </c>
      <c r="B18" s="9" t="s">
        <v>16</v>
      </c>
      <c r="C18" s="9"/>
      <c r="D18" s="4">
        <f>SUMIFS(Rezepte!G:G,Rezepte!A:A,A18)</f>
        <v>120.7944143</v>
      </c>
      <c r="E18" s="5">
        <v>3.9</v>
      </c>
      <c r="F18" s="5">
        <v>0.07</v>
      </c>
      <c r="G18" s="4">
        <f t="shared" si="1"/>
        <v>504.0750907</v>
      </c>
      <c r="H18" s="6"/>
      <c r="I18" s="7"/>
      <c r="J18" s="8">
        <f t="shared" si="2"/>
        <v>0</v>
      </c>
      <c r="K18" s="6">
        <f t="shared" si="4"/>
        <v>0</v>
      </c>
    </row>
    <row r="19">
      <c r="A19" s="9" t="s">
        <v>31</v>
      </c>
      <c r="B19" s="9" t="s">
        <v>16</v>
      </c>
      <c r="C19" s="9"/>
      <c r="D19" s="4">
        <f>SUMIFS(Rezepte!G:G,Rezepte!A:A,A19)</f>
        <v>3.22</v>
      </c>
      <c r="E19" s="5">
        <v>3.9</v>
      </c>
      <c r="F19" s="5">
        <v>0.07</v>
      </c>
      <c r="G19" s="4">
        <f t="shared" si="1"/>
        <v>13.43706</v>
      </c>
      <c r="H19" s="6"/>
      <c r="I19" s="7"/>
      <c r="J19" s="8">
        <f t="shared" si="2"/>
        <v>0</v>
      </c>
      <c r="K19" s="6">
        <f t="shared" si="4"/>
        <v>0</v>
      </c>
    </row>
    <row r="20">
      <c r="A20" s="9" t="s">
        <v>32</v>
      </c>
      <c r="B20" s="9" t="s">
        <v>16</v>
      </c>
      <c r="C20" s="9"/>
      <c r="D20" s="4">
        <f>SUMIFS(Rezepte!G:G,Rezepte!A:A,A20)</f>
        <v>7.225</v>
      </c>
      <c r="E20" s="5">
        <v>3.9</v>
      </c>
      <c r="F20" s="5">
        <v>0.07</v>
      </c>
      <c r="G20" s="4">
        <f t="shared" si="1"/>
        <v>30.149925</v>
      </c>
      <c r="H20" s="6"/>
      <c r="I20" s="7"/>
      <c r="J20" s="8">
        <f t="shared" si="2"/>
        <v>0</v>
      </c>
      <c r="K20" s="6">
        <f t="shared" si="4"/>
        <v>0</v>
      </c>
    </row>
    <row r="21">
      <c r="A21" s="9" t="s">
        <v>33</v>
      </c>
      <c r="B21" s="9" t="s">
        <v>11</v>
      </c>
      <c r="C21" s="3" t="s">
        <v>14</v>
      </c>
      <c r="D21" s="4">
        <f>SUMIFS(Rezepte!G:G,Rezepte!A:A,A21)</f>
        <v>0.0509</v>
      </c>
      <c r="E21" s="5">
        <v>3.9</v>
      </c>
      <c r="F21" s="5">
        <v>0.07</v>
      </c>
      <c r="G21" s="4">
        <f t="shared" si="1"/>
        <v>0.2124057</v>
      </c>
      <c r="H21" s="6">
        <v>1.0</v>
      </c>
      <c r="I21" s="7">
        <v>1.0</v>
      </c>
      <c r="J21" s="8">
        <f t="shared" si="2"/>
        <v>18.36108918</v>
      </c>
      <c r="K21" s="6">
        <f t="shared" si="4"/>
        <v>0</v>
      </c>
    </row>
    <row r="22">
      <c r="A22" s="9" t="s">
        <v>34</v>
      </c>
      <c r="B22" s="9" t="s">
        <v>16</v>
      </c>
      <c r="C22" s="9"/>
      <c r="D22" s="4">
        <f>SUMIFS(Rezepte!G:G,Rezepte!A:A,A22)</f>
        <v>29.2239</v>
      </c>
      <c r="E22" s="5">
        <v>3.9</v>
      </c>
      <c r="F22" s="5">
        <v>0.07</v>
      </c>
      <c r="G22" s="4">
        <f t="shared" si="1"/>
        <v>121.9513347</v>
      </c>
      <c r="H22" s="6"/>
      <c r="I22" s="7"/>
      <c r="J22" s="8">
        <f t="shared" si="2"/>
        <v>0</v>
      </c>
      <c r="K22" s="6">
        <f t="shared" si="4"/>
        <v>0</v>
      </c>
    </row>
    <row r="23" hidden="1">
      <c r="A23" s="9" t="s">
        <v>35</v>
      </c>
      <c r="B23" s="9" t="s">
        <v>11</v>
      </c>
      <c r="C23" s="3" t="s">
        <v>12</v>
      </c>
      <c r="D23" s="4">
        <f>SUMIFS(Rezepte!G:G,Rezepte!A:A,A23)</f>
        <v>4.798601114</v>
      </c>
      <c r="E23" s="5">
        <v>3.9</v>
      </c>
      <c r="F23" s="5">
        <v>0.07</v>
      </c>
      <c r="G23" s="4">
        <f t="shared" si="1"/>
        <v>20.02456245</v>
      </c>
      <c r="H23" s="6">
        <v>19.5</v>
      </c>
      <c r="I23" s="7">
        <v>19.5</v>
      </c>
      <c r="J23" s="8">
        <f t="shared" si="2"/>
        <v>3.797835793</v>
      </c>
      <c r="K23" s="6">
        <f t="shared" si="4"/>
        <v>0</v>
      </c>
    </row>
    <row r="24">
      <c r="A24" s="9" t="s">
        <v>36</v>
      </c>
      <c r="B24" s="9" t="s">
        <v>11</v>
      </c>
      <c r="C24" s="3" t="s">
        <v>14</v>
      </c>
      <c r="D24" s="4">
        <f>SUMIFS(Rezepte!G:G,Rezepte!A:A,A24)</f>
        <v>4.549435388</v>
      </c>
      <c r="E24" s="5">
        <v>3.9</v>
      </c>
      <c r="F24" s="5">
        <v>0.07</v>
      </c>
      <c r="G24" s="4">
        <f t="shared" si="1"/>
        <v>18.98479387</v>
      </c>
      <c r="H24" s="6">
        <v>16.9</v>
      </c>
      <c r="I24" s="7">
        <v>16.9</v>
      </c>
      <c r="J24" s="8">
        <f t="shared" si="2"/>
        <v>3.471725868</v>
      </c>
      <c r="K24" s="6">
        <f t="shared" si="4"/>
        <v>0</v>
      </c>
    </row>
    <row r="25">
      <c r="A25" s="9" t="s">
        <v>37</v>
      </c>
      <c r="B25" s="9" t="s">
        <v>11</v>
      </c>
      <c r="C25" s="3" t="s">
        <v>14</v>
      </c>
      <c r="D25" s="4">
        <f>SUMIFS(Rezepte!G:G,Rezepte!A:A,A25)</f>
        <v>1.572842857</v>
      </c>
      <c r="E25" s="5">
        <v>3.9</v>
      </c>
      <c r="F25" s="5">
        <v>0.07</v>
      </c>
      <c r="G25" s="4">
        <f t="shared" si="1"/>
        <v>6.563473243</v>
      </c>
      <c r="H25" s="6">
        <v>5.5</v>
      </c>
      <c r="I25" s="7">
        <v>5.5</v>
      </c>
      <c r="J25" s="8">
        <f t="shared" si="2"/>
        <v>3.268086759</v>
      </c>
      <c r="K25" s="6">
        <f t="shared" si="4"/>
        <v>0</v>
      </c>
    </row>
    <row r="26">
      <c r="A26" s="9" t="s">
        <v>38</v>
      </c>
      <c r="B26" s="9" t="s">
        <v>16</v>
      </c>
      <c r="C26" s="9"/>
      <c r="D26" s="4">
        <f>SUMIFS(Rezepte!G:G,Rezepte!A:A,A26)</f>
        <v>8.94952</v>
      </c>
      <c r="E26" s="5">
        <v>3.9</v>
      </c>
      <c r="F26" s="5">
        <v>0.07</v>
      </c>
      <c r="G26" s="4">
        <f t="shared" si="1"/>
        <v>37.34634696</v>
      </c>
      <c r="H26" s="6"/>
      <c r="I26" s="7"/>
      <c r="J26" s="8">
        <f t="shared" si="2"/>
        <v>0</v>
      </c>
      <c r="K26" s="6">
        <f t="shared" si="4"/>
        <v>0</v>
      </c>
    </row>
    <row r="27">
      <c r="A27" s="9" t="s">
        <v>39</v>
      </c>
      <c r="B27" s="9" t="s">
        <v>16</v>
      </c>
      <c r="C27" s="9"/>
      <c r="D27" s="4">
        <f>SUMIFS(Rezepte!G:G,Rezepte!A:A,A27)</f>
        <v>22.36698963</v>
      </c>
      <c r="E27" s="5">
        <v>3.9</v>
      </c>
      <c r="F27" s="5">
        <v>0.07</v>
      </c>
      <c r="G27" s="4">
        <f t="shared" si="1"/>
        <v>93.33744772</v>
      </c>
      <c r="H27" s="6"/>
      <c r="I27" s="7"/>
      <c r="J27" s="8">
        <f t="shared" si="2"/>
        <v>0</v>
      </c>
      <c r="K27" s="6">
        <f t="shared" si="4"/>
        <v>0</v>
      </c>
    </row>
    <row r="28">
      <c r="A28" s="9" t="s">
        <v>40</v>
      </c>
      <c r="B28" s="9" t="s">
        <v>11</v>
      </c>
      <c r="C28" s="3" t="s">
        <v>14</v>
      </c>
      <c r="D28" s="4">
        <f>SUMIFS(Rezepte!G:G,Rezepte!A:A,A28)</f>
        <v>0.9351872648</v>
      </c>
      <c r="E28" s="5">
        <v>3.9</v>
      </c>
      <c r="F28" s="5">
        <v>0.07</v>
      </c>
      <c r="G28" s="4">
        <f t="shared" si="1"/>
        <v>3.902536456</v>
      </c>
      <c r="H28" s="6">
        <v>4.5</v>
      </c>
      <c r="I28" s="7">
        <v>4.5</v>
      </c>
      <c r="J28" s="8">
        <f t="shared" si="2"/>
        <v>4.497075222</v>
      </c>
      <c r="K28" s="6">
        <f t="shared" si="4"/>
        <v>0</v>
      </c>
    </row>
    <row r="29">
      <c r="A29" s="9" t="s">
        <v>41</v>
      </c>
      <c r="B29" s="9" t="s">
        <v>16</v>
      </c>
      <c r="C29" s="9"/>
      <c r="D29" s="4">
        <f>SUMIFS(Rezepte!G:G,Rezepte!A:A,A29)</f>
        <v>37.37182</v>
      </c>
      <c r="E29" s="5">
        <v>3.9</v>
      </c>
      <c r="F29" s="5">
        <v>0.07</v>
      </c>
      <c r="G29" s="4">
        <f t="shared" si="1"/>
        <v>155.9526049</v>
      </c>
      <c r="H29" s="6"/>
      <c r="I29" s="7"/>
      <c r="J29" s="8">
        <f t="shared" si="2"/>
        <v>0</v>
      </c>
      <c r="K29" s="6">
        <f t="shared" si="4"/>
        <v>0</v>
      </c>
    </row>
    <row r="30">
      <c r="A30" s="9" t="s">
        <v>42</v>
      </c>
      <c r="B30" s="9" t="s">
        <v>11</v>
      </c>
      <c r="C30" s="3" t="s">
        <v>14</v>
      </c>
      <c r="D30" s="4">
        <f>SUMIFS(Rezepte!G:G,Rezepte!A:A,A30)</f>
        <v>1.313987265</v>
      </c>
      <c r="E30" s="5">
        <v>3.9</v>
      </c>
      <c r="F30" s="5">
        <v>0.07</v>
      </c>
      <c r="G30" s="4">
        <f t="shared" si="1"/>
        <v>5.483268856</v>
      </c>
      <c r="H30" s="6">
        <v>6.9</v>
      </c>
      <c r="I30" s="7">
        <v>6.9</v>
      </c>
      <c r="J30" s="8">
        <f t="shared" si="2"/>
        <v>4.907656492</v>
      </c>
      <c r="K30" s="6">
        <f t="shared" si="4"/>
        <v>0</v>
      </c>
    </row>
    <row r="31">
      <c r="A31" s="9" t="s">
        <v>43</v>
      </c>
      <c r="B31" s="3" t="s">
        <v>44</v>
      </c>
      <c r="C31" s="9"/>
      <c r="D31" s="4">
        <f>SUMIFS(Rezepte!G:G,Rezepte!A:A,A31)</f>
        <v>0.57076</v>
      </c>
      <c r="E31" s="5">
        <v>3.9</v>
      </c>
      <c r="F31" s="5">
        <v>0.07</v>
      </c>
      <c r="G31" s="4">
        <f t="shared" si="1"/>
        <v>2.38178148</v>
      </c>
      <c r="H31" s="6">
        <v>2.9</v>
      </c>
      <c r="I31" s="7">
        <v>2.9</v>
      </c>
      <c r="J31" s="8">
        <f t="shared" si="2"/>
        <v>4.748546454</v>
      </c>
      <c r="K31" s="6">
        <f t="shared" si="4"/>
        <v>0</v>
      </c>
    </row>
    <row r="32">
      <c r="A32" s="9" t="s">
        <v>45</v>
      </c>
      <c r="B32" s="9" t="s">
        <v>16</v>
      </c>
      <c r="C32" s="9"/>
      <c r="D32" s="4">
        <f>SUMIFS(Rezepte!G:G,Rezepte!A:A,A32)</f>
        <v>11.34417333</v>
      </c>
      <c r="E32" s="5">
        <v>3.9</v>
      </c>
      <c r="F32" s="5">
        <v>0.07</v>
      </c>
      <c r="G32" s="4">
        <f t="shared" si="1"/>
        <v>47.33923532</v>
      </c>
      <c r="H32" s="6"/>
      <c r="I32" s="7"/>
      <c r="J32" s="8">
        <f t="shared" si="2"/>
        <v>0</v>
      </c>
      <c r="K32" s="6">
        <f t="shared" si="4"/>
        <v>0</v>
      </c>
    </row>
    <row r="33">
      <c r="A33" s="9" t="s">
        <v>46</v>
      </c>
      <c r="B33" s="9" t="s">
        <v>11</v>
      </c>
      <c r="C33" s="3" t="s">
        <v>14</v>
      </c>
      <c r="D33" s="4">
        <f>SUMIFS(Rezepte!G:G,Rezepte!A:A,A33)</f>
        <v>2.58563409</v>
      </c>
      <c r="E33" s="5">
        <v>3.9</v>
      </c>
      <c r="F33" s="5">
        <v>0.07</v>
      </c>
      <c r="G33" s="4">
        <f t="shared" si="1"/>
        <v>10.78985106</v>
      </c>
      <c r="H33" s="6">
        <v>11.5</v>
      </c>
      <c r="I33" s="7">
        <v>11.5</v>
      </c>
      <c r="J33" s="8">
        <f t="shared" si="2"/>
        <v>4.156683884</v>
      </c>
      <c r="K33" s="6">
        <f t="shared" si="4"/>
        <v>0</v>
      </c>
    </row>
    <row r="34">
      <c r="A34" s="9" t="s">
        <v>47</v>
      </c>
      <c r="B34" s="9" t="s">
        <v>16</v>
      </c>
      <c r="C34" s="9"/>
      <c r="D34" s="4">
        <f>SUMIFS(Rezepte!G:G,Rezepte!A:A,A34)</f>
        <v>53.56116761</v>
      </c>
      <c r="E34" s="5">
        <v>3.9</v>
      </c>
      <c r="F34" s="5">
        <v>0.07</v>
      </c>
      <c r="G34" s="4">
        <f t="shared" si="1"/>
        <v>223.5107524</v>
      </c>
      <c r="H34" s="6"/>
      <c r="I34" s="7"/>
      <c r="J34" s="8">
        <f t="shared" si="2"/>
        <v>0</v>
      </c>
      <c r="K34" s="6">
        <f t="shared" si="4"/>
        <v>0</v>
      </c>
    </row>
    <row r="35" hidden="1">
      <c r="A35" s="9" t="s">
        <v>48</v>
      </c>
      <c r="B35" s="9" t="s">
        <v>11</v>
      </c>
      <c r="C35" s="3" t="s">
        <v>12</v>
      </c>
      <c r="D35" s="4">
        <f>SUMIFS(Rezepte!G:G,Rezepte!A:A,A35)</f>
        <v>4.319957216</v>
      </c>
      <c r="E35" s="5">
        <v>3.9</v>
      </c>
      <c r="F35" s="5">
        <v>0.07</v>
      </c>
      <c r="G35" s="4">
        <f t="shared" si="1"/>
        <v>18.02718146</v>
      </c>
      <c r="H35" s="6">
        <v>16.9</v>
      </c>
      <c r="I35" s="7">
        <v>16.9</v>
      </c>
      <c r="J35" s="8">
        <f t="shared" si="2"/>
        <v>3.65614559</v>
      </c>
      <c r="K35" s="6">
        <f t="shared" si="4"/>
        <v>0</v>
      </c>
    </row>
    <row r="36">
      <c r="A36" s="9" t="s">
        <v>49</v>
      </c>
      <c r="B36" s="9" t="s">
        <v>11</v>
      </c>
      <c r="C36" s="3" t="s">
        <v>14</v>
      </c>
      <c r="D36" s="4">
        <f>SUMIFS(Rezepte!G:G,Rezepte!A:A,A36)</f>
        <v>2.65737146</v>
      </c>
      <c r="E36" s="5">
        <v>3.9</v>
      </c>
      <c r="F36" s="5">
        <v>0.07</v>
      </c>
      <c r="G36" s="4">
        <f t="shared" si="1"/>
        <v>11.0892111</v>
      </c>
      <c r="H36" s="6">
        <v>10.9</v>
      </c>
      <c r="I36" s="7">
        <v>10.9</v>
      </c>
      <c r="J36" s="8">
        <f t="shared" si="2"/>
        <v>3.833455744</v>
      </c>
      <c r="K36" s="6">
        <f t="shared" si="4"/>
        <v>0</v>
      </c>
    </row>
    <row r="37">
      <c r="A37" s="9" t="s">
        <v>50</v>
      </c>
      <c r="B37" s="9" t="s">
        <v>16</v>
      </c>
      <c r="C37" s="9"/>
      <c r="D37" s="4">
        <f>SUMIFS(Rezepte!G:G,Rezepte!A:A,A37)</f>
        <v>12.66472424</v>
      </c>
      <c r="E37" s="5">
        <v>3.9</v>
      </c>
      <c r="F37" s="5">
        <v>0.07</v>
      </c>
      <c r="G37" s="4">
        <f t="shared" si="1"/>
        <v>52.84989427</v>
      </c>
      <c r="H37" s="6"/>
      <c r="I37" s="7"/>
      <c r="J37" s="8">
        <f t="shared" si="2"/>
        <v>0</v>
      </c>
      <c r="K37" s="6">
        <f t="shared" si="4"/>
        <v>0</v>
      </c>
    </row>
    <row r="38">
      <c r="A38" s="9" t="s">
        <v>51</v>
      </c>
      <c r="B38" s="9" t="s">
        <v>16</v>
      </c>
      <c r="C38" s="9"/>
      <c r="D38" s="4">
        <f>SUMIFS(Rezepte!G:G,Rezepte!A:A,A38)</f>
        <v>9.55408</v>
      </c>
      <c r="E38" s="5">
        <v>3.9</v>
      </c>
      <c r="F38" s="5">
        <v>0.07</v>
      </c>
      <c r="G38" s="4">
        <f t="shared" si="1"/>
        <v>39.86917584</v>
      </c>
      <c r="H38" s="6"/>
      <c r="I38" s="7"/>
      <c r="J38" s="8">
        <f t="shared" si="2"/>
        <v>0</v>
      </c>
      <c r="K38" s="6">
        <f t="shared" si="4"/>
        <v>0</v>
      </c>
    </row>
    <row r="39" hidden="1">
      <c r="A39" s="9" t="s">
        <v>52</v>
      </c>
      <c r="B39" s="9" t="s">
        <v>11</v>
      </c>
      <c r="C39" s="3" t="s">
        <v>12</v>
      </c>
      <c r="D39" s="4">
        <f>SUMIFS(Rezepte!G:G,Rezepte!A:A,A39)</f>
        <v>3.60995056</v>
      </c>
      <c r="E39" s="5">
        <v>3.9</v>
      </c>
      <c r="F39" s="5">
        <v>0.07</v>
      </c>
      <c r="G39" s="4">
        <f t="shared" si="1"/>
        <v>15.06432369</v>
      </c>
      <c r="H39" s="6"/>
      <c r="I39" s="7"/>
      <c r="J39" s="8">
        <f t="shared" si="2"/>
        <v>0</v>
      </c>
      <c r="K39" s="6">
        <f t="shared" si="4"/>
        <v>0</v>
      </c>
    </row>
    <row r="40" hidden="1">
      <c r="A40" s="9" t="s">
        <v>53</v>
      </c>
      <c r="B40" s="9" t="s">
        <v>11</v>
      </c>
      <c r="C40" s="3" t="s">
        <v>12</v>
      </c>
      <c r="D40" s="4">
        <f>SUMIFS(Rezepte!G:G,Rezepte!A:A,A40)</f>
        <v>2.480393703</v>
      </c>
      <c r="E40" s="5">
        <v>3.9</v>
      </c>
      <c r="F40" s="5">
        <v>0.07</v>
      </c>
      <c r="G40" s="4">
        <f t="shared" si="1"/>
        <v>10.35068292</v>
      </c>
      <c r="H40" s="6">
        <v>11.9</v>
      </c>
      <c r="I40" s="7">
        <v>11.9</v>
      </c>
      <c r="J40" s="8">
        <f t="shared" si="2"/>
        <v>4.48376212</v>
      </c>
      <c r="K40" s="6">
        <f t="shared" si="4"/>
        <v>0</v>
      </c>
    </row>
    <row r="41">
      <c r="A41" s="9" t="s">
        <v>54</v>
      </c>
      <c r="B41" s="9" t="s">
        <v>16</v>
      </c>
      <c r="C41" s="9"/>
      <c r="D41" s="4">
        <f>SUMIFS(Rezepte!G:G,Rezepte!A:A,A41)</f>
        <v>2.972</v>
      </c>
      <c r="E41" s="5">
        <v>3.9</v>
      </c>
      <c r="F41" s="5">
        <v>0.07</v>
      </c>
      <c r="G41" s="4">
        <f t="shared" si="1"/>
        <v>12.402156</v>
      </c>
      <c r="H41" s="6"/>
      <c r="I41" s="7"/>
      <c r="J41" s="8">
        <f t="shared" si="2"/>
        <v>0</v>
      </c>
      <c r="K41" s="6">
        <f t="shared" si="4"/>
        <v>0</v>
      </c>
    </row>
    <row r="42">
      <c r="A42" s="9" t="s">
        <v>55</v>
      </c>
      <c r="B42" s="9" t="s">
        <v>16</v>
      </c>
      <c r="C42" s="9"/>
      <c r="D42" s="4">
        <f>SUMIFS(Rezepte!G:G,Rezepte!A:A,A42)</f>
        <v>31.69355294</v>
      </c>
      <c r="E42" s="5">
        <v>3.9</v>
      </c>
      <c r="F42" s="5">
        <v>0.07</v>
      </c>
      <c r="G42" s="4">
        <f t="shared" si="1"/>
        <v>132.2571964</v>
      </c>
      <c r="H42" s="6"/>
      <c r="I42" s="7"/>
      <c r="J42" s="8">
        <f t="shared" si="2"/>
        <v>0</v>
      </c>
      <c r="K42" s="6">
        <f t="shared" si="4"/>
        <v>0</v>
      </c>
    </row>
    <row r="43" hidden="1">
      <c r="A43" s="9" t="s">
        <v>56</v>
      </c>
      <c r="B43" s="9" t="s">
        <v>11</v>
      </c>
      <c r="C43" s="3" t="s">
        <v>12</v>
      </c>
      <c r="D43" s="4">
        <f>SUMIFS(Rezepte!G:G,Rezepte!A:A,A43)</f>
        <v>1.149937728</v>
      </c>
      <c r="E43" s="5">
        <v>3.9</v>
      </c>
      <c r="F43" s="5">
        <v>0.07</v>
      </c>
      <c r="G43" s="4">
        <f t="shared" si="1"/>
        <v>4.79869014</v>
      </c>
      <c r="H43" s="6">
        <v>3.9</v>
      </c>
      <c r="I43" s="7">
        <v>3.9</v>
      </c>
      <c r="J43" s="8">
        <f t="shared" si="2"/>
        <v>3.169614948</v>
      </c>
      <c r="K43" s="6">
        <f t="shared" si="4"/>
        <v>0</v>
      </c>
    </row>
    <row r="44">
      <c r="A44" s="10" t="s">
        <v>56</v>
      </c>
      <c r="B44" s="9" t="s">
        <v>11</v>
      </c>
      <c r="C44" s="3" t="s">
        <v>14</v>
      </c>
      <c r="D44" s="4">
        <f>SUMIFS(Rezepte!G:G,Rezepte!A:A,A44)</f>
        <v>1.149937728</v>
      </c>
      <c r="E44" s="5">
        <v>3.9</v>
      </c>
      <c r="F44" s="5">
        <v>0.07</v>
      </c>
      <c r="G44" s="4">
        <f t="shared" si="1"/>
        <v>4.79869014</v>
      </c>
      <c r="H44" s="6">
        <v>3.9</v>
      </c>
      <c r="I44" s="7">
        <v>3.9</v>
      </c>
      <c r="J44" s="8">
        <f t="shared" si="2"/>
        <v>3.169614948</v>
      </c>
      <c r="K44" s="6">
        <f t="shared" si="4"/>
        <v>0</v>
      </c>
    </row>
    <row r="45">
      <c r="A45" s="9" t="s">
        <v>57</v>
      </c>
      <c r="B45" s="9" t="s">
        <v>11</v>
      </c>
      <c r="C45" s="3" t="s">
        <v>14</v>
      </c>
      <c r="D45" s="4">
        <f>SUMIFS(Rezepte!G:G,Rezepte!A:A,A45)</f>
        <v>3.843978109</v>
      </c>
      <c r="E45" s="5">
        <v>3.9</v>
      </c>
      <c r="F45" s="5">
        <v>0.07</v>
      </c>
      <c r="G45" s="4">
        <f t="shared" si="1"/>
        <v>16.04092065</v>
      </c>
      <c r="H45" s="6">
        <v>14.9</v>
      </c>
      <c r="I45" s="7">
        <v>14.9</v>
      </c>
      <c r="J45" s="8">
        <f t="shared" si="2"/>
        <v>3.622610028</v>
      </c>
      <c r="K45" s="6">
        <f t="shared" si="4"/>
        <v>0</v>
      </c>
    </row>
    <row r="46">
      <c r="A46" s="9" t="s">
        <v>58</v>
      </c>
      <c r="B46" s="9" t="s">
        <v>11</v>
      </c>
      <c r="C46" s="3" t="s">
        <v>14</v>
      </c>
      <c r="D46" s="4">
        <f>SUMIFS(Rezepte!G:G,Rezepte!A:A,A46)</f>
        <v>5.385013756</v>
      </c>
      <c r="E46" s="5">
        <v>3.9</v>
      </c>
      <c r="F46" s="5">
        <v>0.07</v>
      </c>
      <c r="G46" s="4">
        <f t="shared" si="1"/>
        <v>22.4716624</v>
      </c>
      <c r="H46" s="6">
        <v>19.9</v>
      </c>
      <c r="I46" s="7">
        <v>19.9</v>
      </c>
      <c r="J46" s="8">
        <f t="shared" si="2"/>
        <v>3.45368307</v>
      </c>
      <c r="K46" s="6">
        <f t="shared" si="4"/>
        <v>0</v>
      </c>
    </row>
    <row r="47">
      <c r="A47" s="9" t="s">
        <v>59</v>
      </c>
      <c r="B47" s="9" t="s">
        <v>11</v>
      </c>
      <c r="C47" s="3" t="s">
        <v>14</v>
      </c>
      <c r="D47" s="4">
        <f>SUMIFS(Rezepte!G:G,Rezepte!A:A,A47)</f>
        <v>1.245185478</v>
      </c>
      <c r="E47" s="5">
        <v>3.9</v>
      </c>
      <c r="F47" s="5">
        <v>0.07</v>
      </c>
      <c r="G47" s="4">
        <f t="shared" si="1"/>
        <v>5.196159</v>
      </c>
      <c r="H47" s="6">
        <v>5.2</v>
      </c>
      <c r="I47" s="7">
        <v>5.2</v>
      </c>
      <c r="J47" s="8">
        <f t="shared" si="2"/>
        <v>3.902882879</v>
      </c>
      <c r="K47" s="6">
        <f t="shared" si="4"/>
        <v>0</v>
      </c>
    </row>
    <row r="48">
      <c r="A48" s="9" t="s">
        <v>60</v>
      </c>
      <c r="B48" s="9" t="s">
        <v>11</v>
      </c>
      <c r="C48" s="3" t="s">
        <v>14</v>
      </c>
      <c r="D48" s="4">
        <f>SUMIFS(Rezepte!G:G,Rezepte!A:A,A48)</f>
        <v>2.214729241</v>
      </c>
      <c r="E48" s="5">
        <v>3.9</v>
      </c>
      <c r="F48" s="5">
        <v>0.07</v>
      </c>
      <c r="G48" s="4">
        <f t="shared" si="1"/>
        <v>9.242065122</v>
      </c>
      <c r="H48" s="6">
        <v>8.9</v>
      </c>
      <c r="I48" s="7">
        <v>8.9</v>
      </c>
      <c r="J48" s="8">
        <f t="shared" si="2"/>
        <v>3.755654125</v>
      </c>
      <c r="K48" s="6">
        <f t="shared" si="4"/>
        <v>0</v>
      </c>
    </row>
    <row r="49">
      <c r="A49" s="9" t="s">
        <v>61</v>
      </c>
      <c r="B49" s="9" t="s">
        <v>16</v>
      </c>
      <c r="C49" s="9"/>
      <c r="D49" s="4">
        <f>SUMIFS(Rezepte!G:G,Rezepte!A:A,A49)</f>
        <v>7.055632</v>
      </c>
      <c r="E49" s="5">
        <v>3.9</v>
      </c>
      <c r="F49" s="5">
        <v>0.07</v>
      </c>
      <c r="G49" s="4">
        <f t="shared" si="1"/>
        <v>29.44315234</v>
      </c>
      <c r="H49" s="6"/>
      <c r="I49" s="7"/>
      <c r="J49" s="8">
        <f t="shared" si="2"/>
        <v>0</v>
      </c>
      <c r="K49" s="6">
        <f t="shared" si="4"/>
        <v>0</v>
      </c>
    </row>
    <row r="50" hidden="1">
      <c r="A50" s="9" t="s">
        <v>62</v>
      </c>
      <c r="B50" s="9" t="s">
        <v>11</v>
      </c>
      <c r="C50" s="3" t="s">
        <v>12</v>
      </c>
      <c r="D50" s="4">
        <f>SUMIFS(Rezepte!G:G,Rezepte!A:A,A50)</f>
        <v>1.626128547</v>
      </c>
      <c r="E50" s="5">
        <v>5.0</v>
      </c>
      <c r="F50" s="5">
        <v>0.07</v>
      </c>
      <c r="G50" s="4">
        <f t="shared" si="1"/>
        <v>8.699787728</v>
      </c>
      <c r="H50" s="6"/>
      <c r="I50" s="7"/>
      <c r="J50" s="8">
        <f t="shared" si="2"/>
        <v>0</v>
      </c>
      <c r="K50" s="6">
        <f t="shared" si="4"/>
        <v>0</v>
      </c>
    </row>
    <row r="51" hidden="1">
      <c r="A51" s="9" t="s">
        <v>63</v>
      </c>
      <c r="B51" s="9" t="s">
        <v>11</v>
      </c>
      <c r="C51" s="3" t="s">
        <v>12</v>
      </c>
      <c r="D51" s="4">
        <f>SUMIFS(Rezepte!G:G,Rezepte!A:A,A51)</f>
        <v>1.863802824</v>
      </c>
      <c r="E51" s="5">
        <v>3.9</v>
      </c>
      <c r="F51" s="5">
        <v>0.07</v>
      </c>
      <c r="G51" s="4">
        <f t="shared" si="1"/>
        <v>7.777649186</v>
      </c>
      <c r="H51" s="6">
        <v>7.5</v>
      </c>
      <c r="I51" s="7">
        <v>7.5</v>
      </c>
      <c r="J51" s="8">
        <f t="shared" si="2"/>
        <v>3.760776463</v>
      </c>
      <c r="K51" s="6">
        <f t="shared" si="4"/>
        <v>0</v>
      </c>
    </row>
    <row r="52">
      <c r="A52" s="3" t="s">
        <v>64</v>
      </c>
      <c r="B52" s="3" t="s">
        <v>11</v>
      </c>
      <c r="C52" s="3" t="s">
        <v>14</v>
      </c>
      <c r="D52" s="4">
        <f>SUMIFS(Rezepte!G:G,Rezepte!A:A,A52)</f>
        <v>1.162937809</v>
      </c>
      <c r="E52" s="5">
        <v>3.9</v>
      </c>
      <c r="F52" s="5">
        <v>0.07</v>
      </c>
      <c r="G52" s="4">
        <f t="shared" si="1"/>
        <v>4.852939478</v>
      </c>
      <c r="H52" s="6">
        <v>9.9</v>
      </c>
      <c r="I52" s="7">
        <v>9.9</v>
      </c>
      <c r="J52" s="8">
        <f t="shared" si="2"/>
        <v>7.956002784</v>
      </c>
      <c r="K52" s="6"/>
    </row>
    <row r="53">
      <c r="A53" s="9" t="s">
        <v>65</v>
      </c>
      <c r="B53" s="9" t="s">
        <v>11</v>
      </c>
      <c r="C53" s="3" t="s">
        <v>14</v>
      </c>
      <c r="D53" s="4">
        <f>SUMIFS(Rezepte!G:G,Rezepte!A:A,A53)</f>
        <v>2.968583129</v>
      </c>
      <c r="E53" s="5">
        <v>3.9</v>
      </c>
      <c r="F53" s="5">
        <v>0.07</v>
      </c>
      <c r="G53" s="4">
        <f t="shared" si="1"/>
        <v>12.3878974</v>
      </c>
      <c r="H53" s="6">
        <v>12.5</v>
      </c>
      <c r="I53" s="7">
        <v>12.5</v>
      </c>
      <c r="J53" s="8">
        <f t="shared" si="2"/>
        <v>3.935292522</v>
      </c>
      <c r="K53" s="6">
        <f t="shared" ref="K53:K137" si="5">I53-H53</f>
        <v>0</v>
      </c>
    </row>
    <row r="54">
      <c r="A54" s="9" t="s">
        <v>66</v>
      </c>
      <c r="B54" s="9" t="s">
        <v>16</v>
      </c>
      <c r="C54" s="9"/>
      <c r="D54" s="4">
        <f>SUMIFS(Rezepte!G:G,Rezepte!A:A,A54)</f>
        <v>7.327114114</v>
      </c>
      <c r="E54" s="5">
        <v>3.9</v>
      </c>
      <c r="F54" s="5">
        <v>0.07</v>
      </c>
      <c r="G54" s="4">
        <f t="shared" si="1"/>
        <v>30.5760472</v>
      </c>
      <c r="H54" s="6"/>
      <c r="I54" s="7"/>
      <c r="J54" s="8">
        <f t="shared" si="2"/>
        <v>0</v>
      </c>
      <c r="K54" s="6">
        <f t="shared" si="5"/>
        <v>0</v>
      </c>
    </row>
    <row r="55">
      <c r="A55" s="9" t="s">
        <v>67</v>
      </c>
      <c r="B55" s="9" t="s">
        <v>11</v>
      </c>
      <c r="C55" s="3" t="s">
        <v>14</v>
      </c>
      <c r="D55" s="4">
        <f>SUMIFS(Rezepte!G:G,Rezepte!A:A,A55)</f>
        <v>3.122656958</v>
      </c>
      <c r="E55" s="5">
        <v>3.9</v>
      </c>
      <c r="F55" s="5">
        <v>0.07</v>
      </c>
      <c r="G55" s="4">
        <f t="shared" si="1"/>
        <v>13.03084748</v>
      </c>
      <c r="H55" s="6">
        <v>13.5</v>
      </c>
      <c r="I55" s="7">
        <v>13.5</v>
      </c>
      <c r="J55" s="8">
        <f t="shared" si="2"/>
        <v>4.040412572</v>
      </c>
      <c r="K55" s="6">
        <f t="shared" si="5"/>
        <v>0</v>
      </c>
    </row>
    <row r="56">
      <c r="A56" s="9" t="s">
        <v>68</v>
      </c>
      <c r="B56" s="9" t="s">
        <v>16</v>
      </c>
      <c r="C56" s="9"/>
      <c r="D56" s="4">
        <f>SUMIFS(Rezepte!G:G,Rezepte!A:A,A56)</f>
        <v>3.291994737</v>
      </c>
      <c r="E56" s="5">
        <v>3.9</v>
      </c>
      <c r="F56" s="5">
        <v>0.07</v>
      </c>
      <c r="G56" s="4">
        <f t="shared" si="1"/>
        <v>13.73749404</v>
      </c>
      <c r="H56" s="6"/>
      <c r="I56" s="7"/>
      <c r="J56" s="8">
        <f t="shared" si="2"/>
        <v>0</v>
      </c>
      <c r="K56" s="6">
        <f t="shared" si="5"/>
        <v>0</v>
      </c>
    </row>
    <row r="57">
      <c r="A57" s="9" t="s">
        <v>69</v>
      </c>
      <c r="B57" s="9" t="s">
        <v>11</v>
      </c>
      <c r="C57" s="3" t="s">
        <v>14</v>
      </c>
      <c r="D57" s="4">
        <f>SUMIFS(Rezepte!G:G,Rezepte!A:A,A57)</f>
        <v>5.018830996</v>
      </c>
      <c r="E57" s="5">
        <v>3.9</v>
      </c>
      <c r="F57" s="5">
        <v>0.07</v>
      </c>
      <c r="G57" s="4">
        <f t="shared" si="1"/>
        <v>20.94358175</v>
      </c>
      <c r="H57" s="6">
        <v>19.9</v>
      </c>
      <c r="I57" s="7">
        <v>19.9</v>
      </c>
      <c r="J57" s="8">
        <f t="shared" si="2"/>
        <v>3.705669878</v>
      </c>
      <c r="K57" s="6">
        <f t="shared" si="5"/>
        <v>0</v>
      </c>
    </row>
    <row r="58">
      <c r="A58" s="9" t="s">
        <v>70</v>
      </c>
      <c r="B58" s="9" t="s">
        <v>11</v>
      </c>
      <c r="C58" s="3" t="s">
        <v>14</v>
      </c>
      <c r="D58" s="4">
        <f>SUMIFS(Rezepte!G:G,Rezepte!A:A,A58)</f>
        <v>3.347730996</v>
      </c>
      <c r="E58" s="5">
        <v>3.9</v>
      </c>
      <c r="F58" s="5">
        <v>0.07</v>
      </c>
      <c r="G58" s="4">
        <f t="shared" si="1"/>
        <v>13.97008145</v>
      </c>
      <c r="H58" s="6">
        <v>13.9</v>
      </c>
      <c r="I58" s="7">
        <v>13.9</v>
      </c>
      <c r="J58" s="8">
        <f t="shared" si="2"/>
        <v>3.880435502</v>
      </c>
      <c r="K58" s="6">
        <f t="shared" si="5"/>
        <v>0</v>
      </c>
    </row>
    <row r="59">
      <c r="A59" s="3" t="s">
        <v>71</v>
      </c>
      <c r="B59" s="9" t="s">
        <v>11</v>
      </c>
      <c r="C59" s="3" t="s">
        <v>14</v>
      </c>
      <c r="D59" s="4">
        <f>SUMIFS(Rezepte!G:G,Rezepte!A:A,A59)</f>
        <v>3.19227017</v>
      </c>
      <c r="E59" s="5">
        <v>3.9</v>
      </c>
      <c r="F59" s="5">
        <v>0.07</v>
      </c>
      <c r="G59" s="4">
        <f t="shared" si="1"/>
        <v>13.32134342</v>
      </c>
      <c r="H59" s="6">
        <v>13.5</v>
      </c>
      <c r="I59" s="7">
        <v>13.5</v>
      </c>
      <c r="J59" s="8">
        <f t="shared" si="2"/>
        <v>3.952304084</v>
      </c>
      <c r="K59" s="6">
        <f t="shared" si="5"/>
        <v>0</v>
      </c>
    </row>
    <row r="60">
      <c r="A60" s="9" t="s">
        <v>72</v>
      </c>
      <c r="B60" s="9" t="s">
        <v>11</v>
      </c>
      <c r="C60" s="3" t="s">
        <v>14</v>
      </c>
      <c r="D60" s="4">
        <f>SUMIFS(Rezepte!G:G,Rezepte!A:A,A60)</f>
        <v>0.9244131109</v>
      </c>
      <c r="E60" s="5">
        <v>3.9</v>
      </c>
      <c r="F60" s="5">
        <v>0.07</v>
      </c>
      <c r="G60" s="4">
        <f t="shared" si="1"/>
        <v>3.857575912</v>
      </c>
      <c r="H60" s="6">
        <v>5.5</v>
      </c>
      <c r="I60" s="7">
        <v>5.5</v>
      </c>
      <c r="J60" s="8">
        <f t="shared" si="2"/>
        <v>5.560486816</v>
      </c>
      <c r="K60" s="6">
        <f t="shared" si="5"/>
        <v>0</v>
      </c>
    </row>
    <row r="61">
      <c r="A61" s="9" t="s">
        <v>73</v>
      </c>
      <c r="B61" s="9" t="s">
        <v>11</v>
      </c>
      <c r="C61" s="3" t="s">
        <v>14</v>
      </c>
      <c r="D61" s="4">
        <f>SUMIFS(Rezepte!G:G,Rezepte!A:A,A61)</f>
        <v>1.549225</v>
      </c>
      <c r="E61" s="5">
        <v>3.9</v>
      </c>
      <c r="F61" s="5">
        <v>0.07</v>
      </c>
      <c r="G61" s="4">
        <f t="shared" si="1"/>
        <v>6.464915925</v>
      </c>
      <c r="H61" s="6">
        <v>6.9</v>
      </c>
      <c r="I61" s="7">
        <v>6.9</v>
      </c>
      <c r="J61" s="8">
        <f t="shared" si="2"/>
        <v>4.162467124</v>
      </c>
      <c r="K61" s="6">
        <f t="shared" si="5"/>
        <v>0</v>
      </c>
    </row>
    <row r="62">
      <c r="A62" s="9" t="s">
        <v>74</v>
      </c>
      <c r="B62" s="9" t="s">
        <v>11</v>
      </c>
      <c r="C62" s="3" t="s">
        <v>14</v>
      </c>
      <c r="D62" s="4">
        <f>SUMIFS(Rezepte!G:G,Rezepte!A:A,A62)</f>
        <v>0.9296383207</v>
      </c>
      <c r="E62" s="5">
        <v>3.9</v>
      </c>
      <c r="F62" s="5">
        <v>0.07</v>
      </c>
      <c r="G62" s="4">
        <f t="shared" si="1"/>
        <v>3.879380712</v>
      </c>
      <c r="H62" s="6">
        <v>7.5</v>
      </c>
      <c r="I62" s="7">
        <v>7.5</v>
      </c>
      <c r="J62" s="8">
        <f t="shared" si="2"/>
        <v>7.539863233</v>
      </c>
      <c r="K62" s="6">
        <f t="shared" si="5"/>
        <v>0</v>
      </c>
    </row>
    <row r="63">
      <c r="A63" s="9" t="s">
        <v>75</v>
      </c>
      <c r="B63" s="9" t="s">
        <v>11</v>
      </c>
      <c r="C63" s="3" t="s">
        <v>14</v>
      </c>
      <c r="D63" s="4">
        <f>SUMIFS(Rezepte!G:G,Rezepte!A:A,A63)</f>
        <v>0.7135321429</v>
      </c>
      <c r="E63" s="5">
        <v>3.9</v>
      </c>
      <c r="F63" s="5">
        <v>0.07</v>
      </c>
      <c r="G63" s="4">
        <f t="shared" si="1"/>
        <v>2.977569632</v>
      </c>
      <c r="H63" s="6">
        <v>5.5</v>
      </c>
      <c r="I63" s="7">
        <v>5.5</v>
      </c>
      <c r="J63" s="8">
        <f t="shared" si="2"/>
        <v>7.203861756</v>
      </c>
      <c r="K63" s="6">
        <f t="shared" si="5"/>
        <v>0</v>
      </c>
    </row>
    <row r="64">
      <c r="A64" s="9" t="s">
        <v>76</v>
      </c>
      <c r="B64" s="9" t="s">
        <v>11</v>
      </c>
      <c r="C64" s="3" t="s">
        <v>14</v>
      </c>
      <c r="D64" s="4">
        <f>SUMIFS(Rezepte!G:G,Rezepte!A:A,A64)</f>
        <v>0.9247462121</v>
      </c>
      <c r="E64" s="5">
        <v>3.9</v>
      </c>
      <c r="F64" s="5">
        <v>0.07</v>
      </c>
      <c r="G64" s="4">
        <f t="shared" si="1"/>
        <v>3.858965943</v>
      </c>
      <c r="H64" s="6">
        <v>5.5</v>
      </c>
      <c r="I64" s="7">
        <v>5.5</v>
      </c>
      <c r="J64" s="8">
        <f t="shared" si="2"/>
        <v>5.558483883</v>
      </c>
      <c r="K64" s="6">
        <f t="shared" si="5"/>
        <v>0</v>
      </c>
    </row>
    <row r="65">
      <c r="A65" s="9" t="s">
        <v>77</v>
      </c>
      <c r="B65" s="9" t="s">
        <v>16</v>
      </c>
      <c r="C65" s="9"/>
      <c r="D65" s="4">
        <f>SUMIFS(Rezepte!G:G,Rezepte!A:A,A65)</f>
        <v>7.542</v>
      </c>
      <c r="E65" s="5">
        <v>3.9</v>
      </c>
      <c r="F65" s="5">
        <v>0.07</v>
      </c>
      <c r="G65" s="4">
        <f t="shared" si="1"/>
        <v>31.472766</v>
      </c>
      <c r="H65" s="6"/>
      <c r="I65" s="7"/>
      <c r="J65" s="8">
        <f t="shared" si="2"/>
        <v>0</v>
      </c>
      <c r="K65" s="6">
        <f t="shared" si="5"/>
        <v>0</v>
      </c>
    </row>
    <row r="66">
      <c r="A66" s="9" t="s">
        <v>78</v>
      </c>
      <c r="B66" s="9" t="s">
        <v>16</v>
      </c>
      <c r="C66" s="9"/>
      <c r="D66" s="4">
        <f>SUMIFS(Rezepte!G:G,Rezepte!A:A,A66)</f>
        <v>3.099789474</v>
      </c>
      <c r="E66" s="5">
        <v>3.9</v>
      </c>
      <c r="F66" s="5">
        <v>0.07</v>
      </c>
      <c r="G66" s="4">
        <f t="shared" si="1"/>
        <v>12.93542147</v>
      </c>
      <c r="H66" s="6"/>
      <c r="I66" s="7"/>
      <c r="J66" s="8">
        <f t="shared" si="2"/>
        <v>0</v>
      </c>
      <c r="K66" s="6">
        <f t="shared" si="5"/>
        <v>0</v>
      </c>
    </row>
    <row r="67">
      <c r="A67" s="9" t="s">
        <v>79</v>
      </c>
      <c r="B67" s="9" t="s">
        <v>16</v>
      </c>
      <c r="C67" s="9"/>
      <c r="D67" s="4">
        <f>SUMIFS(Rezepte!G:G,Rezepte!A:A,A67)</f>
        <v>6.02604</v>
      </c>
      <c r="E67" s="5">
        <v>3.9</v>
      </c>
      <c r="F67" s="5">
        <v>0.07</v>
      </c>
      <c r="G67" s="4">
        <f t="shared" si="1"/>
        <v>25.14666492</v>
      </c>
      <c r="H67" s="6"/>
      <c r="I67" s="7"/>
      <c r="J67" s="8">
        <f t="shared" si="2"/>
        <v>0</v>
      </c>
      <c r="K67" s="6">
        <f t="shared" si="5"/>
        <v>0</v>
      </c>
    </row>
    <row r="68">
      <c r="A68" s="9" t="s">
        <v>80</v>
      </c>
      <c r="B68" s="9" t="s">
        <v>16</v>
      </c>
      <c r="C68" s="9"/>
      <c r="D68" s="4">
        <f>SUMIFS(Rezepte!G:G,Rezepte!A:A,A68)</f>
        <v>17.964</v>
      </c>
      <c r="E68" s="5">
        <v>3.9</v>
      </c>
      <c r="F68" s="5">
        <v>0.07</v>
      </c>
      <c r="G68" s="4">
        <f t="shared" si="1"/>
        <v>74.963772</v>
      </c>
      <c r="H68" s="6"/>
      <c r="I68" s="7"/>
      <c r="J68" s="8">
        <f t="shared" si="2"/>
        <v>0</v>
      </c>
      <c r="K68" s="6">
        <f t="shared" si="5"/>
        <v>0</v>
      </c>
    </row>
    <row r="69">
      <c r="A69" s="9" t="s">
        <v>81</v>
      </c>
      <c r="B69" s="9" t="s">
        <v>16</v>
      </c>
      <c r="C69" s="9"/>
      <c r="D69" s="4">
        <f>SUMIFS(Rezepte!G:G,Rezepte!A:A,A69)</f>
        <v>12.01184</v>
      </c>
      <c r="E69" s="5">
        <v>3.9</v>
      </c>
      <c r="F69" s="5">
        <v>0.07</v>
      </c>
      <c r="G69" s="4">
        <f t="shared" si="1"/>
        <v>50.12540832</v>
      </c>
      <c r="H69" s="6"/>
      <c r="I69" s="7"/>
      <c r="J69" s="8">
        <f t="shared" si="2"/>
        <v>0</v>
      </c>
      <c r="K69" s="6">
        <f t="shared" si="5"/>
        <v>0</v>
      </c>
    </row>
    <row r="70">
      <c r="A70" s="9" t="s">
        <v>82</v>
      </c>
      <c r="B70" s="9" t="s">
        <v>16</v>
      </c>
      <c r="C70" s="9"/>
      <c r="D70" s="4">
        <f>SUMIFS(Rezepte!G:G,Rezepte!A:A,A70)</f>
        <v>10.55068</v>
      </c>
      <c r="E70" s="5">
        <v>3.9</v>
      </c>
      <c r="F70" s="5">
        <v>0.07</v>
      </c>
      <c r="G70" s="4">
        <f t="shared" si="1"/>
        <v>44.02798764</v>
      </c>
      <c r="H70" s="6"/>
      <c r="I70" s="7"/>
      <c r="J70" s="8">
        <f t="shared" si="2"/>
        <v>0</v>
      </c>
      <c r="K70" s="6">
        <f t="shared" si="5"/>
        <v>0</v>
      </c>
    </row>
    <row r="71">
      <c r="A71" s="9" t="s">
        <v>83</v>
      </c>
      <c r="B71" s="9" t="s">
        <v>11</v>
      </c>
      <c r="C71" s="3" t="s">
        <v>14</v>
      </c>
      <c r="D71" s="4">
        <f>SUMIFS(Rezepte!G:G,Rezepte!A:A,A71)</f>
        <v>0.7993378571</v>
      </c>
      <c r="E71" s="5">
        <v>3.9</v>
      </c>
      <c r="F71" s="5">
        <v>0.07</v>
      </c>
      <c r="G71" s="4">
        <f t="shared" si="1"/>
        <v>3.335636878</v>
      </c>
      <c r="H71" s="6">
        <v>5.5</v>
      </c>
      <c r="I71" s="7">
        <v>5.5</v>
      </c>
      <c r="J71" s="8">
        <f t="shared" si="2"/>
        <v>6.430556078</v>
      </c>
      <c r="K71" s="6">
        <f t="shared" si="5"/>
        <v>0</v>
      </c>
    </row>
    <row r="72">
      <c r="A72" s="9" t="s">
        <v>84</v>
      </c>
      <c r="B72" s="9" t="s">
        <v>11</v>
      </c>
      <c r="C72" s="3" t="s">
        <v>14</v>
      </c>
      <c r="D72" s="4">
        <f>SUMIFS(Rezepte!G:G,Rezepte!A:A,A72)</f>
        <v>0.8196482967</v>
      </c>
      <c r="E72" s="5">
        <v>3.9</v>
      </c>
      <c r="F72" s="5">
        <v>0.07</v>
      </c>
      <c r="G72" s="4">
        <f t="shared" si="1"/>
        <v>3.420392342</v>
      </c>
      <c r="H72" s="6">
        <v>5.5</v>
      </c>
      <c r="I72" s="7">
        <v>5.5</v>
      </c>
      <c r="J72" s="8">
        <f t="shared" si="2"/>
        <v>6.271210392</v>
      </c>
      <c r="K72" s="6">
        <f t="shared" si="5"/>
        <v>0</v>
      </c>
    </row>
    <row r="73">
      <c r="A73" s="9" t="s">
        <v>85</v>
      </c>
      <c r="B73" s="9" t="s">
        <v>11</v>
      </c>
      <c r="C73" s="3" t="s">
        <v>14</v>
      </c>
      <c r="D73" s="4">
        <f>SUMIFS(Rezepte!G:G,Rezepte!A:A,A73)</f>
        <v>1.169167857</v>
      </c>
      <c r="E73" s="5">
        <v>3.9</v>
      </c>
      <c r="F73" s="5">
        <v>0.07</v>
      </c>
      <c r="G73" s="4">
        <f t="shared" si="1"/>
        <v>4.878937468</v>
      </c>
      <c r="H73" s="6">
        <v>5.2</v>
      </c>
      <c r="I73" s="7">
        <v>5.2</v>
      </c>
      <c r="J73" s="8">
        <f t="shared" si="2"/>
        <v>4.156642739</v>
      </c>
      <c r="K73" s="6">
        <f t="shared" si="5"/>
        <v>0</v>
      </c>
    </row>
    <row r="74">
      <c r="A74" s="9" t="s">
        <v>86</v>
      </c>
      <c r="B74" s="9" t="s">
        <v>11</v>
      </c>
      <c r="C74" s="3" t="s">
        <v>14</v>
      </c>
      <c r="D74" s="4">
        <f>SUMIFS(Rezepte!G:G,Rezepte!A:A,A74)</f>
        <v>3.168298663</v>
      </c>
      <c r="E74" s="5">
        <v>3.9</v>
      </c>
      <c r="F74" s="5">
        <v>0.07</v>
      </c>
      <c r="G74" s="4">
        <f t="shared" si="1"/>
        <v>13.22131032</v>
      </c>
      <c r="H74" s="6">
        <v>13.5</v>
      </c>
      <c r="I74" s="7">
        <v>13.5</v>
      </c>
      <c r="J74" s="8">
        <f t="shared" si="2"/>
        <v>3.982207415</v>
      </c>
      <c r="K74" s="6">
        <f t="shared" si="5"/>
        <v>0</v>
      </c>
    </row>
    <row r="75">
      <c r="A75" s="9" t="s">
        <v>87</v>
      </c>
      <c r="B75" s="9" t="s">
        <v>11</v>
      </c>
      <c r="C75" s="3" t="s">
        <v>14</v>
      </c>
      <c r="D75" s="4">
        <f>SUMIFS(Rezepte!G:G,Rezepte!A:A,A75)</f>
        <v>1.4433</v>
      </c>
      <c r="E75" s="5">
        <v>3.9</v>
      </c>
      <c r="F75" s="5">
        <v>0.07</v>
      </c>
      <c r="G75" s="4">
        <f t="shared" si="1"/>
        <v>6.0228909</v>
      </c>
      <c r="H75" s="6">
        <v>5.0</v>
      </c>
      <c r="I75" s="7">
        <v>5.0</v>
      </c>
      <c r="J75" s="8">
        <f t="shared" si="2"/>
        <v>3.237647888</v>
      </c>
      <c r="K75" s="6">
        <f t="shared" si="5"/>
        <v>0</v>
      </c>
    </row>
    <row r="76">
      <c r="A76" s="9" t="s">
        <v>88</v>
      </c>
      <c r="B76" s="9" t="s">
        <v>11</v>
      </c>
      <c r="C76" s="3" t="s">
        <v>14</v>
      </c>
      <c r="D76" s="4">
        <f>SUMIFS(Rezepte!G:G,Rezepte!A:A,A76)</f>
        <v>0.7071530679</v>
      </c>
      <c r="E76" s="5">
        <v>3.9</v>
      </c>
      <c r="F76" s="5">
        <v>0.07</v>
      </c>
      <c r="G76" s="4">
        <f t="shared" si="1"/>
        <v>2.950949752</v>
      </c>
      <c r="H76" s="6">
        <v>3.0</v>
      </c>
      <c r="I76" s="7">
        <v>3.0</v>
      </c>
      <c r="J76" s="8">
        <f t="shared" si="2"/>
        <v>3.96482522</v>
      </c>
      <c r="K76" s="6">
        <f t="shared" si="5"/>
        <v>0</v>
      </c>
    </row>
    <row r="77">
      <c r="A77" s="9" t="s">
        <v>89</v>
      </c>
      <c r="B77" s="9" t="s">
        <v>11</v>
      </c>
      <c r="C77" s="3" t="s">
        <v>14</v>
      </c>
      <c r="D77" s="4">
        <f>SUMIFS(Rezepte!G:G,Rezepte!A:A,A77)</f>
        <v>0.9830411669</v>
      </c>
      <c r="E77" s="5">
        <v>3.9</v>
      </c>
      <c r="F77" s="5">
        <v>0.07</v>
      </c>
      <c r="G77" s="4">
        <f t="shared" si="1"/>
        <v>4.10223079</v>
      </c>
      <c r="H77" s="6">
        <v>4.0</v>
      </c>
      <c r="I77" s="7">
        <v>4.0</v>
      </c>
      <c r="J77" s="8">
        <f t="shared" si="2"/>
        <v>3.802808959</v>
      </c>
      <c r="K77" s="6">
        <f t="shared" si="5"/>
        <v>0</v>
      </c>
    </row>
    <row r="78" hidden="1">
      <c r="A78" s="9" t="s">
        <v>90</v>
      </c>
      <c r="B78" s="9" t="s">
        <v>11</v>
      </c>
      <c r="C78" s="3" t="s">
        <v>12</v>
      </c>
      <c r="D78" s="4">
        <f>SUMIFS(Rezepte!G:G,Rezepte!A:A,A78)</f>
        <v>1.751</v>
      </c>
      <c r="E78" s="5">
        <v>3.9</v>
      </c>
      <c r="F78" s="5">
        <v>0.07</v>
      </c>
      <c r="G78" s="4">
        <f t="shared" si="1"/>
        <v>7.306923</v>
      </c>
      <c r="H78" s="6">
        <v>6.0</v>
      </c>
      <c r="I78" s="7">
        <v>6.0</v>
      </c>
      <c r="J78" s="8">
        <f t="shared" si="2"/>
        <v>3.202442396</v>
      </c>
      <c r="K78" s="6">
        <f t="shared" si="5"/>
        <v>0</v>
      </c>
    </row>
    <row r="79" hidden="1">
      <c r="A79" s="9" t="s">
        <v>91</v>
      </c>
      <c r="B79" s="9" t="s">
        <v>11</v>
      </c>
      <c r="C79" s="3" t="s">
        <v>12</v>
      </c>
      <c r="D79" s="4">
        <f>SUMIFS(Rezepte!G:G,Rezepte!A:A,A79)</f>
        <v>2.686555983</v>
      </c>
      <c r="E79" s="5">
        <v>3.9</v>
      </c>
      <c r="F79" s="5">
        <v>0.07</v>
      </c>
      <c r="G79" s="4">
        <f t="shared" si="1"/>
        <v>11.21099812</v>
      </c>
      <c r="H79" s="6"/>
      <c r="I79" s="7"/>
      <c r="J79" s="8">
        <f t="shared" si="2"/>
        <v>0</v>
      </c>
      <c r="K79" s="6">
        <f t="shared" si="5"/>
        <v>0</v>
      </c>
    </row>
    <row r="80" hidden="1">
      <c r="A80" s="9" t="s">
        <v>92</v>
      </c>
      <c r="B80" s="9" t="s">
        <v>11</v>
      </c>
      <c r="C80" s="3" t="s">
        <v>12</v>
      </c>
      <c r="D80" s="4">
        <f>SUMIFS(Rezepte!G:G,Rezepte!A:A,A80)</f>
        <v>1.87624624</v>
      </c>
      <c r="E80" s="5">
        <v>3.9</v>
      </c>
      <c r="F80" s="5">
        <v>0.07</v>
      </c>
      <c r="G80" s="4">
        <f t="shared" si="1"/>
        <v>7.829575559</v>
      </c>
      <c r="H80" s="6"/>
      <c r="I80" s="7"/>
      <c r="J80" s="8">
        <f t="shared" si="2"/>
        <v>0</v>
      </c>
      <c r="K80" s="6">
        <f t="shared" si="5"/>
        <v>0</v>
      </c>
    </row>
    <row r="81" hidden="1">
      <c r="A81" s="9" t="s">
        <v>93</v>
      </c>
      <c r="B81" s="9" t="s">
        <v>11</v>
      </c>
      <c r="C81" s="3" t="s">
        <v>12</v>
      </c>
      <c r="D81" s="4">
        <f>SUMIFS(Rezepte!G:G,Rezepte!A:A,A81)</f>
        <v>5.493806767</v>
      </c>
      <c r="E81" s="5">
        <v>3.9</v>
      </c>
      <c r="F81" s="5">
        <v>0.07</v>
      </c>
      <c r="G81" s="4">
        <f t="shared" si="1"/>
        <v>22.92565564</v>
      </c>
      <c r="H81" s="6"/>
      <c r="I81" s="7"/>
      <c r="J81" s="8">
        <f t="shared" si="2"/>
        <v>0</v>
      </c>
      <c r="K81" s="6">
        <f t="shared" si="5"/>
        <v>0</v>
      </c>
    </row>
    <row r="82">
      <c r="A82" s="9" t="s">
        <v>94</v>
      </c>
      <c r="B82" s="9" t="s">
        <v>11</v>
      </c>
      <c r="C82" s="3" t="s">
        <v>14</v>
      </c>
      <c r="D82" s="4">
        <f>SUMIFS(Rezepte!G:G,Rezepte!A:A,A82)</f>
        <v>4.518598133</v>
      </c>
      <c r="E82" s="5">
        <v>3.9</v>
      </c>
      <c r="F82" s="5">
        <v>0.07</v>
      </c>
      <c r="G82" s="4">
        <f t="shared" si="1"/>
        <v>18.85611001</v>
      </c>
      <c r="H82" s="6">
        <v>15.9</v>
      </c>
      <c r="I82" s="7">
        <v>15.9</v>
      </c>
      <c r="J82" s="8">
        <f t="shared" si="2"/>
        <v>3.288589215</v>
      </c>
      <c r="K82" s="6">
        <f t="shared" si="5"/>
        <v>0</v>
      </c>
    </row>
    <row r="83">
      <c r="A83" s="9" t="s">
        <v>95</v>
      </c>
      <c r="B83" s="9" t="s">
        <v>16</v>
      </c>
      <c r="C83" s="9"/>
      <c r="D83" s="4">
        <f>SUMIFS(Rezepte!G:G,Rezepte!A:A,A83)</f>
        <v>4.7972</v>
      </c>
      <c r="E83" s="5">
        <v>3.9</v>
      </c>
      <c r="F83" s="5">
        <v>0.07</v>
      </c>
      <c r="G83" s="4">
        <f t="shared" si="1"/>
        <v>20.0187156</v>
      </c>
      <c r="H83" s="6"/>
      <c r="I83" s="7"/>
      <c r="J83" s="8">
        <f t="shared" si="2"/>
        <v>0</v>
      </c>
      <c r="K83" s="6">
        <f t="shared" si="5"/>
        <v>0</v>
      </c>
    </row>
    <row r="84">
      <c r="A84" s="9" t="s">
        <v>96</v>
      </c>
      <c r="B84" s="9" t="s">
        <v>16</v>
      </c>
      <c r="C84" s="9"/>
      <c r="D84" s="4">
        <f>SUMIFS(Rezepte!G:G,Rezepte!A:A,A84)</f>
        <v>12.94913043</v>
      </c>
      <c r="E84" s="5">
        <v>3.9</v>
      </c>
      <c r="F84" s="5">
        <v>0.07</v>
      </c>
      <c r="G84" s="4">
        <f t="shared" si="1"/>
        <v>54.0367213</v>
      </c>
      <c r="H84" s="6"/>
      <c r="I84" s="7"/>
      <c r="J84" s="8">
        <f t="shared" si="2"/>
        <v>0</v>
      </c>
      <c r="K84" s="6">
        <f t="shared" si="5"/>
        <v>0</v>
      </c>
    </row>
    <row r="85">
      <c r="A85" s="9" t="s">
        <v>97</v>
      </c>
      <c r="B85" s="9" t="s">
        <v>16</v>
      </c>
      <c r="C85" s="9"/>
      <c r="D85" s="4">
        <f>SUMIFS(Rezepte!G:G,Rezepte!A:A,A85)</f>
        <v>1.993763498</v>
      </c>
      <c r="E85" s="5">
        <v>3.9</v>
      </c>
      <c r="F85" s="5">
        <v>0.07</v>
      </c>
      <c r="G85" s="4">
        <f t="shared" si="1"/>
        <v>8.319975077</v>
      </c>
      <c r="H85" s="6"/>
      <c r="I85" s="7"/>
      <c r="J85" s="8">
        <f t="shared" si="2"/>
        <v>0</v>
      </c>
      <c r="K85" s="6">
        <f t="shared" si="5"/>
        <v>0</v>
      </c>
    </row>
    <row r="86">
      <c r="A86" s="9" t="s">
        <v>98</v>
      </c>
      <c r="B86" s="9" t="s">
        <v>16</v>
      </c>
      <c r="C86" s="9"/>
      <c r="D86" s="4">
        <f>SUMIFS(Rezepte!G:G,Rezepte!A:A,A86)</f>
        <v>2.67</v>
      </c>
      <c r="E86" s="5">
        <v>3.9</v>
      </c>
      <c r="F86" s="5">
        <v>0.07</v>
      </c>
      <c r="G86" s="4">
        <f t="shared" si="1"/>
        <v>11.14191</v>
      </c>
      <c r="H86" s="6"/>
      <c r="I86" s="7"/>
      <c r="J86" s="8">
        <f t="shared" si="2"/>
        <v>0</v>
      </c>
      <c r="K86" s="6">
        <f t="shared" si="5"/>
        <v>0</v>
      </c>
    </row>
    <row r="87">
      <c r="A87" s="9" t="s">
        <v>99</v>
      </c>
      <c r="B87" s="9" t="s">
        <v>11</v>
      </c>
      <c r="C87" s="3" t="s">
        <v>14</v>
      </c>
      <c r="D87" s="4">
        <f>SUMIFS(Rezepte!G:G,Rezepte!A:A,A87)</f>
        <v>5.033153495</v>
      </c>
      <c r="E87" s="5">
        <v>3.9</v>
      </c>
      <c r="F87" s="5">
        <v>0.07</v>
      </c>
      <c r="G87" s="4">
        <f t="shared" si="1"/>
        <v>21.00334953</v>
      </c>
      <c r="H87" s="6">
        <v>17.9</v>
      </c>
      <c r="I87" s="7">
        <v>17.9</v>
      </c>
      <c r="J87" s="8">
        <f t="shared" si="2"/>
        <v>3.32375557</v>
      </c>
      <c r="K87" s="6">
        <f t="shared" si="5"/>
        <v>0</v>
      </c>
    </row>
    <row r="88">
      <c r="A88" s="9" t="s">
        <v>100</v>
      </c>
      <c r="B88" s="9" t="s">
        <v>16</v>
      </c>
      <c r="C88" s="9"/>
      <c r="D88" s="4">
        <f>SUMIFS(Rezepte!G:G,Rezepte!A:A,A88)</f>
        <v>23.78554737</v>
      </c>
      <c r="E88" s="5">
        <v>3.9</v>
      </c>
      <c r="F88" s="5">
        <v>0.07</v>
      </c>
      <c r="G88" s="4">
        <f t="shared" si="1"/>
        <v>99.25708917</v>
      </c>
      <c r="H88" s="6"/>
      <c r="I88" s="7"/>
      <c r="J88" s="8">
        <f t="shared" si="2"/>
        <v>0</v>
      </c>
      <c r="K88" s="6">
        <f t="shared" si="5"/>
        <v>0</v>
      </c>
    </row>
    <row r="89">
      <c r="A89" s="9" t="s">
        <v>101</v>
      </c>
      <c r="B89" s="9" t="s">
        <v>16</v>
      </c>
      <c r="C89" s="9"/>
      <c r="D89" s="4">
        <f>SUMIFS(Rezepte!G:G,Rezepte!A:A,A89)</f>
        <v>40.43576</v>
      </c>
      <c r="E89" s="5">
        <v>3.9</v>
      </c>
      <c r="F89" s="5">
        <v>0.07</v>
      </c>
      <c r="G89" s="4">
        <f t="shared" si="1"/>
        <v>168.7384265</v>
      </c>
      <c r="H89" s="6"/>
      <c r="I89" s="7"/>
      <c r="J89" s="8">
        <f t="shared" si="2"/>
        <v>0</v>
      </c>
      <c r="K89" s="6">
        <f t="shared" si="5"/>
        <v>0</v>
      </c>
    </row>
    <row r="90">
      <c r="A90" s="9" t="s">
        <v>102</v>
      </c>
      <c r="B90" s="9" t="s">
        <v>16</v>
      </c>
      <c r="C90" s="9"/>
      <c r="D90" s="4">
        <f>SUMIFS(Rezepte!G:G,Rezepte!A:A,A90)</f>
        <v>7.84564</v>
      </c>
      <c r="E90" s="5">
        <v>3.9</v>
      </c>
      <c r="F90" s="5">
        <v>0.07</v>
      </c>
      <c r="G90" s="4">
        <f t="shared" si="1"/>
        <v>32.73985572</v>
      </c>
      <c r="H90" s="6"/>
      <c r="I90" s="7"/>
      <c r="J90" s="8">
        <f t="shared" si="2"/>
        <v>0</v>
      </c>
      <c r="K90" s="6">
        <f t="shared" si="5"/>
        <v>0</v>
      </c>
    </row>
    <row r="91">
      <c r="A91" s="9" t="s">
        <v>103</v>
      </c>
      <c r="B91" s="9" t="s">
        <v>44</v>
      </c>
      <c r="C91" s="9"/>
      <c r="D91" s="4">
        <f>SUMIFS(Rezepte!G:G,Rezepte!A:A,A91)</f>
        <v>0.1035989011</v>
      </c>
      <c r="E91" s="5">
        <v>3.9</v>
      </c>
      <c r="F91" s="5">
        <v>0.07</v>
      </c>
      <c r="G91" s="4">
        <f t="shared" si="1"/>
        <v>0.4323182143</v>
      </c>
      <c r="H91" s="6">
        <v>3.9</v>
      </c>
      <c r="I91" s="7">
        <v>3.9</v>
      </c>
      <c r="J91" s="8">
        <f t="shared" si="2"/>
        <v>35.18241771</v>
      </c>
      <c r="K91" s="6">
        <f t="shared" si="5"/>
        <v>0</v>
      </c>
    </row>
    <row r="92">
      <c r="A92" s="9" t="s">
        <v>104</v>
      </c>
      <c r="B92" s="9" t="s">
        <v>44</v>
      </c>
      <c r="C92" s="9"/>
      <c r="D92" s="4">
        <f>SUMIFS(Rezepte!G:G,Rezepte!A:A,A92)</f>
        <v>0.1975</v>
      </c>
      <c r="E92" s="5">
        <v>3.9</v>
      </c>
      <c r="F92" s="5">
        <v>0.07</v>
      </c>
      <c r="G92" s="4">
        <f t="shared" si="1"/>
        <v>0.8241675</v>
      </c>
      <c r="H92" s="6">
        <v>3.9</v>
      </c>
      <c r="I92" s="7">
        <v>3.9</v>
      </c>
      <c r="J92" s="8">
        <f t="shared" si="2"/>
        <v>18.4549864</v>
      </c>
      <c r="K92" s="6">
        <f t="shared" si="5"/>
        <v>0</v>
      </c>
    </row>
    <row r="93">
      <c r="A93" s="9" t="s">
        <v>105</v>
      </c>
      <c r="B93" s="9" t="s">
        <v>44</v>
      </c>
      <c r="C93" s="9"/>
      <c r="D93" s="4">
        <f>SUMIFS(Rezepte!G:G,Rezepte!A:A,A93)</f>
        <v>0.2109984733</v>
      </c>
      <c r="E93" s="5">
        <v>3.9</v>
      </c>
      <c r="F93" s="5">
        <v>0.07</v>
      </c>
      <c r="G93" s="4">
        <f t="shared" si="1"/>
        <v>0.880496629</v>
      </c>
      <c r="H93" s="6">
        <v>3.9</v>
      </c>
      <c r="I93" s="7">
        <v>3.9</v>
      </c>
      <c r="J93" s="8">
        <f t="shared" si="2"/>
        <v>17.27434211</v>
      </c>
      <c r="K93" s="6">
        <f t="shared" si="5"/>
        <v>0</v>
      </c>
    </row>
    <row r="94">
      <c r="A94" s="9" t="s">
        <v>106</v>
      </c>
      <c r="B94" s="9" t="s">
        <v>11</v>
      </c>
      <c r="C94" s="3" t="s">
        <v>14</v>
      </c>
      <c r="D94" s="4">
        <f>SUMIFS(Rezepte!G:G,Rezepte!A:A,A94)</f>
        <v>2.608918839</v>
      </c>
      <c r="E94" s="5">
        <v>3.9</v>
      </c>
      <c r="F94" s="5">
        <v>0.07</v>
      </c>
      <c r="G94" s="4">
        <f t="shared" si="1"/>
        <v>10.88701832</v>
      </c>
      <c r="H94" s="6">
        <v>11.9</v>
      </c>
      <c r="I94" s="7">
        <v>11.9</v>
      </c>
      <c r="J94" s="8">
        <f t="shared" si="2"/>
        <v>4.262875165</v>
      </c>
      <c r="K94" s="6">
        <f t="shared" si="5"/>
        <v>0</v>
      </c>
    </row>
    <row r="95">
      <c r="A95" s="9" t="s">
        <v>107</v>
      </c>
      <c r="B95" s="9" t="s">
        <v>44</v>
      </c>
      <c r="C95" s="3" t="s">
        <v>14</v>
      </c>
      <c r="D95" s="4">
        <f>SUMIFS(Rezepte!G:G,Rezepte!A:A,A95)</f>
        <v>0.7107428144</v>
      </c>
      <c r="E95" s="5">
        <v>3.9</v>
      </c>
      <c r="F95" s="5">
        <v>0.07</v>
      </c>
      <c r="G95" s="4">
        <f t="shared" si="1"/>
        <v>2.965929764</v>
      </c>
      <c r="H95" s="6">
        <v>3.3</v>
      </c>
      <c r="I95" s="7">
        <v>3.3</v>
      </c>
      <c r="J95" s="8">
        <f t="shared" si="2"/>
        <v>4.339280098</v>
      </c>
      <c r="K95" s="6">
        <f t="shared" si="5"/>
        <v>0</v>
      </c>
    </row>
    <row r="96">
      <c r="A96" s="9" t="s">
        <v>108</v>
      </c>
      <c r="B96" s="9" t="s">
        <v>44</v>
      </c>
      <c r="C96" s="3" t="s">
        <v>14</v>
      </c>
      <c r="D96" s="4">
        <f>SUMIFS(Rezepte!G:G,Rezepte!A:A,A96)</f>
        <v>0.9917428144</v>
      </c>
      <c r="E96" s="5">
        <v>3.9</v>
      </c>
      <c r="F96" s="5">
        <v>0.07</v>
      </c>
      <c r="G96" s="4">
        <f t="shared" si="1"/>
        <v>4.138542764</v>
      </c>
      <c r="H96" s="6">
        <v>4.3</v>
      </c>
      <c r="I96" s="7">
        <v>4.3</v>
      </c>
      <c r="J96" s="8">
        <f t="shared" si="2"/>
        <v>4.052150951</v>
      </c>
      <c r="K96" s="6">
        <f t="shared" si="5"/>
        <v>0</v>
      </c>
    </row>
    <row r="97">
      <c r="A97" s="9" t="s">
        <v>109</v>
      </c>
      <c r="B97" s="9" t="s">
        <v>16</v>
      </c>
      <c r="C97" s="9"/>
      <c r="D97" s="4">
        <f>SUMIFS(Rezepte!G:G,Rezepte!A:A,A97)</f>
        <v>7.9</v>
      </c>
      <c r="E97" s="5">
        <v>3.9</v>
      </c>
      <c r="F97" s="5">
        <v>0.07</v>
      </c>
      <c r="G97" s="4">
        <f t="shared" si="1"/>
        <v>32.9667</v>
      </c>
      <c r="H97" s="6"/>
      <c r="I97" s="7"/>
      <c r="J97" s="8">
        <f t="shared" si="2"/>
        <v>0</v>
      </c>
      <c r="K97" s="6">
        <f t="shared" si="5"/>
        <v>0</v>
      </c>
    </row>
    <row r="98" hidden="1">
      <c r="A98" s="9" t="s">
        <v>110</v>
      </c>
      <c r="B98" s="9" t="s">
        <v>11</v>
      </c>
      <c r="C98" s="3" t="s">
        <v>12</v>
      </c>
      <c r="D98" s="4">
        <f>SUMIFS(Rezepte!G:G,Rezepte!A:A,A98)</f>
        <v>3.788010776</v>
      </c>
      <c r="E98" s="5">
        <v>3.9</v>
      </c>
      <c r="F98" s="5">
        <v>0.07</v>
      </c>
      <c r="G98" s="4">
        <f t="shared" si="1"/>
        <v>15.80736897</v>
      </c>
      <c r="H98" s="6"/>
      <c r="I98" s="7"/>
      <c r="J98" s="8">
        <f t="shared" si="2"/>
        <v>0</v>
      </c>
      <c r="K98" s="6">
        <f t="shared" si="5"/>
        <v>0</v>
      </c>
    </row>
    <row r="99">
      <c r="A99" s="9" t="s">
        <v>111</v>
      </c>
      <c r="B99" s="9" t="s">
        <v>16</v>
      </c>
      <c r="C99" s="9"/>
      <c r="D99" s="4">
        <f>SUMIFS(Rezepte!G:G,Rezepte!A:A,A99)</f>
        <v>17.066</v>
      </c>
      <c r="E99" s="5">
        <v>3.9</v>
      </c>
      <c r="F99" s="5">
        <v>0.07</v>
      </c>
      <c r="G99" s="4">
        <f t="shared" si="1"/>
        <v>71.216418</v>
      </c>
      <c r="H99" s="6"/>
      <c r="I99" s="7"/>
      <c r="J99" s="8">
        <f t="shared" si="2"/>
        <v>0</v>
      </c>
      <c r="K99" s="6">
        <f t="shared" si="5"/>
        <v>0</v>
      </c>
    </row>
    <row r="100">
      <c r="A100" s="9" t="s">
        <v>112</v>
      </c>
      <c r="B100" s="9" t="s">
        <v>16</v>
      </c>
      <c r="C100" s="9"/>
      <c r="D100" s="4">
        <f>SUMIFS(Rezepte!G:G,Rezepte!A:A,A100)</f>
        <v>37.8225</v>
      </c>
      <c r="E100" s="5">
        <v>3.9</v>
      </c>
      <c r="F100" s="5">
        <v>0.07</v>
      </c>
      <c r="G100" s="4">
        <f t="shared" si="1"/>
        <v>157.8332925</v>
      </c>
      <c r="H100" s="6"/>
      <c r="I100" s="7"/>
      <c r="J100" s="8">
        <f t="shared" si="2"/>
        <v>0</v>
      </c>
      <c r="K100" s="6">
        <f t="shared" si="5"/>
        <v>0</v>
      </c>
    </row>
    <row r="101">
      <c r="A101" s="9" t="s">
        <v>113</v>
      </c>
      <c r="B101" s="9" t="s">
        <v>16</v>
      </c>
      <c r="C101" s="9"/>
      <c r="D101" s="4">
        <f>SUMIFS(Rezepte!G:G,Rezepte!A:A,A101)</f>
        <v>11.025</v>
      </c>
      <c r="E101" s="5">
        <v>3.9</v>
      </c>
      <c r="F101" s="5">
        <v>0.07</v>
      </c>
      <c r="G101" s="4">
        <f t="shared" si="1"/>
        <v>46.007325</v>
      </c>
      <c r="H101" s="6"/>
      <c r="I101" s="7"/>
      <c r="J101" s="8">
        <f t="shared" si="2"/>
        <v>0</v>
      </c>
      <c r="K101" s="6">
        <f t="shared" si="5"/>
        <v>0</v>
      </c>
    </row>
    <row r="102">
      <c r="A102" s="9" t="s">
        <v>114</v>
      </c>
      <c r="B102" s="9" t="s">
        <v>16</v>
      </c>
      <c r="C102" s="9"/>
      <c r="D102" s="4">
        <f>SUMIFS(Rezepte!G:G,Rezepte!A:A,A102)</f>
        <v>45.48797966</v>
      </c>
      <c r="E102" s="5">
        <v>3.9</v>
      </c>
      <c r="F102" s="5">
        <v>0.07</v>
      </c>
      <c r="G102" s="4">
        <f t="shared" si="1"/>
        <v>189.8213391</v>
      </c>
      <c r="H102" s="6"/>
      <c r="I102" s="7"/>
      <c r="J102" s="8">
        <f t="shared" si="2"/>
        <v>0</v>
      </c>
      <c r="K102" s="6">
        <f t="shared" si="5"/>
        <v>0</v>
      </c>
    </row>
    <row r="103">
      <c r="A103" s="9" t="s">
        <v>115</v>
      </c>
      <c r="B103" s="9" t="s">
        <v>16</v>
      </c>
      <c r="C103" s="9"/>
      <c r="D103" s="4">
        <f>SUMIFS(Rezepte!G:G,Rezepte!A:A,A103)</f>
        <v>25.80265524</v>
      </c>
      <c r="E103" s="5">
        <v>3.9</v>
      </c>
      <c r="F103" s="5">
        <v>0.07</v>
      </c>
      <c r="G103" s="4">
        <f t="shared" si="1"/>
        <v>107.6744803</v>
      </c>
      <c r="H103" s="6"/>
      <c r="I103" s="7"/>
      <c r="J103" s="8">
        <f t="shared" si="2"/>
        <v>0</v>
      </c>
      <c r="K103" s="6">
        <f t="shared" si="5"/>
        <v>0</v>
      </c>
    </row>
    <row r="104">
      <c r="A104" s="9" t="s">
        <v>116</v>
      </c>
      <c r="B104" s="9" t="s">
        <v>16</v>
      </c>
      <c r="C104" s="9"/>
      <c r="D104" s="4">
        <f>SUMIFS(Rezepte!G:G,Rezepte!A:A,A104)</f>
        <v>9.975</v>
      </c>
      <c r="E104" s="5">
        <v>3.9</v>
      </c>
      <c r="F104" s="5">
        <v>0.07</v>
      </c>
      <c r="G104" s="4">
        <f t="shared" si="1"/>
        <v>41.625675</v>
      </c>
      <c r="H104" s="6"/>
      <c r="I104" s="7"/>
      <c r="J104" s="8">
        <f t="shared" si="2"/>
        <v>0</v>
      </c>
      <c r="K104" s="6">
        <f t="shared" si="5"/>
        <v>0</v>
      </c>
    </row>
    <row r="105">
      <c r="A105" s="9" t="s">
        <v>117</v>
      </c>
      <c r="B105" s="9" t="s">
        <v>16</v>
      </c>
      <c r="C105" s="9"/>
      <c r="D105" s="4">
        <f>SUMIFS(Rezepte!G:G,Rezepte!A:A,A105)</f>
        <v>12.725</v>
      </c>
      <c r="E105" s="5">
        <v>3.9</v>
      </c>
      <c r="F105" s="5">
        <v>0.07</v>
      </c>
      <c r="G105" s="4">
        <f t="shared" si="1"/>
        <v>53.101425</v>
      </c>
      <c r="H105" s="6"/>
      <c r="I105" s="7"/>
      <c r="J105" s="8">
        <f t="shared" si="2"/>
        <v>0</v>
      </c>
      <c r="K105" s="6">
        <f t="shared" si="5"/>
        <v>0</v>
      </c>
    </row>
    <row r="106">
      <c r="A106" s="9" t="s">
        <v>118</v>
      </c>
      <c r="B106" s="9" t="s">
        <v>16</v>
      </c>
      <c r="C106" s="9"/>
      <c r="D106" s="4">
        <f>SUMIFS(Rezepte!G:G,Rezepte!A:A,A106)</f>
        <v>40.43851331</v>
      </c>
      <c r="E106" s="5">
        <v>3.9</v>
      </c>
      <c r="F106" s="5">
        <v>0.07</v>
      </c>
      <c r="G106" s="4">
        <f t="shared" si="1"/>
        <v>168.7499161</v>
      </c>
      <c r="H106" s="6"/>
      <c r="I106" s="7"/>
      <c r="J106" s="8">
        <f t="shared" si="2"/>
        <v>0</v>
      </c>
      <c r="K106" s="6">
        <f t="shared" si="5"/>
        <v>0</v>
      </c>
    </row>
    <row r="107">
      <c r="A107" s="9" t="s">
        <v>119</v>
      </c>
      <c r="B107" s="9" t="s">
        <v>16</v>
      </c>
      <c r="C107" s="9"/>
      <c r="D107" s="4">
        <f>SUMIFS(Rezepte!G:G,Rezepte!A:A,A107)</f>
        <v>15.39613591</v>
      </c>
      <c r="E107" s="5">
        <v>3.9</v>
      </c>
      <c r="F107" s="5">
        <v>0.07</v>
      </c>
      <c r="G107" s="4">
        <f t="shared" si="1"/>
        <v>64.24807517</v>
      </c>
      <c r="H107" s="6"/>
      <c r="I107" s="7"/>
      <c r="J107" s="8">
        <f t="shared" si="2"/>
        <v>0</v>
      </c>
      <c r="K107" s="6">
        <f t="shared" si="5"/>
        <v>0</v>
      </c>
    </row>
    <row r="108">
      <c r="A108" s="9" t="s">
        <v>120</v>
      </c>
      <c r="B108" s="9" t="s">
        <v>11</v>
      </c>
      <c r="C108" s="3" t="s">
        <v>14</v>
      </c>
      <c r="D108" s="4">
        <f>SUMIFS(Rezepte!G:G,Rezepte!A:A,A108)</f>
        <v>0.5722038207</v>
      </c>
      <c r="E108" s="5">
        <v>3.9</v>
      </c>
      <c r="F108" s="5">
        <v>0.07</v>
      </c>
      <c r="G108" s="4">
        <f t="shared" si="1"/>
        <v>2.387806544</v>
      </c>
      <c r="H108" s="6">
        <v>3.5</v>
      </c>
      <c r="I108" s="7">
        <v>3.5</v>
      </c>
      <c r="J108" s="8">
        <f t="shared" si="2"/>
        <v>5.71654351</v>
      </c>
      <c r="K108" s="6">
        <f t="shared" si="5"/>
        <v>0</v>
      </c>
    </row>
    <row r="109">
      <c r="A109" s="9" t="s">
        <v>121</v>
      </c>
      <c r="B109" s="9" t="s">
        <v>16</v>
      </c>
      <c r="C109" s="9"/>
      <c r="D109" s="4">
        <f>SUMIFS(Rezepte!G:G,Rezepte!A:A,A109)</f>
        <v>2.9906</v>
      </c>
      <c r="E109" s="5">
        <v>3.9</v>
      </c>
      <c r="F109" s="5">
        <v>0.07</v>
      </c>
      <c r="G109" s="4">
        <f t="shared" si="1"/>
        <v>12.4797738</v>
      </c>
      <c r="H109" s="6"/>
      <c r="I109" s="7"/>
      <c r="J109" s="8">
        <f t="shared" si="2"/>
        <v>0</v>
      </c>
      <c r="K109" s="6">
        <f t="shared" si="5"/>
        <v>0</v>
      </c>
    </row>
    <row r="110">
      <c r="A110" s="9" t="s">
        <v>122</v>
      </c>
      <c r="B110" s="9" t="s">
        <v>11</v>
      </c>
      <c r="C110" s="3" t="s">
        <v>14</v>
      </c>
      <c r="D110" s="4">
        <f>SUMIFS(Rezepte!G:G,Rezepte!A:A,A110)</f>
        <v>1.47825</v>
      </c>
      <c r="E110" s="5">
        <v>3.9</v>
      </c>
      <c r="F110" s="5">
        <v>0.07</v>
      </c>
      <c r="G110" s="4">
        <f t="shared" si="1"/>
        <v>6.16873725</v>
      </c>
      <c r="H110" s="6">
        <v>5.9</v>
      </c>
      <c r="I110" s="7">
        <v>5.9</v>
      </c>
      <c r="J110" s="8">
        <f t="shared" si="2"/>
        <v>3.730098895</v>
      </c>
      <c r="K110" s="6">
        <f t="shared" si="5"/>
        <v>0</v>
      </c>
    </row>
    <row r="111">
      <c r="A111" s="9" t="s">
        <v>123</v>
      </c>
      <c r="B111" s="9" t="s">
        <v>16</v>
      </c>
      <c r="C111" s="9"/>
      <c r="D111" s="4">
        <f>SUMIFS(Rezepte!G:G,Rezepte!A:A,A111)</f>
        <v>7.121182725</v>
      </c>
      <c r="E111" s="5">
        <v>3.9</v>
      </c>
      <c r="F111" s="5">
        <v>0.07</v>
      </c>
      <c r="G111" s="4">
        <f t="shared" si="1"/>
        <v>29.71669551</v>
      </c>
      <c r="H111" s="6"/>
      <c r="I111" s="7"/>
      <c r="J111" s="8">
        <f t="shared" si="2"/>
        <v>0</v>
      </c>
      <c r="K111" s="6">
        <f t="shared" si="5"/>
        <v>0</v>
      </c>
    </row>
    <row r="112">
      <c r="A112" s="9" t="s">
        <v>124</v>
      </c>
      <c r="B112" s="9" t="s">
        <v>11</v>
      </c>
      <c r="C112" s="3" t="s">
        <v>14</v>
      </c>
      <c r="D112" s="4">
        <f>SUMIFS(Rezepte!G:G,Rezepte!A:A,A112)</f>
        <v>1.367857387</v>
      </c>
      <c r="E112" s="5">
        <v>3.9</v>
      </c>
      <c r="F112" s="5">
        <v>0.07</v>
      </c>
      <c r="G112" s="4">
        <f t="shared" si="1"/>
        <v>5.708068877</v>
      </c>
      <c r="H112" s="6">
        <v>5.5</v>
      </c>
      <c r="I112" s="7">
        <v>5.5</v>
      </c>
      <c r="J112" s="8">
        <f t="shared" si="2"/>
        <v>3.757838327</v>
      </c>
      <c r="K112" s="6">
        <f t="shared" si="5"/>
        <v>0</v>
      </c>
    </row>
    <row r="113">
      <c r="A113" s="9" t="s">
        <v>125</v>
      </c>
      <c r="B113" s="9" t="s">
        <v>16</v>
      </c>
      <c r="C113" s="9"/>
      <c r="D113" s="4">
        <f>SUMIFS(Rezepte!G:G,Rezepte!A:A,A113)</f>
        <v>4.6032</v>
      </c>
      <c r="E113" s="5">
        <v>3.9</v>
      </c>
      <c r="F113" s="5">
        <v>0.07</v>
      </c>
      <c r="G113" s="4">
        <f t="shared" si="1"/>
        <v>19.2091536</v>
      </c>
      <c r="H113" s="6"/>
      <c r="I113" s="7"/>
      <c r="J113" s="8">
        <f t="shared" si="2"/>
        <v>0</v>
      </c>
      <c r="K113" s="6">
        <f t="shared" si="5"/>
        <v>0</v>
      </c>
    </row>
    <row r="114">
      <c r="A114" s="9" t="s">
        <v>126</v>
      </c>
      <c r="B114" s="9" t="s">
        <v>16</v>
      </c>
      <c r="C114" s="9"/>
      <c r="D114" s="4">
        <f>SUMIFS(Rezepte!G:G,Rezepte!A:A,A114)</f>
        <v>5.73647</v>
      </c>
      <c r="E114" s="5">
        <v>3.9</v>
      </c>
      <c r="F114" s="5">
        <v>0.07</v>
      </c>
      <c r="G114" s="4">
        <f t="shared" si="1"/>
        <v>23.93828931</v>
      </c>
      <c r="H114" s="6"/>
      <c r="I114" s="7"/>
      <c r="J114" s="8">
        <f t="shared" si="2"/>
        <v>0</v>
      </c>
      <c r="K114" s="6">
        <f t="shared" si="5"/>
        <v>0</v>
      </c>
    </row>
    <row r="115">
      <c r="A115" s="9" t="s">
        <v>127</v>
      </c>
      <c r="B115" s="9" t="s">
        <v>16</v>
      </c>
      <c r="C115" s="9"/>
      <c r="D115" s="4">
        <f>SUMIFS(Rezepte!G:G,Rezepte!A:A,A115)</f>
        <v>25.62959394</v>
      </c>
      <c r="E115" s="5">
        <v>3.9</v>
      </c>
      <c r="F115" s="5">
        <v>0.07</v>
      </c>
      <c r="G115" s="4">
        <f t="shared" si="1"/>
        <v>106.9522955</v>
      </c>
      <c r="H115" s="6"/>
      <c r="I115" s="7"/>
      <c r="J115" s="8">
        <f t="shared" si="2"/>
        <v>0</v>
      </c>
      <c r="K115" s="6">
        <f t="shared" si="5"/>
        <v>0</v>
      </c>
    </row>
    <row r="116">
      <c r="A116" s="9" t="s">
        <v>128</v>
      </c>
      <c r="B116" s="9" t="s">
        <v>11</v>
      </c>
      <c r="C116" s="3" t="s">
        <v>14</v>
      </c>
      <c r="D116" s="4">
        <f>SUMIFS(Rezepte!G:G,Rezepte!A:A,A116)</f>
        <v>1.577441273</v>
      </c>
      <c r="E116" s="5">
        <v>3.9</v>
      </c>
      <c r="F116" s="5">
        <v>0.07</v>
      </c>
      <c r="G116" s="4">
        <f t="shared" si="1"/>
        <v>6.582662432</v>
      </c>
      <c r="H116" s="6">
        <v>6.9</v>
      </c>
      <c r="I116" s="7">
        <v>6.9</v>
      </c>
      <c r="J116" s="8">
        <f t="shared" si="2"/>
        <v>4.088011542</v>
      </c>
      <c r="K116" s="6">
        <f t="shared" si="5"/>
        <v>0</v>
      </c>
    </row>
    <row r="117" hidden="1">
      <c r="A117" s="9" t="s">
        <v>129</v>
      </c>
      <c r="B117" s="9" t="s">
        <v>11</v>
      </c>
      <c r="C117" s="3" t="s">
        <v>12</v>
      </c>
      <c r="D117" s="4">
        <f>SUMIFS(Rezepte!G:G,Rezepte!A:A,A117)</f>
        <v>2.809015941</v>
      </c>
      <c r="E117" s="5">
        <v>3.9</v>
      </c>
      <c r="F117" s="5">
        <v>0.07</v>
      </c>
      <c r="G117" s="4">
        <f t="shared" si="1"/>
        <v>11.72202352</v>
      </c>
      <c r="H117" s="6"/>
      <c r="I117" s="7"/>
      <c r="J117" s="8">
        <f t="shared" si="2"/>
        <v>0</v>
      </c>
      <c r="K117" s="6">
        <f t="shared" si="5"/>
        <v>0</v>
      </c>
    </row>
    <row r="118">
      <c r="A118" s="9" t="s">
        <v>130</v>
      </c>
      <c r="B118" s="9" t="s">
        <v>16</v>
      </c>
      <c r="C118" s="9"/>
      <c r="D118" s="4">
        <f>SUMIFS(Rezepte!G:G,Rezepte!A:A,A118)</f>
        <v>1.311108</v>
      </c>
      <c r="E118" s="5">
        <v>3.9</v>
      </c>
      <c r="F118" s="5">
        <v>0.07</v>
      </c>
      <c r="G118" s="4">
        <f t="shared" si="1"/>
        <v>5.471253684</v>
      </c>
      <c r="H118" s="6"/>
      <c r="I118" s="7"/>
      <c r="J118" s="8">
        <f t="shared" si="2"/>
        <v>0</v>
      </c>
      <c r="K118" s="6">
        <f t="shared" si="5"/>
        <v>0</v>
      </c>
    </row>
    <row r="119">
      <c r="A119" s="9" t="s">
        <v>131</v>
      </c>
      <c r="B119" s="9" t="s">
        <v>16</v>
      </c>
      <c r="C119" s="9"/>
      <c r="D119" s="4">
        <f>SUMIFS(Rezepte!G:G,Rezepte!A:A,A119)</f>
        <v>1.158454775</v>
      </c>
      <c r="E119" s="5">
        <v>3.9</v>
      </c>
      <c r="F119" s="5">
        <v>0.07</v>
      </c>
      <c r="G119" s="4">
        <f t="shared" si="1"/>
        <v>4.834231777</v>
      </c>
      <c r="H119" s="6"/>
      <c r="I119" s="7"/>
      <c r="J119" s="8">
        <f t="shared" si="2"/>
        <v>0</v>
      </c>
      <c r="K119" s="6">
        <f t="shared" si="5"/>
        <v>0</v>
      </c>
    </row>
    <row r="120">
      <c r="A120" s="9" t="s">
        <v>132</v>
      </c>
      <c r="B120" s="9" t="s">
        <v>16</v>
      </c>
      <c r="C120" s="9"/>
      <c r="D120" s="4">
        <f>SUMIFS(Rezepte!G:G,Rezepte!A:A,A120)</f>
        <v>5.937525714</v>
      </c>
      <c r="E120" s="5">
        <v>3.9</v>
      </c>
      <c r="F120" s="5">
        <v>0.07</v>
      </c>
      <c r="G120" s="4">
        <f t="shared" si="1"/>
        <v>24.77729481</v>
      </c>
      <c r="H120" s="6"/>
      <c r="I120" s="7"/>
      <c r="J120" s="8">
        <f t="shared" si="2"/>
        <v>0</v>
      </c>
      <c r="K120" s="6">
        <f t="shared" si="5"/>
        <v>0</v>
      </c>
    </row>
    <row r="121">
      <c r="A121" s="9" t="s">
        <v>133</v>
      </c>
      <c r="B121" s="9" t="s">
        <v>16</v>
      </c>
      <c r="C121" s="9"/>
      <c r="D121" s="4">
        <f>SUMIFS(Rezepte!G:G,Rezepte!A:A,A121)</f>
        <v>29.3256</v>
      </c>
      <c r="E121" s="5">
        <v>3.9</v>
      </c>
      <c r="F121" s="5">
        <v>0.07</v>
      </c>
      <c r="G121" s="4">
        <f t="shared" si="1"/>
        <v>122.3757288</v>
      </c>
      <c r="H121" s="6"/>
      <c r="I121" s="7"/>
      <c r="J121" s="8">
        <f t="shared" si="2"/>
        <v>0</v>
      </c>
      <c r="K121" s="6">
        <f t="shared" si="5"/>
        <v>0</v>
      </c>
    </row>
    <row r="122">
      <c r="A122" s="9" t="s">
        <v>134</v>
      </c>
      <c r="B122" s="9" t="s">
        <v>16</v>
      </c>
      <c r="C122" s="9"/>
      <c r="D122" s="4">
        <f>SUMIFS(Rezepte!G:G,Rezepte!A:A,A122)</f>
        <v>34.0256</v>
      </c>
      <c r="E122" s="5">
        <v>3.9</v>
      </c>
      <c r="F122" s="5">
        <v>0.07</v>
      </c>
      <c r="G122" s="4">
        <f t="shared" si="1"/>
        <v>141.9888288</v>
      </c>
      <c r="H122" s="6"/>
      <c r="I122" s="7"/>
      <c r="J122" s="8">
        <f t="shared" si="2"/>
        <v>0</v>
      </c>
      <c r="K122" s="6">
        <f t="shared" si="5"/>
        <v>0</v>
      </c>
    </row>
    <row r="123">
      <c r="A123" s="9" t="s">
        <v>135</v>
      </c>
      <c r="B123" s="9" t="s">
        <v>11</v>
      </c>
      <c r="C123" s="3" t="s">
        <v>14</v>
      </c>
      <c r="D123" s="4">
        <f>SUMIFS(Rezepte!G:G,Rezepte!A:A,A123)</f>
        <v>0.8101871338</v>
      </c>
      <c r="E123" s="5">
        <v>3.9</v>
      </c>
      <c r="F123" s="5">
        <v>0.07</v>
      </c>
      <c r="G123" s="4">
        <f t="shared" si="1"/>
        <v>3.380910909</v>
      </c>
      <c r="H123" s="6">
        <v>3.5</v>
      </c>
      <c r="I123" s="7">
        <v>3.5</v>
      </c>
      <c r="J123" s="8">
        <f t="shared" si="2"/>
        <v>4.037373467</v>
      </c>
      <c r="K123" s="6">
        <f t="shared" si="5"/>
        <v>0</v>
      </c>
    </row>
    <row r="124">
      <c r="A124" s="9" t="s">
        <v>136</v>
      </c>
      <c r="B124" s="9" t="s">
        <v>44</v>
      </c>
      <c r="C124" s="3" t="s">
        <v>14</v>
      </c>
      <c r="D124" s="4">
        <f>SUMIFS(Rezepte!G:G,Rezepte!A:A,A124)</f>
        <v>1.021667857</v>
      </c>
      <c r="E124" s="5">
        <v>3.9</v>
      </c>
      <c r="F124" s="5">
        <v>0.07</v>
      </c>
      <c r="G124" s="4">
        <f t="shared" si="1"/>
        <v>4.263419968</v>
      </c>
      <c r="H124" s="6">
        <v>4.9</v>
      </c>
      <c r="I124" s="7">
        <v>4.9</v>
      </c>
      <c r="J124" s="8">
        <f t="shared" si="2"/>
        <v>4.482317047</v>
      </c>
      <c r="K124" s="6">
        <f t="shared" si="5"/>
        <v>0</v>
      </c>
    </row>
    <row r="125">
      <c r="A125" s="9" t="s">
        <v>137</v>
      </c>
      <c r="B125" s="9" t="s">
        <v>44</v>
      </c>
      <c r="C125" s="3" t="s">
        <v>14</v>
      </c>
      <c r="D125" s="4">
        <f>SUMIFS(Rezepte!G:G,Rezepte!A:A,A125)</f>
        <v>1.275342857</v>
      </c>
      <c r="E125" s="5">
        <v>3.9</v>
      </c>
      <c r="F125" s="5">
        <v>0.07</v>
      </c>
      <c r="G125" s="4">
        <f t="shared" si="1"/>
        <v>5.322005743</v>
      </c>
      <c r="H125" s="6">
        <v>5.5</v>
      </c>
      <c r="I125" s="7">
        <v>5.5</v>
      </c>
      <c r="J125" s="8">
        <f t="shared" si="2"/>
        <v>4.030435335</v>
      </c>
      <c r="K125" s="6">
        <f t="shared" si="5"/>
        <v>0</v>
      </c>
    </row>
    <row r="126" hidden="1">
      <c r="A126" s="9" t="s">
        <v>138</v>
      </c>
      <c r="B126" s="9" t="s">
        <v>11</v>
      </c>
      <c r="C126" s="3" t="s">
        <v>12</v>
      </c>
      <c r="D126" s="4">
        <f>SUMIFS(Rezepte!G:G,Rezepte!A:A,A126)</f>
        <v>1.093639208</v>
      </c>
      <c r="E126" s="5">
        <v>3.9</v>
      </c>
      <c r="F126" s="5">
        <v>0.07</v>
      </c>
      <c r="G126" s="4">
        <f t="shared" si="1"/>
        <v>4.563756417</v>
      </c>
      <c r="H126" s="6">
        <v>3.9</v>
      </c>
      <c r="I126" s="7">
        <v>3.9</v>
      </c>
      <c r="J126" s="8">
        <f t="shared" si="2"/>
        <v>3.332780852</v>
      </c>
      <c r="K126" s="6">
        <f t="shared" si="5"/>
        <v>0</v>
      </c>
    </row>
    <row r="127">
      <c r="A127" s="9" t="s">
        <v>139</v>
      </c>
      <c r="B127" s="9" t="s">
        <v>16</v>
      </c>
      <c r="C127" s="9"/>
      <c r="D127" s="4">
        <f>SUMIFS(Rezepte!G:G,Rezepte!A:A,A127)</f>
        <v>15.81705</v>
      </c>
      <c r="E127" s="5">
        <v>3.9</v>
      </c>
      <c r="F127" s="5">
        <v>0.07</v>
      </c>
      <c r="G127" s="4">
        <f t="shared" si="1"/>
        <v>66.00454965</v>
      </c>
      <c r="H127" s="6"/>
      <c r="I127" s="7"/>
      <c r="J127" s="8">
        <f t="shared" si="2"/>
        <v>0</v>
      </c>
      <c r="K127" s="6">
        <f t="shared" si="5"/>
        <v>0</v>
      </c>
    </row>
    <row r="128">
      <c r="A128" s="9" t="s">
        <v>140</v>
      </c>
      <c r="B128" s="9" t="s">
        <v>11</v>
      </c>
      <c r="C128" s="3" t="s">
        <v>14</v>
      </c>
      <c r="D128" s="4">
        <f>SUMIFS(Rezepte!G:G,Rezepte!A:A,A128)</f>
        <v>1.877398374</v>
      </c>
      <c r="E128" s="5">
        <v>3.9</v>
      </c>
      <c r="F128" s="5">
        <v>0.07</v>
      </c>
      <c r="G128" s="4">
        <f t="shared" si="1"/>
        <v>7.834383413</v>
      </c>
      <c r="H128" s="6">
        <v>7.9</v>
      </c>
      <c r="I128" s="7">
        <v>7.9</v>
      </c>
      <c r="J128" s="8">
        <f t="shared" si="2"/>
        <v>3.932664305</v>
      </c>
      <c r="K128" s="6">
        <f t="shared" si="5"/>
        <v>0</v>
      </c>
    </row>
    <row r="129">
      <c r="A129" s="9" t="s">
        <v>141</v>
      </c>
      <c r="B129" s="9" t="s">
        <v>11</v>
      </c>
      <c r="C129" s="3" t="s">
        <v>14</v>
      </c>
      <c r="D129" s="4">
        <f>SUMIFS(Rezepte!G:G,Rezepte!A:A,A129)</f>
        <v>2.031671394</v>
      </c>
      <c r="E129" s="5">
        <v>3.9</v>
      </c>
      <c r="F129" s="5">
        <v>0.07</v>
      </c>
      <c r="G129" s="4">
        <f t="shared" si="1"/>
        <v>8.478164727</v>
      </c>
      <c r="H129" s="6">
        <v>8.5</v>
      </c>
      <c r="I129" s="7">
        <v>8.5</v>
      </c>
      <c r="J129" s="8">
        <f t="shared" si="2"/>
        <v>3.910044339</v>
      </c>
      <c r="K129" s="6">
        <f t="shared" si="5"/>
        <v>0</v>
      </c>
    </row>
    <row r="130">
      <c r="A130" s="9" t="s">
        <v>142</v>
      </c>
      <c r="B130" s="9" t="s">
        <v>16</v>
      </c>
      <c r="C130" s="3" t="s">
        <v>14</v>
      </c>
      <c r="D130" s="4">
        <f>SUMIFS(Rezepte!G:G,Rezepte!A:A,A130)</f>
        <v>11.65705</v>
      </c>
      <c r="E130" s="5">
        <v>3.9</v>
      </c>
      <c r="F130" s="5">
        <v>0.07</v>
      </c>
      <c r="G130" s="4">
        <f t="shared" si="1"/>
        <v>48.64486965</v>
      </c>
      <c r="H130" s="6">
        <v>7.9</v>
      </c>
      <c r="I130" s="7">
        <v>7.9</v>
      </c>
      <c r="J130" s="8">
        <f t="shared" si="2"/>
        <v>0.6333658662</v>
      </c>
      <c r="K130" s="6">
        <f t="shared" si="5"/>
        <v>0</v>
      </c>
    </row>
    <row r="131">
      <c r="A131" s="9" t="s">
        <v>143</v>
      </c>
      <c r="B131" s="9" t="s">
        <v>16</v>
      </c>
      <c r="C131" s="9"/>
      <c r="D131" s="4">
        <f>SUMIFS(Rezepte!G:G,Rezepte!A:A,A131)</f>
        <v>7.9075</v>
      </c>
      <c r="E131" s="5">
        <v>3.9</v>
      </c>
      <c r="F131" s="5">
        <v>0.07</v>
      </c>
      <c r="G131" s="4">
        <f t="shared" si="1"/>
        <v>32.9979975</v>
      </c>
      <c r="H131" s="6"/>
      <c r="I131" s="7"/>
      <c r="J131" s="8">
        <f t="shared" si="2"/>
        <v>0</v>
      </c>
      <c r="K131" s="6">
        <f t="shared" si="5"/>
        <v>0</v>
      </c>
    </row>
    <row r="132">
      <c r="A132" s="9" t="s">
        <v>144</v>
      </c>
      <c r="B132" s="9" t="s">
        <v>16</v>
      </c>
      <c r="C132" s="9"/>
      <c r="D132" s="4">
        <f>SUMIFS(Rezepte!G:G,Rezepte!A:A,A132)</f>
        <v>5.09131</v>
      </c>
      <c r="E132" s="5">
        <v>3.9</v>
      </c>
      <c r="F132" s="5">
        <v>0.07</v>
      </c>
      <c r="G132" s="4">
        <f t="shared" si="1"/>
        <v>21.24603663</v>
      </c>
      <c r="H132" s="6">
        <v>8.5</v>
      </c>
      <c r="I132" s="7">
        <v>8.5</v>
      </c>
      <c r="J132" s="8">
        <f t="shared" si="2"/>
        <v>1.560291012</v>
      </c>
      <c r="K132" s="6">
        <f t="shared" si="5"/>
        <v>0</v>
      </c>
    </row>
    <row r="133">
      <c r="A133" s="9" t="s">
        <v>145</v>
      </c>
      <c r="B133" s="9" t="s">
        <v>11</v>
      </c>
      <c r="C133" s="3" t="s">
        <v>14</v>
      </c>
      <c r="D133" s="4">
        <f>SUMIFS(Rezepte!G:G,Rezepte!A:A,A133)</f>
        <v>1.932614133</v>
      </c>
      <c r="E133" s="5">
        <v>3.9</v>
      </c>
      <c r="F133" s="5">
        <v>0.07</v>
      </c>
      <c r="G133" s="4">
        <f t="shared" si="1"/>
        <v>8.064798777</v>
      </c>
      <c r="H133" s="6">
        <v>8.5</v>
      </c>
      <c r="I133" s="7">
        <v>8.5</v>
      </c>
      <c r="J133" s="8">
        <f t="shared" si="2"/>
        <v>4.110455935</v>
      </c>
      <c r="K133" s="6">
        <f t="shared" si="5"/>
        <v>0</v>
      </c>
    </row>
    <row r="134">
      <c r="A134" s="9" t="s">
        <v>146</v>
      </c>
      <c r="B134" s="9" t="s">
        <v>11</v>
      </c>
      <c r="C134" s="3" t="s">
        <v>14</v>
      </c>
      <c r="D134" s="4">
        <f>SUMIFS(Rezepte!G:G,Rezepte!A:A,A134)</f>
        <v>1.807647627</v>
      </c>
      <c r="E134" s="5">
        <v>3.9</v>
      </c>
      <c r="F134" s="5">
        <v>0.07</v>
      </c>
      <c r="G134" s="4">
        <f t="shared" si="1"/>
        <v>7.543313547</v>
      </c>
      <c r="H134" s="6">
        <v>8.5</v>
      </c>
      <c r="I134" s="7">
        <v>8.5</v>
      </c>
      <c r="J134" s="8">
        <f t="shared" si="2"/>
        <v>4.394620453</v>
      </c>
      <c r="K134" s="6">
        <f t="shared" si="5"/>
        <v>0</v>
      </c>
    </row>
    <row r="135">
      <c r="A135" s="9" t="s">
        <v>147</v>
      </c>
      <c r="B135" s="9" t="s">
        <v>11</v>
      </c>
      <c r="C135" s="3" t="s">
        <v>14</v>
      </c>
      <c r="D135" s="4">
        <f>SUMIFS(Rezepte!G:G,Rezepte!A:A,A135)</f>
        <v>1.982956872</v>
      </c>
      <c r="E135" s="5">
        <v>3.9</v>
      </c>
      <c r="F135" s="5">
        <v>0.07</v>
      </c>
      <c r="G135" s="4">
        <f t="shared" si="1"/>
        <v>8.274879027</v>
      </c>
      <c r="H135" s="6">
        <v>8.9</v>
      </c>
      <c r="I135" s="7">
        <v>8.9</v>
      </c>
      <c r="J135" s="8">
        <f t="shared" si="2"/>
        <v>4.194623255</v>
      </c>
      <c r="K135" s="6">
        <f t="shared" si="5"/>
        <v>0</v>
      </c>
    </row>
    <row r="136" hidden="1">
      <c r="A136" s="9" t="s">
        <v>148</v>
      </c>
      <c r="B136" s="9" t="s">
        <v>11</v>
      </c>
      <c r="C136" s="3" t="s">
        <v>12</v>
      </c>
      <c r="D136" s="4">
        <f>SUMIFS(Rezepte!G:G,Rezepte!A:A,A136)</f>
        <v>1.902673327</v>
      </c>
      <c r="E136" s="5">
        <v>3.9</v>
      </c>
      <c r="F136" s="5">
        <v>0.07</v>
      </c>
      <c r="G136" s="4">
        <f t="shared" si="1"/>
        <v>7.939855795</v>
      </c>
      <c r="H136" s="6"/>
      <c r="I136" s="7"/>
      <c r="J136" s="8">
        <f t="shared" si="2"/>
        <v>0</v>
      </c>
      <c r="K136" s="6">
        <f t="shared" si="5"/>
        <v>0</v>
      </c>
    </row>
    <row r="137">
      <c r="A137" s="3" t="s">
        <v>149</v>
      </c>
      <c r="B137" s="3" t="s">
        <v>11</v>
      </c>
      <c r="C137" s="3" t="s">
        <v>14</v>
      </c>
      <c r="D137" s="4">
        <f>SUMIFS(Rezepte!G:G,Rezepte!A:A,A137)</f>
        <v>0.8663684589</v>
      </c>
      <c r="E137" s="5">
        <v>3.9</v>
      </c>
      <c r="F137" s="5">
        <v>0.07</v>
      </c>
      <c r="G137" s="4">
        <f t="shared" si="1"/>
        <v>3.615355579</v>
      </c>
      <c r="H137" s="7">
        <v>4.5</v>
      </c>
      <c r="I137" s="7">
        <v>4.5</v>
      </c>
      <c r="J137" s="8">
        <f t="shared" si="2"/>
        <v>4.854294306</v>
      </c>
      <c r="K137" s="6">
        <f t="shared" si="5"/>
        <v>0</v>
      </c>
    </row>
    <row r="138">
      <c r="A138" s="9" t="s">
        <v>150</v>
      </c>
      <c r="B138" s="9" t="s">
        <v>16</v>
      </c>
      <c r="C138" s="9"/>
      <c r="D138" s="4">
        <f>SUMIFS(Rezepte!G:G,Rezepte!A:A,A138)</f>
        <v>92.66840743</v>
      </c>
      <c r="E138" s="5">
        <v>3.9</v>
      </c>
      <c r="F138" s="5">
        <v>0.07</v>
      </c>
      <c r="G138" s="4">
        <f t="shared" si="1"/>
        <v>386.7052642</v>
      </c>
      <c r="H138" s="6"/>
      <c r="I138" s="7"/>
      <c r="J138" s="8"/>
      <c r="K138" s="6"/>
    </row>
    <row r="139">
      <c r="A139" s="3" t="s">
        <v>151</v>
      </c>
      <c r="B139" s="3" t="s">
        <v>16</v>
      </c>
      <c r="C139" s="9"/>
      <c r="D139" s="4">
        <f>SUMIFS(Rezepte!G:G,Rezepte!A:A,A139)</f>
        <v>21.1236</v>
      </c>
      <c r="E139" s="5">
        <v>3.9</v>
      </c>
      <c r="F139" s="5">
        <v>0.07</v>
      </c>
      <c r="G139" s="4">
        <f t="shared" si="1"/>
        <v>88.1487828</v>
      </c>
      <c r="H139" s="6"/>
      <c r="I139" s="7"/>
      <c r="J139" s="8"/>
      <c r="K139" s="6"/>
    </row>
    <row r="140">
      <c r="A140" s="9" t="s">
        <v>152</v>
      </c>
      <c r="B140" s="9" t="s">
        <v>16</v>
      </c>
      <c r="C140" s="9"/>
      <c r="D140" s="4">
        <f>SUMIFS(Rezepte!G:G,Rezepte!A:A,A140)</f>
        <v>25.70086</v>
      </c>
      <c r="E140" s="5">
        <v>3.9</v>
      </c>
      <c r="F140" s="5">
        <v>0.07</v>
      </c>
      <c r="G140" s="4">
        <f t="shared" si="1"/>
        <v>107.2496888</v>
      </c>
      <c r="H140" s="6"/>
      <c r="I140" s="7"/>
      <c r="J140" s="8"/>
      <c r="K140" s="6"/>
    </row>
    <row r="141">
      <c r="A141" s="9" t="s">
        <v>153</v>
      </c>
      <c r="B141" s="9" t="s">
        <v>16</v>
      </c>
      <c r="C141" s="9"/>
      <c r="D141" s="4">
        <f>SUMIFS(Rezepte!G:G,Rezepte!A:A,A141)</f>
        <v>32.45</v>
      </c>
      <c r="E141" s="5">
        <v>3.9</v>
      </c>
      <c r="F141" s="5">
        <v>0.07</v>
      </c>
      <c r="G141" s="4">
        <f t="shared" si="1"/>
        <v>135.41385</v>
      </c>
      <c r="H141" s="6"/>
      <c r="I141" s="7"/>
      <c r="J141" s="8"/>
      <c r="K141" s="6"/>
    </row>
    <row r="142">
      <c r="A142" s="9" t="s">
        <v>154</v>
      </c>
      <c r="B142" s="9" t="s">
        <v>16</v>
      </c>
      <c r="C142" s="9"/>
      <c r="D142" s="4">
        <f>SUMIFS(Rezepte!G:G,Rezepte!A:A,A142)</f>
        <v>20.04329963</v>
      </c>
      <c r="E142" s="5">
        <v>3.9</v>
      </c>
      <c r="F142" s="5">
        <v>0.07</v>
      </c>
      <c r="G142" s="4">
        <f t="shared" si="1"/>
        <v>83.64068935</v>
      </c>
      <c r="H142" s="6"/>
      <c r="I142" s="7"/>
      <c r="J142" s="8"/>
      <c r="K142" s="6"/>
    </row>
    <row r="143">
      <c r="A143" s="9" t="s">
        <v>155</v>
      </c>
      <c r="B143" s="9" t="s">
        <v>16</v>
      </c>
      <c r="C143" s="9"/>
      <c r="D143" s="4">
        <f>SUMIFS(Rezepte!G:G,Rezepte!A:A,A143)</f>
        <v>24.77086</v>
      </c>
      <c r="E143" s="5">
        <v>3.9</v>
      </c>
      <c r="F143" s="5">
        <v>0.07</v>
      </c>
      <c r="G143" s="4">
        <f t="shared" si="1"/>
        <v>103.3687988</v>
      </c>
      <c r="H143" s="6"/>
      <c r="I143" s="7"/>
      <c r="J143" s="8"/>
      <c r="K143" s="6"/>
    </row>
    <row r="144">
      <c r="A144" s="9" t="s">
        <v>156</v>
      </c>
      <c r="B144" s="9" t="s">
        <v>16</v>
      </c>
      <c r="C144" s="9"/>
      <c r="D144" s="4">
        <f>SUMIFS(Rezepte!G:G,Rezepte!A:A,A144)</f>
        <v>21.09141</v>
      </c>
      <c r="E144" s="5">
        <v>3.9</v>
      </c>
      <c r="F144" s="5">
        <v>0.07</v>
      </c>
      <c r="G144" s="4">
        <f t="shared" si="1"/>
        <v>88.01445393</v>
      </c>
      <c r="H144" s="6"/>
      <c r="I144" s="7"/>
      <c r="J144" s="8"/>
      <c r="K144" s="6"/>
    </row>
    <row r="145">
      <c r="A145" s="9" t="s">
        <v>157</v>
      </c>
      <c r="B145" s="9" t="s">
        <v>16</v>
      </c>
      <c r="C145" s="9"/>
      <c r="D145" s="4">
        <f>SUMIFS(Rezepte!G:G,Rezepte!A:A,A145)</f>
        <v>6.79886</v>
      </c>
      <c r="E145" s="5">
        <v>3.9</v>
      </c>
      <c r="F145" s="5">
        <v>0.07</v>
      </c>
      <c r="G145" s="4">
        <f t="shared" si="1"/>
        <v>28.37164278</v>
      </c>
      <c r="H145" s="6"/>
      <c r="I145" s="7"/>
      <c r="J145" s="8"/>
      <c r="K145" s="6"/>
    </row>
    <row r="146">
      <c r="A146" s="9" t="s">
        <v>158</v>
      </c>
      <c r="B146" s="9" t="s">
        <v>16</v>
      </c>
      <c r="C146" s="9"/>
      <c r="D146" s="4">
        <f>SUMIFS(Rezepte!G:G,Rezepte!A:A,A146)</f>
        <v>6.010481</v>
      </c>
      <c r="E146" s="5">
        <v>3.9</v>
      </c>
      <c r="F146" s="5">
        <v>0.07</v>
      </c>
      <c r="G146" s="4">
        <f t="shared" si="1"/>
        <v>25.08173721</v>
      </c>
      <c r="H146" s="6"/>
      <c r="I146" s="7"/>
      <c r="J146" s="8"/>
      <c r="K146" s="6"/>
    </row>
    <row r="147">
      <c r="A147" s="9" t="s">
        <v>159</v>
      </c>
      <c r="B147" s="9" t="s">
        <v>16</v>
      </c>
      <c r="C147" s="9"/>
      <c r="D147" s="4">
        <f>SUMIFS(Rezepte!G:G,Rezepte!A:A,A147)</f>
        <v>33.88024</v>
      </c>
      <c r="E147" s="5">
        <v>3.9</v>
      </c>
      <c r="F147" s="5">
        <v>0.07</v>
      </c>
      <c r="G147" s="4">
        <f t="shared" si="1"/>
        <v>141.3822415</v>
      </c>
      <c r="H147" s="6"/>
      <c r="I147" s="7"/>
      <c r="J147" s="8"/>
      <c r="K147" s="6"/>
    </row>
    <row r="148">
      <c r="A148" s="9" t="s">
        <v>160</v>
      </c>
      <c r="B148" s="9" t="s">
        <v>16</v>
      </c>
      <c r="C148" s="9"/>
      <c r="D148" s="4">
        <f>SUMIFS(Rezepte!G:G,Rezepte!A:A,A148)</f>
        <v>10.94976933</v>
      </c>
      <c r="E148" s="5">
        <v>3.9</v>
      </c>
      <c r="F148" s="5">
        <v>0.07</v>
      </c>
      <c r="G148" s="4">
        <f t="shared" si="1"/>
        <v>45.69338743</v>
      </c>
      <c r="H148" s="6">
        <v>8.9</v>
      </c>
      <c r="I148" s="7">
        <v>8.9</v>
      </c>
      <c r="J148" s="8">
        <f t="shared" ref="J148:J150" si="6">I148/(D148+D148*F148)</f>
        <v>0.7596285142</v>
      </c>
      <c r="K148" s="6">
        <f t="shared" ref="K148:K150" si="7">I148-H148</f>
        <v>0</v>
      </c>
    </row>
    <row r="149">
      <c r="A149" s="9" t="s">
        <v>161</v>
      </c>
      <c r="B149" s="9" t="s">
        <v>16</v>
      </c>
      <c r="C149" s="9"/>
      <c r="D149" s="4">
        <f>SUMIFS(Rezepte!G:G,Rezepte!A:A,A149)</f>
        <v>28.30538667</v>
      </c>
      <c r="E149" s="5">
        <v>3.9</v>
      </c>
      <c r="F149" s="5">
        <v>0.07</v>
      </c>
      <c r="G149" s="4">
        <f t="shared" si="1"/>
        <v>118.1183786</v>
      </c>
      <c r="H149" s="6"/>
      <c r="I149" s="7"/>
      <c r="J149" s="8">
        <f t="shared" si="6"/>
        <v>0</v>
      </c>
      <c r="K149" s="6">
        <f t="shared" si="7"/>
        <v>0</v>
      </c>
    </row>
    <row r="150" hidden="1">
      <c r="A150" s="9" t="s">
        <v>162</v>
      </c>
      <c r="B150" s="9" t="s">
        <v>11</v>
      </c>
      <c r="C150" s="3" t="s">
        <v>12</v>
      </c>
      <c r="D150" s="4">
        <f>SUMIFS(Rezepte!G:G,Rezepte!A:A,A150)</f>
        <v>1.269421008</v>
      </c>
      <c r="E150" s="5">
        <v>3.9</v>
      </c>
      <c r="F150" s="5">
        <v>0.07</v>
      </c>
      <c r="G150" s="4">
        <f t="shared" si="1"/>
        <v>5.297293866</v>
      </c>
      <c r="H150" s="6"/>
      <c r="I150" s="7"/>
      <c r="J150" s="8">
        <f t="shared" si="6"/>
        <v>0</v>
      </c>
      <c r="K150" s="6">
        <f t="shared" si="7"/>
        <v>0</v>
      </c>
    </row>
    <row r="151">
      <c r="A151" s="9" t="s">
        <v>163</v>
      </c>
      <c r="B151" s="9" t="s">
        <v>16</v>
      </c>
      <c r="C151" s="9"/>
      <c r="D151" s="4">
        <f>SUMIFS(Rezepte!G:G,Rezepte!A:A,A151)</f>
        <v>27.36598115</v>
      </c>
      <c r="E151" s="5">
        <v>3.9</v>
      </c>
      <c r="F151" s="5">
        <v>0.07</v>
      </c>
      <c r="G151" s="4">
        <f t="shared" si="1"/>
        <v>114.1982393</v>
      </c>
      <c r="H151" s="6"/>
      <c r="I151" s="7"/>
      <c r="J151" s="8"/>
      <c r="K151" s="6"/>
    </row>
    <row r="152">
      <c r="A152" s="9" t="s">
        <v>164</v>
      </c>
      <c r="B152" s="9" t="s">
        <v>16</v>
      </c>
      <c r="C152" s="9"/>
      <c r="D152" s="4">
        <f>SUMIFS(Rezepte!G:G,Rezepte!A:A,A152)</f>
        <v>215.4516287</v>
      </c>
      <c r="E152" s="5">
        <v>3.9</v>
      </c>
      <c r="F152" s="5">
        <v>0.07</v>
      </c>
      <c r="G152" s="4">
        <f t="shared" si="1"/>
        <v>899.0796467</v>
      </c>
      <c r="H152" s="6"/>
      <c r="I152" s="7"/>
      <c r="J152" s="8"/>
      <c r="K152" s="6"/>
    </row>
    <row r="153">
      <c r="A153" s="9" t="s">
        <v>165</v>
      </c>
      <c r="B153" s="9" t="s">
        <v>16</v>
      </c>
      <c r="C153" s="9"/>
      <c r="D153" s="4">
        <f>SUMIFS(Rezepte!G:G,Rezepte!A:A,A153)</f>
        <v>66.71745318</v>
      </c>
      <c r="E153" s="5">
        <v>3.9</v>
      </c>
      <c r="F153" s="5">
        <v>0.07</v>
      </c>
      <c r="G153" s="4">
        <f t="shared" si="1"/>
        <v>278.4119321</v>
      </c>
      <c r="H153" s="6">
        <v>8.9</v>
      </c>
      <c r="I153" s="7">
        <v>10.9</v>
      </c>
      <c r="J153" s="8">
        <f t="shared" ref="J153:J154" si="8">I153/(D153+D153*F153)</f>
        <v>0.1526874214</v>
      </c>
      <c r="K153" s="6">
        <f t="shared" ref="K153:K154" si="9">I153-H153</f>
        <v>2</v>
      </c>
    </row>
    <row r="154">
      <c r="A154" s="9" t="s">
        <v>166</v>
      </c>
      <c r="B154" s="9" t="s">
        <v>11</v>
      </c>
      <c r="C154" s="3" t="s">
        <v>14</v>
      </c>
      <c r="D154" s="4">
        <f>SUMIFS(Rezepte!G:G,Rezepte!A:A,A154)</f>
        <v>2.808997083</v>
      </c>
      <c r="E154" s="5">
        <v>3.9</v>
      </c>
      <c r="F154" s="5">
        <v>0.07</v>
      </c>
      <c r="G154" s="4">
        <f t="shared" si="1"/>
        <v>11.72194483</v>
      </c>
      <c r="H154" s="6">
        <v>10.9</v>
      </c>
      <c r="I154" s="7">
        <v>10.9</v>
      </c>
      <c r="J154" s="8">
        <f t="shared" si="8"/>
        <v>3.626531316</v>
      </c>
      <c r="K154" s="6">
        <f t="shared" si="9"/>
        <v>0</v>
      </c>
    </row>
    <row r="155">
      <c r="A155" s="9" t="s">
        <v>167</v>
      </c>
      <c r="B155" s="9" t="s">
        <v>16</v>
      </c>
      <c r="C155" s="9"/>
      <c r="D155" s="4">
        <f>SUMIFS(Rezepte!G:G,Rezepte!A:A,A155)</f>
        <v>5.4946292</v>
      </c>
      <c r="E155" s="5">
        <v>3.9</v>
      </c>
      <c r="F155" s="5">
        <v>0.07</v>
      </c>
      <c r="G155" s="4">
        <f t="shared" si="1"/>
        <v>22.92908765</v>
      </c>
      <c r="H155" s="6"/>
      <c r="I155" s="7"/>
      <c r="J155" s="8"/>
      <c r="K155" s="6"/>
    </row>
    <row r="156">
      <c r="A156" s="9" t="s">
        <v>168</v>
      </c>
      <c r="B156" s="9" t="s">
        <v>16</v>
      </c>
      <c r="C156" s="9"/>
      <c r="D156" s="4">
        <f>SUMIFS(Rezepte!G:G,Rezepte!A:A,A156)</f>
        <v>8.65568</v>
      </c>
      <c r="E156" s="5">
        <v>3.9</v>
      </c>
      <c r="F156" s="5">
        <v>0.07</v>
      </c>
      <c r="G156" s="4">
        <f t="shared" si="1"/>
        <v>36.12015264</v>
      </c>
      <c r="H156" s="6"/>
      <c r="I156" s="7"/>
      <c r="J156" s="8"/>
      <c r="K156" s="6"/>
    </row>
    <row r="157">
      <c r="A157" s="3" t="s">
        <v>169</v>
      </c>
      <c r="B157" s="3" t="s">
        <v>16</v>
      </c>
      <c r="C157" s="3" t="s">
        <v>14</v>
      </c>
      <c r="D157" s="4">
        <f>SUMIFS(Rezepte!G:G,Rezepte!A:A,A157)</f>
        <v>49.62671714</v>
      </c>
      <c r="E157" s="5">
        <v>3.9</v>
      </c>
      <c r="F157" s="5">
        <v>0.07</v>
      </c>
      <c r="G157" s="4">
        <f t="shared" si="1"/>
        <v>207.0922906</v>
      </c>
      <c r="H157" s="6"/>
      <c r="I157" s="7"/>
      <c r="J157" s="8"/>
      <c r="K157" s="6"/>
    </row>
    <row r="158">
      <c r="A158" s="9" t="s">
        <v>170</v>
      </c>
      <c r="B158" s="9" t="s">
        <v>16</v>
      </c>
      <c r="C158" s="9"/>
      <c r="D158" s="4">
        <f>SUMIFS(Rezepte!G:G,Rezepte!A:A,A158)</f>
        <v>4.64786</v>
      </c>
      <c r="E158" s="5">
        <v>3.9</v>
      </c>
      <c r="F158" s="5">
        <v>0.07</v>
      </c>
      <c r="G158" s="4">
        <f t="shared" si="1"/>
        <v>19.39551978</v>
      </c>
      <c r="H158" s="6"/>
      <c r="I158" s="7"/>
      <c r="J158" s="8"/>
      <c r="K158" s="6"/>
    </row>
    <row r="159">
      <c r="A159" s="9" t="s">
        <v>171</v>
      </c>
      <c r="B159" s="9" t="s">
        <v>16</v>
      </c>
      <c r="C159" s="9"/>
      <c r="D159" s="4">
        <f>SUMIFS(Rezepte!G:G,Rezepte!A:A,A159)</f>
        <v>5.42436</v>
      </c>
      <c r="E159" s="5">
        <v>3.9</v>
      </c>
      <c r="F159" s="5">
        <v>0.07</v>
      </c>
      <c r="G159" s="4">
        <f t="shared" si="1"/>
        <v>22.63585428</v>
      </c>
      <c r="H159" s="6"/>
      <c r="I159" s="7"/>
      <c r="J159" s="8"/>
      <c r="K159" s="6"/>
    </row>
    <row r="160">
      <c r="A160" s="9" t="s">
        <v>172</v>
      </c>
      <c r="B160" s="9" t="s">
        <v>16</v>
      </c>
      <c r="C160" s="9"/>
      <c r="D160" s="4">
        <f>SUMIFS(Rezepte!G:G,Rezepte!A:A,A160)</f>
        <v>1.36628</v>
      </c>
      <c r="E160" s="5">
        <v>3.9</v>
      </c>
      <c r="F160" s="5">
        <v>0.07</v>
      </c>
      <c r="G160" s="4">
        <f t="shared" si="1"/>
        <v>5.70148644</v>
      </c>
      <c r="H160" s="6"/>
      <c r="I160" s="7"/>
      <c r="J160" s="8"/>
      <c r="K160" s="6"/>
    </row>
    <row r="161">
      <c r="A161" s="9" t="s">
        <v>173</v>
      </c>
      <c r="B161" s="9" t="s">
        <v>16</v>
      </c>
      <c r="C161" s="9"/>
      <c r="D161" s="4">
        <f>SUMIFS(Rezepte!G:G,Rezepte!A:A,A161)</f>
        <v>50.55593262</v>
      </c>
      <c r="E161" s="5">
        <v>3.9</v>
      </c>
      <c r="F161" s="5">
        <v>0.07</v>
      </c>
      <c r="G161" s="4">
        <f t="shared" si="1"/>
        <v>210.9699068</v>
      </c>
      <c r="H161" s="6">
        <v>3.5</v>
      </c>
      <c r="I161" s="7">
        <v>3.5</v>
      </c>
      <c r="J161" s="8">
        <f t="shared" ref="J161:J188" si="10">I161/(D161+D161*F161)</f>
        <v>0.06470117091</v>
      </c>
      <c r="K161" s="6">
        <f t="shared" ref="K161:K162" si="11">I161-H161</f>
        <v>0</v>
      </c>
    </row>
    <row r="162">
      <c r="A162" s="3" t="s">
        <v>174</v>
      </c>
      <c r="B162" s="3" t="s">
        <v>16</v>
      </c>
      <c r="C162" s="3" t="s">
        <v>14</v>
      </c>
      <c r="D162" s="4">
        <f>SUMIFS(Rezepte!G:G,Rezepte!A:A,A162)</f>
        <v>31.2229</v>
      </c>
      <c r="E162" s="5">
        <v>3.9</v>
      </c>
      <c r="F162" s="5">
        <v>0.07</v>
      </c>
      <c r="G162" s="4">
        <f t="shared" si="1"/>
        <v>130.2931617</v>
      </c>
      <c r="H162" s="7">
        <v>0.0</v>
      </c>
      <c r="I162" s="7">
        <v>0.0</v>
      </c>
      <c r="J162" s="8">
        <f t="shared" si="10"/>
        <v>0</v>
      </c>
      <c r="K162" s="6">
        <f t="shared" si="11"/>
        <v>0</v>
      </c>
    </row>
    <row r="163" hidden="1">
      <c r="A163" s="9" t="s">
        <v>175</v>
      </c>
      <c r="B163" s="9" t="s">
        <v>11</v>
      </c>
      <c r="C163" s="3" t="s">
        <v>12</v>
      </c>
      <c r="D163" s="4">
        <f>SUMIFS(Rezepte!G:G,Rezepte!A:A,A163)</f>
        <v>2.804664205</v>
      </c>
      <c r="E163" s="5">
        <v>3.9</v>
      </c>
      <c r="F163" s="5">
        <v>0.07</v>
      </c>
      <c r="G163" s="4">
        <f t="shared" si="1"/>
        <v>11.70386373</v>
      </c>
      <c r="H163" s="6">
        <v>6.9</v>
      </c>
      <c r="I163" s="7">
        <v>6.9</v>
      </c>
      <c r="J163" s="8">
        <f t="shared" si="10"/>
        <v>2.299240714</v>
      </c>
      <c r="K163" s="6"/>
    </row>
    <row r="164">
      <c r="A164" s="3" t="s">
        <v>176</v>
      </c>
      <c r="B164" s="3" t="s">
        <v>16</v>
      </c>
      <c r="C164" s="3" t="s">
        <v>14</v>
      </c>
      <c r="D164" s="4">
        <f>SUMIFS(Rezepte!G:G,Rezepte!A:A,A164)</f>
        <v>8.026536807</v>
      </c>
      <c r="E164" s="5">
        <v>3.9</v>
      </c>
      <c r="F164" s="5">
        <v>0.07</v>
      </c>
      <c r="G164" s="4">
        <f t="shared" si="1"/>
        <v>33.49473809</v>
      </c>
      <c r="H164" s="6">
        <v>5.5</v>
      </c>
      <c r="I164" s="7">
        <v>5.5</v>
      </c>
      <c r="J164" s="8">
        <f t="shared" si="10"/>
        <v>0.6403990961</v>
      </c>
      <c r="K164" s="6"/>
    </row>
    <row r="165">
      <c r="A165" s="3" t="s">
        <v>177</v>
      </c>
      <c r="B165" s="3" t="s">
        <v>16</v>
      </c>
      <c r="C165" s="3" t="s">
        <v>14</v>
      </c>
      <c r="D165" s="4">
        <f>SUMIFS(Rezepte!G:G,Rezepte!A:A,A165)</f>
        <v>2.016806723</v>
      </c>
      <c r="E165" s="5">
        <v>3.9</v>
      </c>
      <c r="F165" s="5">
        <v>0.07</v>
      </c>
      <c r="G165" s="4">
        <f t="shared" si="1"/>
        <v>8.416134454</v>
      </c>
      <c r="H165" s="7"/>
      <c r="I165" s="7"/>
      <c r="J165" s="8">
        <f t="shared" si="10"/>
        <v>0</v>
      </c>
      <c r="K165" s="6"/>
    </row>
    <row r="166">
      <c r="A166" s="3" t="s">
        <v>178</v>
      </c>
      <c r="B166" s="3" t="s">
        <v>16</v>
      </c>
      <c r="C166" s="3" t="s">
        <v>14</v>
      </c>
      <c r="D166" s="4">
        <f>SUMIFS(Rezepte!G:G,Rezepte!A:A,A166)</f>
        <v>5.9835</v>
      </c>
      <c r="E166" s="5">
        <v>3.9</v>
      </c>
      <c r="F166" s="5">
        <v>0.07</v>
      </c>
      <c r="G166" s="4">
        <f t="shared" si="1"/>
        <v>24.9691455</v>
      </c>
      <c r="H166" s="7"/>
      <c r="I166" s="7"/>
      <c r="J166" s="8">
        <f t="shared" si="10"/>
        <v>0</v>
      </c>
      <c r="K166" s="6"/>
    </row>
    <row r="167" hidden="1">
      <c r="A167" s="3" t="s">
        <v>179</v>
      </c>
      <c r="B167" s="3" t="s">
        <v>11</v>
      </c>
      <c r="C167" s="3" t="s">
        <v>12</v>
      </c>
      <c r="D167" s="4">
        <f>SUMIFS(Rezepte!G:G,Rezepte!A:A,A167)</f>
        <v>4.745987745</v>
      </c>
      <c r="E167" s="5">
        <v>3.9</v>
      </c>
      <c r="F167" s="5">
        <v>0.07</v>
      </c>
      <c r="G167" s="4">
        <f t="shared" si="1"/>
        <v>19.80500686</v>
      </c>
      <c r="H167" s="7">
        <v>14.9</v>
      </c>
      <c r="I167" s="7">
        <v>14.9</v>
      </c>
      <c r="J167" s="8">
        <f t="shared" si="10"/>
        <v>2.934106532</v>
      </c>
      <c r="K167" s="6">
        <f>I167-H167</f>
        <v>0</v>
      </c>
    </row>
    <row r="168">
      <c r="A168" s="3" t="s">
        <v>180</v>
      </c>
      <c r="B168" s="3" t="s">
        <v>16</v>
      </c>
      <c r="C168" s="3" t="s">
        <v>14</v>
      </c>
      <c r="D168" s="4">
        <f>SUMIFS(Rezepte!G:G,Rezepte!A:A,A168)</f>
        <v>7.75692521</v>
      </c>
      <c r="E168" s="5">
        <v>3.9</v>
      </c>
      <c r="F168" s="5">
        <v>0.07</v>
      </c>
      <c r="G168" s="4">
        <f t="shared" si="1"/>
        <v>32.3696489</v>
      </c>
      <c r="H168" s="6">
        <v>5.5</v>
      </c>
      <c r="I168" s="7">
        <v>5.5</v>
      </c>
      <c r="J168" s="8">
        <f t="shared" si="10"/>
        <v>0.6626577899</v>
      </c>
      <c r="K168" s="6"/>
    </row>
    <row r="169">
      <c r="A169" s="9" t="s">
        <v>181</v>
      </c>
      <c r="B169" s="9" t="s">
        <v>11</v>
      </c>
      <c r="C169" s="3" t="s">
        <v>14</v>
      </c>
      <c r="D169" s="4">
        <f>SUMIFS(Rezepte!G:G,Rezepte!A:A,A169)</f>
        <v>0.7775</v>
      </c>
      <c r="E169" s="5">
        <v>3.9</v>
      </c>
      <c r="F169" s="5">
        <v>0.07</v>
      </c>
      <c r="G169" s="4">
        <f t="shared" si="1"/>
        <v>3.2445075</v>
      </c>
      <c r="H169" s="6">
        <v>3.5</v>
      </c>
      <c r="I169" s="7">
        <v>3.5</v>
      </c>
      <c r="J169" s="8">
        <f t="shared" si="10"/>
        <v>4.207110016</v>
      </c>
      <c r="K169" s="6">
        <f t="shared" ref="K169:K188" si="12">I169-H169</f>
        <v>0</v>
      </c>
    </row>
    <row r="170">
      <c r="A170" s="9" t="s">
        <v>182</v>
      </c>
      <c r="B170" s="9" t="s">
        <v>11</v>
      </c>
      <c r="C170" s="3" t="s">
        <v>14</v>
      </c>
      <c r="D170" s="4">
        <f>SUMIFS(Rezepte!G:G,Rezepte!A:A,A170)</f>
        <v>4.130201182</v>
      </c>
      <c r="E170" s="5">
        <v>3.9</v>
      </c>
      <c r="F170" s="5">
        <v>0.07</v>
      </c>
      <c r="G170" s="4">
        <f t="shared" si="1"/>
        <v>17.23532953</v>
      </c>
      <c r="H170" s="6">
        <v>14.9</v>
      </c>
      <c r="I170" s="7">
        <v>14.9</v>
      </c>
      <c r="J170" s="8">
        <f t="shared" si="10"/>
        <v>3.371563038</v>
      </c>
      <c r="K170" s="6">
        <f t="shared" si="12"/>
        <v>0</v>
      </c>
    </row>
    <row r="171">
      <c r="A171" s="9" t="s">
        <v>183</v>
      </c>
      <c r="B171" s="9" t="s">
        <v>11</v>
      </c>
      <c r="C171" s="3" t="s">
        <v>14</v>
      </c>
      <c r="D171" s="4">
        <f>SUMIFS(Rezepte!G:G,Rezepte!A:A,A171)</f>
        <v>3.539611225</v>
      </c>
      <c r="E171" s="5">
        <v>3.9</v>
      </c>
      <c r="F171" s="5">
        <v>0.07</v>
      </c>
      <c r="G171" s="4">
        <f t="shared" si="1"/>
        <v>14.77079764</v>
      </c>
      <c r="H171" s="6">
        <v>13.5</v>
      </c>
      <c r="I171" s="7">
        <v>13.5</v>
      </c>
      <c r="J171" s="8">
        <f t="shared" si="10"/>
        <v>3.564465595</v>
      </c>
      <c r="K171" s="6">
        <f t="shared" si="12"/>
        <v>0</v>
      </c>
    </row>
    <row r="172" hidden="1">
      <c r="A172" s="9" t="s">
        <v>184</v>
      </c>
      <c r="B172" s="9" t="s">
        <v>11</v>
      </c>
      <c r="C172" s="3" t="s">
        <v>12</v>
      </c>
      <c r="D172" s="4">
        <f>SUMIFS(Rezepte!G:G,Rezepte!A:A,A172)</f>
        <v>3.982356435</v>
      </c>
      <c r="E172" s="5">
        <v>3.9</v>
      </c>
      <c r="F172" s="5">
        <v>0.07</v>
      </c>
      <c r="G172" s="4">
        <f t="shared" si="1"/>
        <v>16.61837341</v>
      </c>
      <c r="H172" s="6">
        <v>14.9</v>
      </c>
      <c r="I172" s="7">
        <v>14.9</v>
      </c>
      <c r="J172" s="8">
        <f t="shared" si="10"/>
        <v>3.496732116</v>
      </c>
      <c r="K172" s="6">
        <f t="shared" si="12"/>
        <v>0</v>
      </c>
    </row>
    <row r="173">
      <c r="A173" s="9" t="s">
        <v>185</v>
      </c>
      <c r="B173" s="9" t="s">
        <v>11</v>
      </c>
      <c r="C173" s="3" t="s">
        <v>14</v>
      </c>
      <c r="D173" s="4">
        <f>SUMIFS(Rezepte!G:G,Rezepte!A:A,A173)</f>
        <v>4.128355</v>
      </c>
      <c r="E173" s="5">
        <v>3.9</v>
      </c>
      <c r="F173" s="5">
        <v>0.07</v>
      </c>
      <c r="G173" s="4">
        <f t="shared" si="1"/>
        <v>17.22762541</v>
      </c>
      <c r="H173" s="6">
        <v>14.9</v>
      </c>
      <c r="I173" s="7">
        <v>14.9</v>
      </c>
      <c r="J173" s="8">
        <f t="shared" si="10"/>
        <v>3.373070786</v>
      </c>
      <c r="K173" s="6">
        <f t="shared" si="12"/>
        <v>0</v>
      </c>
    </row>
    <row r="174">
      <c r="A174" s="9" t="s">
        <v>186</v>
      </c>
      <c r="B174" s="9" t="s">
        <v>11</v>
      </c>
      <c r="C174" s="3" t="s">
        <v>14</v>
      </c>
      <c r="D174" s="4">
        <f>SUMIFS(Rezepte!G:G,Rezepte!A:A,A174)</f>
        <v>0.3725003714</v>
      </c>
      <c r="E174" s="5">
        <v>3.9</v>
      </c>
      <c r="F174" s="5">
        <v>0.07</v>
      </c>
      <c r="G174" s="4">
        <f t="shared" si="1"/>
        <v>1.55444405</v>
      </c>
      <c r="H174" s="6">
        <v>1.5</v>
      </c>
      <c r="I174" s="7">
        <v>1.5</v>
      </c>
      <c r="J174" s="8">
        <f t="shared" si="10"/>
        <v>3.763403386</v>
      </c>
      <c r="K174" s="6">
        <f t="shared" si="12"/>
        <v>0</v>
      </c>
    </row>
    <row r="175">
      <c r="A175" s="9" t="s">
        <v>187</v>
      </c>
      <c r="B175" s="9" t="s">
        <v>11</v>
      </c>
      <c r="C175" s="3" t="s">
        <v>14</v>
      </c>
      <c r="D175" s="4">
        <f>SUMIFS(Rezepte!G:G,Rezepte!A:A,A175)</f>
        <v>0.3739865938</v>
      </c>
      <c r="E175" s="5">
        <v>3.9</v>
      </c>
      <c r="F175" s="5">
        <v>0.07</v>
      </c>
      <c r="G175" s="4">
        <f t="shared" si="1"/>
        <v>1.560646056</v>
      </c>
      <c r="H175" s="6">
        <v>1.6</v>
      </c>
      <c r="I175" s="7">
        <v>1.6</v>
      </c>
      <c r="J175" s="8">
        <f t="shared" si="10"/>
        <v>3.998344132</v>
      </c>
      <c r="K175" s="6">
        <f t="shared" si="12"/>
        <v>0</v>
      </c>
    </row>
    <row r="176">
      <c r="A176" s="9" t="s">
        <v>188</v>
      </c>
      <c r="B176" s="9" t="s">
        <v>11</v>
      </c>
      <c r="C176" s="3" t="s">
        <v>14</v>
      </c>
      <c r="D176" s="4">
        <f>SUMIFS(Rezepte!G:G,Rezepte!A:A,A176)</f>
        <v>0.1561015088</v>
      </c>
      <c r="E176" s="5">
        <v>3.9</v>
      </c>
      <c r="F176" s="5">
        <v>0.07</v>
      </c>
      <c r="G176" s="4">
        <f t="shared" si="1"/>
        <v>0.6514115961</v>
      </c>
      <c r="H176" s="6">
        <v>1.0</v>
      </c>
      <c r="I176" s="7">
        <v>1.0</v>
      </c>
      <c r="J176" s="8">
        <f t="shared" si="10"/>
        <v>5.986998118</v>
      </c>
      <c r="K176" s="6">
        <f t="shared" si="12"/>
        <v>0</v>
      </c>
    </row>
    <row r="177">
      <c r="A177" s="9" t="s">
        <v>189</v>
      </c>
      <c r="B177" s="9" t="s">
        <v>11</v>
      </c>
      <c r="C177" s="3" t="s">
        <v>14</v>
      </c>
      <c r="D177" s="4">
        <f>SUMIFS(Rezepte!G:G,Rezepte!A:A,A177)</f>
        <v>0.3676228483</v>
      </c>
      <c r="E177" s="5">
        <v>3.9</v>
      </c>
      <c r="F177" s="5">
        <v>0.07</v>
      </c>
      <c r="G177" s="4">
        <f t="shared" si="1"/>
        <v>1.534090146</v>
      </c>
      <c r="H177" s="6">
        <v>1.6</v>
      </c>
      <c r="I177" s="7">
        <v>1.6</v>
      </c>
      <c r="J177" s="8">
        <f t="shared" si="10"/>
        <v>4.067557579</v>
      </c>
      <c r="K177" s="6">
        <f t="shared" si="12"/>
        <v>0</v>
      </c>
    </row>
    <row r="178">
      <c r="A178" s="9" t="s">
        <v>190</v>
      </c>
      <c r="B178" s="9" t="s">
        <v>11</v>
      </c>
      <c r="C178" s="3" t="s">
        <v>14</v>
      </c>
      <c r="D178" s="4">
        <f>SUMIFS(Rezepte!G:G,Rezepte!A:A,A178)</f>
        <v>0.1425</v>
      </c>
      <c r="E178" s="5">
        <v>3.9</v>
      </c>
      <c r="F178" s="5">
        <v>0.07</v>
      </c>
      <c r="G178" s="4">
        <f t="shared" si="1"/>
        <v>0.5946525</v>
      </c>
      <c r="H178" s="6">
        <v>0.7</v>
      </c>
      <c r="I178" s="7">
        <v>0.7</v>
      </c>
      <c r="J178" s="8">
        <f t="shared" si="10"/>
        <v>4.590916544</v>
      </c>
      <c r="K178" s="6">
        <f t="shared" si="12"/>
        <v>0</v>
      </c>
    </row>
    <row r="179">
      <c r="A179" s="9" t="s">
        <v>191</v>
      </c>
      <c r="B179" s="9" t="s">
        <v>11</v>
      </c>
      <c r="C179" s="3" t="s">
        <v>14</v>
      </c>
      <c r="D179" s="4">
        <f>SUMIFS(Rezepte!G:G,Rezepte!A:A,A179)</f>
        <v>0.1419438529</v>
      </c>
      <c r="E179" s="5">
        <v>3.9</v>
      </c>
      <c r="F179" s="5">
        <v>0.07</v>
      </c>
      <c r="G179" s="4">
        <f t="shared" si="1"/>
        <v>0.592331698</v>
      </c>
      <c r="H179" s="6">
        <v>1.0</v>
      </c>
      <c r="I179" s="7">
        <v>1.0</v>
      </c>
      <c r="J179" s="8">
        <f t="shared" si="10"/>
        <v>6.584148735</v>
      </c>
      <c r="K179" s="6">
        <f t="shared" si="12"/>
        <v>0</v>
      </c>
    </row>
    <row r="180">
      <c r="A180" s="9" t="s">
        <v>192</v>
      </c>
      <c r="B180" s="9" t="s">
        <v>11</v>
      </c>
      <c r="C180" s="3" t="s">
        <v>14</v>
      </c>
      <c r="D180" s="4">
        <f>SUMIFS(Rezepte!G:G,Rezepte!A:A,A180)</f>
        <v>0.1581710551</v>
      </c>
      <c r="E180" s="5">
        <v>3.9</v>
      </c>
      <c r="F180" s="5">
        <v>0.07</v>
      </c>
      <c r="G180" s="4">
        <f t="shared" si="1"/>
        <v>0.6600478129</v>
      </c>
      <c r="H180" s="6">
        <v>1.0</v>
      </c>
      <c r="I180" s="7">
        <v>1.0</v>
      </c>
      <c r="J180" s="8">
        <f t="shared" si="10"/>
        <v>5.908662863</v>
      </c>
      <c r="K180" s="6">
        <f t="shared" si="12"/>
        <v>0</v>
      </c>
    </row>
    <row r="181">
      <c r="A181" s="9" t="s">
        <v>193</v>
      </c>
      <c r="B181" s="9" t="s">
        <v>11</v>
      </c>
      <c r="C181" s="3" t="s">
        <v>14</v>
      </c>
      <c r="D181" s="4">
        <f>SUMIFS(Rezepte!G:G,Rezepte!A:A,A181)</f>
        <v>0.2747234014</v>
      </c>
      <c r="E181" s="5">
        <v>3.9</v>
      </c>
      <c r="F181" s="5">
        <v>0.07</v>
      </c>
      <c r="G181" s="4">
        <f t="shared" si="1"/>
        <v>1.146420754</v>
      </c>
      <c r="H181" s="6">
        <v>1.3</v>
      </c>
      <c r="I181" s="7">
        <v>1.3</v>
      </c>
      <c r="J181" s="8">
        <f t="shared" si="10"/>
        <v>4.422460063</v>
      </c>
      <c r="K181" s="6">
        <f t="shared" si="12"/>
        <v>0</v>
      </c>
    </row>
    <row r="182">
      <c r="A182" s="9" t="s">
        <v>194</v>
      </c>
      <c r="B182" s="9" t="s">
        <v>11</v>
      </c>
      <c r="C182" s="3" t="s">
        <v>14</v>
      </c>
      <c r="D182" s="4">
        <f>SUMIFS(Rezepte!G:G,Rezepte!A:A,A182)</f>
        <v>0.1943697865</v>
      </c>
      <c r="E182" s="5">
        <v>3.9</v>
      </c>
      <c r="F182" s="5">
        <v>0.07</v>
      </c>
      <c r="G182" s="4">
        <f t="shared" si="1"/>
        <v>0.8111051192</v>
      </c>
      <c r="H182" s="6">
        <v>1.2</v>
      </c>
      <c r="I182" s="7">
        <v>1.2</v>
      </c>
      <c r="J182" s="8">
        <f t="shared" si="10"/>
        <v>5.769905638</v>
      </c>
      <c r="K182" s="6">
        <f t="shared" si="12"/>
        <v>0</v>
      </c>
    </row>
    <row r="183">
      <c r="A183" s="9" t="s">
        <v>195</v>
      </c>
      <c r="B183" s="9" t="s">
        <v>11</v>
      </c>
      <c r="C183" s="3" t="s">
        <v>14</v>
      </c>
      <c r="D183" s="4">
        <f>SUMIFS(Rezepte!G:G,Rezepte!A:A,A183)</f>
        <v>0.1797493964</v>
      </c>
      <c r="E183" s="5">
        <v>3.9</v>
      </c>
      <c r="F183" s="5">
        <v>0.07</v>
      </c>
      <c r="G183" s="4">
        <f t="shared" si="1"/>
        <v>0.750094231</v>
      </c>
      <c r="H183" s="6">
        <v>1.0</v>
      </c>
      <c r="I183" s="7">
        <v>1.0</v>
      </c>
      <c r="J183" s="8">
        <f t="shared" si="10"/>
        <v>5.199346747</v>
      </c>
      <c r="K183" s="6">
        <f t="shared" si="12"/>
        <v>0</v>
      </c>
    </row>
    <row r="184">
      <c r="A184" s="9" t="s">
        <v>196</v>
      </c>
      <c r="B184" s="9" t="s">
        <v>11</v>
      </c>
      <c r="C184" s="3" t="s">
        <v>14</v>
      </c>
      <c r="D184" s="4">
        <f>SUMIFS(Rezepte!G:G,Rezepte!A:A,A184)</f>
        <v>0.1067942175</v>
      </c>
      <c r="E184" s="5">
        <v>3.9</v>
      </c>
      <c r="F184" s="5">
        <v>0.07</v>
      </c>
      <c r="G184" s="4">
        <f t="shared" si="1"/>
        <v>0.4456522696</v>
      </c>
      <c r="H184" s="6">
        <v>1.0</v>
      </c>
      <c r="I184" s="7">
        <v>1.0</v>
      </c>
      <c r="J184" s="8">
        <f t="shared" si="10"/>
        <v>8.751217633</v>
      </c>
      <c r="K184" s="6">
        <f t="shared" si="12"/>
        <v>0</v>
      </c>
    </row>
    <row r="185">
      <c r="A185" s="9" t="s">
        <v>197</v>
      </c>
      <c r="B185" s="9" t="s">
        <v>11</v>
      </c>
      <c r="C185" s="3" t="s">
        <v>14</v>
      </c>
      <c r="D185" s="4">
        <f>SUMIFS(Rezepte!G:G,Rezepte!A:A,A185)</f>
        <v>0.1372187618</v>
      </c>
      <c r="E185" s="5">
        <v>3.9</v>
      </c>
      <c r="F185" s="5">
        <v>0.07</v>
      </c>
      <c r="G185" s="4">
        <f t="shared" si="1"/>
        <v>0.5726138929</v>
      </c>
      <c r="H185" s="6">
        <v>1.0</v>
      </c>
      <c r="I185" s="7">
        <v>1.0</v>
      </c>
      <c r="J185" s="8">
        <f t="shared" si="10"/>
        <v>6.810872122</v>
      </c>
      <c r="K185" s="6">
        <f t="shared" si="12"/>
        <v>0</v>
      </c>
    </row>
    <row r="186">
      <c r="A186" s="9" t="s">
        <v>198</v>
      </c>
      <c r="B186" s="9" t="s">
        <v>11</v>
      </c>
      <c r="C186" s="3" t="s">
        <v>14</v>
      </c>
      <c r="D186" s="4">
        <f>SUMIFS(Rezepte!G:G,Rezepte!A:A,A186)</f>
        <v>0.1526727108</v>
      </c>
      <c r="E186" s="5">
        <v>3.9</v>
      </c>
      <c r="F186" s="5">
        <v>0.07</v>
      </c>
      <c r="G186" s="4">
        <f t="shared" si="1"/>
        <v>0.6371032221</v>
      </c>
      <c r="H186" s="6">
        <v>1.0</v>
      </c>
      <c r="I186" s="7">
        <v>1.0</v>
      </c>
      <c r="J186" s="8">
        <f t="shared" si="10"/>
        <v>6.121457033</v>
      </c>
      <c r="K186" s="6">
        <f t="shared" si="12"/>
        <v>0</v>
      </c>
    </row>
    <row r="187">
      <c r="A187" s="9" t="s">
        <v>199</v>
      </c>
      <c r="B187" s="9" t="s">
        <v>11</v>
      </c>
      <c r="C187" s="3" t="s">
        <v>14</v>
      </c>
      <c r="D187" s="4">
        <f>SUMIFS(Rezepte!G:G,Rezepte!A:A,A187)</f>
        <v>0.2618020389</v>
      </c>
      <c r="E187" s="5">
        <v>3.9</v>
      </c>
      <c r="F187" s="5">
        <v>0.07</v>
      </c>
      <c r="G187" s="4">
        <f t="shared" si="1"/>
        <v>1.092499908</v>
      </c>
      <c r="H187" s="6">
        <v>1.3</v>
      </c>
      <c r="I187" s="7">
        <v>1.3</v>
      </c>
      <c r="J187" s="8">
        <f t="shared" si="10"/>
        <v>4.640732654</v>
      </c>
      <c r="K187" s="6">
        <f t="shared" si="12"/>
        <v>0</v>
      </c>
    </row>
    <row r="188">
      <c r="A188" s="9" t="s">
        <v>200</v>
      </c>
      <c r="B188" s="9" t="s">
        <v>11</v>
      </c>
      <c r="C188" s="3" t="s">
        <v>14</v>
      </c>
      <c r="D188" s="4">
        <f>SUMIFS(Rezepte!G:G,Rezepte!A:A,A188)</f>
        <v>0.1782986093</v>
      </c>
      <c r="E188" s="5">
        <v>3.9</v>
      </c>
      <c r="F188" s="5">
        <v>0.07</v>
      </c>
      <c r="G188" s="4">
        <f t="shared" si="1"/>
        <v>0.7440400966</v>
      </c>
      <c r="H188" s="6">
        <v>1.0</v>
      </c>
      <c r="I188" s="7">
        <v>1.0</v>
      </c>
      <c r="J188" s="8">
        <f t="shared" si="10"/>
        <v>5.241652994</v>
      </c>
      <c r="K188" s="6">
        <f t="shared" si="12"/>
        <v>0</v>
      </c>
    </row>
    <row r="189">
      <c r="A189" s="9" t="s">
        <v>201</v>
      </c>
      <c r="B189" s="9" t="s">
        <v>16</v>
      </c>
      <c r="C189" s="9"/>
      <c r="D189" s="4">
        <f>SUMIFS(Rezepte!G:G,Rezepte!A:A,A189)</f>
        <v>6.064166667</v>
      </c>
      <c r="E189" s="5">
        <v>3.9</v>
      </c>
      <c r="F189" s="5">
        <v>0.07</v>
      </c>
      <c r="G189" s="4">
        <f t="shared" si="1"/>
        <v>25.3057675</v>
      </c>
      <c r="H189" s="6"/>
      <c r="I189" s="7"/>
      <c r="J189" s="8"/>
      <c r="K189" s="6"/>
    </row>
    <row r="190">
      <c r="A190" s="9" t="s">
        <v>202</v>
      </c>
      <c r="B190" s="9" t="s">
        <v>16</v>
      </c>
      <c r="C190" s="9"/>
      <c r="D190" s="4">
        <f>SUMIFS(Rezepte!G:G,Rezepte!A:A,A190)</f>
        <v>32.7094</v>
      </c>
      <c r="E190" s="5">
        <v>3.9</v>
      </c>
      <c r="F190" s="5">
        <v>0.07</v>
      </c>
      <c r="G190" s="4">
        <f t="shared" si="1"/>
        <v>136.4963262</v>
      </c>
      <c r="H190" s="6"/>
      <c r="I190" s="7"/>
      <c r="J190" s="8"/>
      <c r="K190" s="6"/>
    </row>
    <row r="191">
      <c r="A191" s="9" t="s">
        <v>203</v>
      </c>
      <c r="B191" s="9" t="s">
        <v>16</v>
      </c>
      <c r="C191" s="9"/>
      <c r="D191" s="4">
        <f>SUMIFS(Rezepte!G:G,Rezepte!A:A,A191)</f>
        <v>5.211</v>
      </c>
      <c r="E191" s="5">
        <v>3.9</v>
      </c>
      <c r="F191" s="5">
        <v>0.07</v>
      </c>
      <c r="G191" s="4">
        <f t="shared" si="1"/>
        <v>21.745503</v>
      </c>
      <c r="H191" s="6">
        <v>15.5</v>
      </c>
      <c r="I191" s="7">
        <v>15.5</v>
      </c>
      <c r="J191" s="8">
        <f t="shared" ref="J191:J193" si="13">I191/(D191+D191*F191)</f>
        <v>2.77988511</v>
      </c>
      <c r="K191" s="6">
        <f t="shared" ref="K191:K193" si="14">I191-H191</f>
        <v>0</v>
      </c>
    </row>
    <row r="192">
      <c r="A192" s="9" t="s">
        <v>204</v>
      </c>
      <c r="B192" s="9" t="s">
        <v>11</v>
      </c>
      <c r="C192" s="3" t="s">
        <v>14</v>
      </c>
      <c r="D192" s="4">
        <f>SUMIFS(Rezepte!G:G,Rezepte!A:A,A192)</f>
        <v>3.633592854</v>
      </c>
      <c r="E192" s="5">
        <v>3.9</v>
      </c>
      <c r="F192" s="5">
        <v>0.07</v>
      </c>
      <c r="G192" s="4">
        <f t="shared" si="1"/>
        <v>15.16298298</v>
      </c>
      <c r="H192" s="6">
        <v>15.5</v>
      </c>
      <c r="I192" s="7">
        <v>15.5</v>
      </c>
      <c r="J192" s="8">
        <f t="shared" si="13"/>
        <v>3.986682573</v>
      </c>
      <c r="K192" s="6">
        <f t="shared" si="14"/>
        <v>0</v>
      </c>
    </row>
    <row r="193">
      <c r="A193" s="9" t="s">
        <v>205</v>
      </c>
      <c r="B193" s="9" t="s">
        <v>11</v>
      </c>
      <c r="C193" s="3" t="s">
        <v>14</v>
      </c>
      <c r="D193" s="4">
        <f>SUMIFS(Rezepte!G:G,Rezepte!A:A,A193)</f>
        <v>2.180456872</v>
      </c>
      <c r="E193" s="5">
        <v>3.9</v>
      </c>
      <c r="F193" s="5">
        <v>0.07</v>
      </c>
      <c r="G193" s="4">
        <f t="shared" si="1"/>
        <v>9.099046527</v>
      </c>
      <c r="H193" s="6">
        <v>9.9</v>
      </c>
      <c r="I193" s="7">
        <v>9.9</v>
      </c>
      <c r="J193" s="8">
        <f t="shared" si="13"/>
        <v>4.243301744</v>
      </c>
      <c r="K193" s="6">
        <f t="shared" si="14"/>
        <v>0</v>
      </c>
    </row>
    <row r="194">
      <c r="A194" s="9" t="s">
        <v>206</v>
      </c>
      <c r="B194" s="9" t="s">
        <v>16</v>
      </c>
      <c r="C194" s="9"/>
      <c r="D194" s="4">
        <f>SUMIFS(Rezepte!G:G,Rezepte!A:A,A194)</f>
        <v>181.077037</v>
      </c>
      <c r="E194" s="5">
        <v>3.9</v>
      </c>
      <c r="F194" s="5">
        <v>0.07</v>
      </c>
      <c r="G194" s="4">
        <f t="shared" si="1"/>
        <v>755.6344756</v>
      </c>
      <c r="H194" s="6"/>
      <c r="I194" s="7"/>
      <c r="J194" s="8"/>
      <c r="K194" s="6"/>
    </row>
    <row r="195">
      <c r="A195" s="9" t="s">
        <v>207</v>
      </c>
      <c r="B195" s="9" t="s">
        <v>16</v>
      </c>
      <c r="C195" s="9"/>
      <c r="D195" s="4">
        <f>SUMIFS(Rezepte!G:G,Rezepte!A:A,A195)</f>
        <v>2.240606399</v>
      </c>
      <c r="E195" s="5">
        <v>3.9</v>
      </c>
      <c r="F195" s="5">
        <v>0.07</v>
      </c>
      <c r="G195" s="4">
        <f t="shared" si="1"/>
        <v>9.350050502</v>
      </c>
      <c r="H195" s="6">
        <v>5.9</v>
      </c>
      <c r="I195" s="7">
        <v>5.9</v>
      </c>
      <c r="J195" s="8">
        <f t="shared" ref="J195:J196" si="15">I195/(D195+D195*F195)</f>
        <v>2.460949274</v>
      </c>
      <c r="K195" s="6">
        <f t="shared" ref="K195:K196" si="16">I195-H195</f>
        <v>0</v>
      </c>
    </row>
    <row r="196">
      <c r="A196" s="9" t="s">
        <v>208</v>
      </c>
      <c r="B196" s="9" t="s">
        <v>44</v>
      </c>
      <c r="C196" s="3" t="s">
        <v>14</v>
      </c>
      <c r="D196" s="4">
        <f>SUMIFS(Rezepte!G:G,Rezepte!A:A,A196)</f>
        <v>1.522167857</v>
      </c>
      <c r="E196" s="5">
        <v>3.9</v>
      </c>
      <c r="F196" s="5">
        <v>0.07</v>
      </c>
      <c r="G196" s="4">
        <f t="shared" si="1"/>
        <v>6.352006468</v>
      </c>
      <c r="H196" s="6">
        <v>5.9</v>
      </c>
      <c r="I196" s="7">
        <v>5.9</v>
      </c>
      <c r="J196" s="8">
        <f t="shared" si="15"/>
        <v>3.62247742</v>
      </c>
      <c r="K196" s="6">
        <f t="shared" si="16"/>
        <v>0</v>
      </c>
    </row>
    <row r="197">
      <c r="A197" s="9" t="s">
        <v>209</v>
      </c>
      <c r="B197" s="9" t="s">
        <v>16</v>
      </c>
      <c r="C197" s="9"/>
      <c r="D197" s="4">
        <f>SUMIFS(Rezepte!G:G,Rezepte!A:A,A197)</f>
        <v>2.941677057</v>
      </c>
      <c r="E197" s="5">
        <v>3.9</v>
      </c>
      <c r="F197" s="5">
        <v>0.07</v>
      </c>
      <c r="G197" s="4">
        <f t="shared" si="1"/>
        <v>12.27561836</v>
      </c>
      <c r="H197" s="6"/>
      <c r="I197" s="7"/>
      <c r="J197" s="8"/>
      <c r="K197" s="6"/>
    </row>
    <row r="198">
      <c r="A198" s="9" t="s">
        <v>210</v>
      </c>
      <c r="B198" s="9" t="s">
        <v>16</v>
      </c>
      <c r="C198" s="9"/>
      <c r="D198" s="4">
        <f>SUMIFS(Rezepte!G:G,Rezepte!A:A,A198)</f>
        <v>32.87340221</v>
      </c>
      <c r="E198" s="5">
        <v>3.9</v>
      </c>
      <c r="F198" s="5">
        <v>0.07</v>
      </c>
      <c r="G198" s="4">
        <f t="shared" si="1"/>
        <v>137.1807074</v>
      </c>
      <c r="H198" s="6">
        <v>19.5</v>
      </c>
      <c r="I198" s="7">
        <v>19.5</v>
      </c>
      <c r="J198" s="8">
        <f t="shared" ref="J198:J216" si="17">I198/(D198+D198*F198)</f>
        <v>0.5543782463</v>
      </c>
      <c r="K198" s="6">
        <f t="shared" ref="K198:K216" si="18">I198-H198</f>
        <v>0</v>
      </c>
    </row>
    <row r="199">
      <c r="A199" s="9" t="s">
        <v>211</v>
      </c>
      <c r="B199" s="9" t="s">
        <v>11</v>
      </c>
      <c r="C199" s="3" t="s">
        <v>14</v>
      </c>
      <c r="D199" s="4">
        <f>SUMIFS(Rezepte!G:G,Rezepte!A:A,A199)</f>
        <v>6.440459469</v>
      </c>
      <c r="E199" s="5">
        <v>3.9</v>
      </c>
      <c r="F199" s="5">
        <v>0.07</v>
      </c>
      <c r="G199" s="4">
        <f t="shared" si="1"/>
        <v>26.87603736</v>
      </c>
      <c r="H199" s="6">
        <v>24.9</v>
      </c>
      <c r="I199" s="7">
        <v>24.9</v>
      </c>
      <c r="J199" s="8">
        <f t="shared" si="17"/>
        <v>3.613255879</v>
      </c>
      <c r="K199" s="6">
        <f t="shared" si="18"/>
        <v>0</v>
      </c>
    </row>
    <row r="200">
      <c r="A200" s="9" t="s">
        <v>212</v>
      </c>
      <c r="B200" s="9" t="s">
        <v>11</v>
      </c>
      <c r="C200" s="3" t="s">
        <v>14</v>
      </c>
      <c r="D200" s="4">
        <f>SUMIFS(Rezepte!G:G,Rezepte!A:A,A200)</f>
        <v>0.26</v>
      </c>
      <c r="E200" s="5">
        <v>3.9</v>
      </c>
      <c r="F200" s="5">
        <v>0.07</v>
      </c>
      <c r="G200" s="4">
        <f t="shared" si="1"/>
        <v>1.08498</v>
      </c>
      <c r="H200" s="6">
        <v>1.0</v>
      </c>
      <c r="I200" s="7">
        <v>1.0</v>
      </c>
      <c r="J200" s="8">
        <f t="shared" si="17"/>
        <v>3.594536305</v>
      </c>
      <c r="K200" s="6">
        <f t="shared" si="18"/>
        <v>0</v>
      </c>
    </row>
    <row r="201">
      <c r="A201" s="9" t="s">
        <v>213</v>
      </c>
      <c r="B201" s="9" t="s">
        <v>11</v>
      </c>
      <c r="C201" s="3" t="s">
        <v>14</v>
      </c>
      <c r="D201" s="4">
        <f>SUMIFS(Rezepte!G:G,Rezepte!A:A,A201)</f>
        <v>0.36</v>
      </c>
      <c r="E201" s="5">
        <v>3.9</v>
      </c>
      <c r="F201" s="5">
        <v>0.07</v>
      </c>
      <c r="G201" s="4">
        <f t="shared" si="1"/>
        <v>1.50228</v>
      </c>
      <c r="H201" s="6">
        <v>1.1</v>
      </c>
      <c r="I201" s="7">
        <v>1.1</v>
      </c>
      <c r="J201" s="8">
        <f t="shared" si="17"/>
        <v>2.855659398</v>
      </c>
      <c r="K201" s="6">
        <f t="shared" si="18"/>
        <v>0</v>
      </c>
    </row>
    <row r="202">
      <c r="A202" s="9" t="s">
        <v>214</v>
      </c>
      <c r="B202" s="9" t="s">
        <v>11</v>
      </c>
      <c r="C202" s="3" t="s">
        <v>14</v>
      </c>
      <c r="D202" s="4">
        <f>SUMIFS(Rezepte!G:G,Rezepte!A:A,A202)</f>
        <v>0.0798</v>
      </c>
      <c r="E202" s="5">
        <v>3.9</v>
      </c>
      <c r="F202" s="5">
        <v>0.07</v>
      </c>
      <c r="G202" s="4">
        <f t="shared" si="1"/>
        <v>0.3330054</v>
      </c>
      <c r="H202" s="6">
        <v>0.4</v>
      </c>
      <c r="I202" s="7">
        <v>0.4</v>
      </c>
      <c r="J202" s="8">
        <f t="shared" si="17"/>
        <v>4.684608718</v>
      </c>
      <c r="K202" s="6">
        <f t="shared" si="18"/>
        <v>0</v>
      </c>
    </row>
    <row r="203">
      <c r="A203" s="9" t="s">
        <v>215</v>
      </c>
      <c r="B203" s="9" t="s">
        <v>11</v>
      </c>
      <c r="C203" s="3" t="s">
        <v>14</v>
      </c>
      <c r="D203" s="4">
        <f>SUMIFS(Rezepte!G:G,Rezepte!A:A,A203)</f>
        <v>0.08319327731</v>
      </c>
      <c r="E203" s="5">
        <v>3.9</v>
      </c>
      <c r="F203" s="5">
        <v>0.07</v>
      </c>
      <c r="G203" s="4">
        <f t="shared" si="1"/>
        <v>0.3471655462</v>
      </c>
      <c r="H203" s="6">
        <v>0.4</v>
      </c>
      <c r="I203" s="7">
        <v>0.4</v>
      </c>
      <c r="J203" s="8">
        <f t="shared" si="17"/>
        <v>4.493533465</v>
      </c>
      <c r="K203" s="6">
        <f t="shared" si="18"/>
        <v>0</v>
      </c>
    </row>
    <row r="204">
      <c r="A204" s="9" t="s">
        <v>216</v>
      </c>
      <c r="B204" s="9" t="s">
        <v>11</v>
      </c>
      <c r="C204" s="3" t="s">
        <v>14</v>
      </c>
      <c r="D204" s="4">
        <f>SUMIFS(Rezepte!G:G,Rezepte!A:A,A204)</f>
        <v>0.2144578313</v>
      </c>
      <c r="E204" s="5">
        <v>3.9</v>
      </c>
      <c r="F204" s="5">
        <v>0.07</v>
      </c>
      <c r="G204" s="4">
        <f t="shared" si="1"/>
        <v>0.8949325301</v>
      </c>
      <c r="H204" s="6">
        <v>0.9</v>
      </c>
      <c r="I204" s="7">
        <v>0.9</v>
      </c>
      <c r="J204" s="8">
        <f t="shared" si="17"/>
        <v>3.922083377</v>
      </c>
      <c r="K204" s="6">
        <f t="shared" si="18"/>
        <v>0</v>
      </c>
    </row>
    <row r="205">
      <c r="A205" s="9" t="s">
        <v>217</v>
      </c>
      <c r="B205" s="9" t="s">
        <v>11</v>
      </c>
      <c r="C205" s="3" t="s">
        <v>14</v>
      </c>
      <c r="D205" s="4">
        <f>SUMIFS(Rezepte!G:G,Rezepte!A:A,A205)</f>
        <v>1.218</v>
      </c>
      <c r="E205" s="5">
        <v>3.9</v>
      </c>
      <c r="F205" s="5">
        <v>0.07</v>
      </c>
      <c r="G205" s="4">
        <f t="shared" si="1"/>
        <v>5.082714</v>
      </c>
      <c r="H205" s="6">
        <v>1.0</v>
      </c>
      <c r="I205" s="7">
        <v>1.0</v>
      </c>
      <c r="J205" s="8">
        <f t="shared" si="17"/>
        <v>0.7673066004</v>
      </c>
      <c r="K205" s="6">
        <f t="shared" si="18"/>
        <v>0</v>
      </c>
    </row>
    <row r="206">
      <c r="A206" s="9" t="s">
        <v>218</v>
      </c>
      <c r="B206" s="9" t="s">
        <v>11</v>
      </c>
      <c r="C206" s="3" t="s">
        <v>14</v>
      </c>
      <c r="D206" s="4">
        <f>SUMIFS(Rezepte!G:G,Rezepte!A:A,A206)</f>
        <v>0.4688</v>
      </c>
      <c r="E206" s="5">
        <v>3.9</v>
      </c>
      <c r="F206" s="5">
        <v>0.07</v>
      </c>
      <c r="G206" s="4">
        <f t="shared" si="1"/>
        <v>1.9563024</v>
      </c>
      <c r="H206" s="6">
        <v>1.2</v>
      </c>
      <c r="I206" s="7">
        <v>1.2</v>
      </c>
      <c r="J206" s="8">
        <f t="shared" si="17"/>
        <v>2.392268189</v>
      </c>
      <c r="K206" s="6">
        <f t="shared" si="18"/>
        <v>0</v>
      </c>
    </row>
    <row r="207">
      <c r="A207" s="9" t="s">
        <v>219</v>
      </c>
      <c r="B207" s="9" t="s">
        <v>11</v>
      </c>
      <c r="C207" s="3" t="s">
        <v>14</v>
      </c>
      <c r="D207" s="4">
        <f>SUMIFS(Rezepte!G:G,Rezepte!A:A,A207)</f>
        <v>0.48</v>
      </c>
      <c r="E207" s="5">
        <v>3.9</v>
      </c>
      <c r="F207" s="5">
        <v>0.07</v>
      </c>
      <c r="G207" s="4">
        <f t="shared" si="1"/>
        <v>2.00304</v>
      </c>
      <c r="H207" s="6">
        <v>2.7</v>
      </c>
      <c r="I207" s="7">
        <v>2.7</v>
      </c>
      <c r="J207" s="8">
        <f t="shared" si="17"/>
        <v>5.257009346</v>
      </c>
      <c r="K207" s="6">
        <f t="shared" si="18"/>
        <v>0</v>
      </c>
    </row>
    <row r="208">
      <c r="A208" s="9" t="s">
        <v>220</v>
      </c>
      <c r="B208" s="9" t="s">
        <v>11</v>
      </c>
      <c r="C208" s="3" t="s">
        <v>14</v>
      </c>
      <c r="D208" s="4">
        <f>SUMIFS(Rezepte!G:G,Rezepte!A:A,A208)</f>
        <v>0.2670658683</v>
      </c>
      <c r="E208" s="5">
        <v>3.9</v>
      </c>
      <c r="F208" s="5">
        <v>0.07</v>
      </c>
      <c r="G208" s="4">
        <f t="shared" si="1"/>
        <v>1.114465868</v>
      </c>
      <c r="H208" s="6">
        <v>1.1</v>
      </c>
      <c r="I208" s="7">
        <v>1.1</v>
      </c>
      <c r="J208" s="8">
        <f t="shared" si="17"/>
        <v>3.849377646</v>
      </c>
      <c r="K208" s="6">
        <f t="shared" si="18"/>
        <v>0</v>
      </c>
    </row>
    <row r="209">
      <c r="A209" s="9" t="s">
        <v>221</v>
      </c>
      <c r="B209" s="9" t="s">
        <v>11</v>
      </c>
      <c r="C209" s="3" t="s">
        <v>14</v>
      </c>
      <c r="D209" s="4">
        <f>SUMIFS(Rezepte!G:G,Rezepte!A:A,A209)</f>
        <v>0.128</v>
      </c>
      <c r="E209" s="5">
        <v>3.9</v>
      </c>
      <c r="F209" s="5">
        <v>0.07</v>
      </c>
      <c r="G209" s="4">
        <f t="shared" si="1"/>
        <v>0.534144</v>
      </c>
      <c r="H209" s="6">
        <v>0.5</v>
      </c>
      <c r="I209" s="7">
        <v>0.5</v>
      </c>
      <c r="J209" s="8">
        <f t="shared" si="17"/>
        <v>3.650700935</v>
      </c>
      <c r="K209" s="6">
        <f t="shared" si="18"/>
        <v>0</v>
      </c>
    </row>
    <row r="210">
      <c r="A210" s="9" t="s">
        <v>222</v>
      </c>
      <c r="B210" s="9" t="s">
        <v>11</v>
      </c>
      <c r="C210" s="3" t="s">
        <v>14</v>
      </c>
      <c r="D210" s="4">
        <f>SUMIFS(Rezepte!G:G,Rezepte!A:A,A210)</f>
        <v>0.2204545455</v>
      </c>
      <c r="E210" s="5">
        <v>3.9</v>
      </c>
      <c r="F210" s="5">
        <v>0.07</v>
      </c>
      <c r="G210" s="4">
        <f t="shared" si="1"/>
        <v>0.9199568182</v>
      </c>
      <c r="H210" s="6">
        <v>0.9</v>
      </c>
      <c r="I210" s="7">
        <v>0.9</v>
      </c>
      <c r="J210" s="8">
        <f t="shared" si="17"/>
        <v>3.815396474</v>
      </c>
      <c r="K210" s="6">
        <f t="shared" si="18"/>
        <v>0</v>
      </c>
    </row>
    <row r="211">
      <c r="A211" s="9" t="s">
        <v>223</v>
      </c>
      <c r="B211" s="9" t="s">
        <v>11</v>
      </c>
      <c r="C211" s="3" t="s">
        <v>14</v>
      </c>
      <c r="D211" s="4">
        <f>SUMIFS(Rezepte!G:G,Rezepte!A:A,A211)</f>
        <v>0.1853333333</v>
      </c>
      <c r="E211" s="5">
        <v>3.9</v>
      </c>
      <c r="F211" s="5">
        <v>0.07</v>
      </c>
      <c r="G211" s="4">
        <f t="shared" si="1"/>
        <v>0.773396</v>
      </c>
      <c r="H211" s="6">
        <v>0.7</v>
      </c>
      <c r="I211" s="7">
        <v>0.7</v>
      </c>
      <c r="J211" s="8">
        <f t="shared" si="17"/>
        <v>3.529886371</v>
      </c>
      <c r="K211" s="6">
        <f t="shared" si="18"/>
        <v>0</v>
      </c>
    </row>
    <row r="212">
      <c r="A212" s="9" t="s">
        <v>224</v>
      </c>
      <c r="B212" s="9" t="s">
        <v>11</v>
      </c>
      <c r="C212" s="3" t="s">
        <v>14</v>
      </c>
      <c r="D212" s="4">
        <f>SUMIFS(Rezepte!G:G,Rezepte!A:A,A212)</f>
        <v>0.277</v>
      </c>
      <c r="E212" s="5">
        <v>3.9</v>
      </c>
      <c r="F212" s="5">
        <v>0.07</v>
      </c>
      <c r="G212" s="4">
        <f t="shared" si="1"/>
        <v>1.155921</v>
      </c>
      <c r="H212" s="6">
        <v>1.1</v>
      </c>
      <c r="I212" s="7">
        <v>1.1</v>
      </c>
      <c r="J212" s="8">
        <f t="shared" si="17"/>
        <v>3.711326293</v>
      </c>
      <c r="K212" s="6">
        <f t="shared" si="18"/>
        <v>0</v>
      </c>
    </row>
    <row r="213">
      <c r="A213" s="9" t="s">
        <v>225</v>
      </c>
      <c r="B213" s="9" t="s">
        <v>11</v>
      </c>
      <c r="C213" s="3" t="s">
        <v>14</v>
      </c>
      <c r="D213" s="4">
        <f>SUMIFS(Rezepte!G:G,Rezepte!A:A,A213)</f>
        <v>0.1018</v>
      </c>
      <c r="E213" s="5">
        <v>3.9</v>
      </c>
      <c r="F213" s="5">
        <v>0.07</v>
      </c>
      <c r="G213" s="4">
        <f t="shared" si="1"/>
        <v>0.4248114</v>
      </c>
      <c r="H213" s="6">
        <v>2.0</v>
      </c>
      <c r="I213" s="7">
        <v>2.0</v>
      </c>
      <c r="J213" s="8">
        <f t="shared" si="17"/>
        <v>18.36108918</v>
      </c>
      <c r="K213" s="6">
        <f t="shared" si="18"/>
        <v>0</v>
      </c>
    </row>
    <row r="214">
      <c r="A214" s="9" t="s">
        <v>226</v>
      </c>
      <c r="B214" s="9" t="s">
        <v>16</v>
      </c>
      <c r="C214" s="9"/>
      <c r="D214" s="4">
        <f>SUMIFS(Rezepte!G:G,Rezepte!A:A,A214)</f>
        <v>9.47</v>
      </c>
      <c r="E214" s="5">
        <v>3.9</v>
      </c>
      <c r="F214" s="5">
        <v>0.07</v>
      </c>
      <c r="G214" s="4">
        <f t="shared" si="1"/>
        <v>39.51831</v>
      </c>
      <c r="H214" s="6">
        <v>2.0</v>
      </c>
      <c r="I214" s="7">
        <v>2.0</v>
      </c>
      <c r="J214" s="8">
        <f t="shared" si="17"/>
        <v>0.1973768615</v>
      </c>
      <c r="K214" s="6">
        <f t="shared" si="18"/>
        <v>0</v>
      </c>
    </row>
    <row r="215">
      <c r="A215" s="9" t="s">
        <v>227</v>
      </c>
      <c r="B215" s="9" t="s">
        <v>11</v>
      </c>
      <c r="C215" s="3" t="s">
        <v>14</v>
      </c>
      <c r="D215" s="4">
        <f>SUMIFS(Rezepte!G:G,Rezepte!A:A,A215)</f>
        <v>0.38725</v>
      </c>
      <c r="E215" s="5">
        <v>3.9</v>
      </c>
      <c r="F215" s="5">
        <v>0.07</v>
      </c>
      <c r="G215" s="4">
        <f t="shared" si="1"/>
        <v>1.61599425</v>
      </c>
      <c r="H215" s="6">
        <v>3.8</v>
      </c>
      <c r="I215" s="7">
        <v>3.8</v>
      </c>
      <c r="J215" s="8">
        <f t="shared" si="17"/>
        <v>9.170824711</v>
      </c>
      <c r="K215" s="6">
        <f t="shared" si="18"/>
        <v>0</v>
      </c>
    </row>
    <row r="216">
      <c r="A216" s="9" t="s">
        <v>228</v>
      </c>
      <c r="B216" s="9" t="s">
        <v>11</v>
      </c>
      <c r="C216" s="3" t="s">
        <v>14</v>
      </c>
      <c r="D216" s="4">
        <f>SUMIFS(Rezepte!G:G,Rezepte!A:A,A216)</f>
        <v>0.7672104453</v>
      </c>
      <c r="E216" s="5">
        <v>3.9</v>
      </c>
      <c r="F216" s="5">
        <v>0.07</v>
      </c>
      <c r="G216" s="4">
        <f t="shared" si="1"/>
        <v>3.201569188</v>
      </c>
      <c r="H216" s="6">
        <v>3.8</v>
      </c>
      <c r="I216" s="7">
        <v>3.8</v>
      </c>
      <c r="J216" s="8">
        <f t="shared" si="17"/>
        <v>4.628980081</v>
      </c>
      <c r="K216" s="6">
        <f t="shared" si="18"/>
        <v>0</v>
      </c>
    </row>
    <row r="217">
      <c r="A217" s="9" t="s">
        <v>229</v>
      </c>
      <c r="B217" s="9" t="s">
        <v>16</v>
      </c>
      <c r="C217" s="9"/>
      <c r="D217" s="4">
        <f>SUMIFS(Rezepte!G:G,Rezepte!A:A,A217)</f>
        <v>13.46982621</v>
      </c>
      <c r="E217" s="5">
        <v>3.9</v>
      </c>
      <c r="F217" s="5">
        <v>0.07</v>
      </c>
      <c r="G217" s="4">
        <f t="shared" si="1"/>
        <v>56.20958476</v>
      </c>
      <c r="H217" s="6"/>
      <c r="I217" s="7"/>
      <c r="J217" s="8"/>
      <c r="K217" s="6"/>
    </row>
    <row r="218">
      <c r="A218" s="9" t="s">
        <v>230</v>
      </c>
      <c r="B218" s="9" t="s">
        <v>16</v>
      </c>
      <c r="C218" s="9"/>
      <c r="D218" s="4">
        <f>SUMIFS(Rezepte!G:G,Rezepte!A:A,A218)</f>
        <v>11.23435858</v>
      </c>
      <c r="E218" s="5">
        <v>3.9</v>
      </c>
      <c r="F218" s="5">
        <v>0.07</v>
      </c>
      <c r="G218" s="4">
        <f t="shared" si="1"/>
        <v>46.88097836</v>
      </c>
      <c r="H218" s="6"/>
      <c r="I218" s="7"/>
      <c r="J218" s="8"/>
      <c r="K218" s="6"/>
    </row>
    <row r="219">
      <c r="A219" s="9" t="s">
        <v>231</v>
      </c>
      <c r="B219" s="9" t="s">
        <v>16</v>
      </c>
      <c r="C219" s="9"/>
      <c r="D219" s="4">
        <f>SUMIFS(Rezepte!G:G,Rezepte!A:A,A219)</f>
        <v>10.7490139</v>
      </c>
      <c r="E219" s="5">
        <v>3.9</v>
      </c>
      <c r="F219" s="5">
        <v>0.07</v>
      </c>
      <c r="G219" s="4">
        <f t="shared" si="1"/>
        <v>44.85563502</v>
      </c>
      <c r="H219" s="6">
        <v>13.9</v>
      </c>
      <c r="I219" s="7">
        <v>13.9</v>
      </c>
      <c r="J219" s="8">
        <f t="shared" ref="J219:J220" si="19">I219/(D219+D219*F219)</f>
        <v>1.208543809</v>
      </c>
      <c r="K219" s="6">
        <f t="shared" ref="K219:K220" si="20">I219-H219</f>
        <v>0</v>
      </c>
    </row>
    <row r="220">
      <c r="A220" s="9" t="s">
        <v>232</v>
      </c>
      <c r="B220" s="9" t="s">
        <v>11</v>
      </c>
      <c r="C220" s="3" t="s">
        <v>14</v>
      </c>
      <c r="D220" s="4">
        <f>SUMIFS(Rezepte!G:G,Rezepte!A:A,A220)</f>
        <v>3.385457388</v>
      </c>
      <c r="E220" s="5">
        <v>3.9</v>
      </c>
      <c r="F220" s="5">
        <v>0.07</v>
      </c>
      <c r="G220" s="4">
        <f t="shared" si="1"/>
        <v>14.12751368</v>
      </c>
      <c r="H220" s="6">
        <v>13.9</v>
      </c>
      <c r="I220" s="7">
        <v>13.9</v>
      </c>
      <c r="J220" s="8">
        <f t="shared" si="19"/>
        <v>3.837193241</v>
      </c>
      <c r="K220" s="6">
        <f t="shared" si="20"/>
        <v>0</v>
      </c>
    </row>
    <row r="221">
      <c r="A221" s="9" t="s">
        <v>233</v>
      </c>
      <c r="B221" s="9" t="s">
        <v>16</v>
      </c>
      <c r="C221" s="9"/>
      <c r="D221" s="4">
        <f>SUMIFS(Rezepte!G:G,Rezepte!A:A,A221)</f>
        <v>18.53825472</v>
      </c>
      <c r="E221" s="5">
        <v>3.9</v>
      </c>
      <c r="F221" s="5">
        <v>0.07</v>
      </c>
      <c r="G221" s="4">
        <f t="shared" si="1"/>
        <v>77.36013693</v>
      </c>
      <c r="H221" s="6"/>
      <c r="I221" s="7"/>
      <c r="J221" s="8"/>
      <c r="K221" s="6"/>
    </row>
    <row r="222">
      <c r="A222" s="9" t="s">
        <v>234</v>
      </c>
      <c r="B222" s="9" t="s">
        <v>16</v>
      </c>
      <c r="C222" s="9"/>
      <c r="D222" s="4">
        <f>SUMIFS(Rezepte!G:G,Rezepte!A:A,A222)</f>
        <v>21.19865217</v>
      </c>
      <c r="E222" s="5">
        <v>3.9</v>
      </c>
      <c r="F222" s="5">
        <v>0.07</v>
      </c>
      <c r="G222" s="4">
        <f t="shared" si="1"/>
        <v>88.46197552</v>
      </c>
      <c r="H222" s="6">
        <v>10.9</v>
      </c>
      <c r="I222" s="7">
        <v>10.9</v>
      </c>
      <c r="J222" s="8">
        <f t="shared" ref="J222:J226" si="21">I222/(D222+D222*F222)</f>
        <v>0.4805454519</v>
      </c>
      <c r="K222" s="6">
        <f t="shared" ref="K222:K226" si="22">I222-H222</f>
        <v>0</v>
      </c>
    </row>
    <row r="223">
      <c r="A223" s="9" t="s">
        <v>235</v>
      </c>
      <c r="B223" s="9" t="s">
        <v>11</v>
      </c>
      <c r="C223" s="3" t="s">
        <v>14</v>
      </c>
      <c r="D223" s="4">
        <f>SUMIFS(Rezepte!G:G,Rezepte!A:A,A223)</f>
        <v>4.192012322</v>
      </c>
      <c r="E223" s="5">
        <v>3.9</v>
      </c>
      <c r="F223" s="5">
        <v>0.07</v>
      </c>
      <c r="G223" s="4">
        <f t="shared" si="1"/>
        <v>17.49326742</v>
      </c>
      <c r="H223" s="6">
        <v>15.9</v>
      </c>
      <c r="I223" s="7">
        <v>15.9</v>
      </c>
      <c r="J223" s="8">
        <f t="shared" si="21"/>
        <v>3.54479232</v>
      </c>
      <c r="K223" s="6">
        <f t="shared" si="22"/>
        <v>0</v>
      </c>
    </row>
    <row r="224">
      <c r="A224" s="9" t="s">
        <v>236</v>
      </c>
      <c r="B224" s="9" t="s">
        <v>11</v>
      </c>
      <c r="C224" s="3" t="s">
        <v>14</v>
      </c>
      <c r="D224" s="4">
        <f>SUMIFS(Rezepte!G:G,Rezepte!A:A,A224)</f>
        <v>1.3725</v>
      </c>
      <c r="E224" s="5">
        <v>3.9</v>
      </c>
      <c r="F224" s="5">
        <v>0.07</v>
      </c>
      <c r="G224" s="4">
        <f t="shared" si="1"/>
        <v>5.7274425</v>
      </c>
      <c r="H224" s="6">
        <v>5.5</v>
      </c>
      <c r="I224" s="7">
        <v>5.5</v>
      </c>
      <c r="J224" s="8">
        <f t="shared" si="21"/>
        <v>3.745127079</v>
      </c>
      <c r="K224" s="6">
        <f t="shared" si="22"/>
        <v>0</v>
      </c>
    </row>
    <row r="225">
      <c r="A225" s="9" t="s">
        <v>237</v>
      </c>
      <c r="B225" s="9" t="s">
        <v>16</v>
      </c>
      <c r="C225" s="9"/>
      <c r="D225" s="4">
        <f>SUMIFS(Rezepte!G:G,Rezepte!A:A,A225)</f>
        <v>18.22701333</v>
      </c>
      <c r="E225" s="5">
        <v>3.9</v>
      </c>
      <c r="F225" s="5">
        <v>0.07</v>
      </c>
      <c r="G225" s="4">
        <f t="shared" si="1"/>
        <v>76.06132664</v>
      </c>
      <c r="H225" s="6">
        <v>9.9</v>
      </c>
      <c r="I225" s="7">
        <v>9.9</v>
      </c>
      <c r="J225" s="8">
        <f t="shared" si="21"/>
        <v>0.5076167049</v>
      </c>
      <c r="K225" s="6">
        <f t="shared" si="22"/>
        <v>0</v>
      </c>
    </row>
    <row r="226">
      <c r="A226" s="9" t="s">
        <v>238</v>
      </c>
      <c r="B226" s="9" t="s">
        <v>11</v>
      </c>
      <c r="C226" s="3" t="s">
        <v>14</v>
      </c>
      <c r="D226" s="4">
        <f>SUMIFS(Rezepte!G:G,Rezepte!A:A,A226)</f>
        <v>2.228483153</v>
      </c>
      <c r="E226" s="5">
        <v>3.9</v>
      </c>
      <c r="F226" s="5">
        <v>0.07</v>
      </c>
      <c r="G226" s="4">
        <f t="shared" si="1"/>
        <v>9.299460197</v>
      </c>
      <c r="H226" s="6">
        <v>9.9</v>
      </c>
      <c r="I226" s="7">
        <v>9.9</v>
      </c>
      <c r="J226" s="8">
        <f t="shared" si="21"/>
        <v>4.151853891</v>
      </c>
      <c r="K226" s="6">
        <f t="shared" si="22"/>
        <v>0</v>
      </c>
    </row>
    <row r="227">
      <c r="A227" s="9" t="s">
        <v>239</v>
      </c>
      <c r="B227" s="9" t="s">
        <v>16</v>
      </c>
      <c r="C227" s="9"/>
      <c r="D227" s="4">
        <f>SUMIFS(Rezepte!G:G,Rezepte!A:A,A227)</f>
        <v>33.6796</v>
      </c>
      <c r="E227" s="5">
        <v>3.9</v>
      </c>
      <c r="F227" s="5">
        <v>0.07</v>
      </c>
      <c r="G227" s="4">
        <f t="shared" si="1"/>
        <v>140.5449708</v>
      </c>
      <c r="H227" s="6"/>
      <c r="I227" s="7"/>
      <c r="J227" s="8"/>
      <c r="K227" s="6"/>
    </row>
    <row r="228">
      <c r="A228" s="9" t="s">
        <v>240</v>
      </c>
      <c r="B228" s="9" t="s">
        <v>16</v>
      </c>
      <c r="C228" s="9"/>
      <c r="D228" s="4">
        <f>SUMIFS(Rezepte!G:G,Rezepte!A:A,A228)</f>
        <v>12.44</v>
      </c>
      <c r="E228" s="5">
        <v>3.9</v>
      </c>
      <c r="F228" s="5">
        <v>0.07</v>
      </c>
      <c r="G228" s="4">
        <f t="shared" si="1"/>
        <v>51.91212</v>
      </c>
      <c r="H228" s="6"/>
      <c r="I228" s="7"/>
      <c r="J228" s="8">
        <f>I228/(D228+D228*F228)</f>
        <v>0</v>
      </c>
      <c r="K228" s="6">
        <f>I228-H228</f>
        <v>0</v>
      </c>
    </row>
    <row r="229" hidden="1">
      <c r="A229" s="9" t="s">
        <v>241</v>
      </c>
      <c r="B229" s="9" t="s">
        <v>11</v>
      </c>
      <c r="C229" s="3" t="s">
        <v>12</v>
      </c>
      <c r="D229" s="4">
        <f>SUMIFS(Rezepte!G:G,Rezepte!A:A,A229)</f>
        <v>3.653773107</v>
      </c>
      <c r="E229" s="5">
        <v>3.9</v>
      </c>
      <c r="F229" s="5">
        <v>0.07</v>
      </c>
      <c r="G229" s="4">
        <f t="shared" si="1"/>
        <v>15.24719518</v>
      </c>
      <c r="H229" s="6"/>
      <c r="I229" s="7"/>
      <c r="J229" s="8"/>
      <c r="K229" s="6"/>
    </row>
    <row r="230">
      <c r="A230" s="9" t="s">
        <v>242</v>
      </c>
      <c r="B230" s="9" t="s">
        <v>16</v>
      </c>
      <c r="C230" s="9"/>
      <c r="D230" s="4">
        <f>SUMIFS(Rezepte!G:G,Rezepte!A:A,A230)</f>
        <v>6.95</v>
      </c>
      <c r="E230" s="5">
        <v>3.9</v>
      </c>
      <c r="F230" s="5">
        <v>0.07</v>
      </c>
      <c r="G230" s="4">
        <f t="shared" si="1"/>
        <v>29.00235</v>
      </c>
      <c r="H230" s="6"/>
      <c r="I230" s="7"/>
      <c r="J230" s="8"/>
      <c r="K230" s="6"/>
    </row>
    <row r="231">
      <c r="A231" s="9" t="s">
        <v>243</v>
      </c>
      <c r="B231" s="9" t="s">
        <v>16</v>
      </c>
      <c r="C231" s="9"/>
      <c r="D231" s="4">
        <f>SUMIFS(Rezepte!G:G,Rezepte!A:A,A231)</f>
        <v>8.820947368</v>
      </c>
      <c r="E231" s="5">
        <v>3.9</v>
      </c>
      <c r="F231" s="5">
        <v>0.07</v>
      </c>
      <c r="G231" s="4">
        <f t="shared" si="1"/>
        <v>36.80981337</v>
      </c>
      <c r="H231" s="6">
        <v>1.4</v>
      </c>
      <c r="I231" s="7">
        <v>1.4</v>
      </c>
      <c r="J231" s="8">
        <f t="shared" ref="J231:J249" si="23">I231/(D231+D231*F231)</f>
        <v>0.1483300104</v>
      </c>
      <c r="K231" s="6">
        <f t="shared" ref="K231:K249" si="24">I231-H231</f>
        <v>0</v>
      </c>
    </row>
    <row r="232">
      <c r="A232" s="9" t="s">
        <v>244</v>
      </c>
      <c r="B232" s="9" t="s">
        <v>11</v>
      </c>
      <c r="C232" s="3" t="s">
        <v>14</v>
      </c>
      <c r="D232" s="4">
        <f>SUMIFS(Rezepte!G:G,Rezepte!A:A,A232)</f>
        <v>0.3899</v>
      </c>
      <c r="E232" s="5">
        <v>3.9</v>
      </c>
      <c r="F232" s="5">
        <v>0.07</v>
      </c>
      <c r="G232" s="4">
        <f t="shared" si="1"/>
        <v>1.6270527</v>
      </c>
      <c r="H232" s="6">
        <v>1.5</v>
      </c>
      <c r="I232" s="7">
        <v>1.5</v>
      </c>
      <c r="J232" s="8">
        <f t="shared" si="23"/>
        <v>3.595458217</v>
      </c>
      <c r="K232" s="6">
        <f t="shared" si="24"/>
        <v>0</v>
      </c>
    </row>
    <row r="233">
      <c r="A233" s="9" t="s">
        <v>245</v>
      </c>
      <c r="B233" s="9" t="s">
        <v>11</v>
      </c>
      <c r="C233" s="3" t="s">
        <v>14</v>
      </c>
      <c r="D233" s="4">
        <f>SUMIFS(Rezepte!G:G,Rezepte!A:A,A233)</f>
        <v>0.7824</v>
      </c>
      <c r="E233" s="5">
        <v>3.9</v>
      </c>
      <c r="F233" s="5">
        <v>0.07</v>
      </c>
      <c r="G233" s="4">
        <f t="shared" si="1"/>
        <v>3.2649552</v>
      </c>
      <c r="H233" s="6">
        <v>2.5</v>
      </c>
      <c r="I233" s="7">
        <v>2.5</v>
      </c>
      <c r="J233" s="8">
        <f t="shared" si="23"/>
        <v>2.986258433</v>
      </c>
      <c r="K233" s="6">
        <f t="shared" si="24"/>
        <v>0</v>
      </c>
    </row>
    <row r="234">
      <c r="A234" s="9" t="s">
        <v>246</v>
      </c>
      <c r="B234" s="9" t="s">
        <v>11</v>
      </c>
      <c r="C234" s="3" t="s">
        <v>14</v>
      </c>
      <c r="D234" s="4">
        <f>SUMIFS(Rezepte!G:G,Rezepte!A:A,A234)</f>
        <v>0.42096</v>
      </c>
      <c r="E234" s="5">
        <v>3.9</v>
      </c>
      <c r="F234" s="5">
        <v>0.07</v>
      </c>
      <c r="G234" s="4">
        <f t="shared" si="1"/>
        <v>1.75666608</v>
      </c>
      <c r="H234" s="6">
        <v>2.0</v>
      </c>
      <c r="I234" s="7">
        <v>2.0</v>
      </c>
      <c r="J234" s="8">
        <f t="shared" si="23"/>
        <v>4.440229187</v>
      </c>
      <c r="K234" s="6">
        <f t="shared" si="24"/>
        <v>0</v>
      </c>
    </row>
    <row r="235">
      <c r="A235" s="9" t="s">
        <v>247</v>
      </c>
      <c r="B235" s="9" t="s">
        <v>11</v>
      </c>
      <c r="C235" s="3" t="s">
        <v>14</v>
      </c>
      <c r="D235" s="4">
        <f>SUMIFS(Rezepte!G:G,Rezepte!A:A,A235)</f>
        <v>0.2278</v>
      </c>
      <c r="E235" s="5">
        <v>3.9</v>
      </c>
      <c r="F235" s="5">
        <v>0.07</v>
      </c>
      <c r="G235" s="4">
        <f t="shared" si="1"/>
        <v>0.9506094</v>
      </c>
      <c r="H235" s="6">
        <v>0.9</v>
      </c>
      <c r="I235" s="7">
        <v>0.9</v>
      </c>
      <c r="J235" s="8">
        <f t="shared" si="23"/>
        <v>3.692368285</v>
      </c>
      <c r="K235" s="6">
        <f t="shared" si="24"/>
        <v>0</v>
      </c>
    </row>
    <row r="236">
      <c r="A236" s="9" t="s">
        <v>248</v>
      </c>
      <c r="B236" s="9" t="s">
        <v>11</v>
      </c>
      <c r="C236" s="3" t="s">
        <v>14</v>
      </c>
      <c r="D236" s="4">
        <f>SUMIFS(Rezepte!G:G,Rezepte!A:A,A236)</f>
        <v>0.1278</v>
      </c>
      <c r="E236" s="5">
        <v>3.9</v>
      </c>
      <c r="F236" s="5">
        <v>0.07</v>
      </c>
      <c r="G236" s="4">
        <f t="shared" si="1"/>
        <v>0.5333094</v>
      </c>
      <c r="H236" s="6">
        <v>0.5</v>
      </c>
      <c r="I236" s="7">
        <v>0.5</v>
      </c>
      <c r="J236" s="8">
        <f t="shared" si="23"/>
        <v>3.656414082</v>
      </c>
      <c r="K236" s="6">
        <f t="shared" si="24"/>
        <v>0</v>
      </c>
    </row>
    <row r="237">
      <c r="A237" s="9" t="s">
        <v>249</v>
      </c>
      <c r="B237" s="9" t="s">
        <v>11</v>
      </c>
      <c r="C237" s="3" t="s">
        <v>14</v>
      </c>
      <c r="D237" s="4">
        <f>SUMIFS(Rezepte!G:G,Rezepte!A:A,A237)</f>
        <v>0.6866641985</v>
      </c>
      <c r="E237" s="5">
        <v>3.9</v>
      </c>
      <c r="F237" s="5">
        <v>0.07</v>
      </c>
      <c r="G237" s="4">
        <f t="shared" si="1"/>
        <v>2.8654497</v>
      </c>
      <c r="H237" s="6">
        <v>2.9</v>
      </c>
      <c r="I237" s="7">
        <v>2.9</v>
      </c>
      <c r="J237" s="8">
        <f t="shared" si="23"/>
        <v>3.947024441</v>
      </c>
      <c r="K237" s="6">
        <f t="shared" si="24"/>
        <v>0</v>
      </c>
    </row>
    <row r="238">
      <c r="A238" s="9" t="s">
        <v>250</v>
      </c>
      <c r="B238" s="9" t="s">
        <v>11</v>
      </c>
      <c r="C238" s="3" t="s">
        <v>14</v>
      </c>
      <c r="D238" s="4">
        <f>SUMIFS(Rezepte!G:G,Rezepte!A:A,A238)</f>
        <v>0.04160714286</v>
      </c>
      <c r="E238" s="5">
        <v>3.9</v>
      </c>
      <c r="F238" s="5">
        <v>0.07</v>
      </c>
      <c r="G238" s="4">
        <f t="shared" si="1"/>
        <v>0.1736266071</v>
      </c>
      <c r="H238" s="6">
        <v>0.2</v>
      </c>
      <c r="I238" s="7">
        <v>0.2</v>
      </c>
      <c r="J238" s="8">
        <f t="shared" si="23"/>
        <v>4.492399021</v>
      </c>
      <c r="K238" s="6">
        <f t="shared" si="24"/>
        <v>0</v>
      </c>
    </row>
    <row r="239">
      <c r="A239" s="9" t="s">
        <v>251</v>
      </c>
      <c r="B239" s="9" t="s">
        <v>11</v>
      </c>
      <c r="C239" s="3" t="s">
        <v>14</v>
      </c>
      <c r="D239" s="4">
        <f>SUMIFS(Rezepte!G:G,Rezepte!A:A,A239)</f>
        <v>0.08282352941</v>
      </c>
      <c r="E239" s="5">
        <v>3.9</v>
      </c>
      <c r="F239" s="5">
        <v>0.07</v>
      </c>
      <c r="G239" s="4">
        <f t="shared" si="1"/>
        <v>0.3456225882</v>
      </c>
      <c r="H239" s="6">
        <v>0.4</v>
      </c>
      <c r="I239" s="7">
        <v>0.4</v>
      </c>
      <c r="J239" s="8">
        <f t="shared" si="23"/>
        <v>4.513593883</v>
      </c>
      <c r="K239" s="6">
        <f t="shared" si="24"/>
        <v>0</v>
      </c>
    </row>
    <row r="240">
      <c r="A240" s="9" t="s">
        <v>252</v>
      </c>
      <c r="B240" s="9" t="s">
        <v>11</v>
      </c>
      <c r="C240" s="3" t="s">
        <v>14</v>
      </c>
      <c r="D240" s="4">
        <f>SUMIFS(Rezepte!G:G,Rezepte!A:A,A240)</f>
        <v>0.680909902</v>
      </c>
      <c r="E240" s="5">
        <v>3.9</v>
      </c>
      <c r="F240" s="5">
        <v>0.07</v>
      </c>
      <c r="G240" s="4">
        <f t="shared" si="1"/>
        <v>2.841437021</v>
      </c>
      <c r="H240" s="6">
        <v>2.9</v>
      </c>
      <c r="I240" s="7">
        <v>2.9</v>
      </c>
      <c r="J240" s="8">
        <f t="shared" si="23"/>
        <v>3.980380321</v>
      </c>
      <c r="K240" s="6">
        <f t="shared" si="24"/>
        <v>0</v>
      </c>
    </row>
    <row r="241">
      <c r="A241" s="9" t="s">
        <v>253</v>
      </c>
      <c r="B241" s="9" t="s">
        <v>11</v>
      </c>
      <c r="C241" s="3" t="s">
        <v>14</v>
      </c>
      <c r="D241" s="4">
        <f>SUMIFS(Rezepte!G:G,Rezepte!A:A,A241)</f>
        <v>0.06709401316</v>
      </c>
      <c r="E241" s="5">
        <v>3.9</v>
      </c>
      <c r="F241" s="5">
        <v>0.07</v>
      </c>
      <c r="G241" s="4">
        <f t="shared" si="1"/>
        <v>0.2799833169</v>
      </c>
      <c r="H241" s="6">
        <v>0.3</v>
      </c>
      <c r="I241" s="7">
        <v>0.3</v>
      </c>
      <c r="J241" s="8">
        <f t="shared" si="23"/>
        <v>4.178820413</v>
      </c>
      <c r="K241" s="6">
        <f t="shared" si="24"/>
        <v>0</v>
      </c>
    </row>
    <row r="242">
      <c r="A242" s="9" t="s">
        <v>254</v>
      </c>
      <c r="B242" s="9" t="s">
        <v>11</v>
      </c>
      <c r="C242" s="3" t="s">
        <v>14</v>
      </c>
      <c r="D242" s="4">
        <f>SUMIFS(Rezepte!G:G,Rezepte!A:A,A242)</f>
        <v>0.067</v>
      </c>
      <c r="E242" s="5">
        <v>3.9</v>
      </c>
      <c r="F242" s="5">
        <v>0.07</v>
      </c>
      <c r="G242" s="4">
        <f t="shared" si="1"/>
        <v>0.279591</v>
      </c>
      <c r="H242" s="6">
        <v>0.3</v>
      </c>
      <c r="I242" s="7">
        <v>0.3</v>
      </c>
      <c r="J242" s="8">
        <f t="shared" si="23"/>
        <v>4.184684056</v>
      </c>
      <c r="K242" s="6">
        <f t="shared" si="24"/>
        <v>0</v>
      </c>
    </row>
    <row r="243">
      <c r="A243" s="9" t="s">
        <v>255</v>
      </c>
      <c r="B243" s="9" t="s">
        <v>11</v>
      </c>
      <c r="C243" s="3" t="s">
        <v>14</v>
      </c>
      <c r="D243" s="4">
        <f>SUMIFS(Rezepte!G:G,Rezepte!A:A,A243)</f>
        <v>0.66125</v>
      </c>
      <c r="E243" s="5">
        <v>3.9</v>
      </c>
      <c r="F243" s="5">
        <v>0.07</v>
      </c>
      <c r="G243" s="4">
        <f t="shared" si="1"/>
        <v>2.75939625</v>
      </c>
      <c r="H243" s="6">
        <v>2.5</v>
      </c>
      <c r="I243" s="7">
        <v>2.5</v>
      </c>
      <c r="J243" s="8">
        <f t="shared" si="23"/>
        <v>3.533381623</v>
      </c>
      <c r="K243" s="6">
        <f t="shared" si="24"/>
        <v>0</v>
      </c>
    </row>
    <row r="244">
      <c r="A244" s="9" t="s">
        <v>256</v>
      </c>
      <c r="B244" s="9" t="s">
        <v>11</v>
      </c>
      <c r="C244" s="3" t="s">
        <v>14</v>
      </c>
      <c r="D244" s="4">
        <f>SUMIFS(Rezepte!G:G,Rezepte!A:A,A244)</f>
        <v>0.02176983607</v>
      </c>
      <c r="E244" s="5">
        <v>3.9</v>
      </c>
      <c r="F244" s="5">
        <v>0.07</v>
      </c>
      <c r="G244" s="4">
        <f t="shared" si="1"/>
        <v>0.0908455259</v>
      </c>
      <c r="H244" s="6">
        <v>0.3</v>
      </c>
      <c r="I244" s="7">
        <v>0.3</v>
      </c>
      <c r="J244" s="8">
        <f t="shared" si="23"/>
        <v>12.87900519</v>
      </c>
      <c r="K244" s="6">
        <f t="shared" si="24"/>
        <v>0</v>
      </c>
    </row>
    <row r="245">
      <c r="A245" s="9" t="s">
        <v>257</v>
      </c>
      <c r="B245" s="9" t="s">
        <v>11</v>
      </c>
      <c r="C245" s="3" t="s">
        <v>14</v>
      </c>
      <c r="D245" s="4">
        <f>SUMIFS(Rezepte!G:G,Rezepte!A:A,A245)</f>
        <v>0.5533333333</v>
      </c>
      <c r="E245" s="5">
        <v>3.9</v>
      </c>
      <c r="F245" s="5">
        <v>0.07</v>
      </c>
      <c r="G245" s="4">
        <f t="shared" si="1"/>
        <v>2.30906</v>
      </c>
      <c r="H245" s="6">
        <v>2.9</v>
      </c>
      <c r="I245" s="7">
        <v>2.9</v>
      </c>
      <c r="J245" s="8">
        <f t="shared" si="23"/>
        <v>4.898097061</v>
      </c>
      <c r="K245" s="6">
        <f t="shared" si="24"/>
        <v>0</v>
      </c>
    </row>
    <row r="246">
      <c r="A246" s="9" t="s">
        <v>258</v>
      </c>
      <c r="B246" s="9" t="s">
        <v>11</v>
      </c>
      <c r="C246" s="3" t="s">
        <v>14</v>
      </c>
      <c r="D246" s="4">
        <f>SUMIFS(Rezepte!G:G,Rezepte!A:A,A246)</f>
        <v>0.05888280828</v>
      </c>
      <c r="E246" s="5">
        <v>3.9</v>
      </c>
      <c r="F246" s="5">
        <v>0.07</v>
      </c>
      <c r="G246" s="4">
        <f t="shared" si="1"/>
        <v>0.245717959</v>
      </c>
      <c r="H246" s="6">
        <v>0.3</v>
      </c>
      <c r="I246" s="7">
        <v>0.3</v>
      </c>
      <c r="J246" s="8">
        <f t="shared" si="23"/>
        <v>4.761556725</v>
      </c>
      <c r="K246" s="6">
        <f t="shared" si="24"/>
        <v>0</v>
      </c>
    </row>
    <row r="247">
      <c r="A247" s="9" t="s">
        <v>259</v>
      </c>
      <c r="B247" s="9" t="s">
        <v>11</v>
      </c>
      <c r="C247" s="3" t="s">
        <v>14</v>
      </c>
      <c r="D247" s="4">
        <f>SUMIFS(Rezepte!G:G,Rezepte!A:A,A247)</f>
        <v>0.16578</v>
      </c>
      <c r="E247" s="5">
        <v>3.9</v>
      </c>
      <c r="F247" s="5">
        <v>0.07</v>
      </c>
      <c r="G247" s="4">
        <f t="shared" si="1"/>
        <v>0.69179994</v>
      </c>
      <c r="H247" s="6">
        <v>0.7</v>
      </c>
      <c r="I247" s="7">
        <v>0.7</v>
      </c>
      <c r="J247" s="8">
        <f t="shared" si="23"/>
        <v>3.946227576</v>
      </c>
      <c r="K247" s="6">
        <f t="shared" si="24"/>
        <v>0</v>
      </c>
    </row>
    <row r="248">
      <c r="A248" s="9" t="s">
        <v>260</v>
      </c>
      <c r="B248" s="9" t="s">
        <v>11</v>
      </c>
      <c r="C248" s="3" t="s">
        <v>14</v>
      </c>
      <c r="D248" s="4">
        <f>SUMIFS(Rezepte!G:G,Rezepte!A:A,A248)</f>
        <v>1.2654</v>
      </c>
      <c r="E248" s="5">
        <v>3.9</v>
      </c>
      <c r="F248" s="5">
        <v>0.07</v>
      </c>
      <c r="G248" s="4">
        <f t="shared" si="1"/>
        <v>5.2805142</v>
      </c>
      <c r="H248" s="6">
        <v>3.9</v>
      </c>
      <c r="I248" s="7">
        <v>3.9</v>
      </c>
      <c r="J248" s="8">
        <f t="shared" si="23"/>
        <v>2.880401306</v>
      </c>
      <c r="K248" s="6">
        <f t="shared" si="24"/>
        <v>0</v>
      </c>
    </row>
    <row r="249">
      <c r="A249" s="9" t="s">
        <v>261</v>
      </c>
      <c r="B249" s="9" t="s">
        <v>16</v>
      </c>
      <c r="C249" s="3"/>
      <c r="D249" s="4">
        <f>SUMIFS(Rezepte!G:G,Rezepte!A:A,A249)</f>
        <v>11.035744</v>
      </c>
      <c r="E249" s="5">
        <v>3.9</v>
      </c>
      <c r="F249" s="5">
        <v>0.07</v>
      </c>
      <c r="G249" s="4">
        <f t="shared" si="1"/>
        <v>46.05215971</v>
      </c>
      <c r="H249" s="6"/>
      <c r="I249" s="7"/>
      <c r="J249" s="8">
        <f t="shared" si="23"/>
        <v>0</v>
      </c>
      <c r="K249" s="6">
        <f t="shared" si="24"/>
        <v>0</v>
      </c>
    </row>
    <row r="250" hidden="1">
      <c r="A250" s="9" t="s">
        <v>262</v>
      </c>
      <c r="B250" s="9" t="s">
        <v>11</v>
      </c>
      <c r="C250" s="3" t="s">
        <v>12</v>
      </c>
      <c r="D250" s="4">
        <f>SUMIFS(Rezepte!G:G,Rezepte!A:A,A250)</f>
        <v>0.6042347788</v>
      </c>
      <c r="E250" s="5">
        <v>3.9</v>
      </c>
      <c r="F250" s="5">
        <v>0.07</v>
      </c>
      <c r="G250" s="4">
        <f t="shared" si="1"/>
        <v>2.521471732</v>
      </c>
      <c r="H250" s="6"/>
      <c r="I250" s="7"/>
      <c r="J250" s="8"/>
      <c r="K250" s="6"/>
    </row>
    <row r="251">
      <c r="A251" s="9" t="s">
        <v>263</v>
      </c>
      <c r="B251" s="9" t="s">
        <v>16</v>
      </c>
      <c r="C251" s="3"/>
      <c r="D251" s="4">
        <f>SUMIFS(Rezepte!G:G,Rezepte!A:A,A251)</f>
        <v>28.24844</v>
      </c>
      <c r="E251" s="5">
        <v>3.9</v>
      </c>
      <c r="F251" s="5">
        <v>0.07</v>
      </c>
      <c r="G251" s="4">
        <f t="shared" si="1"/>
        <v>117.8807401</v>
      </c>
      <c r="H251" s="6">
        <v>10.9</v>
      </c>
      <c r="I251" s="7">
        <v>10.9</v>
      </c>
      <c r="J251" s="8">
        <f t="shared" ref="J251:J252" si="25">I251/(D251+D251*F251)</f>
        <v>0.3606187063</v>
      </c>
      <c r="K251" s="6">
        <f t="shared" ref="K251:K252" si="26">I251-H251</f>
        <v>0</v>
      </c>
    </row>
    <row r="252">
      <c r="A252" s="9" t="s">
        <v>264</v>
      </c>
      <c r="B252" s="9" t="s">
        <v>11</v>
      </c>
      <c r="C252" s="3" t="s">
        <v>14</v>
      </c>
      <c r="D252" s="4">
        <f>SUMIFS(Rezepte!G:G,Rezepte!A:A,A252)</f>
        <v>1.931025025</v>
      </c>
      <c r="E252" s="5">
        <v>3.9</v>
      </c>
      <c r="F252" s="5">
        <v>0.07</v>
      </c>
      <c r="G252" s="4">
        <f t="shared" si="1"/>
        <v>8.058167431</v>
      </c>
      <c r="H252" s="6">
        <v>10.9</v>
      </c>
      <c r="I252" s="7">
        <v>10.9</v>
      </c>
      <c r="J252" s="8">
        <f t="shared" si="25"/>
        <v>5.275392993</v>
      </c>
      <c r="K252" s="6">
        <f t="shared" si="26"/>
        <v>0</v>
      </c>
    </row>
    <row r="253">
      <c r="A253" s="9" t="s">
        <v>265</v>
      </c>
      <c r="B253" s="9" t="s">
        <v>16</v>
      </c>
      <c r="C253" s="3"/>
      <c r="D253" s="4">
        <f>SUMIFS(Rezepte!G:G,Rezepte!A:A,A253)</f>
        <v>3.85768</v>
      </c>
      <c r="E253" s="5">
        <v>3.9</v>
      </c>
      <c r="F253" s="5">
        <v>0.07</v>
      </c>
      <c r="G253" s="4">
        <f t="shared" si="1"/>
        <v>16.09809864</v>
      </c>
      <c r="H253" s="6"/>
      <c r="I253" s="7"/>
      <c r="J253" s="8"/>
      <c r="K253" s="6"/>
    </row>
    <row r="254">
      <c r="A254" s="9" t="s">
        <v>266</v>
      </c>
      <c r="B254" s="9" t="s">
        <v>16</v>
      </c>
      <c r="C254" s="3"/>
      <c r="D254" s="4">
        <f>SUMIFS(Rezepte!G:G,Rezepte!A:A,A254)</f>
        <v>8.94952</v>
      </c>
      <c r="E254" s="5">
        <v>3.9</v>
      </c>
      <c r="F254" s="5">
        <v>0.07</v>
      </c>
      <c r="G254" s="4">
        <f t="shared" si="1"/>
        <v>37.34634696</v>
      </c>
      <c r="H254" s="6"/>
      <c r="I254" s="7"/>
      <c r="J254" s="8"/>
      <c r="K254" s="6"/>
    </row>
    <row r="255">
      <c r="A255" s="9" t="s">
        <v>267</v>
      </c>
      <c r="B255" s="9" t="s">
        <v>16</v>
      </c>
      <c r="C255" s="3"/>
      <c r="D255" s="4">
        <f>SUMIFS(Rezepte!G:G,Rezepte!A:A,A255)</f>
        <v>6.459713333</v>
      </c>
      <c r="E255" s="5">
        <v>3.9</v>
      </c>
      <c r="F255" s="5">
        <v>0.07</v>
      </c>
      <c r="G255" s="4">
        <f t="shared" si="1"/>
        <v>26.95638374</v>
      </c>
      <c r="H255" s="6"/>
      <c r="I255" s="7"/>
      <c r="J255" s="8"/>
      <c r="K255" s="6"/>
    </row>
    <row r="256">
      <c r="A256" s="9" t="s">
        <v>268</v>
      </c>
      <c r="B256" s="9" t="s">
        <v>16</v>
      </c>
      <c r="C256" s="3"/>
      <c r="D256" s="4">
        <f>SUMIFS(Rezepte!G:G,Rezepte!A:A,A256)</f>
        <v>3.80126</v>
      </c>
      <c r="E256" s="5">
        <v>3.9</v>
      </c>
      <c r="F256" s="5">
        <v>0.07</v>
      </c>
      <c r="G256" s="4">
        <f t="shared" si="1"/>
        <v>15.86265798</v>
      </c>
      <c r="H256" s="6"/>
      <c r="I256" s="7"/>
      <c r="J256" s="8"/>
      <c r="K256" s="6"/>
    </row>
    <row r="257">
      <c r="A257" s="9" t="s">
        <v>269</v>
      </c>
      <c r="B257" s="9" t="s">
        <v>16</v>
      </c>
      <c r="C257" s="3"/>
      <c r="D257" s="4">
        <f>SUMIFS(Rezepte!G:G,Rezepte!A:A,A257)</f>
        <v>8.50784</v>
      </c>
      <c r="E257" s="5">
        <v>3.9</v>
      </c>
      <c r="F257" s="5">
        <v>0.07</v>
      </c>
      <c r="G257" s="4">
        <f t="shared" si="1"/>
        <v>35.50321632</v>
      </c>
      <c r="H257" s="6"/>
      <c r="I257" s="7"/>
      <c r="J257" s="8"/>
      <c r="K257" s="6"/>
    </row>
    <row r="258">
      <c r="A258" s="9" t="s">
        <v>270</v>
      </c>
      <c r="B258" s="9" t="s">
        <v>16</v>
      </c>
      <c r="C258" s="3"/>
      <c r="D258" s="4">
        <f>SUMIFS(Rezepte!G:G,Rezepte!A:A,A258)</f>
        <v>1.6022</v>
      </c>
      <c r="E258" s="5">
        <v>3.9</v>
      </c>
      <c r="F258" s="5">
        <v>0.07</v>
      </c>
      <c r="G258" s="4">
        <f t="shared" si="1"/>
        <v>6.6859806</v>
      </c>
      <c r="H258" s="6">
        <v>9.9</v>
      </c>
      <c r="I258" s="7">
        <v>9.9</v>
      </c>
      <c r="J258" s="8">
        <f t="shared" ref="J258:J259" si="27">I258/(D258+D258*F258)</f>
        <v>5.774769972</v>
      </c>
      <c r="K258" s="6">
        <f t="shared" ref="K258:K259" si="28">I258-H258</f>
        <v>0</v>
      </c>
    </row>
    <row r="259">
      <c r="A259" s="9" t="s">
        <v>271</v>
      </c>
      <c r="B259" s="9" t="s">
        <v>11</v>
      </c>
      <c r="C259" s="3" t="s">
        <v>14</v>
      </c>
      <c r="D259" s="4">
        <f>SUMIFS(Rezepte!G:G,Rezepte!A:A,A259)</f>
        <v>2.528706256</v>
      </c>
      <c r="E259" s="5">
        <v>3.9</v>
      </c>
      <c r="F259" s="5">
        <v>0.07</v>
      </c>
      <c r="G259" s="4">
        <f t="shared" si="1"/>
        <v>10.5522912</v>
      </c>
      <c r="H259" s="6">
        <v>10.9</v>
      </c>
      <c r="I259" s="7">
        <v>10.9</v>
      </c>
      <c r="J259" s="8">
        <f t="shared" si="27"/>
        <v>4.028508992</v>
      </c>
      <c r="K259" s="6">
        <f t="shared" si="28"/>
        <v>0</v>
      </c>
    </row>
    <row r="260">
      <c r="A260" s="9" t="s">
        <v>272</v>
      </c>
      <c r="B260" s="9" t="s">
        <v>16</v>
      </c>
      <c r="C260" s="3"/>
      <c r="D260" s="4">
        <f>SUMIFS(Rezepte!G:G,Rezepte!A:A,A260)</f>
        <v>13.4628</v>
      </c>
      <c r="E260" s="5">
        <v>3.9</v>
      </c>
      <c r="F260" s="5">
        <v>0.07</v>
      </c>
      <c r="G260" s="4">
        <f t="shared" si="1"/>
        <v>56.1802644</v>
      </c>
      <c r="H260" s="6"/>
      <c r="I260" s="7"/>
      <c r="J260" s="8"/>
      <c r="K260" s="6"/>
    </row>
    <row r="261">
      <c r="A261" s="9" t="s">
        <v>273</v>
      </c>
      <c r="B261" s="9" t="s">
        <v>16</v>
      </c>
      <c r="C261" s="3"/>
      <c r="D261" s="4">
        <f>SUMIFS(Rezepte!G:G,Rezepte!A:A,A261)</f>
        <v>9.26486</v>
      </c>
      <c r="E261" s="5">
        <v>3.9</v>
      </c>
      <c r="F261" s="5">
        <v>0.07</v>
      </c>
      <c r="G261" s="4">
        <f t="shared" si="1"/>
        <v>38.66226078</v>
      </c>
      <c r="H261" s="6"/>
      <c r="I261" s="7"/>
      <c r="J261" s="8"/>
      <c r="K261" s="6"/>
    </row>
    <row r="262">
      <c r="A262" s="9" t="s">
        <v>274</v>
      </c>
      <c r="B262" s="9" t="s">
        <v>16</v>
      </c>
      <c r="C262" s="3"/>
      <c r="D262" s="4">
        <f>SUMIFS(Rezepte!G:G,Rezepte!A:A,A262)</f>
        <v>58.05</v>
      </c>
      <c r="E262" s="5">
        <v>3.9</v>
      </c>
      <c r="F262" s="5">
        <v>0.07</v>
      </c>
      <c r="G262" s="4">
        <f t="shared" si="1"/>
        <v>242.24265</v>
      </c>
      <c r="H262" s="6">
        <v>15.9</v>
      </c>
      <c r="I262" s="7">
        <v>15.9</v>
      </c>
      <c r="J262" s="8">
        <f>I262/(D262+D262*F262)</f>
        <v>0.2559829989</v>
      </c>
      <c r="K262" s="6">
        <f>I262-H262</f>
        <v>0</v>
      </c>
    </row>
    <row r="263" hidden="1">
      <c r="A263" s="9" t="s">
        <v>275</v>
      </c>
      <c r="B263" s="9" t="s">
        <v>11</v>
      </c>
      <c r="C263" s="3" t="s">
        <v>12</v>
      </c>
      <c r="D263" s="4">
        <f>SUMIFS(Rezepte!G:G,Rezepte!A:A,A263)</f>
        <v>4.236118949</v>
      </c>
      <c r="E263" s="5">
        <v>3.9</v>
      </c>
      <c r="F263" s="5">
        <v>0.07</v>
      </c>
      <c r="G263" s="4">
        <f t="shared" si="1"/>
        <v>17.67732438</v>
      </c>
      <c r="H263" s="6"/>
      <c r="I263" s="7"/>
      <c r="J263" s="8"/>
      <c r="K263" s="6"/>
    </row>
    <row r="264">
      <c r="A264" s="3" t="s">
        <v>275</v>
      </c>
      <c r="B264" s="9" t="s">
        <v>11</v>
      </c>
      <c r="C264" s="3" t="s">
        <v>14</v>
      </c>
      <c r="D264" s="4">
        <f>SUMIFS(Rezepte!G:G,Rezepte!A:A,A264)</f>
        <v>4.236118949</v>
      </c>
      <c r="E264" s="5">
        <v>3.9</v>
      </c>
      <c r="F264" s="5">
        <v>0.07</v>
      </c>
      <c r="G264" s="4">
        <f t="shared" si="1"/>
        <v>17.67732438</v>
      </c>
      <c r="H264" s="6">
        <v>15.9</v>
      </c>
      <c r="I264" s="7">
        <v>15.9</v>
      </c>
      <c r="J264" s="8">
        <f>I264/(D264+D264*F264)</f>
        <v>3.507883811</v>
      </c>
      <c r="K264" s="6">
        <f>I264-H264</f>
        <v>0</v>
      </c>
    </row>
    <row r="265">
      <c r="A265" s="9" t="s">
        <v>276</v>
      </c>
      <c r="B265" s="9" t="s">
        <v>16</v>
      </c>
      <c r="C265" s="3"/>
      <c r="D265" s="4">
        <f>SUMIFS(Rezepte!G:G,Rezepte!A:A,A265)</f>
        <v>20.6</v>
      </c>
      <c r="E265" s="5">
        <v>3.9</v>
      </c>
      <c r="F265" s="5">
        <v>0.07</v>
      </c>
      <c r="G265" s="4">
        <f t="shared" si="1"/>
        <v>85.9638</v>
      </c>
      <c r="H265" s="6"/>
      <c r="I265" s="7"/>
      <c r="J265" s="8"/>
      <c r="K265" s="6"/>
    </row>
    <row r="266">
      <c r="A266" s="9" t="s">
        <v>277</v>
      </c>
      <c r="B266" s="9" t="s">
        <v>16</v>
      </c>
      <c r="C266" s="3"/>
      <c r="D266" s="4">
        <f>SUMIFS(Rezepte!G:G,Rezepte!A:A,A266)</f>
        <v>182.147</v>
      </c>
      <c r="E266" s="5">
        <v>3.9</v>
      </c>
      <c r="F266" s="5">
        <v>0.07</v>
      </c>
      <c r="G266" s="4">
        <f t="shared" si="1"/>
        <v>760.099431</v>
      </c>
      <c r="H266" s="6">
        <v>10.9</v>
      </c>
      <c r="I266" s="7">
        <v>10.9</v>
      </c>
      <c r="J266" s="8">
        <f t="shared" ref="J266:J267" si="29">I266/(D266+D266*F266)</f>
        <v>0.0559268936</v>
      </c>
      <c r="K266" s="6">
        <f t="shared" ref="K266:K267" si="30">I266-H266</f>
        <v>0</v>
      </c>
    </row>
    <row r="267">
      <c r="A267" s="9" t="s">
        <v>278</v>
      </c>
      <c r="B267" s="9" t="s">
        <v>11</v>
      </c>
      <c r="C267" s="3" t="s">
        <v>14</v>
      </c>
      <c r="D267" s="4">
        <f>SUMIFS(Rezepte!G:G,Rezepte!A:A,A267)</f>
        <v>3.97516219</v>
      </c>
      <c r="E267" s="5">
        <v>3.9</v>
      </c>
      <c r="F267" s="5">
        <v>0.07</v>
      </c>
      <c r="G267" s="4">
        <f t="shared" si="1"/>
        <v>16.58835182</v>
      </c>
      <c r="H267" s="6">
        <v>14.9</v>
      </c>
      <c r="I267" s="7">
        <v>14.9</v>
      </c>
      <c r="J267" s="8">
        <f t="shared" si="29"/>
        <v>3.503060499</v>
      </c>
      <c r="K267" s="6">
        <f t="shared" si="30"/>
        <v>0</v>
      </c>
    </row>
    <row r="268">
      <c r="A268" s="9" t="s">
        <v>279</v>
      </c>
      <c r="B268" s="9" t="s">
        <v>16</v>
      </c>
      <c r="C268" s="3"/>
      <c r="D268" s="4">
        <f>SUMIFS(Rezepte!G:G,Rezepte!A:A,A268)</f>
        <v>0.6836</v>
      </c>
      <c r="E268" s="5">
        <v>3.9</v>
      </c>
      <c r="F268" s="5">
        <v>0.07</v>
      </c>
      <c r="G268" s="4">
        <f t="shared" si="1"/>
        <v>2.8526628</v>
      </c>
      <c r="H268" s="6"/>
      <c r="I268" s="7"/>
      <c r="J268" s="8"/>
      <c r="K268" s="6"/>
    </row>
    <row r="269">
      <c r="A269" s="9" t="s">
        <v>280</v>
      </c>
      <c r="B269" s="9" t="s">
        <v>16</v>
      </c>
      <c r="C269" s="3"/>
      <c r="D269" s="4">
        <f>SUMIFS(Rezepte!G:G,Rezepte!A:A,A269)</f>
        <v>27.6408</v>
      </c>
      <c r="E269" s="5">
        <v>3.9</v>
      </c>
      <c r="F269" s="5">
        <v>0.07</v>
      </c>
      <c r="G269" s="4">
        <f t="shared" si="1"/>
        <v>115.3450584</v>
      </c>
      <c r="H269" s="6"/>
      <c r="I269" s="7"/>
      <c r="J269" s="8"/>
      <c r="K269" s="6"/>
    </row>
    <row r="270">
      <c r="A270" s="9" t="s">
        <v>281</v>
      </c>
      <c r="B270" s="9" t="s">
        <v>16</v>
      </c>
      <c r="C270" s="3"/>
      <c r="D270" s="4">
        <f>SUMIFS(Rezepte!G:G,Rezepte!A:A,A270)</f>
        <v>17.60827027</v>
      </c>
      <c r="E270" s="5">
        <v>3.9</v>
      </c>
      <c r="F270" s="5">
        <v>0.07</v>
      </c>
      <c r="G270" s="4">
        <f t="shared" si="1"/>
        <v>73.47931184</v>
      </c>
      <c r="H270" s="6"/>
      <c r="I270" s="7"/>
      <c r="J270" s="8"/>
      <c r="K270" s="6"/>
    </row>
    <row r="271">
      <c r="A271" s="9" t="s">
        <v>282</v>
      </c>
      <c r="B271" s="9" t="s">
        <v>16</v>
      </c>
      <c r="C271" s="9"/>
      <c r="D271" s="4"/>
      <c r="E271" s="5"/>
      <c r="F271" s="5"/>
      <c r="G271" s="4"/>
      <c r="H271" s="6"/>
      <c r="I271" s="7"/>
      <c r="J271" s="8"/>
      <c r="K271" s="6"/>
    </row>
    <row r="272" hidden="1">
      <c r="A272" s="9"/>
      <c r="B272" s="9"/>
      <c r="C272" s="9"/>
      <c r="D272" s="4"/>
      <c r="E272" s="5"/>
      <c r="F272" s="5"/>
      <c r="G272" s="4"/>
      <c r="H272" s="6"/>
      <c r="I272" s="7"/>
      <c r="J272" s="8"/>
      <c r="K272" s="6"/>
    </row>
    <row r="273" hidden="1">
      <c r="A273" s="9"/>
      <c r="B273" s="9"/>
      <c r="C273" s="9"/>
      <c r="D273" s="4"/>
      <c r="E273" s="5"/>
      <c r="F273" s="5"/>
      <c r="G273" s="4"/>
      <c r="H273" s="6"/>
      <c r="I273" s="7"/>
      <c r="J273" s="8"/>
      <c r="K273" s="6"/>
    </row>
    <row r="274" hidden="1">
      <c r="A274" s="9"/>
      <c r="B274" s="9"/>
      <c r="C274" s="9"/>
      <c r="D274" s="4"/>
      <c r="E274" s="5"/>
      <c r="F274" s="5"/>
      <c r="G274" s="4"/>
      <c r="H274" s="6"/>
      <c r="I274" s="7"/>
      <c r="J274" s="8"/>
      <c r="K274" s="6"/>
    </row>
    <row r="275" hidden="1">
      <c r="A275" s="9"/>
      <c r="B275" s="9"/>
      <c r="C275" s="9"/>
      <c r="D275" s="4"/>
      <c r="E275" s="5"/>
      <c r="F275" s="5"/>
      <c r="G275" s="4"/>
      <c r="H275" s="6"/>
      <c r="I275" s="7"/>
      <c r="J275" s="8"/>
      <c r="K275" s="6"/>
    </row>
    <row r="276" hidden="1">
      <c r="A276" s="9"/>
      <c r="B276" s="9"/>
      <c r="C276" s="9"/>
      <c r="D276" s="4"/>
      <c r="E276" s="5"/>
      <c r="F276" s="5"/>
      <c r="G276" s="4"/>
      <c r="H276" s="6"/>
      <c r="I276" s="7"/>
      <c r="J276" s="8"/>
      <c r="K276" s="6"/>
    </row>
    <row r="277" hidden="1">
      <c r="A277" s="9"/>
      <c r="B277" s="9"/>
      <c r="C277" s="9"/>
      <c r="D277" s="4"/>
      <c r="E277" s="5"/>
      <c r="F277" s="5"/>
      <c r="G277" s="4"/>
      <c r="H277" s="6"/>
      <c r="I277" s="7"/>
      <c r="J277" s="8"/>
      <c r="K277" s="6"/>
    </row>
    <row r="278" hidden="1">
      <c r="A278" s="9"/>
      <c r="B278" s="9"/>
      <c r="C278" s="9"/>
      <c r="D278" s="4"/>
      <c r="E278" s="5"/>
      <c r="F278" s="5"/>
      <c r="G278" s="4"/>
      <c r="H278" s="6"/>
      <c r="I278" s="7"/>
      <c r="J278" s="8"/>
      <c r="K278" s="6"/>
    </row>
    <row r="279" hidden="1">
      <c r="A279" s="9"/>
      <c r="B279" s="9"/>
      <c r="C279" s="9"/>
      <c r="D279" s="4"/>
      <c r="E279" s="5"/>
      <c r="F279" s="5"/>
      <c r="G279" s="4"/>
      <c r="H279" s="6"/>
      <c r="I279" s="7"/>
      <c r="J279" s="8"/>
      <c r="K279" s="6"/>
    </row>
    <row r="280" hidden="1">
      <c r="A280" s="9"/>
      <c r="B280" s="9"/>
      <c r="C280" s="9"/>
      <c r="D280" s="4"/>
      <c r="E280" s="5"/>
      <c r="F280" s="5"/>
      <c r="G280" s="4"/>
      <c r="H280" s="6"/>
      <c r="I280" s="7"/>
      <c r="J280" s="8"/>
      <c r="K280" s="6"/>
    </row>
    <row r="281" hidden="1">
      <c r="A281" s="9"/>
      <c r="B281" s="9"/>
      <c r="C281" s="9"/>
      <c r="D281" s="4"/>
      <c r="E281" s="5"/>
      <c r="F281" s="5"/>
      <c r="G281" s="4"/>
      <c r="H281" s="6"/>
      <c r="I281" s="7"/>
      <c r="J281" s="8"/>
      <c r="K281" s="6"/>
    </row>
    <row r="282" hidden="1">
      <c r="A282" s="9"/>
      <c r="B282" s="9"/>
      <c r="C282" s="9"/>
      <c r="D282" s="4"/>
      <c r="E282" s="5"/>
      <c r="F282" s="5"/>
      <c r="G282" s="4"/>
      <c r="H282" s="6"/>
      <c r="I282" s="7"/>
      <c r="J282" s="8"/>
      <c r="K282" s="6"/>
    </row>
    <row r="283" hidden="1">
      <c r="A283" s="9"/>
      <c r="B283" s="9"/>
      <c r="C283" s="9"/>
      <c r="D283" s="4"/>
      <c r="E283" s="5"/>
      <c r="F283" s="5"/>
      <c r="G283" s="4"/>
      <c r="H283" s="6"/>
      <c r="I283" s="7"/>
      <c r="J283" s="8"/>
      <c r="K283" s="6"/>
    </row>
    <row r="284" hidden="1">
      <c r="A284" s="9"/>
      <c r="B284" s="9"/>
      <c r="C284" s="9"/>
      <c r="D284" s="4"/>
      <c r="E284" s="5"/>
      <c r="F284" s="5"/>
      <c r="G284" s="4"/>
      <c r="H284" s="6"/>
      <c r="I284" s="7"/>
      <c r="J284" s="8"/>
      <c r="K284" s="6"/>
    </row>
    <row r="285" hidden="1">
      <c r="A285" s="9"/>
      <c r="B285" s="9"/>
      <c r="C285" s="9"/>
      <c r="D285" s="4"/>
      <c r="E285" s="5"/>
      <c r="F285" s="5"/>
      <c r="G285" s="4"/>
      <c r="H285" s="6"/>
      <c r="I285" s="7"/>
      <c r="J285" s="8"/>
      <c r="K285" s="6"/>
    </row>
    <row r="286" hidden="1">
      <c r="A286" s="9"/>
      <c r="B286" s="9"/>
      <c r="C286" s="9"/>
      <c r="D286" s="4"/>
      <c r="E286" s="5"/>
      <c r="F286" s="5"/>
      <c r="G286" s="4"/>
      <c r="H286" s="6"/>
      <c r="I286" s="7"/>
      <c r="J286" s="8"/>
      <c r="K286" s="6"/>
    </row>
    <row r="287" hidden="1">
      <c r="A287" s="9"/>
      <c r="B287" s="9"/>
      <c r="C287" s="9"/>
      <c r="D287" s="4"/>
      <c r="E287" s="5"/>
      <c r="F287" s="5"/>
      <c r="G287" s="4"/>
      <c r="H287" s="6"/>
      <c r="I287" s="7"/>
      <c r="J287" s="8"/>
      <c r="K287" s="6"/>
    </row>
    <row r="288" hidden="1">
      <c r="A288" s="9"/>
      <c r="B288" s="9"/>
      <c r="C288" s="9"/>
      <c r="D288" s="4"/>
      <c r="E288" s="5"/>
      <c r="F288" s="5"/>
      <c r="G288" s="4"/>
      <c r="H288" s="6"/>
      <c r="I288" s="7"/>
      <c r="J288" s="8"/>
      <c r="K288" s="6"/>
    </row>
    <row r="289" hidden="1">
      <c r="A289" s="9"/>
      <c r="B289" s="9"/>
      <c r="C289" s="9"/>
      <c r="D289" s="4"/>
      <c r="E289" s="5"/>
      <c r="F289" s="5"/>
      <c r="G289" s="4"/>
      <c r="H289" s="6"/>
      <c r="I289" s="7"/>
      <c r="J289" s="8"/>
      <c r="K289" s="6"/>
    </row>
    <row r="290" hidden="1">
      <c r="A290" s="9"/>
      <c r="B290" s="9"/>
      <c r="C290" s="9"/>
      <c r="D290" s="4"/>
      <c r="E290" s="5"/>
      <c r="F290" s="5"/>
      <c r="G290" s="4"/>
      <c r="H290" s="6"/>
      <c r="I290" s="7"/>
      <c r="J290" s="8"/>
      <c r="K290" s="6"/>
    </row>
    <row r="291" hidden="1">
      <c r="A291" s="9"/>
      <c r="B291" s="9"/>
      <c r="C291" s="9"/>
      <c r="D291" s="4"/>
      <c r="E291" s="5"/>
      <c r="F291" s="5"/>
      <c r="G291" s="4"/>
      <c r="H291" s="6"/>
      <c r="I291" s="7"/>
      <c r="J291" s="8"/>
      <c r="K291" s="6"/>
    </row>
    <row r="292" hidden="1">
      <c r="A292" s="9"/>
      <c r="B292" s="9"/>
      <c r="C292" s="9"/>
      <c r="D292" s="4"/>
      <c r="E292" s="5"/>
      <c r="F292" s="5"/>
      <c r="G292" s="4"/>
      <c r="H292" s="6"/>
      <c r="I292" s="7"/>
      <c r="J292" s="8"/>
      <c r="K292" s="6"/>
    </row>
    <row r="293" hidden="1">
      <c r="A293" s="9"/>
      <c r="B293" s="9"/>
      <c r="C293" s="9"/>
      <c r="D293" s="4"/>
      <c r="E293" s="5"/>
      <c r="F293" s="5"/>
      <c r="G293" s="4"/>
      <c r="H293" s="6"/>
      <c r="I293" s="7"/>
      <c r="J293" s="8"/>
      <c r="K293" s="6"/>
    </row>
    <row r="294" hidden="1">
      <c r="A294" s="9"/>
      <c r="B294" s="9"/>
      <c r="C294" s="9"/>
      <c r="D294" s="4"/>
      <c r="E294" s="5"/>
      <c r="F294" s="5"/>
      <c r="G294" s="4"/>
      <c r="H294" s="6"/>
      <c r="I294" s="7"/>
      <c r="J294" s="8"/>
      <c r="K294" s="6"/>
    </row>
    <row r="295" hidden="1">
      <c r="A295" s="9"/>
      <c r="B295" s="9"/>
      <c r="C295" s="9"/>
      <c r="D295" s="4"/>
      <c r="E295" s="5"/>
      <c r="F295" s="5"/>
      <c r="G295" s="4"/>
      <c r="H295" s="6"/>
      <c r="I295" s="7"/>
      <c r="J295" s="8"/>
      <c r="K295" s="6"/>
    </row>
    <row r="296" hidden="1">
      <c r="A296" s="9"/>
      <c r="B296" s="9"/>
      <c r="C296" s="9"/>
      <c r="D296" s="4"/>
      <c r="E296" s="5"/>
      <c r="F296" s="5"/>
      <c r="G296" s="4"/>
      <c r="H296" s="6"/>
      <c r="I296" s="7"/>
      <c r="J296" s="8"/>
      <c r="K296" s="6"/>
    </row>
    <row r="297" hidden="1">
      <c r="A297" s="9"/>
      <c r="B297" s="9"/>
      <c r="C297" s="9"/>
      <c r="D297" s="4"/>
      <c r="E297" s="5"/>
      <c r="F297" s="5"/>
      <c r="G297" s="4"/>
      <c r="H297" s="6"/>
      <c r="I297" s="7"/>
      <c r="J297" s="8"/>
      <c r="K297" s="6"/>
    </row>
    <row r="298" hidden="1">
      <c r="A298" s="9"/>
      <c r="B298" s="9"/>
      <c r="C298" s="9"/>
      <c r="D298" s="4"/>
      <c r="E298" s="5"/>
      <c r="F298" s="5"/>
      <c r="G298" s="4"/>
      <c r="H298" s="6"/>
      <c r="I298" s="7"/>
      <c r="J298" s="8"/>
      <c r="K298" s="6"/>
    </row>
    <row r="299" hidden="1">
      <c r="A299" s="9"/>
      <c r="B299" s="9"/>
      <c r="C299" s="9"/>
      <c r="D299" s="4"/>
      <c r="E299" s="5"/>
      <c r="F299" s="5"/>
      <c r="G299" s="4"/>
      <c r="H299" s="6"/>
      <c r="I299" s="7"/>
      <c r="J299" s="8"/>
      <c r="K299" s="6"/>
    </row>
    <row r="300" hidden="1">
      <c r="A300" s="9"/>
      <c r="B300" s="9"/>
      <c r="C300" s="9"/>
      <c r="D300" s="4"/>
      <c r="E300" s="5"/>
      <c r="F300" s="5"/>
      <c r="G300" s="4"/>
      <c r="H300" s="6"/>
      <c r="I300" s="7"/>
      <c r="J300" s="8"/>
      <c r="K300" s="6"/>
    </row>
    <row r="301" hidden="1">
      <c r="A301" s="9"/>
      <c r="B301" s="9"/>
      <c r="C301" s="9"/>
      <c r="D301" s="4"/>
      <c r="E301" s="5"/>
      <c r="F301" s="5"/>
      <c r="G301" s="4"/>
      <c r="H301" s="6"/>
      <c r="I301" s="7"/>
      <c r="J301" s="8"/>
      <c r="K301" s="6"/>
    </row>
    <row r="302" hidden="1">
      <c r="A302" s="9"/>
      <c r="B302" s="9"/>
      <c r="C302" s="9"/>
      <c r="D302" s="4"/>
      <c r="E302" s="5"/>
      <c r="F302" s="5"/>
      <c r="G302" s="4"/>
      <c r="H302" s="6"/>
      <c r="I302" s="7"/>
      <c r="J302" s="8"/>
      <c r="K302" s="6"/>
    </row>
    <row r="303" hidden="1">
      <c r="A303" s="9"/>
      <c r="B303" s="9"/>
      <c r="C303" s="9"/>
      <c r="D303" s="4"/>
      <c r="E303" s="5"/>
      <c r="F303" s="5"/>
      <c r="G303" s="4"/>
      <c r="H303" s="6"/>
      <c r="I303" s="7"/>
      <c r="J303" s="8"/>
      <c r="K303" s="6"/>
    </row>
    <row r="304" hidden="1">
      <c r="A304" s="9"/>
      <c r="B304" s="9"/>
      <c r="C304" s="9"/>
      <c r="D304" s="4"/>
      <c r="E304" s="5"/>
      <c r="F304" s="5"/>
      <c r="G304" s="4"/>
      <c r="H304" s="6"/>
      <c r="I304" s="7"/>
      <c r="J304" s="8"/>
      <c r="K304" s="6"/>
    </row>
    <row r="305" hidden="1">
      <c r="A305" s="9"/>
      <c r="B305" s="9"/>
      <c r="C305" s="9"/>
      <c r="D305" s="4"/>
      <c r="E305" s="5"/>
      <c r="F305" s="5"/>
      <c r="G305" s="4"/>
      <c r="H305" s="6"/>
      <c r="I305" s="7"/>
      <c r="J305" s="8"/>
      <c r="K305" s="6"/>
    </row>
    <row r="306" hidden="1">
      <c r="A306" s="9"/>
      <c r="B306" s="9"/>
      <c r="C306" s="9"/>
      <c r="D306" s="4"/>
      <c r="E306" s="5"/>
      <c r="F306" s="5"/>
      <c r="G306" s="4"/>
      <c r="H306" s="6"/>
      <c r="I306" s="7"/>
      <c r="J306" s="8"/>
      <c r="K306" s="6"/>
    </row>
    <row r="307" hidden="1">
      <c r="A307" s="9"/>
      <c r="B307" s="9"/>
      <c r="C307" s="9"/>
      <c r="D307" s="4"/>
      <c r="E307" s="5"/>
      <c r="F307" s="5"/>
      <c r="G307" s="4"/>
      <c r="H307" s="6"/>
      <c r="I307" s="7"/>
      <c r="J307" s="8"/>
      <c r="K307" s="6"/>
    </row>
    <row r="308" hidden="1">
      <c r="A308" s="9"/>
      <c r="B308" s="9"/>
      <c r="C308" s="9"/>
      <c r="D308" s="4"/>
      <c r="E308" s="5"/>
      <c r="F308" s="5"/>
      <c r="G308" s="4"/>
      <c r="H308" s="6"/>
      <c r="I308" s="7"/>
      <c r="J308" s="8"/>
      <c r="K308" s="6"/>
    </row>
    <row r="309" hidden="1">
      <c r="A309" s="9"/>
      <c r="B309" s="9"/>
      <c r="C309" s="9"/>
      <c r="D309" s="4"/>
      <c r="E309" s="5"/>
      <c r="F309" s="5"/>
      <c r="G309" s="4"/>
      <c r="H309" s="6"/>
      <c r="I309" s="7"/>
      <c r="J309" s="8"/>
      <c r="K309" s="6"/>
    </row>
    <row r="310" hidden="1">
      <c r="A310" s="9"/>
      <c r="B310" s="9"/>
      <c r="C310" s="9"/>
      <c r="D310" s="4"/>
      <c r="E310" s="5"/>
      <c r="F310" s="5"/>
      <c r="G310" s="4"/>
      <c r="H310" s="6"/>
      <c r="I310" s="7"/>
      <c r="J310" s="8"/>
      <c r="K310" s="6"/>
    </row>
    <row r="311" hidden="1">
      <c r="A311" s="9"/>
      <c r="B311" s="9"/>
      <c r="C311" s="9"/>
      <c r="D311" s="4"/>
      <c r="E311" s="5"/>
      <c r="F311" s="5"/>
      <c r="G311" s="4"/>
      <c r="H311" s="6"/>
      <c r="I311" s="7"/>
      <c r="J311" s="8"/>
      <c r="K311" s="6"/>
    </row>
    <row r="312" hidden="1">
      <c r="A312" s="9"/>
      <c r="B312" s="9"/>
      <c r="C312" s="9"/>
      <c r="D312" s="4"/>
      <c r="E312" s="5"/>
      <c r="F312" s="5"/>
      <c r="G312" s="4"/>
      <c r="H312" s="6"/>
      <c r="I312" s="7"/>
      <c r="J312" s="8"/>
      <c r="K312" s="6"/>
    </row>
    <row r="313" hidden="1">
      <c r="A313" s="9"/>
      <c r="B313" s="9"/>
      <c r="C313" s="9"/>
      <c r="D313" s="4"/>
      <c r="E313" s="5"/>
      <c r="F313" s="5"/>
      <c r="G313" s="4"/>
      <c r="H313" s="6"/>
      <c r="I313" s="7"/>
      <c r="J313" s="8"/>
      <c r="K313" s="6"/>
    </row>
    <row r="314" hidden="1">
      <c r="A314" s="9"/>
      <c r="B314" s="9"/>
      <c r="C314" s="9"/>
      <c r="D314" s="4"/>
      <c r="E314" s="5"/>
      <c r="F314" s="5"/>
      <c r="G314" s="4"/>
      <c r="H314" s="6"/>
      <c r="I314" s="7"/>
      <c r="J314" s="8"/>
      <c r="K314" s="6"/>
    </row>
    <row r="315" hidden="1">
      <c r="A315" s="9"/>
      <c r="B315" s="9"/>
      <c r="C315" s="9"/>
      <c r="D315" s="4"/>
      <c r="E315" s="5"/>
      <c r="F315" s="5"/>
      <c r="G315" s="4"/>
      <c r="H315" s="6"/>
      <c r="I315" s="7"/>
      <c r="J315" s="8"/>
      <c r="K315" s="6"/>
    </row>
    <row r="316" hidden="1">
      <c r="A316" s="9"/>
      <c r="B316" s="9"/>
      <c r="C316" s="9"/>
      <c r="D316" s="4"/>
      <c r="E316" s="5"/>
      <c r="F316" s="5"/>
      <c r="G316" s="4"/>
      <c r="H316" s="6"/>
      <c r="I316" s="7"/>
      <c r="J316" s="8"/>
      <c r="K316" s="6"/>
    </row>
    <row r="317" hidden="1">
      <c r="A317" s="9"/>
      <c r="B317" s="9"/>
      <c r="C317" s="9"/>
      <c r="D317" s="4"/>
      <c r="E317" s="5"/>
      <c r="F317" s="5"/>
      <c r="G317" s="4"/>
      <c r="H317" s="6"/>
      <c r="I317" s="7"/>
      <c r="J317" s="8"/>
      <c r="K317" s="6"/>
    </row>
    <row r="318" hidden="1">
      <c r="A318" s="9"/>
      <c r="B318" s="9"/>
      <c r="C318" s="9"/>
      <c r="D318" s="4"/>
      <c r="E318" s="5"/>
      <c r="F318" s="5"/>
      <c r="G318" s="4"/>
      <c r="H318" s="6"/>
      <c r="I318" s="7"/>
      <c r="J318" s="8"/>
      <c r="K318" s="6"/>
    </row>
    <row r="319" hidden="1">
      <c r="A319" s="9"/>
      <c r="B319" s="9"/>
      <c r="C319" s="9"/>
      <c r="D319" s="4"/>
      <c r="E319" s="5"/>
      <c r="F319" s="5"/>
      <c r="G319" s="4"/>
      <c r="H319" s="6"/>
      <c r="I319" s="7"/>
      <c r="J319" s="8"/>
      <c r="K319" s="6"/>
    </row>
    <row r="320" hidden="1">
      <c r="A320" s="9"/>
      <c r="B320" s="9"/>
      <c r="C320" s="9"/>
      <c r="D320" s="4"/>
      <c r="E320" s="5"/>
      <c r="F320" s="5"/>
      <c r="G320" s="4"/>
      <c r="H320" s="6"/>
      <c r="I320" s="7"/>
      <c r="J320" s="8"/>
      <c r="K320" s="6"/>
    </row>
    <row r="321" hidden="1">
      <c r="A321" s="9"/>
      <c r="B321" s="9"/>
      <c r="C321" s="9"/>
      <c r="D321" s="4"/>
      <c r="E321" s="5"/>
      <c r="F321" s="5"/>
      <c r="G321" s="4"/>
      <c r="H321" s="6"/>
      <c r="I321" s="7"/>
      <c r="J321" s="8"/>
      <c r="K321" s="6"/>
    </row>
    <row r="322" hidden="1">
      <c r="A322" s="9"/>
      <c r="B322" s="9"/>
      <c r="C322" s="9"/>
      <c r="D322" s="4"/>
      <c r="E322" s="5"/>
      <c r="F322" s="5"/>
      <c r="G322" s="4"/>
      <c r="H322" s="6"/>
      <c r="I322" s="7"/>
      <c r="J322" s="8"/>
      <c r="K322" s="6"/>
    </row>
    <row r="323" hidden="1">
      <c r="A323" s="9"/>
      <c r="B323" s="9"/>
      <c r="C323" s="9"/>
      <c r="D323" s="4"/>
      <c r="E323" s="5"/>
      <c r="F323" s="5"/>
      <c r="G323" s="4"/>
      <c r="H323" s="6"/>
      <c r="I323" s="7"/>
      <c r="J323" s="8"/>
      <c r="K323" s="6"/>
    </row>
    <row r="324" hidden="1">
      <c r="A324" s="9"/>
      <c r="B324" s="9"/>
      <c r="C324" s="9"/>
      <c r="D324" s="4"/>
      <c r="E324" s="5"/>
      <c r="F324" s="5"/>
      <c r="G324" s="4"/>
      <c r="H324" s="6"/>
      <c r="I324" s="7"/>
      <c r="J324" s="8"/>
      <c r="K324" s="6"/>
    </row>
    <row r="325" hidden="1">
      <c r="A325" s="9"/>
      <c r="B325" s="9"/>
      <c r="C325" s="9"/>
      <c r="D325" s="4"/>
      <c r="E325" s="5"/>
      <c r="F325" s="5"/>
      <c r="G325" s="4"/>
      <c r="H325" s="6"/>
      <c r="I325" s="7"/>
      <c r="J325" s="8"/>
      <c r="K325" s="6"/>
    </row>
    <row r="326" hidden="1">
      <c r="A326" s="9"/>
      <c r="B326" s="9"/>
      <c r="C326" s="9"/>
      <c r="D326" s="4"/>
      <c r="E326" s="5"/>
      <c r="F326" s="5"/>
      <c r="G326" s="4"/>
      <c r="H326" s="6"/>
      <c r="I326" s="7"/>
      <c r="J326" s="8"/>
      <c r="K326" s="6"/>
    </row>
    <row r="327" hidden="1">
      <c r="A327" s="9"/>
      <c r="B327" s="9"/>
      <c r="C327" s="9"/>
      <c r="D327" s="4"/>
      <c r="E327" s="5"/>
      <c r="F327" s="5"/>
      <c r="G327" s="4"/>
      <c r="H327" s="6"/>
      <c r="I327" s="7"/>
      <c r="J327" s="8"/>
      <c r="K327" s="6"/>
    </row>
    <row r="328" hidden="1">
      <c r="A328" s="9"/>
      <c r="B328" s="9"/>
      <c r="C328" s="9"/>
      <c r="D328" s="4"/>
      <c r="E328" s="5"/>
      <c r="F328" s="5"/>
      <c r="G328" s="4"/>
      <c r="H328" s="6"/>
      <c r="I328" s="7"/>
      <c r="J328" s="8"/>
      <c r="K328" s="6"/>
    </row>
    <row r="329" hidden="1">
      <c r="A329" s="9"/>
      <c r="B329" s="9"/>
      <c r="C329" s="9"/>
      <c r="D329" s="4"/>
      <c r="E329" s="5"/>
      <c r="F329" s="5"/>
      <c r="G329" s="4"/>
      <c r="H329" s="6"/>
      <c r="I329" s="7"/>
      <c r="J329" s="8"/>
      <c r="K329" s="6"/>
    </row>
    <row r="330" hidden="1">
      <c r="A330" s="9"/>
      <c r="B330" s="9"/>
      <c r="C330" s="9"/>
      <c r="D330" s="4"/>
      <c r="E330" s="5"/>
      <c r="F330" s="5"/>
      <c r="G330" s="4"/>
      <c r="H330" s="6"/>
      <c r="I330" s="7"/>
      <c r="J330" s="8"/>
      <c r="K330" s="6"/>
    </row>
    <row r="331" hidden="1">
      <c r="A331" s="9"/>
      <c r="B331" s="9"/>
      <c r="C331" s="9"/>
      <c r="D331" s="4"/>
      <c r="E331" s="5"/>
      <c r="F331" s="5"/>
      <c r="G331" s="4"/>
      <c r="H331" s="6"/>
      <c r="I331" s="7"/>
      <c r="J331" s="8"/>
      <c r="K331" s="6"/>
    </row>
    <row r="332" hidden="1">
      <c r="A332" s="9"/>
      <c r="B332" s="9"/>
      <c r="C332" s="9"/>
      <c r="D332" s="4"/>
      <c r="E332" s="5"/>
      <c r="F332" s="5"/>
      <c r="G332" s="4"/>
      <c r="H332" s="6"/>
      <c r="I332" s="7"/>
      <c r="J332" s="8"/>
      <c r="K332" s="6"/>
    </row>
    <row r="333" hidden="1">
      <c r="A333" s="9"/>
      <c r="B333" s="9"/>
      <c r="C333" s="9"/>
      <c r="D333" s="4"/>
      <c r="E333" s="5"/>
      <c r="F333" s="5"/>
      <c r="G333" s="4"/>
      <c r="H333" s="6"/>
      <c r="I333" s="7"/>
      <c r="J333" s="8"/>
      <c r="K333" s="6"/>
    </row>
    <row r="334" hidden="1">
      <c r="A334" s="9"/>
      <c r="B334" s="9"/>
      <c r="C334" s="9"/>
      <c r="D334" s="4"/>
      <c r="E334" s="5"/>
      <c r="F334" s="5"/>
      <c r="G334" s="4"/>
      <c r="H334" s="6"/>
      <c r="I334" s="7"/>
      <c r="J334" s="8"/>
      <c r="K334" s="6"/>
    </row>
    <row r="335" hidden="1">
      <c r="A335" s="9"/>
      <c r="B335" s="9"/>
      <c r="C335" s="9"/>
      <c r="D335" s="4"/>
      <c r="E335" s="5"/>
      <c r="F335" s="5"/>
      <c r="G335" s="4"/>
      <c r="H335" s="6"/>
      <c r="I335" s="7"/>
      <c r="J335" s="8"/>
      <c r="K335" s="6"/>
    </row>
    <row r="336" hidden="1">
      <c r="A336" s="9"/>
      <c r="B336" s="9"/>
      <c r="C336" s="9"/>
      <c r="D336" s="4"/>
      <c r="E336" s="5"/>
      <c r="F336" s="5"/>
      <c r="G336" s="4"/>
      <c r="H336" s="6"/>
      <c r="I336" s="7"/>
      <c r="J336" s="8"/>
      <c r="K336" s="6"/>
    </row>
    <row r="337" hidden="1">
      <c r="A337" s="9"/>
      <c r="B337" s="9"/>
      <c r="C337" s="9"/>
      <c r="D337" s="4"/>
      <c r="E337" s="5"/>
      <c r="F337" s="5"/>
      <c r="G337" s="4"/>
      <c r="H337" s="6"/>
      <c r="I337" s="7"/>
      <c r="J337" s="8"/>
      <c r="K337" s="6"/>
    </row>
    <row r="338" hidden="1">
      <c r="A338" s="9"/>
      <c r="B338" s="9"/>
      <c r="C338" s="9"/>
      <c r="D338" s="4"/>
      <c r="E338" s="5"/>
      <c r="F338" s="5"/>
      <c r="G338" s="4"/>
      <c r="H338" s="6"/>
      <c r="I338" s="7"/>
      <c r="J338" s="8"/>
      <c r="K338" s="6"/>
    </row>
    <row r="339" hidden="1">
      <c r="A339" s="9"/>
      <c r="B339" s="9"/>
      <c r="C339" s="9"/>
      <c r="D339" s="4"/>
      <c r="E339" s="5"/>
      <c r="F339" s="5"/>
      <c r="G339" s="4"/>
      <c r="H339" s="6"/>
      <c r="I339" s="7"/>
      <c r="J339" s="8"/>
      <c r="K339" s="6"/>
    </row>
    <row r="340" hidden="1">
      <c r="A340" s="9"/>
      <c r="B340" s="9"/>
      <c r="C340" s="9"/>
      <c r="D340" s="4"/>
      <c r="E340" s="5"/>
      <c r="F340" s="5"/>
      <c r="G340" s="4"/>
      <c r="H340" s="6"/>
      <c r="I340" s="7"/>
      <c r="J340" s="8"/>
      <c r="K340" s="6"/>
    </row>
    <row r="341" hidden="1">
      <c r="A341" s="9"/>
      <c r="B341" s="9"/>
      <c r="C341" s="9"/>
      <c r="D341" s="4"/>
      <c r="E341" s="5"/>
      <c r="F341" s="5"/>
      <c r="G341" s="4"/>
      <c r="H341" s="6"/>
      <c r="I341" s="7"/>
      <c r="J341" s="8"/>
      <c r="K341" s="6"/>
    </row>
    <row r="342" hidden="1">
      <c r="A342" s="9"/>
      <c r="B342" s="9"/>
      <c r="C342" s="9"/>
      <c r="D342" s="4"/>
      <c r="E342" s="5"/>
      <c r="F342" s="5"/>
      <c r="G342" s="4"/>
      <c r="H342" s="6"/>
      <c r="I342" s="7"/>
      <c r="J342" s="8"/>
      <c r="K342" s="6"/>
    </row>
    <row r="343" hidden="1">
      <c r="A343" s="9"/>
      <c r="B343" s="9"/>
      <c r="C343" s="9"/>
      <c r="D343" s="4"/>
      <c r="E343" s="5"/>
      <c r="F343" s="5"/>
      <c r="G343" s="4"/>
      <c r="H343" s="6"/>
      <c r="I343" s="7"/>
      <c r="J343" s="8"/>
      <c r="K343" s="6"/>
    </row>
    <row r="344" hidden="1">
      <c r="A344" s="9"/>
      <c r="B344" s="9"/>
      <c r="C344" s="9"/>
      <c r="D344" s="4"/>
      <c r="E344" s="5"/>
      <c r="F344" s="5"/>
      <c r="G344" s="4"/>
      <c r="H344" s="6"/>
      <c r="I344" s="7"/>
      <c r="J344" s="8"/>
      <c r="K344" s="6"/>
    </row>
    <row r="345" hidden="1">
      <c r="A345" s="9"/>
      <c r="B345" s="9"/>
      <c r="C345" s="9"/>
      <c r="D345" s="4"/>
      <c r="E345" s="5"/>
      <c r="F345" s="5"/>
      <c r="G345" s="4"/>
      <c r="H345" s="6"/>
      <c r="I345" s="7"/>
      <c r="J345" s="8"/>
      <c r="K345" s="6"/>
    </row>
    <row r="346" hidden="1">
      <c r="A346" s="9"/>
      <c r="B346" s="9"/>
      <c r="C346" s="9"/>
      <c r="D346" s="4"/>
      <c r="E346" s="5"/>
      <c r="F346" s="5"/>
      <c r="G346" s="4"/>
      <c r="H346" s="6"/>
      <c r="I346" s="7"/>
      <c r="J346" s="8"/>
      <c r="K346" s="6"/>
    </row>
    <row r="347" hidden="1">
      <c r="A347" s="9"/>
      <c r="B347" s="9"/>
      <c r="C347" s="9"/>
      <c r="D347" s="4"/>
      <c r="E347" s="5"/>
      <c r="F347" s="5"/>
      <c r="G347" s="4"/>
      <c r="H347" s="6"/>
      <c r="I347" s="7"/>
      <c r="J347" s="8"/>
      <c r="K347" s="6"/>
    </row>
    <row r="348" hidden="1">
      <c r="A348" s="9"/>
      <c r="B348" s="9"/>
      <c r="C348" s="9"/>
      <c r="D348" s="4"/>
      <c r="E348" s="5"/>
      <c r="F348" s="5"/>
      <c r="G348" s="4"/>
      <c r="H348" s="6"/>
      <c r="I348" s="7"/>
      <c r="J348" s="8"/>
      <c r="K348" s="6"/>
    </row>
    <row r="349" hidden="1">
      <c r="A349" s="9"/>
      <c r="B349" s="9"/>
      <c r="C349" s="9"/>
      <c r="D349" s="4"/>
      <c r="E349" s="5"/>
      <c r="F349" s="5"/>
      <c r="G349" s="4"/>
      <c r="H349" s="6"/>
      <c r="I349" s="7"/>
      <c r="J349" s="8"/>
      <c r="K349" s="6"/>
    </row>
    <row r="350" hidden="1">
      <c r="A350" s="9"/>
      <c r="B350" s="9"/>
      <c r="C350" s="9"/>
      <c r="D350" s="4"/>
      <c r="E350" s="5"/>
      <c r="F350" s="5"/>
      <c r="G350" s="4"/>
      <c r="H350" s="6"/>
      <c r="I350" s="7"/>
      <c r="J350" s="8"/>
      <c r="K350" s="6"/>
    </row>
    <row r="351" hidden="1">
      <c r="A351" s="9"/>
      <c r="B351" s="9"/>
      <c r="C351" s="9"/>
      <c r="D351" s="4"/>
      <c r="E351" s="5"/>
      <c r="F351" s="5"/>
      <c r="G351" s="4"/>
      <c r="H351" s="6"/>
      <c r="I351" s="7"/>
      <c r="J351" s="8"/>
      <c r="K351" s="6"/>
    </row>
    <row r="352" hidden="1">
      <c r="A352" s="9"/>
      <c r="B352" s="9"/>
      <c r="C352" s="9"/>
      <c r="D352" s="4"/>
      <c r="E352" s="5"/>
      <c r="F352" s="5"/>
      <c r="G352" s="4"/>
      <c r="H352" s="6"/>
      <c r="I352" s="7"/>
      <c r="J352" s="8"/>
      <c r="K352" s="6"/>
    </row>
    <row r="353" hidden="1">
      <c r="A353" s="9"/>
      <c r="B353" s="9"/>
      <c r="C353" s="9"/>
      <c r="D353" s="4"/>
      <c r="E353" s="5"/>
      <c r="F353" s="5"/>
      <c r="G353" s="4"/>
      <c r="H353" s="6"/>
      <c r="I353" s="7"/>
      <c r="J353" s="8"/>
      <c r="K353" s="6"/>
    </row>
    <row r="354" hidden="1">
      <c r="A354" s="9"/>
      <c r="B354" s="9"/>
      <c r="C354" s="9"/>
      <c r="D354" s="4"/>
      <c r="E354" s="5"/>
      <c r="F354" s="5"/>
      <c r="G354" s="4"/>
      <c r="H354" s="6"/>
      <c r="I354" s="7"/>
      <c r="J354" s="8"/>
      <c r="K354" s="6"/>
    </row>
    <row r="355" hidden="1">
      <c r="A355" s="9"/>
      <c r="B355" s="9"/>
      <c r="C355" s="9"/>
      <c r="D355" s="4"/>
      <c r="E355" s="5"/>
      <c r="F355" s="5"/>
      <c r="G355" s="4"/>
      <c r="H355" s="6"/>
      <c r="I355" s="7"/>
      <c r="J355" s="8"/>
      <c r="K355" s="6"/>
    </row>
    <row r="356" hidden="1">
      <c r="A356" s="9"/>
      <c r="B356" s="9"/>
      <c r="C356" s="9"/>
      <c r="D356" s="4"/>
      <c r="E356" s="5"/>
      <c r="F356" s="5"/>
      <c r="G356" s="4"/>
      <c r="H356" s="6"/>
      <c r="I356" s="7"/>
      <c r="J356" s="8"/>
      <c r="K356" s="6"/>
    </row>
    <row r="357" hidden="1">
      <c r="A357" s="9"/>
      <c r="B357" s="9"/>
      <c r="C357" s="9"/>
      <c r="D357" s="4"/>
      <c r="E357" s="5"/>
      <c r="F357" s="5"/>
      <c r="G357" s="4"/>
      <c r="H357" s="6"/>
      <c r="I357" s="7"/>
      <c r="J357" s="8"/>
      <c r="K357" s="6"/>
    </row>
    <row r="358" hidden="1">
      <c r="A358" s="9"/>
      <c r="B358" s="9"/>
      <c r="C358" s="9"/>
      <c r="D358" s="4"/>
      <c r="E358" s="5"/>
      <c r="F358" s="5"/>
      <c r="G358" s="4"/>
      <c r="H358" s="6"/>
      <c r="I358" s="7"/>
      <c r="J358" s="8"/>
      <c r="K358" s="6"/>
    </row>
    <row r="359" hidden="1">
      <c r="A359" s="9"/>
      <c r="B359" s="9"/>
      <c r="C359" s="9"/>
      <c r="D359" s="4"/>
      <c r="E359" s="5"/>
      <c r="F359" s="5"/>
      <c r="G359" s="4"/>
      <c r="H359" s="6"/>
      <c r="I359" s="7"/>
      <c r="J359" s="8"/>
      <c r="K359" s="6"/>
    </row>
    <row r="360" hidden="1">
      <c r="A360" s="9"/>
      <c r="B360" s="9"/>
      <c r="C360" s="9"/>
      <c r="D360" s="4"/>
      <c r="E360" s="5"/>
      <c r="F360" s="5"/>
      <c r="G360" s="4"/>
      <c r="H360" s="6"/>
      <c r="I360" s="7"/>
      <c r="J360" s="8"/>
      <c r="K360" s="6"/>
    </row>
    <row r="361" hidden="1">
      <c r="A361" s="9"/>
      <c r="B361" s="9"/>
      <c r="C361" s="9"/>
      <c r="D361" s="4"/>
      <c r="E361" s="5"/>
      <c r="F361" s="5"/>
      <c r="G361" s="4"/>
      <c r="H361" s="6"/>
      <c r="I361" s="7"/>
      <c r="J361" s="8"/>
      <c r="K361" s="6"/>
    </row>
    <row r="362" hidden="1">
      <c r="A362" s="9"/>
      <c r="B362" s="9"/>
      <c r="C362" s="9"/>
      <c r="D362" s="4"/>
      <c r="E362" s="5"/>
      <c r="F362" s="5"/>
      <c r="G362" s="4"/>
      <c r="H362" s="6"/>
      <c r="I362" s="7"/>
      <c r="J362" s="8"/>
      <c r="K362" s="6"/>
    </row>
    <row r="363" hidden="1">
      <c r="A363" s="9"/>
      <c r="B363" s="9"/>
      <c r="C363" s="9"/>
      <c r="D363" s="4"/>
      <c r="E363" s="5"/>
      <c r="F363" s="5"/>
      <c r="G363" s="4"/>
      <c r="H363" s="6"/>
      <c r="I363" s="7"/>
      <c r="J363" s="8"/>
      <c r="K363" s="6"/>
    </row>
    <row r="364" hidden="1">
      <c r="A364" s="9"/>
      <c r="B364" s="9"/>
      <c r="C364" s="9"/>
      <c r="D364" s="4"/>
      <c r="E364" s="5"/>
      <c r="F364" s="5"/>
      <c r="G364" s="4"/>
      <c r="H364" s="6"/>
      <c r="I364" s="7"/>
      <c r="J364" s="8"/>
      <c r="K364" s="6"/>
    </row>
    <row r="365" hidden="1">
      <c r="A365" s="9"/>
      <c r="B365" s="9"/>
      <c r="C365" s="9"/>
      <c r="D365" s="4"/>
      <c r="E365" s="5"/>
      <c r="F365" s="5"/>
      <c r="G365" s="4"/>
      <c r="H365" s="6"/>
      <c r="I365" s="7"/>
      <c r="J365" s="8"/>
      <c r="K365" s="6"/>
    </row>
    <row r="366" hidden="1">
      <c r="A366" s="9"/>
      <c r="B366" s="9"/>
      <c r="C366" s="9"/>
      <c r="D366" s="4"/>
      <c r="E366" s="5"/>
      <c r="F366" s="5"/>
      <c r="G366" s="4"/>
      <c r="H366" s="6"/>
      <c r="I366" s="7"/>
      <c r="J366" s="8"/>
      <c r="K366" s="6"/>
    </row>
    <row r="367" hidden="1">
      <c r="A367" s="9"/>
      <c r="B367" s="9"/>
      <c r="C367" s="9"/>
      <c r="D367" s="4"/>
      <c r="E367" s="5"/>
      <c r="F367" s="5"/>
      <c r="G367" s="4"/>
      <c r="H367" s="6"/>
      <c r="I367" s="7"/>
      <c r="J367" s="8"/>
      <c r="K367" s="6"/>
    </row>
    <row r="368" hidden="1">
      <c r="A368" s="9"/>
      <c r="B368" s="9"/>
      <c r="C368" s="9"/>
      <c r="D368" s="4"/>
      <c r="E368" s="5"/>
      <c r="F368" s="5"/>
      <c r="G368" s="4"/>
      <c r="H368" s="6"/>
      <c r="I368" s="7"/>
      <c r="J368" s="8"/>
      <c r="K368" s="6"/>
    </row>
    <row r="369" hidden="1">
      <c r="A369" s="9"/>
      <c r="B369" s="9"/>
      <c r="C369" s="9"/>
      <c r="D369" s="4"/>
      <c r="E369" s="5"/>
      <c r="F369" s="5"/>
      <c r="G369" s="4"/>
      <c r="H369" s="6"/>
      <c r="I369" s="7"/>
      <c r="J369" s="8"/>
      <c r="K369" s="6"/>
    </row>
    <row r="370" hidden="1">
      <c r="A370" s="9"/>
      <c r="B370" s="9"/>
      <c r="C370" s="9"/>
      <c r="D370" s="4"/>
      <c r="E370" s="5"/>
      <c r="F370" s="5"/>
      <c r="G370" s="4"/>
      <c r="H370" s="6"/>
      <c r="I370" s="7"/>
      <c r="J370" s="8"/>
      <c r="K370" s="6"/>
    </row>
    <row r="371" hidden="1">
      <c r="A371" s="9"/>
      <c r="B371" s="9"/>
      <c r="C371" s="9"/>
      <c r="D371" s="4"/>
      <c r="E371" s="5"/>
      <c r="F371" s="5"/>
      <c r="G371" s="4"/>
      <c r="H371" s="6"/>
      <c r="I371" s="7"/>
      <c r="J371" s="8"/>
      <c r="K371" s="6"/>
    </row>
    <row r="372" hidden="1">
      <c r="A372" s="9"/>
      <c r="B372" s="9"/>
      <c r="C372" s="9"/>
      <c r="D372" s="4"/>
      <c r="E372" s="5"/>
      <c r="F372" s="5"/>
      <c r="G372" s="4"/>
      <c r="H372" s="6"/>
      <c r="I372" s="7"/>
      <c r="J372" s="8"/>
      <c r="K372" s="6"/>
    </row>
    <row r="373" hidden="1">
      <c r="A373" s="9"/>
      <c r="B373" s="9"/>
      <c r="C373" s="9"/>
      <c r="D373" s="4"/>
      <c r="E373" s="5"/>
      <c r="F373" s="5"/>
      <c r="G373" s="4"/>
      <c r="H373" s="6"/>
      <c r="I373" s="7"/>
      <c r="J373" s="8"/>
      <c r="K373" s="6"/>
    </row>
    <row r="374" hidden="1">
      <c r="A374" s="9"/>
      <c r="B374" s="9"/>
      <c r="C374" s="9"/>
      <c r="D374" s="4"/>
      <c r="E374" s="5"/>
      <c r="F374" s="5"/>
      <c r="G374" s="4"/>
      <c r="H374" s="6"/>
      <c r="I374" s="7"/>
      <c r="J374" s="8"/>
      <c r="K374" s="6"/>
    </row>
    <row r="375" hidden="1">
      <c r="A375" s="9"/>
      <c r="B375" s="9"/>
      <c r="C375" s="9"/>
      <c r="D375" s="4"/>
      <c r="E375" s="5"/>
      <c r="F375" s="5"/>
      <c r="G375" s="4"/>
      <c r="H375" s="6"/>
      <c r="I375" s="7"/>
      <c r="J375" s="8"/>
      <c r="K375" s="6"/>
    </row>
    <row r="376" hidden="1">
      <c r="A376" s="9"/>
      <c r="B376" s="9"/>
      <c r="C376" s="9"/>
      <c r="D376" s="4"/>
      <c r="E376" s="5"/>
      <c r="F376" s="5"/>
      <c r="G376" s="4"/>
      <c r="H376" s="6"/>
      <c r="I376" s="7"/>
      <c r="J376" s="8"/>
      <c r="K376" s="6"/>
    </row>
    <row r="377" hidden="1">
      <c r="A377" s="9"/>
      <c r="B377" s="9"/>
      <c r="C377" s="9"/>
      <c r="D377" s="4"/>
      <c r="E377" s="5"/>
      <c r="F377" s="5"/>
      <c r="G377" s="4"/>
      <c r="H377" s="6"/>
      <c r="I377" s="7"/>
      <c r="J377" s="8"/>
      <c r="K377" s="6"/>
    </row>
    <row r="378" hidden="1">
      <c r="A378" s="9"/>
      <c r="B378" s="9"/>
      <c r="C378" s="9"/>
      <c r="D378" s="4"/>
      <c r="E378" s="5"/>
      <c r="F378" s="5"/>
      <c r="G378" s="4"/>
      <c r="H378" s="6"/>
      <c r="I378" s="7"/>
      <c r="J378" s="8"/>
      <c r="K378" s="6"/>
    </row>
    <row r="379" hidden="1">
      <c r="A379" s="9"/>
      <c r="B379" s="9"/>
      <c r="C379" s="9"/>
      <c r="D379" s="4"/>
      <c r="E379" s="5"/>
      <c r="F379" s="5"/>
      <c r="G379" s="4"/>
      <c r="H379" s="6"/>
      <c r="I379" s="7"/>
      <c r="J379" s="8"/>
      <c r="K379" s="6"/>
    </row>
    <row r="380" hidden="1">
      <c r="A380" s="9"/>
      <c r="B380" s="9"/>
      <c r="C380" s="9"/>
      <c r="D380" s="4"/>
      <c r="E380" s="5"/>
      <c r="F380" s="5"/>
      <c r="G380" s="4"/>
      <c r="H380" s="6"/>
      <c r="I380" s="7"/>
      <c r="J380" s="8"/>
      <c r="K380" s="6"/>
    </row>
    <row r="381" hidden="1">
      <c r="A381" s="9"/>
      <c r="B381" s="9"/>
      <c r="C381" s="9"/>
      <c r="D381" s="4"/>
      <c r="E381" s="5"/>
      <c r="F381" s="5"/>
      <c r="G381" s="4"/>
      <c r="H381" s="6"/>
      <c r="I381" s="7"/>
      <c r="J381" s="8"/>
      <c r="K381" s="6"/>
    </row>
    <row r="382" hidden="1">
      <c r="A382" s="9"/>
      <c r="B382" s="9"/>
      <c r="C382" s="9"/>
      <c r="D382" s="4"/>
      <c r="E382" s="5"/>
      <c r="F382" s="5"/>
      <c r="G382" s="4"/>
      <c r="H382" s="6"/>
      <c r="I382" s="7"/>
      <c r="J382" s="8"/>
      <c r="K382" s="6"/>
    </row>
    <row r="383" hidden="1">
      <c r="A383" s="9"/>
      <c r="B383" s="9"/>
      <c r="C383" s="9"/>
      <c r="D383" s="4"/>
      <c r="E383" s="5"/>
      <c r="F383" s="5"/>
      <c r="G383" s="4"/>
      <c r="H383" s="6"/>
      <c r="I383" s="7"/>
      <c r="J383" s="8"/>
      <c r="K383" s="6"/>
    </row>
    <row r="384" hidden="1">
      <c r="A384" s="9"/>
      <c r="B384" s="9"/>
      <c r="C384" s="9"/>
      <c r="D384" s="4"/>
      <c r="E384" s="5"/>
      <c r="F384" s="5"/>
      <c r="G384" s="4"/>
      <c r="H384" s="6"/>
      <c r="I384" s="7"/>
      <c r="J384" s="8"/>
      <c r="K384" s="6"/>
    </row>
    <row r="385" hidden="1">
      <c r="A385" s="9"/>
      <c r="B385" s="9"/>
      <c r="C385" s="9"/>
      <c r="D385" s="4"/>
      <c r="E385" s="5"/>
      <c r="F385" s="5"/>
      <c r="G385" s="4"/>
      <c r="H385" s="6"/>
      <c r="I385" s="7"/>
      <c r="J385" s="8"/>
      <c r="K385" s="6"/>
    </row>
    <row r="386" hidden="1">
      <c r="A386" s="9"/>
      <c r="B386" s="9"/>
      <c r="C386" s="9"/>
      <c r="D386" s="4"/>
      <c r="E386" s="5"/>
      <c r="F386" s="5"/>
      <c r="G386" s="4"/>
      <c r="H386" s="6"/>
      <c r="I386" s="7"/>
      <c r="J386" s="8"/>
      <c r="K386" s="6"/>
    </row>
    <row r="387" hidden="1">
      <c r="A387" s="9"/>
      <c r="B387" s="9"/>
      <c r="C387" s="9"/>
      <c r="D387" s="4"/>
      <c r="E387" s="5"/>
      <c r="F387" s="5"/>
      <c r="G387" s="4"/>
      <c r="H387" s="6"/>
      <c r="I387" s="7"/>
      <c r="J387" s="8"/>
      <c r="K387" s="6"/>
    </row>
    <row r="388" hidden="1">
      <c r="A388" s="9"/>
      <c r="B388" s="9"/>
      <c r="C388" s="9"/>
      <c r="D388" s="4"/>
      <c r="E388" s="5"/>
      <c r="F388" s="5"/>
      <c r="G388" s="4"/>
      <c r="H388" s="6"/>
      <c r="I388" s="7"/>
      <c r="J388" s="8"/>
      <c r="K388" s="6"/>
    </row>
    <row r="389" hidden="1">
      <c r="A389" s="9"/>
      <c r="B389" s="9"/>
      <c r="C389" s="9"/>
      <c r="D389" s="4"/>
      <c r="E389" s="5"/>
      <c r="F389" s="5"/>
      <c r="G389" s="4"/>
      <c r="H389" s="6"/>
      <c r="I389" s="7"/>
      <c r="J389" s="8"/>
      <c r="K389" s="6"/>
    </row>
    <row r="390" hidden="1">
      <c r="A390" s="9"/>
      <c r="B390" s="9"/>
      <c r="C390" s="9"/>
      <c r="D390" s="4"/>
      <c r="E390" s="5"/>
      <c r="F390" s="5"/>
      <c r="G390" s="4"/>
      <c r="H390" s="6"/>
      <c r="I390" s="7"/>
      <c r="J390" s="8"/>
      <c r="K390" s="6"/>
    </row>
    <row r="391" hidden="1">
      <c r="A391" s="9"/>
      <c r="B391" s="9"/>
      <c r="C391" s="9"/>
      <c r="D391" s="4"/>
      <c r="E391" s="5"/>
      <c r="F391" s="5"/>
      <c r="G391" s="4"/>
      <c r="H391" s="6"/>
      <c r="I391" s="7"/>
      <c r="J391" s="8"/>
      <c r="K391" s="6"/>
    </row>
    <row r="392" hidden="1">
      <c r="A392" s="9"/>
      <c r="B392" s="9"/>
      <c r="C392" s="9"/>
      <c r="D392" s="4"/>
      <c r="E392" s="5"/>
      <c r="F392" s="5"/>
      <c r="G392" s="4"/>
      <c r="H392" s="6"/>
      <c r="I392" s="7"/>
      <c r="J392" s="8"/>
      <c r="K392" s="6"/>
    </row>
    <row r="393" hidden="1">
      <c r="A393" s="9"/>
      <c r="B393" s="9"/>
      <c r="C393" s="9"/>
      <c r="D393" s="4"/>
      <c r="E393" s="5"/>
      <c r="F393" s="5"/>
      <c r="G393" s="4"/>
      <c r="H393" s="6"/>
      <c r="I393" s="7"/>
      <c r="J393" s="8"/>
      <c r="K393" s="6"/>
    </row>
    <row r="394" hidden="1">
      <c r="A394" s="9"/>
      <c r="B394" s="9"/>
      <c r="C394" s="9"/>
      <c r="D394" s="4"/>
      <c r="E394" s="5"/>
      <c r="F394" s="5"/>
      <c r="G394" s="4"/>
      <c r="H394" s="6"/>
      <c r="I394" s="7"/>
      <c r="J394" s="8"/>
      <c r="K394" s="6"/>
    </row>
    <row r="395" hidden="1">
      <c r="A395" s="9"/>
      <c r="B395" s="9"/>
      <c r="C395" s="9"/>
      <c r="D395" s="4"/>
      <c r="E395" s="5"/>
      <c r="F395" s="5"/>
      <c r="G395" s="4"/>
      <c r="H395" s="6"/>
      <c r="I395" s="7"/>
      <c r="J395" s="8"/>
      <c r="K395" s="6"/>
    </row>
    <row r="396" hidden="1">
      <c r="A396" s="9"/>
      <c r="B396" s="9"/>
      <c r="C396" s="9"/>
      <c r="D396" s="4"/>
      <c r="E396" s="5"/>
      <c r="F396" s="5"/>
      <c r="G396" s="4"/>
      <c r="H396" s="6"/>
      <c r="I396" s="7"/>
      <c r="J396" s="8"/>
      <c r="K396" s="6"/>
    </row>
    <row r="397" hidden="1">
      <c r="A397" s="9"/>
      <c r="B397" s="9"/>
      <c r="C397" s="9"/>
      <c r="D397" s="4"/>
      <c r="E397" s="5"/>
      <c r="F397" s="5"/>
      <c r="G397" s="4"/>
      <c r="H397" s="6"/>
      <c r="I397" s="7"/>
      <c r="J397" s="8"/>
      <c r="K397" s="6"/>
    </row>
    <row r="398" hidden="1">
      <c r="A398" s="9"/>
      <c r="B398" s="9"/>
      <c r="C398" s="9"/>
      <c r="D398" s="4"/>
      <c r="E398" s="5"/>
      <c r="F398" s="5"/>
      <c r="G398" s="4"/>
      <c r="H398" s="6"/>
      <c r="I398" s="7"/>
      <c r="J398" s="8"/>
      <c r="K398" s="6"/>
    </row>
    <row r="399" hidden="1">
      <c r="A399" s="9"/>
      <c r="B399" s="9"/>
      <c r="C399" s="9"/>
      <c r="D399" s="4"/>
      <c r="E399" s="5"/>
      <c r="F399" s="5"/>
      <c r="G399" s="4"/>
      <c r="H399" s="6"/>
      <c r="I399" s="7"/>
      <c r="J399" s="8"/>
      <c r="K399" s="6"/>
    </row>
    <row r="400" hidden="1">
      <c r="A400" s="9"/>
      <c r="B400" s="9"/>
      <c r="C400" s="9"/>
      <c r="D400" s="4"/>
      <c r="E400" s="5"/>
      <c r="F400" s="5"/>
      <c r="G400" s="4"/>
      <c r="H400" s="6"/>
      <c r="I400" s="7"/>
      <c r="J400" s="8"/>
      <c r="K400" s="6"/>
    </row>
    <row r="401" hidden="1">
      <c r="A401" s="9"/>
      <c r="B401" s="9"/>
      <c r="C401" s="9"/>
      <c r="D401" s="4"/>
      <c r="E401" s="5"/>
      <c r="F401" s="5"/>
      <c r="G401" s="4"/>
      <c r="H401" s="6"/>
      <c r="I401" s="7"/>
      <c r="J401" s="8"/>
      <c r="K401" s="6"/>
    </row>
    <row r="402" hidden="1">
      <c r="A402" s="9"/>
      <c r="B402" s="9"/>
      <c r="C402" s="9"/>
      <c r="D402" s="4"/>
      <c r="E402" s="5"/>
      <c r="F402" s="5"/>
      <c r="G402" s="4"/>
      <c r="H402" s="6"/>
      <c r="I402" s="7"/>
      <c r="J402" s="8"/>
      <c r="K402" s="6"/>
    </row>
    <row r="403" hidden="1">
      <c r="A403" s="9"/>
      <c r="B403" s="9"/>
      <c r="C403" s="9"/>
      <c r="D403" s="4"/>
      <c r="E403" s="5"/>
      <c r="F403" s="5"/>
      <c r="G403" s="4"/>
      <c r="H403" s="6"/>
      <c r="I403" s="7"/>
      <c r="J403" s="8"/>
      <c r="K403" s="6"/>
    </row>
    <row r="404" hidden="1">
      <c r="A404" s="9"/>
      <c r="B404" s="9"/>
      <c r="C404" s="9"/>
      <c r="D404" s="4"/>
      <c r="E404" s="5"/>
      <c r="F404" s="5"/>
      <c r="G404" s="4"/>
      <c r="H404" s="6"/>
      <c r="I404" s="7"/>
      <c r="J404" s="8"/>
      <c r="K404" s="6"/>
    </row>
    <row r="405" hidden="1">
      <c r="A405" s="9"/>
      <c r="B405" s="9"/>
      <c r="C405" s="9"/>
      <c r="D405" s="4"/>
      <c r="E405" s="5"/>
      <c r="F405" s="5"/>
      <c r="G405" s="4"/>
      <c r="H405" s="6"/>
      <c r="I405" s="7"/>
      <c r="J405" s="8"/>
      <c r="K405" s="6"/>
    </row>
    <row r="406" hidden="1">
      <c r="A406" s="9"/>
      <c r="B406" s="9"/>
      <c r="C406" s="9"/>
      <c r="D406" s="4"/>
      <c r="E406" s="5"/>
      <c r="F406" s="5"/>
      <c r="G406" s="4"/>
      <c r="H406" s="6"/>
      <c r="I406" s="7"/>
      <c r="J406" s="8"/>
      <c r="K406" s="6"/>
    </row>
    <row r="407" hidden="1">
      <c r="A407" s="9"/>
      <c r="B407" s="9"/>
      <c r="C407" s="9"/>
      <c r="D407" s="4"/>
      <c r="E407" s="5"/>
      <c r="F407" s="5"/>
      <c r="G407" s="4"/>
      <c r="H407" s="6"/>
      <c r="I407" s="7"/>
      <c r="J407" s="8"/>
      <c r="K407" s="6"/>
    </row>
    <row r="408" hidden="1">
      <c r="A408" s="9"/>
      <c r="B408" s="9"/>
      <c r="C408" s="9"/>
      <c r="D408" s="4"/>
      <c r="E408" s="5"/>
      <c r="F408" s="5"/>
      <c r="G408" s="4"/>
      <c r="H408" s="6"/>
      <c r="I408" s="7"/>
      <c r="J408" s="8"/>
      <c r="K408" s="6"/>
    </row>
    <row r="409" hidden="1">
      <c r="A409" s="9"/>
      <c r="B409" s="9"/>
      <c r="C409" s="9"/>
      <c r="D409" s="4"/>
      <c r="E409" s="5"/>
      <c r="F409" s="5"/>
      <c r="G409" s="4"/>
      <c r="H409" s="6"/>
      <c r="I409" s="7"/>
      <c r="J409" s="8"/>
      <c r="K409" s="6"/>
    </row>
    <row r="410" hidden="1">
      <c r="A410" s="9"/>
      <c r="B410" s="9"/>
      <c r="C410" s="9"/>
      <c r="D410" s="4"/>
      <c r="E410" s="5"/>
      <c r="F410" s="5"/>
      <c r="G410" s="4"/>
      <c r="H410" s="6"/>
      <c r="I410" s="7"/>
      <c r="J410" s="8"/>
      <c r="K410" s="6"/>
    </row>
    <row r="411" hidden="1">
      <c r="A411" s="9"/>
      <c r="B411" s="9"/>
      <c r="C411" s="9"/>
      <c r="D411" s="4"/>
      <c r="E411" s="5"/>
      <c r="F411" s="5"/>
      <c r="G411" s="4"/>
      <c r="H411" s="6"/>
      <c r="I411" s="7"/>
      <c r="J411" s="8"/>
      <c r="K411" s="6"/>
    </row>
    <row r="412" hidden="1">
      <c r="A412" s="9"/>
      <c r="B412" s="9"/>
      <c r="C412" s="9"/>
      <c r="D412" s="4"/>
      <c r="E412" s="5"/>
      <c r="F412" s="5"/>
      <c r="G412" s="4"/>
      <c r="H412" s="6"/>
      <c r="I412" s="7"/>
      <c r="J412" s="8"/>
      <c r="K412" s="6"/>
    </row>
    <row r="413" hidden="1">
      <c r="A413" s="9"/>
      <c r="B413" s="9"/>
      <c r="C413" s="9"/>
      <c r="D413" s="4"/>
      <c r="E413" s="5"/>
      <c r="F413" s="5"/>
      <c r="G413" s="4"/>
      <c r="H413" s="6"/>
      <c r="I413" s="7"/>
      <c r="J413" s="8"/>
      <c r="K413" s="6"/>
    </row>
    <row r="414" hidden="1">
      <c r="A414" s="9"/>
      <c r="B414" s="9"/>
      <c r="C414" s="9"/>
      <c r="D414" s="4"/>
      <c r="E414" s="5"/>
      <c r="F414" s="5"/>
      <c r="G414" s="4"/>
      <c r="H414" s="6"/>
      <c r="I414" s="7"/>
      <c r="J414" s="8"/>
      <c r="K414" s="6"/>
    </row>
    <row r="415" hidden="1">
      <c r="A415" s="9"/>
      <c r="B415" s="9"/>
      <c r="C415" s="9"/>
      <c r="D415" s="4"/>
      <c r="E415" s="5"/>
      <c r="F415" s="5"/>
      <c r="G415" s="4"/>
      <c r="H415" s="6"/>
      <c r="I415" s="7"/>
      <c r="J415" s="8"/>
      <c r="K415" s="6"/>
    </row>
    <row r="416" hidden="1">
      <c r="A416" s="9"/>
      <c r="B416" s="9"/>
      <c r="C416" s="9"/>
      <c r="D416" s="4"/>
      <c r="E416" s="5"/>
      <c r="F416" s="5"/>
      <c r="G416" s="4"/>
      <c r="H416" s="6"/>
      <c r="I416" s="7"/>
      <c r="J416" s="8"/>
      <c r="K416" s="6"/>
    </row>
    <row r="417" hidden="1">
      <c r="A417" s="9"/>
      <c r="B417" s="9"/>
      <c r="C417" s="9"/>
      <c r="D417" s="4"/>
      <c r="E417" s="5"/>
      <c r="F417" s="5"/>
      <c r="G417" s="4"/>
      <c r="H417" s="6"/>
      <c r="I417" s="7"/>
      <c r="J417" s="8"/>
      <c r="K417" s="6"/>
    </row>
    <row r="418" hidden="1">
      <c r="A418" s="9"/>
      <c r="B418" s="9"/>
      <c r="C418" s="9"/>
      <c r="D418" s="4"/>
      <c r="E418" s="5"/>
      <c r="F418" s="5"/>
      <c r="G418" s="4"/>
      <c r="H418" s="6"/>
      <c r="I418" s="7"/>
      <c r="J418" s="8"/>
      <c r="K418" s="6"/>
    </row>
    <row r="419" hidden="1">
      <c r="A419" s="9"/>
      <c r="B419" s="9"/>
      <c r="C419" s="9"/>
      <c r="D419" s="4"/>
      <c r="E419" s="5"/>
      <c r="F419" s="5"/>
      <c r="G419" s="4"/>
      <c r="H419" s="6"/>
      <c r="I419" s="7"/>
      <c r="J419" s="8"/>
      <c r="K419" s="6"/>
    </row>
    <row r="420" hidden="1">
      <c r="A420" s="9"/>
      <c r="B420" s="9"/>
      <c r="C420" s="9"/>
      <c r="D420" s="4"/>
      <c r="E420" s="5"/>
      <c r="F420" s="5"/>
      <c r="G420" s="4"/>
      <c r="H420" s="6"/>
      <c r="I420" s="7"/>
      <c r="J420" s="8"/>
      <c r="K420" s="6"/>
    </row>
    <row r="421" hidden="1">
      <c r="A421" s="9"/>
      <c r="B421" s="9"/>
      <c r="C421" s="9"/>
      <c r="D421" s="4"/>
      <c r="E421" s="5"/>
      <c r="F421" s="5"/>
      <c r="G421" s="4"/>
      <c r="H421" s="6"/>
      <c r="I421" s="7"/>
      <c r="J421" s="8"/>
      <c r="K421" s="6"/>
    </row>
    <row r="422" hidden="1">
      <c r="A422" s="9"/>
      <c r="B422" s="9"/>
      <c r="C422" s="9"/>
      <c r="D422" s="4"/>
      <c r="E422" s="5"/>
      <c r="F422" s="5"/>
      <c r="G422" s="4"/>
      <c r="H422" s="6"/>
      <c r="I422" s="7"/>
      <c r="J422" s="8"/>
      <c r="K422" s="6"/>
    </row>
    <row r="423" hidden="1">
      <c r="A423" s="9"/>
      <c r="B423" s="9"/>
      <c r="C423" s="9"/>
      <c r="D423" s="4"/>
      <c r="E423" s="5"/>
      <c r="F423" s="5"/>
      <c r="G423" s="4"/>
      <c r="H423" s="6"/>
      <c r="I423" s="7"/>
      <c r="J423" s="8"/>
      <c r="K423" s="6"/>
    </row>
    <row r="424" hidden="1">
      <c r="A424" s="9"/>
      <c r="B424" s="9"/>
      <c r="C424" s="9"/>
      <c r="D424" s="4"/>
      <c r="E424" s="5"/>
      <c r="F424" s="5"/>
      <c r="G424" s="4"/>
      <c r="H424" s="6"/>
      <c r="I424" s="7"/>
      <c r="J424" s="8"/>
      <c r="K424" s="6"/>
    </row>
    <row r="425" hidden="1">
      <c r="A425" s="9"/>
      <c r="B425" s="9"/>
      <c r="C425" s="9"/>
      <c r="D425" s="4"/>
      <c r="E425" s="5"/>
      <c r="F425" s="5"/>
      <c r="G425" s="4"/>
      <c r="H425" s="6"/>
      <c r="I425" s="7"/>
      <c r="J425" s="8"/>
      <c r="K425" s="6"/>
    </row>
    <row r="426" hidden="1">
      <c r="A426" s="9"/>
      <c r="B426" s="9"/>
      <c r="C426" s="9"/>
      <c r="D426" s="4"/>
      <c r="E426" s="5"/>
      <c r="F426" s="5"/>
      <c r="G426" s="4"/>
      <c r="H426" s="6"/>
      <c r="I426" s="7"/>
      <c r="J426" s="8"/>
      <c r="K426" s="6"/>
    </row>
    <row r="427" hidden="1">
      <c r="A427" s="9"/>
      <c r="B427" s="9"/>
      <c r="C427" s="9"/>
      <c r="D427" s="4"/>
      <c r="E427" s="5"/>
      <c r="F427" s="5"/>
      <c r="G427" s="4"/>
      <c r="H427" s="6"/>
      <c r="I427" s="7"/>
      <c r="J427" s="8"/>
      <c r="K427" s="6"/>
    </row>
    <row r="428" hidden="1">
      <c r="A428" s="9"/>
      <c r="B428" s="9"/>
      <c r="C428" s="9"/>
      <c r="D428" s="4"/>
      <c r="E428" s="5"/>
      <c r="F428" s="5"/>
      <c r="G428" s="4"/>
      <c r="H428" s="6"/>
      <c r="I428" s="7"/>
      <c r="J428" s="8"/>
      <c r="K428" s="6"/>
    </row>
    <row r="429" hidden="1">
      <c r="A429" s="9"/>
      <c r="B429" s="9"/>
      <c r="C429" s="9"/>
      <c r="D429" s="4"/>
      <c r="E429" s="5"/>
      <c r="F429" s="5"/>
      <c r="G429" s="4"/>
      <c r="H429" s="6"/>
      <c r="I429" s="7"/>
      <c r="J429" s="8"/>
      <c r="K429" s="6"/>
    </row>
    <row r="430" hidden="1">
      <c r="A430" s="9"/>
      <c r="B430" s="9"/>
      <c r="C430" s="9"/>
      <c r="D430" s="4"/>
      <c r="E430" s="5"/>
      <c r="F430" s="5"/>
      <c r="G430" s="4"/>
      <c r="H430" s="6"/>
      <c r="I430" s="7"/>
      <c r="J430" s="8"/>
      <c r="K430" s="6"/>
    </row>
    <row r="431" hidden="1">
      <c r="A431" s="9"/>
      <c r="B431" s="9"/>
      <c r="C431" s="9"/>
      <c r="D431" s="4"/>
      <c r="E431" s="5"/>
      <c r="F431" s="5"/>
      <c r="G431" s="4"/>
      <c r="H431" s="6"/>
      <c r="I431" s="7"/>
      <c r="J431" s="8"/>
      <c r="K431" s="6"/>
    </row>
    <row r="432" hidden="1">
      <c r="A432" s="9"/>
      <c r="B432" s="9"/>
      <c r="C432" s="9"/>
      <c r="D432" s="4"/>
      <c r="E432" s="5"/>
      <c r="F432" s="5"/>
      <c r="G432" s="4"/>
      <c r="H432" s="6"/>
      <c r="I432" s="7"/>
      <c r="J432" s="8"/>
      <c r="K432" s="6"/>
    </row>
    <row r="433" hidden="1">
      <c r="A433" s="9"/>
      <c r="B433" s="9"/>
      <c r="C433" s="9"/>
      <c r="D433" s="4"/>
      <c r="E433" s="5"/>
      <c r="F433" s="5"/>
      <c r="G433" s="4"/>
      <c r="H433" s="6"/>
      <c r="I433" s="7"/>
      <c r="J433" s="8"/>
      <c r="K433" s="6"/>
    </row>
    <row r="434" hidden="1">
      <c r="A434" s="9"/>
      <c r="B434" s="9"/>
      <c r="C434" s="9"/>
      <c r="D434" s="4"/>
      <c r="E434" s="5"/>
      <c r="F434" s="5"/>
      <c r="G434" s="4"/>
      <c r="H434" s="6"/>
      <c r="I434" s="7"/>
      <c r="J434" s="8"/>
      <c r="K434" s="6"/>
    </row>
    <row r="435" hidden="1">
      <c r="A435" s="9"/>
      <c r="B435" s="9"/>
      <c r="C435" s="9"/>
      <c r="D435" s="4"/>
      <c r="E435" s="5"/>
      <c r="F435" s="5"/>
      <c r="G435" s="4"/>
      <c r="H435" s="6"/>
      <c r="I435" s="7"/>
      <c r="J435" s="8"/>
      <c r="K435" s="6"/>
    </row>
    <row r="436" hidden="1">
      <c r="A436" s="9"/>
      <c r="B436" s="9"/>
      <c r="C436" s="9"/>
      <c r="D436" s="4"/>
      <c r="E436" s="5"/>
      <c r="F436" s="5"/>
      <c r="G436" s="4"/>
      <c r="H436" s="6"/>
      <c r="I436" s="7"/>
      <c r="J436" s="8"/>
      <c r="K436" s="6"/>
    </row>
    <row r="437" hidden="1">
      <c r="A437" s="9"/>
      <c r="B437" s="9"/>
      <c r="C437" s="9"/>
      <c r="D437" s="4"/>
      <c r="E437" s="5"/>
      <c r="F437" s="5"/>
      <c r="G437" s="4"/>
      <c r="H437" s="6"/>
      <c r="I437" s="7"/>
      <c r="J437" s="8"/>
      <c r="K437" s="6"/>
    </row>
    <row r="438" hidden="1">
      <c r="A438" s="9"/>
      <c r="B438" s="9"/>
      <c r="C438" s="9"/>
      <c r="D438" s="4"/>
      <c r="E438" s="5"/>
      <c r="F438" s="5"/>
      <c r="G438" s="4"/>
      <c r="H438" s="6"/>
      <c r="I438" s="7"/>
      <c r="J438" s="8"/>
      <c r="K438" s="6"/>
    </row>
    <row r="439" hidden="1">
      <c r="A439" s="9"/>
      <c r="B439" s="9"/>
      <c r="C439" s="9"/>
      <c r="D439" s="4"/>
      <c r="E439" s="5"/>
      <c r="F439" s="5"/>
      <c r="G439" s="4"/>
      <c r="H439" s="6"/>
      <c r="I439" s="7"/>
      <c r="J439" s="8"/>
      <c r="K439" s="6"/>
    </row>
    <row r="440" hidden="1">
      <c r="A440" s="9"/>
      <c r="B440" s="9"/>
      <c r="C440" s="9"/>
      <c r="D440" s="4"/>
      <c r="E440" s="5"/>
      <c r="F440" s="5"/>
      <c r="G440" s="4"/>
      <c r="H440" s="6"/>
      <c r="I440" s="7"/>
      <c r="J440" s="8"/>
      <c r="K440" s="6"/>
    </row>
    <row r="441" hidden="1">
      <c r="A441" s="9"/>
      <c r="B441" s="9"/>
      <c r="C441" s="9"/>
      <c r="D441" s="4"/>
      <c r="E441" s="5"/>
      <c r="F441" s="5"/>
      <c r="G441" s="4"/>
      <c r="H441" s="6"/>
      <c r="I441" s="7"/>
      <c r="J441" s="8"/>
      <c r="K441" s="6"/>
    </row>
    <row r="442" hidden="1">
      <c r="A442" s="9"/>
      <c r="B442" s="9"/>
      <c r="C442" s="9"/>
      <c r="D442" s="4"/>
      <c r="E442" s="5"/>
      <c r="F442" s="5"/>
      <c r="G442" s="4"/>
      <c r="H442" s="6"/>
      <c r="I442" s="7"/>
      <c r="J442" s="8"/>
      <c r="K442" s="6"/>
    </row>
    <row r="443" hidden="1">
      <c r="A443" s="9"/>
      <c r="B443" s="9"/>
      <c r="C443" s="9"/>
      <c r="D443" s="4"/>
      <c r="E443" s="5"/>
      <c r="F443" s="5"/>
      <c r="G443" s="4"/>
      <c r="H443" s="6"/>
      <c r="I443" s="7"/>
      <c r="J443" s="8"/>
      <c r="K443" s="6"/>
    </row>
    <row r="444" hidden="1">
      <c r="A444" s="9"/>
      <c r="B444" s="9"/>
      <c r="C444" s="9"/>
      <c r="D444" s="4"/>
      <c r="E444" s="5"/>
      <c r="F444" s="5"/>
      <c r="G444" s="4"/>
      <c r="H444" s="6"/>
      <c r="I444" s="7"/>
      <c r="J444" s="8"/>
      <c r="K444" s="6"/>
    </row>
    <row r="445" hidden="1">
      <c r="A445" s="9"/>
      <c r="B445" s="9"/>
      <c r="C445" s="9"/>
      <c r="D445" s="4"/>
      <c r="E445" s="5"/>
      <c r="F445" s="5"/>
      <c r="G445" s="4"/>
      <c r="H445" s="6"/>
      <c r="I445" s="7"/>
      <c r="J445" s="8"/>
      <c r="K445" s="6"/>
    </row>
    <row r="446" hidden="1">
      <c r="A446" s="9"/>
      <c r="B446" s="9"/>
      <c r="C446" s="9"/>
      <c r="D446" s="4"/>
      <c r="E446" s="5"/>
      <c r="F446" s="5"/>
      <c r="G446" s="4"/>
      <c r="H446" s="6"/>
      <c r="I446" s="7"/>
      <c r="J446" s="8"/>
      <c r="K446" s="6"/>
    </row>
    <row r="447" hidden="1">
      <c r="A447" s="9"/>
      <c r="B447" s="9"/>
      <c r="C447" s="9"/>
      <c r="D447" s="4"/>
      <c r="E447" s="5"/>
      <c r="F447" s="5"/>
      <c r="G447" s="4"/>
      <c r="H447" s="6"/>
      <c r="I447" s="7"/>
      <c r="J447" s="8"/>
      <c r="K447" s="6"/>
    </row>
    <row r="448" hidden="1">
      <c r="A448" s="9"/>
      <c r="B448" s="9"/>
      <c r="C448" s="9"/>
      <c r="D448" s="4"/>
      <c r="E448" s="5"/>
      <c r="F448" s="5"/>
      <c r="G448" s="4"/>
      <c r="H448" s="6"/>
      <c r="I448" s="7"/>
      <c r="J448" s="8"/>
      <c r="K448" s="6"/>
    </row>
    <row r="449" hidden="1">
      <c r="A449" s="9"/>
      <c r="B449" s="9"/>
      <c r="C449" s="9"/>
      <c r="D449" s="4"/>
      <c r="E449" s="5"/>
      <c r="F449" s="5"/>
      <c r="G449" s="4"/>
      <c r="H449" s="6"/>
      <c r="I449" s="7"/>
      <c r="J449" s="8"/>
      <c r="K449" s="6"/>
    </row>
    <row r="450" hidden="1">
      <c r="A450" s="9"/>
      <c r="B450" s="9"/>
      <c r="C450" s="9"/>
      <c r="D450" s="4"/>
      <c r="E450" s="5"/>
      <c r="F450" s="5"/>
      <c r="G450" s="4"/>
      <c r="H450" s="6"/>
      <c r="I450" s="7"/>
      <c r="J450" s="8"/>
      <c r="K450" s="6"/>
    </row>
    <row r="451" hidden="1">
      <c r="A451" s="9"/>
      <c r="B451" s="9"/>
      <c r="C451" s="9"/>
      <c r="D451" s="4"/>
      <c r="E451" s="5"/>
      <c r="F451" s="5"/>
      <c r="G451" s="4"/>
      <c r="H451" s="6"/>
      <c r="I451" s="7"/>
      <c r="J451" s="8"/>
      <c r="K451" s="6"/>
    </row>
    <row r="452" hidden="1">
      <c r="A452" s="9"/>
      <c r="B452" s="9"/>
      <c r="C452" s="9"/>
      <c r="D452" s="4"/>
      <c r="E452" s="5"/>
      <c r="F452" s="5"/>
      <c r="G452" s="4"/>
      <c r="H452" s="6"/>
      <c r="I452" s="7"/>
      <c r="J452" s="8"/>
      <c r="K452" s="6"/>
    </row>
    <row r="453" hidden="1">
      <c r="A453" s="9"/>
      <c r="B453" s="9"/>
      <c r="C453" s="9"/>
      <c r="D453" s="4"/>
      <c r="E453" s="5"/>
      <c r="F453" s="5"/>
      <c r="G453" s="4"/>
      <c r="H453" s="6"/>
      <c r="I453" s="7"/>
      <c r="J453" s="8"/>
      <c r="K453" s="6"/>
    </row>
    <row r="454" hidden="1">
      <c r="A454" s="9"/>
      <c r="B454" s="9"/>
      <c r="C454" s="9"/>
      <c r="D454" s="4"/>
      <c r="E454" s="5"/>
      <c r="F454" s="5"/>
      <c r="G454" s="4"/>
      <c r="H454" s="6"/>
      <c r="I454" s="7"/>
      <c r="J454" s="8"/>
      <c r="K454" s="6"/>
    </row>
    <row r="455" hidden="1">
      <c r="A455" s="9"/>
      <c r="B455" s="9"/>
      <c r="C455" s="9"/>
      <c r="D455" s="4"/>
      <c r="E455" s="5"/>
      <c r="F455" s="5"/>
      <c r="G455" s="4"/>
      <c r="H455" s="6"/>
      <c r="I455" s="7"/>
      <c r="J455" s="8"/>
      <c r="K455" s="6"/>
    </row>
    <row r="456" hidden="1">
      <c r="A456" s="9"/>
      <c r="B456" s="9"/>
      <c r="C456" s="9"/>
      <c r="D456" s="4"/>
      <c r="E456" s="5"/>
      <c r="F456" s="5"/>
      <c r="G456" s="4"/>
      <c r="H456" s="6"/>
      <c r="I456" s="7"/>
      <c r="J456" s="8"/>
      <c r="K456" s="6"/>
    </row>
    <row r="457" hidden="1">
      <c r="A457" s="9"/>
      <c r="B457" s="9"/>
      <c r="C457" s="9"/>
      <c r="D457" s="4"/>
      <c r="E457" s="5"/>
      <c r="F457" s="5"/>
      <c r="G457" s="4"/>
      <c r="H457" s="6"/>
      <c r="I457" s="7"/>
      <c r="J457" s="8"/>
      <c r="K457" s="6"/>
    </row>
    <row r="458" hidden="1">
      <c r="A458" s="9"/>
      <c r="B458" s="9"/>
      <c r="C458" s="9"/>
      <c r="D458" s="4"/>
      <c r="E458" s="5"/>
      <c r="F458" s="5"/>
      <c r="G458" s="4"/>
      <c r="H458" s="6"/>
      <c r="I458" s="7"/>
      <c r="J458" s="8"/>
      <c r="K458" s="6"/>
    </row>
    <row r="459" hidden="1">
      <c r="A459" s="9"/>
      <c r="B459" s="9"/>
      <c r="C459" s="9"/>
      <c r="D459" s="4"/>
      <c r="E459" s="5"/>
      <c r="F459" s="5"/>
      <c r="G459" s="4"/>
      <c r="H459" s="6"/>
      <c r="I459" s="7"/>
      <c r="J459" s="8"/>
      <c r="K459" s="6"/>
    </row>
    <row r="460" hidden="1">
      <c r="A460" s="9"/>
      <c r="B460" s="9"/>
      <c r="C460" s="9"/>
      <c r="D460" s="4"/>
      <c r="E460" s="5"/>
      <c r="F460" s="5"/>
      <c r="G460" s="4"/>
      <c r="H460" s="6"/>
      <c r="I460" s="7"/>
      <c r="J460" s="8"/>
      <c r="K460" s="6"/>
    </row>
    <row r="461" hidden="1">
      <c r="A461" s="9"/>
      <c r="B461" s="9"/>
      <c r="C461" s="9"/>
      <c r="D461" s="4"/>
      <c r="E461" s="5"/>
      <c r="F461" s="5"/>
      <c r="G461" s="4"/>
      <c r="H461" s="6"/>
      <c r="I461" s="7"/>
      <c r="J461" s="8"/>
      <c r="K461" s="6"/>
    </row>
    <row r="462" hidden="1">
      <c r="A462" s="9"/>
      <c r="B462" s="9"/>
      <c r="C462" s="9"/>
      <c r="D462" s="4"/>
      <c r="E462" s="5"/>
      <c r="F462" s="5"/>
      <c r="G462" s="4"/>
      <c r="H462" s="6"/>
      <c r="I462" s="7"/>
      <c r="J462" s="8"/>
      <c r="K462" s="6"/>
    </row>
    <row r="463" hidden="1">
      <c r="A463" s="9"/>
      <c r="B463" s="9"/>
      <c r="C463" s="9"/>
      <c r="D463" s="4"/>
      <c r="E463" s="5"/>
      <c r="F463" s="5"/>
      <c r="G463" s="4"/>
      <c r="H463" s="6"/>
      <c r="I463" s="7"/>
      <c r="J463" s="8"/>
      <c r="K463" s="6"/>
    </row>
    <row r="464" hidden="1">
      <c r="A464" s="9"/>
      <c r="B464" s="9"/>
      <c r="C464" s="9"/>
      <c r="D464" s="4"/>
      <c r="E464" s="5"/>
      <c r="F464" s="5"/>
      <c r="G464" s="4"/>
      <c r="H464" s="6"/>
      <c r="I464" s="7"/>
      <c r="J464" s="8"/>
      <c r="K464" s="6"/>
    </row>
    <row r="465" hidden="1">
      <c r="A465" s="9"/>
      <c r="B465" s="9"/>
      <c r="C465" s="9"/>
      <c r="D465" s="4"/>
      <c r="E465" s="5"/>
      <c r="F465" s="5"/>
      <c r="G465" s="4"/>
      <c r="H465" s="6"/>
      <c r="I465" s="7"/>
      <c r="J465" s="8"/>
      <c r="K465" s="6"/>
    </row>
    <row r="466" hidden="1">
      <c r="A466" s="9"/>
      <c r="B466" s="9"/>
      <c r="C466" s="9"/>
      <c r="D466" s="4"/>
      <c r="E466" s="5"/>
      <c r="F466" s="5"/>
      <c r="G466" s="4"/>
      <c r="H466" s="6"/>
      <c r="I466" s="7"/>
      <c r="J466" s="8"/>
      <c r="K466" s="6"/>
    </row>
    <row r="467" hidden="1">
      <c r="A467" s="9"/>
      <c r="B467" s="9"/>
      <c r="C467" s="9"/>
      <c r="D467" s="4"/>
      <c r="E467" s="5"/>
      <c r="F467" s="5"/>
      <c r="G467" s="4"/>
      <c r="H467" s="6"/>
      <c r="I467" s="7"/>
      <c r="J467" s="8"/>
      <c r="K467" s="6"/>
    </row>
    <row r="468" hidden="1">
      <c r="A468" s="9"/>
      <c r="B468" s="9"/>
      <c r="C468" s="9"/>
      <c r="D468" s="4"/>
      <c r="E468" s="5"/>
      <c r="F468" s="5"/>
      <c r="G468" s="4"/>
      <c r="H468" s="6"/>
      <c r="I468" s="7"/>
      <c r="J468" s="8"/>
      <c r="K468" s="6"/>
    </row>
    <row r="469" hidden="1">
      <c r="A469" s="9"/>
      <c r="B469" s="9"/>
      <c r="C469" s="9"/>
      <c r="D469" s="4"/>
      <c r="E469" s="5"/>
      <c r="F469" s="5"/>
      <c r="G469" s="4"/>
      <c r="H469" s="6"/>
      <c r="I469" s="7"/>
      <c r="J469" s="8"/>
      <c r="K469" s="6"/>
    </row>
    <row r="470" hidden="1">
      <c r="A470" s="9"/>
      <c r="B470" s="9"/>
      <c r="C470" s="9"/>
      <c r="D470" s="4"/>
      <c r="E470" s="5"/>
      <c r="F470" s="5"/>
      <c r="G470" s="4"/>
      <c r="H470" s="6"/>
      <c r="I470" s="7"/>
      <c r="J470" s="8"/>
      <c r="K470" s="6"/>
    </row>
    <row r="471" hidden="1">
      <c r="A471" s="9"/>
      <c r="B471" s="9"/>
      <c r="C471" s="9"/>
      <c r="D471" s="4"/>
      <c r="E471" s="5"/>
      <c r="F471" s="5"/>
      <c r="G471" s="4"/>
      <c r="H471" s="6"/>
      <c r="I471" s="7"/>
      <c r="J471" s="8"/>
      <c r="K471" s="6"/>
    </row>
    <row r="472" hidden="1">
      <c r="A472" s="9"/>
      <c r="B472" s="9"/>
      <c r="C472" s="9"/>
      <c r="D472" s="4"/>
      <c r="E472" s="5"/>
      <c r="F472" s="5"/>
      <c r="G472" s="4"/>
      <c r="H472" s="6"/>
      <c r="I472" s="7"/>
      <c r="J472" s="8"/>
      <c r="K472" s="6"/>
    </row>
    <row r="473" hidden="1">
      <c r="A473" s="9"/>
      <c r="B473" s="9"/>
      <c r="C473" s="9"/>
      <c r="D473" s="4"/>
      <c r="E473" s="5"/>
      <c r="F473" s="5"/>
      <c r="G473" s="4"/>
      <c r="H473" s="6"/>
      <c r="I473" s="7"/>
      <c r="J473" s="8"/>
      <c r="K473" s="6"/>
    </row>
    <row r="474" hidden="1">
      <c r="A474" s="9"/>
      <c r="B474" s="9"/>
      <c r="C474" s="9"/>
      <c r="D474" s="4"/>
      <c r="E474" s="5"/>
      <c r="F474" s="5"/>
      <c r="G474" s="4"/>
      <c r="H474" s="6"/>
      <c r="I474" s="7"/>
      <c r="J474" s="8"/>
      <c r="K474" s="6"/>
    </row>
    <row r="475" hidden="1">
      <c r="A475" s="9"/>
      <c r="B475" s="9"/>
      <c r="C475" s="9"/>
      <c r="D475" s="4"/>
      <c r="E475" s="5"/>
      <c r="F475" s="5"/>
      <c r="G475" s="4"/>
      <c r="H475" s="6"/>
      <c r="I475" s="7"/>
      <c r="J475" s="8"/>
      <c r="K475" s="6"/>
    </row>
    <row r="476" hidden="1">
      <c r="A476" s="9"/>
      <c r="B476" s="9"/>
      <c r="C476" s="9"/>
      <c r="D476" s="4"/>
      <c r="E476" s="5"/>
      <c r="F476" s="5"/>
      <c r="G476" s="4"/>
      <c r="H476" s="6"/>
      <c r="I476" s="7"/>
      <c r="J476" s="8"/>
      <c r="K476" s="6"/>
    </row>
    <row r="477" hidden="1">
      <c r="A477" s="9"/>
      <c r="B477" s="9"/>
      <c r="C477" s="9"/>
      <c r="D477" s="4"/>
      <c r="E477" s="5"/>
      <c r="F477" s="5"/>
      <c r="G477" s="4"/>
      <c r="H477" s="6"/>
      <c r="I477" s="7"/>
      <c r="J477" s="8"/>
      <c r="K477" s="6"/>
    </row>
    <row r="478" hidden="1">
      <c r="A478" s="9"/>
      <c r="B478" s="9"/>
      <c r="C478" s="9"/>
      <c r="D478" s="4"/>
      <c r="E478" s="5"/>
      <c r="F478" s="5"/>
      <c r="G478" s="4"/>
      <c r="H478" s="6"/>
      <c r="I478" s="7"/>
      <c r="J478" s="8"/>
      <c r="K478" s="6"/>
    </row>
    <row r="479" hidden="1">
      <c r="A479" s="9"/>
      <c r="B479" s="9"/>
      <c r="C479" s="9"/>
      <c r="D479" s="4"/>
      <c r="E479" s="5"/>
      <c r="F479" s="5"/>
      <c r="G479" s="4"/>
      <c r="H479" s="6"/>
      <c r="I479" s="7"/>
      <c r="J479" s="8"/>
      <c r="K479" s="6"/>
    </row>
    <row r="480" hidden="1">
      <c r="A480" s="9"/>
      <c r="B480" s="9"/>
      <c r="C480" s="9"/>
      <c r="D480" s="4"/>
      <c r="E480" s="5"/>
      <c r="F480" s="5"/>
      <c r="G480" s="4"/>
      <c r="H480" s="6"/>
      <c r="I480" s="7"/>
      <c r="J480" s="8"/>
      <c r="K480" s="6"/>
    </row>
    <row r="481" hidden="1">
      <c r="A481" s="9"/>
      <c r="B481" s="9"/>
      <c r="C481" s="9"/>
      <c r="D481" s="4"/>
      <c r="E481" s="5"/>
      <c r="F481" s="5"/>
      <c r="G481" s="4"/>
      <c r="H481" s="6"/>
      <c r="I481" s="7"/>
      <c r="J481" s="8"/>
      <c r="K481" s="6"/>
    </row>
    <row r="482" hidden="1">
      <c r="A482" s="9"/>
      <c r="B482" s="9"/>
      <c r="C482" s="9"/>
      <c r="D482" s="4"/>
      <c r="E482" s="5"/>
      <c r="F482" s="5"/>
      <c r="G482" s="4"/>
      <c r="H482" s="6"/>
      <c r="I482" s="7"/>
      <c r="J482" s="8"/>
      <c r="K482" s="6"/>
    </row>
    <row r="483" hidden="1">
      <c r="A483" s="9"/>
      <c r="B483" s="9"/>
      <c r="C483" s="9"/>
      <c r="D483" s="4"/>
      <c r="E483" s="5"/>
      <c r="F483" s="5"/>
      <c r="G483" s="4"/>
      <c r="H483" s="6"/>
      <c r="I483" s="7"/>
      <c r="J483" s="8"/>
      <c r="K483" s="6"/>
    </row>
    <row r="484" hidden="1">
      <c r="A484" s="9"/>
      <c r="B484" s="9"/>
      <c r="C484" s="9"/>
      <c r="D484" s="4"/>
      <c r="E484" s="5"/>
      <c r="F484" s="5"/>
      <c r="G484" s="4"/>
      <c r="H484" s="6"/>
      <c r="I484" s="7"/>
      <c r="J484" s="8"/>
      <c r="K484" s="6"/>
    </row>
    <row r="485" hidden="1">
      <c r="A485" s="9"/>
      <c r="B485" s="9"/>
      <c r="C485" s="9"/>
      <c r="D485" s="4"/>
      <c r="E485" s="5"/>
      <c r="F485" s="5"/>
      <c r="G485" s="4"/>
      <c r="H485" s="6"/>
      <c r="I485" s="7"/>
      <c r="J485" s="8"/>
      <c r="K485" s="6"/>
    </row>
    <row r="486" hidden="1">
      <c r="A486" s="9"/>
      <c r="B486" s="9"/>
      <c r="C486" s="9"/>
      <c r="D486" s="4"/>
      <c r="E486" s="5"/>
      <c r="F486" s="5"/>
      <c r="G486" s="4"/>
      <c r="H486" s="6"/>
      <c r="I486" s="7"/>
      <c r="J486" s="8"/>
      <c r="K486" s="6"/>
    </row>
    <row r="487" hidden="1">
      <c r="A487" s="9"/>
      <c r="B487" s="9"/>
      <c r="C487" s="9"/>
      <c r="D487" s="4"/>
      <c r="E487" s="5"/>
      <c r="F487" s="5"/>
      <c r="G487" s="4"/>
      <c r="H487" s="6"/>
      <c r="I487" s="7"/>
      <c r="J487" s="8"/>
      <c r="K487" s="6"/>
    </row>
    <row r="488" hidden="1">
      <c r="A488" s="9"/>
      <c r="B488" s="9"/>
      <c r="C488" s="9"/>
      <c r="D488" s="4"/>
      <c r="E488" s="5"/>
      <c r="F488" s="5"/>
      <c r="G488" s="4"/>
      <c r="H488" s="6"/>
      <c r="I488" s="7"/>
      <c r="J488" s="8"/>
      <c r="K488" s="6"/>
    </row>
    <row r="489" hidden="1">
      <c r="A489" s="9"/>
      <c r="B489" s="9"/>
      <c r="C489" s="9"/>
      <c r="D489" s="4"/>
      <c r="E489" s="5"/>
      <c r="F489" s="5"/>
      <c r="G489" s="4"/>
      <c r="H489" s="6"/>
      <c r="I489" s="7"/>
      <c r="J489" s="8"/>
      <c r="K489" s="6"/>
    </row>
    <row r="490" hidden="1">
      <c r="A490" s="9"/>
      <c r="B490" s="9"/>
      <c r="C490" s="9"/>
      <c r="D490" s="4"/>
      <c r="E490" s="5"/>
      <c r="F490" s="5"/>
      <c r="G490" s="4"/>
      <c r="H490" s="6"/>
      <c r="I490" s="7"/>
      <c r="J490" s="8"/>
      <c r="K490" s="6"/>
    </row>
    <row r="491" hidden="1">
      <c r="A491" s="9"/>
      <c r="B491" s="9"/>
      <c r="C491" s="9"/>
      <c r="D491" s="4"/>
      <c r="E491" s="5"/>
      <c r="F491" s="5"/>
      <c r="G491" s="4"/>
      <c r="H491" s="6"/>
      <c r="I491" s="7"/>
      <c r="J491" s="8"/>
      <c r="K491" s="6"/>
    </row>
    <row r="492" hidden="1">
      <c r="A492" s="9"/>
      <c r="B492" s="9"/>
      <c r="C492" s="9"/>
      <c r="D492" s="4"/>
      <c r="E492" s="5"/>
      <c r="F492" s="5"/>
      <c r="G492" s="4"/>
      <c r="H492" s="6"/>
      <c r="I492" s="7"/>
      <c r="J492" s="8"/>
      <c r="K492" s="6"/>
    </row>
    <row r="493" hidden="1">
      <c r="A493" s="9"/>
      <c r="B493" s="9"/>
      <c r="C493" s="9"/>
      <c r="D493" s="4"/>
      <c r="E493" s="5"/>
      <c r="F493" s="5"/>
      <c r="G493" s="4"/>
      <c r="H493" s="6"/>
      <c r="I493" s="7"/>
      <c r="J493" s="8"/>
      <c r="K493" s="6"/>
    </row>
    <row r="494" hidden="1">
      <c r="A494" s="9"/>
      <c r="B494" s="9"/>
      <c r="C494" s="9"/>
      <c r="D494" s="4"/>
      <c r="E494" s="5"/>
      <c r="F494" s="5"/>
      <c r="G494" s="4"/>
      <c r="H494" s="6"/>
      <c r="I494" s="7"/>
      <c r="J494" s="8"/>
      <c r="K494" s="6"/>
    </row>
    <row r="495" hidden="1">
      <c r="A495" s="9"/>
      <c r="B495" s="9"/>
      <c r="C495" s="9"/>
      <c r="D495" s="4"/>
      <c r="E495" s="5"/>
      <c r="F495" s="5"/>
      <c r="G495" s="4"/>
      <c r="H495" s="6"/>
      <c r="I495" s="7"/>
      <c r="J495" s="8"/>
      <c r="K495" s="6"/>
    </row>
    <row r="496" hidden="1">
      <c r="A496" s="9"/>
      <c r="B496" s="9"/>
      <c r="C496" s="9"/>
      <c r="D496" s="4"/>
      <c r="E496" s="5"/>
      <c r="F496" s="5"/>
      <c r="G496" s="4"/>
      <c r="H496" s="6"/>
      <c r="I496" s="7"/>
      <c r="J496" s="8"/>
      <c r="K496" s="6"/>
    </row>
    <row r="497" hidden="1">
      <c r="A497" s="9"/>
      <c r="B497" s="9"/>
      <c r="C497" s="9"/>
      <c r="D497" s="4"/>
      <c r="E497" s="5"/>
      <c r="F497" s="5"/>
      <c r="G497" s="4"/>
      <c r="H497" s="6"/>
      <c r="I497" s="7"/>
      <c r="J497" s="8"/>
      <c r="K497" s="6"/>
    </row>
    <row r="498" hidden="1">
      <c r="A498" s="9"/>
      <c r="B498" s="9"/>
      <c r="C498" s="9"/>
      <c r="D498" s="4"/>
      <c r="E498" s="5"/>
      <c r="F498" s="5"/>
      <c r="G498" s="4"/>
      <c r="H498" s="6"/>
      <c r="I498" s="7"/>
      <c r="J498" s="8"/>
      <c r="K498" s="6"/>
    </row>
    <row r="499" hidden="1">
      <c r="A499" s="9"/>
      <c r="B499" s="9"/>
      <c r="C499" s="9"/>
      <c r="D499" s="4"/>
      <c r="E499" s="5"/>
      <c r="F499" s="5"/>
      <c r="G499" s="4"/>
      <c r="H499" s="6"/>
      <c r="I499" s="7"/>
      <c r="J499" s="8"/>
      <c r="K499" s="6"/>
    </row>
    <row r="500" hidden="1">
      <c r="A500" s="9"/>
      <c r="B500" s="9"/>
      <c r="C500" s="9"/>
      <c r="D500" s="4"/>
      <c r="E500" s="5"/>
      <c r="F500" s="5"/>
      <c r="G500" s="4"/>
      <c r="H500" s="6"/>
      <c r="I500" s="7"/>
      <c r="J500" s="8"/>
      <c r="K500" s="6"/>
    </row>
    <row r="501" hidden="1">
      <c r="A501" s="9"/>
      <c r="B501" s="9"/>
      <c r="C501" s="9"/>
      <c r="D501" s="4"/>
      <c r="E501" s="5"/>
      <c r="F501" s="5"/>
      <c r="G501" s="4"/>
      <c r="H501" s="6"/>
      <c r="I501" s="7"/>
      <c r="J501" s="8"/>
      <c r="K501" s="6"/>
    </row>
    <row r="502" hidden="1">
      <c r="A502" s="9"/>
      <c r="B502" s="9"/>
      <c r="C502" s="9"/>
      <c r="D502" s="4"/>
      <c r="E502" s="5"/>
      <c r="F502" s="5"/>
      <c r="G502" s="4"/>
      <c r="H502" s="6"/>
      <c r="I502" s="7"/>
      <c r="J502" s="8"/>
      <c r="K502" s="6"/>
    </row>
    <row r="503" hidden="1">
      <c r="A503" s="9"/>
      <c r="B503" s="9"/>
      <c r="C503" s="9"/>
      <c r="D503" s="4"/>
      <c r="E503" s="5"/>
      <c r="F503" s="5"/>
      <c r="G503" s="4"/>
      <c r="H503" s="6"/>
      <c r="I503" s="7"/>
      <c r="J503" s="8"/>
      <c r="K503" s="6"/>
    </row>
    <row r="504" hidden="1">
      <c r="A504" s="9"/>
      <c r="B504" s="9"/>
      <c r="C504" s="9"/>
      <c r="D504" s="4"/>
      <c r="E504" s="5"/>
      <c r="F504" s="5"/>
      <c r="G504" s="4"/>
      <c r="H504" s="6"/>
      <c r="I504" s="7"/>
      <c r="J504" s="8"/>
      <c r="K504" s="6"/>
    </row>
    <row r="505" hidden="1">
      <c r="A505" s="9"/>
      <c r="B505" s="9"/>
      <c r="C505" s="9"/>
      <c r="D505" s="4"/>
      <c r="E505" s="5"/>
      <c r="F505" s="5"/>
      <c r="G505" s="4"/>
      <c r="H505" s="6"/>
      <c r="I505" s="7"/>
      <c r="J505" s="8"/>
      <c r="K505" s="6"/>
    </row>
    <row r="506" hidden="1">
      <c r="A506" s="9"/>
      <c r="B506" s="9"/>
      <c r="C506" s="9"/>
      <c r="D506" s="4"/>
      <c r="E506" s="5"/>
      <c r="F506" s="5"/>
      <c r="G506" s="4"/>
      <c r="H506" s="6"/>
      <c r="I506" s="7"/>
      <c r="J506" s="8"/>
      <c r="K506" s="6"/>
    </row>
    <row r="507" hidden="1">
      <c r="A507" s="9"/>
      <c r="B507" s="9"/>
      <c r="C507" s="9"/>
      <c r="D507" s="4"/>
      <c r="E507" s="5"/>
      <c r="F507" s="5"/>
      <c r="G507" s="4"/>
      <c r="H507" s="6"/>
      <c r="I507" s="7"/>
      <c r="J507" s="8"/>
      <c r="K507" s="6"/>
    </row>
    <row r="508" hidden="1">
      <c r="A508" s="9"/>
      <c r="B508" s="9"/>
      <c r="C508" s="9"/>
      <c r="D508" s="4"/>
      <c r="E508" s="5"/>
      <c r="F508" s="5"/>
      <c r="G508" s="4"/>
      <c r="H508" s="6"/>
      <c r="I508" s="7"/>
      <c r="J508" s="8"/>
      <c r="K508" s="6"/>
    </row>
    <row r="509" hidden="1">
      <c r="A509" s="9"/>
      <c r="B509" s="9"/>
      <c r="C509" s="9"/>
      <c r="D509" s="4"/>
      <c r="E509" s="5"/>
      <c r="F509" s="5"/>
      <c r="G509" s="4"/>
      <c r="H509" s="6"/>
      <c r="I509" s="7"/>
      <c r="J509" s="8"/>
      <c r="K509" s="6"/>
    </row>
    <row r="510" hidden="1">
      <c r="A510" s="9"/>
      <c r="B510" s="9"/>
      <c r="C510" s="9"/>
      <c r="D510" s="4"/>
      <c r="E510" s="5"/>
      <c r="F510" s="5"/>
      <c r="G510" s="4"/>
      <c r="H510" s="6"/>
      <c r="I510" s="7"/>
      <c r="J510" s="8"/>
      <c r="K510" s="6"/>
    </row>
    <row r="511" hidden="1">
      <c r="A511" s="9"/>
      <c r="B511" s="9"/>
      <c r="C511" s="9"/>
      <c r="D511" s="4"/>
      <c r="E511" s="5"/>
      <c r="F511" s="5"/>
      <c r="G511" s="4"/>
      <c r="H511" s="6"/>
      <c r="I511" s="7"/>
      <c r="J511" s="8"/>
      <c r="K511" s="6"/>
    </row>
    <row r="512" hidden="1">
      <c r="A512" s="9"/>
      <c r="B512" s="9"/>
      <c r="C512" s="9"/>
      <c r="D512" s="4"/>
      <c r="E512" s="5"/>
      <c r="F512" s="5"/>
      <c r="G512" s="4"/>
      <c r="H512" s="6"/>
      <c r="I512" s="7"/>
      <c r="J512" s="8"/>
      <c r="K512" s="6"/>
    </row>
    <row r="513" hidden="1">
      <c r="A513" s="9"/>
      <c r="B513" s="9"/>
      <c r="C513" s="9"/>
      <c r="D513" s="4"/>
      <c r="E513" s="5"/>
      <c r="F513" s="5"/>
      <c r="G513" s="4"/>
      <c r="H513" s="6"/>
      <c r="I513" s="7"/>
      <c r="J513" s="8"/>
      <c r="K513" s="6"/>
    </row>
    <row r="514" hidden="1">
      <c r="A514" s="9"/>
      <c r="B514" s="9"/>
      <c r="C514" s="9"/>
      <c r="D514" s="4"/>
      <c r="E514" s="5"/>
      <c r="F514" s="5"/>
      <c r="G514" s="4"/>
      <c r="H514" s="6"/>
      <c r="I514" s="7"/>
      <c r="J514" s="8"/>
      <c r="K514" s="6"/>
    </row>
    <row r="515" hidden="1">
      <c r="A515" s="9"/>
      <c r="B515" s="9"/>
      <c r="C515" s="9"/>
      <c r="D515" s="4"/>
      <c r="E515" s="5"/>
      <c r="F515" s="5"/>
      <c r="G515" s="4"/>
      <c r="H515" s="6"/>
      <c r="I515" s="7"/>
      <c r="J515" s="8"/>
      <c r="K515" s="6"/>
    </row>
    <row r="516" hidden="1">
      <c r="A516" s="9"/>
      <c r="B516" s="9"/>
      <c r="C516" s="9"/>
      <c r="D516" s="4"/>
      <c r="E516" s="5"/>
      <c r="F516" s="5"/>
      <c r="G516" s="4"/>
      <c r="H516" s="6"/>
      <c r="I516" s="7"/>
      <c r="J516" s="8"/>
      <c r="K516" s="6"/>
    </row>
    <row r="517" hidden="1">
      <c r="A517" s="9"/>
      <c r="B517" s="9"/>
      <c r="C517" s="9"/>
      <c r="D517" s="4"/>
      <c r="E517" s="5"/>
      <c r="F517" s="5"/>
      <c r="G517" s="4"/>
      <c r="H517" s="6"/>
      <c r="I517" s="7"/>
      <c r="J517" s="8"/>
      <c r="K517" s="6"/>
    </row>
    <row r="518" hidden="1">
      <c r="A518" s="9"/>
      <c r="B518" s="9"/>
      <c r="C518" s="9"/>
      <c r="D518" s="4"/>
      <c r="E518" s="5"/>
      <c r="F518" s="5"/>
      <c r="G518" s="4"/>
      <c r="H518" s="6"/>
      <c r="I518" s="7"/>
      <c r="J518" s="8"/>
      <c r="K518" s="6"/>
    </row>
    <row r="519" hidden="1">
      <c r="A519" s="9"/>
      <c r="B519" s="9"/>
      <c r="C519" s="9"/>
      <c r="D519" s="4"/>
      <c r="E519" s="5"/>
      <c r="F519" s="5"/>
      <c r="G519" s="4"/>
      <c r="H519" s="6"/>
      <c r="I519" s="7"/>
      <c r="J519" s="8"/>
      <c r="K519" s="6"/>
    </row>
    <row r="520" hidden="1">
      <c r="A520" s="9"/>
      <c r="B520" s="9"/>
      <c r="C520" s="9"/>
      <c r="D520" s="4"/>
      <c r="E520" s="5"/>
      <c r="F520" s="5"/>
      <c r="G520" s="4"/>
      <c r="H520" s="6"/>
      <c r="I520" s="7"/>
      <c r="J520" s="8"/>
      <c r="K520" s="6"/>
    </row>
    <row r="521" hidden="1">
      <c r="A521" s="9"/>
      <c r="B521" s="9"/>
      <c r="C521" s="9"/>
      <c r="D521" s="4"/>
      <c r="E521" s="5"/>
      <c r="F521" s="5"/>
      <c r="G521" s="4"/>
      <c r="H521" s="6"/>
      <c r="I521" s="7"/>
      <c r="J521" s="8"/>
      <c r="K521" s="6"/>
    </row>
    <row r="522" hidden="1">
      <c r="A522" s="9"/>
      <c r="B522" s="9"/>
      <c r="C522" s="9"/>
      <c r="D522" s="4"/>
      <c r="E522" s="5"/>
      <c r="F522" s="5"/>
      <c r="G522" s="4"/>
      <c r="H522" s="6"/>
      <c r="I522" s="7"/>
      <c r="J522" s="8"/>
      <c r="K522" s="6"/>
    </row>
    <row r="523" hidden="1">
      <c r="A523" s="9"/>
      <c r="B523" s="9"/>
      <c r="C523" s="9"/>
      <c r="D523" s="4"/>
      <c r="E523" s="5"/>
      <c r="F523" s="5"/>
      <c r="G523" s="4"/>
      <c r="H523" s="6"/>
      <c r="I523" s="7"/>
      <c r="J523" s="8"/>
      <c r="K523" s="6"/>
    </row>
    <row r="524" hidden="1">
      <c r="A524" s="9"/>
      <c r="B524" s="9"/>
      <c r="C524" s="9"/>
      <c r="D524" s="4"/>
      <c r="E524" s="5"/>
      <c r="F524" s="5"/>
      <c r="G524" s="4"/>
      <c r="H524" s="6"/>
      <c r="I524" s="7"/>
      <c r="J524" s="8"/>
      <c r="K524" s="6"/>
    </row>
    <row r="525" hidden="1">
      <c r="A525" s="9"/>
      <c r="B525" s="9"/>
      <c r="C525" s="9"/>
      <c r="D525" s="4"/>
      <c r="E525" s="5"/>
      <c r="F525" s="5"/>
      <c r="G525" s="4"/>
      <c r="H525" s="6"/>
      <c r="I525" s="7"/>
      <c r="J525" s="8"/>
      <c r="K525" s="6"/>
    </row>
    <row r="526" hidden="1">
      <c r="A526" s="9"/>
      <c r="B526" s="9"/>
      <c r="C526" s="9"/>
      <c r="D526" s="4"/>
      <c r="E526" s="5"/>
      <c r="F526" s="5"/>
      <c r="G526" s="4"/>
      <c r="H526" s="6"/>
      <c r="I526" s="7"/>
      <c r="J526" s="8"/>
      <c r="K526" s="6"/>
    </row>
    <row r="527" hidden="1">
      <c r="A527" s="9"/>
      <c r="B527" s="9"/>
      <c r="C527" s="9"/>
      <c r="D527" s="4"/>
      <c r="E527" s="5"/>
      <c r="F527" s="5"/>
      <c r="G527" s="4"/>
      <c r="H527" s="6"/>
      <c r="I527" s="7"/>
      <c r="J527" s="8"/>
      <c r="K527" s="6"/>
    </row>
    <row r="528" hidden="1">
      <c r="A528" s="9"/>
      <c r="B528" s="9"/>
      <c r="C528" s="9"/>
      <c r="D528" s="4"/>
      <c r="E528" s="5"/>
      <c r="F528" s="5"/>
      <c r="G528" s="4"/>
      <c r="H528" s="6"/>
      <c r="I528" s="7"/>
      <c r="J528" s="8"/>
      <c r="K528" s="6"/>
    </row>
    <row r="529" hidden="1">
      <c r="A529" s="9"/>
      <c r="B529" s="9"/>
      <c r="C529" s="9"/>
      <c r="D529" s="4"/>
      <c r="E529" s="5"/>
      <c r="F529" s="5"/>
      <c r="G529" s="4"/>
      <c r="H529" s="6"/>
      <c r="I529" s="7"/>
      <c r="J529" s="8"/>
      <c r="K529" s="6"/>
    </row>
    <row r="530" hidden="1">
      <c r="A530" s="9"/>
      <c r="B530" s="9"/>
      <c r="C530" s="9"/>
      <c r="D530" s="4"/>
      <c r="E530" s="5"/>
      <c r="F530" s="5"/>
      <c r="G530" s="4"/>
      <c r="H530" s="6"/>
      <c r="I530" s="7"/>
      <c r="J530" s="8"/>
      <c r="K530" s="6"/>
    </row>
    <row r="531" hidden="1">
      <c r="A531" s="9"/>
      <c r="B531" s="9"/>
      <c r="C531" s="9"/>
      <c r="D531" s="4"/>
      <c r="E531" s="5"/>
      <c r="F531" s="5"/>
      <c r="G531" s="4"/>
      <c r="H531" s="6"/>
      <c r="I531" s="7"/>
      <c r="J531" s="8"/>
      <c r="K531" s="6"/>
    </row>
    <row r="532" hidden="1">
      <c r="A532" s="9"/>
      <c r="B532" s="9"/>
      <c r="C532" s="9"/>
      <c r="D532" s="4"/>
      <c r="E532" s="5"/>
      <c r="F532" s="5"/>
      <c r="G532" s="4"/>
      <c r="H532" s="6"/>
      <c r="I532" s="7"/>
      <c r="J532" s="8"/>
      <c r="K532" s="6"/>
    </row>
    <row r="533" hidden="1">
      <c r="A533" s="9"/>
      <c r="B533" s="9"/>
      <c r="C533" s="9"/>
      <c r="D533" s="4"/>
      <c r="E533" s="5"/>
      <c r="F533" s="5"/>
      <c r="G533" s="4"/>
      <c r="H533" s="6"/>
      <c r="I533" s="7"/>
      <c r="J533" s="8"/>
      <c r="K533" s="6"/>
    </row>
    <row r="534" hidden="1">
      <c r="A534" s="9"/>
      <c r="B534" s="9"/>
      <c r="C534" s="9"/>
      <c r="D534" s="4"/>
      <c r="E534" s="5"/>
      <c r="F534" s="5"/>
      <c r="G534" s="4"/>
      <c r="H534" s="6"/>
      <c r="I534" s="7"/>
      <c r="J534" s="8"/>
      <c r="K534" s="6"/>
    </row>
    <row r="535" hidden="1">
      <c r="A535" s="9"/>
      <c r="B535" s="9"/>
      <c r="C535" s="9"/>
      <c r="D535" s="4"/>
      <c r="E535" s="5"/>
      <c r="F535" s="5"/>
      <c r="G535" s="4"/>
      <c r="H535" s="6"/>
      <c r="I535" s="7"/>
      <c r="J535" s="8"/>
      <c r="K535" s="6"/>
    </row>
    <row r="536" hidden="1">
      <c r="A536" s="9"/>
      <c r="B536" s="9"/>
      <c r="C536" s="9"/>
      <c r="D536" s="4"/>
      <c r="E536" s="5"/>
      <c r="F536" s="5"/>
      <c r="G536" s="4"/>
      <c r="H536" s="6"/>
      <c r="I536" s="7"/>
      <c r="J536" s="8"/>
      <c r="K536" s="6"/>
    </row>
    <row r="537" hidden="1">
      <c r="A537" s="9"/>
      <c r="B537" s="9"/>
      <c r="C537" s="9"/>
      <c r="D537" s="4"/>
      <c r="E537" s="5"/>
      <c r="F537" s="5"/>
      <c r="G537" s="4"/>
      <c r="H537" s="6"/>
      <c r="I537" s="7"/>
      <c r="J537" s="8"/>
      <c r="K537" s="6"/>
    </row>
    <row r="538" hidden="1">
      <c r="A538" s="9"/>
      <c r="B538" s="9"/>
      <c r="C538" s="9"/>
      <c r="D538" s="4"/>
      <c r="E538" s="5"/>
      <c r="F538" s="5"/>
      <c r="G538" s="4"/>
      <c r="H538" s="6"/>
      <c r="I538" s="7"/>
      <c r="J538" s="8"/>
      <c r="K538" s="6"/>
    </row>
    <row r="539" hidden="1">
      <c r="A539" s="9"/>
      <c r="B539" s="9"/>
      <c r="C539" s="9"/>
      <c r="D539" s="4"/>
      <c r="E539" s="5"/>
      <c r="F539" s="5"/>
      <c r="G539" s="4"/>
      <c r="H539" s="6"/>
      <c r="I539" s="7"/>
      <c r="J539" s="8"/>
      <c r="K539" s="6"/>
    </row>
    <row r="540" hidden="1">
      <c r="A540" s="9"/>
      <c r="B540" s="9"/>
      <c r="C540" s="9"/>
      <c r="D540" s="4"/>
      <c r="E540" s="5"/>
      <c r="F540" s="5"/>
      <c r="G540" s="4"/>
      <c r="H540" s="6"/>
      <c r="I540" s="7"/>
      <c r="J540" s="8"/>
      <c r="K540" s="6"/>
    </row>
    <row r="541" hidden="1">
      <c r="A541" s="9"/>
      <c r="B541" s="9"/>
      <c r="C541" s="9"/>
      <c r="D541" s="4"/>
      <c r="E541" s="5"/>
      <c r="F541" s="5"/>
      <c r="G541" s="4"/>
      <c r="H541" s="6"/>
      <c r="I541" s="7"/>
      <c r="J541" s="8"/>
      <c r="K541" s="6"/>
    </row>
    <row r="542" hidden="1">
      <c r="A542" s="9"/>
      <c r="B542" s="9"/>
      <c r="C542" s="9"/>
      <c r="D542" s="4"/>
      <c r="E542" s="5"/>
      <c r="F542" s="5"/>
      <c r="G542" s="4"/>
      <c r="H542" s="6"/>
      <c r="I542" s="7"/>
      <c r="J542" s="8"/>
      <c r="K542" s="6"/>
    </row>
    <row r="543" hidden="1">
      <c r="A543" s="9"/>
      <c r="B543" s="9"/>
      <c r="C543" s="9"/>
      <c r="D543" s="4"/>
      <c r="E543" s="5"/>
      <c r="F543" s="5"/>
      <c r="G543" s="4"/>
      <c r="H543" s="6"/>
      <c r="I543" s="7"/>
      <c r="J543" s="8"/>
      <c r="K543" s="6"/>
    </row>
    <row r="544" hidden="1">
      <c r="A544" s="9"/>
      <c r="B544" s="9"/>
      <c r="C544" s="9"/>
      <c r="D544" s="4"/>
      <c r="E544" s="5"/>
      <c r="F544" s="5"/>
      <c r="G544" s="4"/>
      <c r="H544" s="6"/>
      <c r="I544" s="7"/>
      <c r="J544" s="8"/>
      <c r="K544" s="6"/>
    </row>
    <row r="545" hidden="1">
      <c r="A545" s="9"/>
      <c r="B545" s="9"/>
      <c r="C545" s="9"/>
      <c r="D545" s="4"/>
      <c r="E545" s="5"/>
      <c r="F545" s="5"/>
      <c r="G545" s="4"/>
      <c r="H545" s="6"/>
      <c r="I545" s="7"/>
      <c r="J545" s="8"/>
      <c r="K545" s="6"/>
    </row>
    <row r="546" hidden="1">
      <c r="A546" s="9"/>
      <c r="B546" s="9"/>
      <c r="C546" s="9"/>
      <c r="D546" s="4"/>
      <c r="E546" s="5"/>
      <c r="F546" s="5"/>
      <c r="G546" s="4"/>
      <c r="H546" s="6"/>
      <c r="I546" s="7"/>
      <c r="J546" s="8"/>
      <c r="K546" s="6"/>
    </row>
    <row r="547" hidden="1">
      <c r="A547" s="9"/>
      <c r="B547" s="9"/>
      <c r="C547" s="9"/>
      <c r="D547" s="4"/>
      <c r="E547" s="5"/>
      <c r="F547" s="5"/>
      <c r="G547" s="4"/>
      <c r="H547" s="6"/>
      <c r="I547" s="7"/>
      <c r="J547" s="8"/>
      <c r="K547" s="6"/>
    </row>
    <row r="548" hidden="1">
      <c r="A548" s="9"/>
      <c r="B548" s="9"/>
      <c r="C548" s="9"/>
      <c r="D548" s="4"/>
      <c r="E548" s="5"/>
      <c r="F548" s="5"/>
      <c r="G548" s="4"/>
      <c r="H548" s="6"/>
      <c r="I548" s="7"/>
      <c r="J548" s="8"/>
      <c r="K548" s="6"/>
    </row>
    <row r="549" hidden="1">
      <c r="A549" s="9"/>
      <c r="B549" s="9"/>
      <c r="C549" s="9"/>
      <c r="D549" s="4"/>
      <c r="E549" s="5"/>
      <c r="F549" s="5"/>
      <c r="G549" s="4"/>
      <c r="H549" s="6"/>
      <c r="I549" s="7"/>
      <c r="J549" s="8"/>
      <c r="K549" s="6"/>
    </row>
    <row r="550" hidden="1">
      <c r="A550" s="9"/>
      <c r="B550" s="9"/>
      <c r="C550" s="9"/>
      <c r="D550" s="4"/>
      <c r="E550" s="5"/>
      <c r="F550" s="5"/>
      <c r="G550" s="4"/>
      <c r="H550" s="6"/>
      <c r="I550" s="7"/>
      <c r="J550" s="8"/>
      <c r="K550" s="6"/>
    </row>
    <row r="551" hidden="1">
      <c r="A551" s="9"/>
      <c r="B551" s="9"/>
      <c r="C551" s="9"/>
      <c r="D551" s="4"/>
      <c r="E551" s="5"/>
      <c r="F551" s="5"/>
      <c r="G551" s="4"/>
      <c r="H551" s="6"/>
      <c r="I551" s="7"/>
      <c r="J551" s="8"/>
      <c r="K551" s="6"/>
    </row>
    <row r="552" hidden="1">
      <c r="A552" s="9"/>
      <c r="B552" s="9"/>
      <c r="C552" s="9"/>
      <c r="D552" s="4"/>
      <c r="E552" s="5"/>
      <c r="F552" s="5"/>
      <c r="G552" s="4"/>
      <c r="H552" s="6"/>
      <c r="I552" s="7"/>
      <c r="J552" s="8"/>
      <c r="K552" s="6"/>
    </row>
    <row r="553" hidden="1">
      <c r="A553" s="9"/>
      <c r="B553" s="9"/>
      <c r="C553" s="9"/>
      <c r="D553" s="4"/>
      <c r="E553" s="5"/>
      <c r="F553" s="5"/>
      <c r="G553" s="4"/>
      <c r="H553" s="6"/>
      <c r="I553" s="7"/>
      <c r="J553" s="8"/>
      <c r="K553" s="6"/>
    </row>
    <row r="554" hidden="1">
      <c r="A554" s="9"/>
      <c r="B554" s="9"/>
      <c r="C554" s="9"/>
      <c r="D554" s="4"/>
      <c r="E554" s="5"/>
      <c r="F554" s="5"/>
      <c r="G554" s="4"/>
      <c r="H554" s="6"/>
      <c r="I554" s="7"/>
      <c r="J554" s="8"/>
      <c r="K554" s="6"/>
    </row>
    <row r="555" hidden="1">
      <c r="A555" s="9"/>
      <c r="B555" s="9"/>
      <c r="C555" s="9"/>
      <c r="D555" s="4"/>
      <c r="E555" s="5"/>
      <c r="F555" s="5"/>
      <c r="G555" s="4"/>
      <c r="H555" s="6"/>
      <c r="I555" s="7"/>
      <c r="J555" s="8"/>
      <c r="K555" s="6"/>
    </row>
    <row r="556" hidden="1">
      <c r="A556" s="9"/>
      <c r="B556" s="9"/>
      <c r="C556" s="9"/>
      <c r="D556" s="4"/>
      <c r="E556" s="5"/>
      <c r="F556" s="5"/>
      <c r="G556" s="4"/>
      <c r="H556" s="6"/>
      <c r="I556" s="7"/>
      <c r="J556" s="8"/>
      <c r="K556" s="6"/>
    </row>
    <row r="557" hidden="1">
      <c r="A557" s="9"/>
      <c r="B557" s="9"/>
      <c r="C557" s="9"/>
      <c r="D557" s="4"/>
      <c r="E557" s="5"/>
      <c r="F557" s="5"/>
      <c r="G557" s="4"/>
      <c r="H557" s="6"/>
      <c r="I557" s="7"/>
      <c r="J557" s="8"/>
      <c r="K557" s="6"/>
    </row>
    <row r="558" hidden="1">
      <c r="A558" s="9"/>
      <c r="B558" s="9"/>
      <c r="C558" s="9"/>
      <c r="D558" s="4"/>
      <c r="E558" s="5"/>
      <c r="F558" s="5"/>
      <c r="G558" s="4"/>
      <c r="H558" s="6"/>
      <c r="I558" s="7"/>
      <c r="J558" s="8"/>
      <c r="K558" s="6"/>
    </row>
    <row r="559" hidden="1">
      <c r="A559" s="9"/>
      <c r="B559" s="9"/>
      <c r="C559" s="9"/>
      <c r="D559" s="4"/>
      <c r="E559" s="5"/>
      <c r="F559" s="5"/>
      <c r="G559" s="4"/>
      <c r="H559" s="6"/>
      <c r="I559" s="7"/>
      <c r="J559" s="8"/>
      <c r="K559" s="6"/>
    </row>
    <row r="560" hidden="1">
      <c r="A560" s="9"/>
      <c r="B560" s="9"/>
      <c r="C560" s="9"/>
      <c r="D560" s="4"/>
      <c r="E560" s="5"/>
      <c r="F560" s="5"/>
      <c r="G560" s="4"/>
      <c r="H560" s="6"/>
      <c r="I560" s="7"/>
      <c r="J560" s="8"/>
      <c r="K560" s="6"/>
    </row>
    <row r="561" hidden="1">
      <c r="A561" s="9"/>
      <c r="B561" s="9"/>
      <c r="C561" s="9"/>
      <c r="D561" s="4"/>
      <c r="E561" s="5"/>
      <c r="F561" s="5"/>
      <c r="G561" s="4"/>
      <c r="H561" s="6"/>
      <c r="I561" s="7"/>
      <c r="J561" s="8"/>
      <c r="K561" s="6"/>
    </row>
    <row r="562" hidden="1">
      <c r="A562" s="9"/>
      <c r="B562" s="9"/>
      <c r="C562" s="9"/>
      <c r="D562" s="4"/>
      <c r="E562" s="5"/>
      <c r="F562" s="5"/>
      <c r="G562" s="4"/>
      <c r="H562" s="6"/>
      <c r="I562" s="7"/>
      <c r="J562" s="8"/>
      <c r="K562" s="6"/>
    </row>
    <row r="563" hidden="1">
      <c r="A563" s="9"/>
      <c r="B563" s="9"/>
      <c r="C563" s="9"/>
      <c r="D563" s="4"/>
      <c r="E563" s="5"/>
      <c r="F563" s="5"/>
      <c r="G563" s="4"/>
      <c r="H563" s="6"/>
      <c r="I563" s="7"/>
      <c r="J563" s="8"/>
      <c r="K563" s="6"/>
    </row>
    <row r="564" hidden="1">
      <c r="A564" s="9"/>
      <c r="B564" s="9"/>
      <c r="C564" s="9"/>
      <c r="D564" s="4"/>
      <c r="E564" s="5"/>
      <c r="F564" s="5"/>
      <c r="G564" s="4"/>
      <c r="H564" s="6"/>
      <c r="I564" s="7"/>
      <c r="J564" s="8"/>
      <c r="K564" s="6"/>
    </row>
    <row r="565" hidden="1">
      <c r="A565" s="9"/>
      <c r="B565" s="9"/>
      <c r="C565" s="9"/>
      <c r="D565" s="4"/>
      <c r="E565" s="5"/>
      <c r="F565" s="5"/>
      <c r="G565" s="4"/>
      <c r="H565" s="6"/>
      <c r="I565" s="7"/>
      <c r="J565" s="8"/>
      <c r="K565" s="6"/>
    </row>
    <row r="566" hidden="1">
      <c r="A566" s="9"/>
      <c r="B566" s="9"/>
      <c r="C566" s="9"/>
      <c r="D566" s="4"/>
      <c r="E566" s="5"/>
      <c r="F566" s="5"/>
      <c r="G566" s="4"/>
      <c r="H566" s="6"/>
      <c r="I566" s="7"/>
      <c r="J566" s="8"/>
      <c r="K566" s="6"/>
    </row>
    <row r="567" hidden="1">
      <c r="A567" s="9"/>
      <c r="B567" s="9"/>
      <c r="C567" s="9"/>
      <c r="D567" s="4"/>
      <c r="E567" s="5"/>
      <c r="F567" s="5"/>
      <c r="G567" s="4"/>
      <c r="H567" s="6"/>
      <c r="I567" s="7"/>
      <c r="J567" s="8"/>
      <c r="K567" s="6"/>
    </row>
    <row r="568" hidden="1">
      <c r="A568" s="9"/>
      <c r="B568" s="9"/>
      <c r="C568" s="9"/>
      <c r="D568" s="4"/>
      <c r="E568" s="5"/>
      <c r="F568" s="5"/>
      <c r="G568" s="4"/>
      <c r="H568" s="6"/>
      <c r="I568" s="7"/>
      <c r="J568" s="8"/>
      <c r="K568" s="6"/>
    </row>
    <row r="569" hidden="1">
      <c r="A569" s="9"/>
      <c r="B569" s="9"/>
      <c r="C569" s="9"/>
      <c r="D569" s="4"/>
      <c r="E569" s="5"/>
      <c r="F569" s="5"/>
      <c r="G569" s="4"/>
      <c r="H569" s="6"/>
      <c r="I569" s="7"/>
      <c r="J569" s="8"/>
      <c r="K569" s="6"/>
    </row>
    <row r="570" hidden="1">
      <c r="A570" s="9"/>
      <c r="B570" s="9"/>
      <c r="C570" s="9"/>
      <c r="D570" s="4"/>
      <c r="E570" s="5"/>
      <c r="F570" s="5"/>
      <c r="G570" s="4"/>
      <c r="H570" s="6"/>
      <c r="I570" s="7"/>
      <c r="J570" s="8"/>
      <c r="K570" s="6"/>
    </row>
    <row r="571" hidden="1">
      <c r="A571" s="9"/>
      <c r="B571" s="9"/>
      <c r="C571" s="9"/>
      <c r="D571" s="4"/>
      <c r="E571" s="5"/>
      <c r="F571" s="5"/>
      <c r="G571" s="4"/>
      <c r="H571" s="6"/>
      <c r="I571" s="7"/>
      <c r="J571" s="8"/>
      <c r="K571" s="6"/>
    </row>
    <row r="572" hidden="1">
      <c r="A572" s="9"/>
      <c r="B572" s="9"/>
      <c r="C572" s="9"/>
      <c r="D572" s="4"/>
      <c r="E572" s="5"/>
      <c r="F572" s="5"/>
      <c r="G572" s="4"/>
      <c r="H572" s="6"/>
      <c r="I572" s="7"/>
      <c r="J572" s="8"/>
      <c r="K572" s="6"/>
    </row>
    <row r="573" hidden="1">
      <c r="A573" s="9"/>
      <c r="B573" s="9"/>
      <c r="C573" s="9"/>
      <c r="D573" s="4"/>
      <c r="E573" s="5"/>
      <c r="F573" s="5"/>
      <c r="G573" s="4"/>
      <c r="H573" s="6"/>
      <c r="I573" s="7"/>
      <c r="J573" s="8"/>
      <c r="K573" s="6"/>
    </row>
    <row r="574" hidden="1">
      <c r="A574" s="9"/>
      <c r="B574" s="9"/>
      <c r="C574" s="9"/>
      <c r="D574" s="4"/>
      <c r="E574" s="5"/>
      <c r="F574" s="5"/>
      <c r="G574" s="4"/>
      <c r="H574" s="6"/>
      <c r="I574" s="7"/>
      <c r="J574" s="8"/>
      <c r="K574" s="6"/>
    </row>
    <row r="575" hidden="1">
      <c r="A575" s="9"/>
      <c r="B575" s="9"/>
      <c r="C575" s="9"/>
      <c r="D575" s="4"/>
      <c r="E575" s="5"/>
      <c r="F575" s="5"/>
      <c r="G575" s="4"/>
      <c r="H575" s="6"/>
      <c r="I575" s="7"/>
      <c r="J575" s="8"/>
      <c r="K575" s="6"/>
    </row>
    <row r="576" hidden="1">
      <c r="A576" s="9"/>
      <c r="B576" s="9"/>
      <c r="C576" s="9"/>
      <c r="D576" s="4"/>
      <c r="E576" s="5"/>
      <c r="F576" s="5"/>
      <c r="G576" s="4"/>
      <c r="H576" s="6"/>
      <c r="I576" s="7"/>
      <c r="J576" s="8"/>
      <c r="K576" s="6"/>
    </row>
    <row r="577" hidden="1">
      <c r="A577" s="9"/>
      <c r="B577" s="9"/>
      <c r="C577" s="9"/>
      <c r="D577" s="4"/>
      <c r="E577" s="5"/>
      <c r="F577" s="5"/>
      <c r="G577" s="4"/>
      <c r="H577" s="6"/>
      <c r="I577" s="7"/>
      <c r="J577" s="8"/>
      <c r="K577" s="6"/>
    </row>
    <row r="578" hidden="1">
      <c r="A578" s="9"/>
      <c r="B578" s="9"/>
      <c r="C578" s="9"/>
      <c r="D578" s="4"/>
      <c r="E578" s="5"/>
      <c r="F578" s="5"/>
      <c r="G578" s="4"/>
      <c r="H578" s="6"/>
      <c r="I578" s="7"/>
      <c r="J578" s="8"/>
      <c r="K578" s="6"/>
    </row>
    <row r="579" hidden="1">
      <c r="A579" s="9"/>
      <c r="B579" s="9"/>
      <c r="C579" s="9"/>
      <c r="D579" s="4"/>
      <c r="E579" s="5"/>
      <c r="F579" s="5"/>
      <c r="G579" s="4"/>
      <c r="H579" s="6"/>
      <c r="I579" s="7"/>
      <c r="J579" s="8"/>
      <c r="K579" s="6"/>
    </row>
    <row r="580" hidden="1">
      <c r="A580" s="9"/>
      <c r="B580" s="9"/>
      <c r="C580" s="9"/>
      <c r="D580" s="4"/>
      <c r="E580" s="5"/>
      <c r="F580" s="5"/>
      <c r="G580" s="4"/>
      <c r="H580" s="6"/>
      <c r="I580" s="7"/>
      <c r="J580" s="8"/>
      <c r="K580" s="6"/>
    </row>
    <row r="581" hidden="1">
      <c r="A581" s="9"/>
      <c r="B581" s="9"/>
      <c r="C581" s="9"/>
      <c r="D581" s="4"/>
      <c r="E581" s="5"/>
      <c r="F581" s="5"/>
      <c r="G581" s="4"/>
      <c r="H581" s="6"/>
      <c r="I581" s="7"/>
      <c r="J581" s="8"/>
      <c r="K581" s="6"/>
    </row>
    <row r="582" hidden="1">
      <c r="A582" s="9"/>
      <c r="B582" s="9"/>
      <c r="C582" s="9"/>
      <c r="D582" s="4"/>
      <c r="E582" s="5"/>
      <c r="F582" s="5"/>
      <c r="G582" s="4"/>
      <c r="H582" s="6"/>
      <c r="I582" s="7"/>
      <c r="J582" s="8"/>
      <c r="K582" s="6"/>
    </row>
    <row r="583" hidden="1">
      <c r="A583" s="9"/>
      <c r="B583" s="9"/>
      <c r="C583" s="9"/>
      <c r="D583" s="4"/>
      <c r="E583" s="5"/>
      <c r="F583" s="5"/>
      <c r="G583" s="4"/>
      <c r="H583" s="6"/>
      <c r="I583" s="7"/>
      <c r="J583" s="8"/>
      <c r="K583" s="6"/>
    </row>
    <row r="584" hidden="1">
      <c r="A584" s="9"/>
      <c r="B584" s="9"/>
      <c r="C584" s="9"/>
      <c r="D584" s="4"/>
      <c r="E584" s="5"/>
      <c r="F584" s="5"/>
      <c r="G584" s="4"/>
      <c r="H584" s="6"/>
      <c r="I584" s="7"/>
      <c r="J584" s="8"/>
      <c r="K584" s="6"/>
    </row>
    <row r="585" hidden="1">
      <c r="A585" s="9"/>
      <c r="B585" s="9"/>
      <c r="C585" s="9"/>
      <c r="D585" s="4"/>
      <c r="E585" s="5"/>
      <c r="F585" s="5"/>
      <c r="G585" s="4"/>
      <c r="H585" s="6"/>
      <c r="I585" s="7"/>
      <c r="J585" s="8"/>
      <c r="K585" s="6"/>
    </row>
    <row r="586" hidden="1">
      <c r="A586" s="9"/>
      <c r="B586" s="9"/>
      <c r="C586" s="9"/>
      <c r="D586" s="4"/>
      <c r="E586" s="5"/>
      <c r="F586" s="5"/>
      <c r="G586" s="4"/>
      <c r="H586" s="6"/>
      <c r="I586" s="7"/>
      <c r="J586" s="8"/>
      <c r="K586" s="6"/>
    </row>
    <row r="587" hidden="1">
      <c r="A587" s="9"/>
      <c r="B587" s="9"/>
      <c r="C587" s="9"/>
      <c r="D587" s="4"/>
      <c r="E587" s="5"/>
      <c r="F587" s="5"/>
      <c r="G587" s="4"/>
      <c r="H587" s="6"/>
      <c r="I587" s="7"/>
      <c r="J587" s="8"/>
      <c r="K587" s="6"/>
    </row>
    <row r="588" hidden="1">
      <c r="A588" s="9"/>
      <c r="B588" s="9"/>
      <c r="C588" s="9"/>
      <c r="D588" s="4"/>
      <c r="E588" s="5"/>
      <c r="F588" s="5"/>
      <c r="G588" s="4"/>
      <c r="H588" s="6"/>
      <c r="I588" s="7"/>
      <c r="J588" s="8"/>
      <c r="K588" s="6"/>
    </row>
    <row r="589" hidden="1">
      <c r="A589" s="9"/>
      <c r="B589" s="9"/>
      <c r="C589" s="9"/>
      <c r="D589" s="4"/>
      <c r="E589" s="5"/>
      <c r="F589" s="5"/>
      <c r="G589" s="4"/>
      <c r="H589" s="6"/>
      <c r="I589" s="7"/>
      <c r="J589" s="8"/>
      <c r="K589" s="6"/>
    </row>
    <row r="590" hidden="1">
      <c r="A590" s="9"/>
      <c r="B590" s="9"/>
      <c r="C590" s="9"/>
      <c r="D590" s="4"/>
      <c r="E590" s="5"/>
      <c r="F590" s="5"/>
      <c r="G590" s="4"/>
      <c r="H590" s="6"/>
      <c r="I590" s="7"/>
      <c r="J590" s="8"/>
      <c r="K590" s="6"/>
    </row>
    <row r="591" hidden="1">
      <c r="A591" s="9"/>
      <c r="B591" s="9"/>
      <c r="C591" s="9"/>
      <c r="D591" s="4"/>
      <c r="E591" s="5"/>
      <c r="F591" s="5"/>
      <c r="G591" s="4"/>
      <c r="H591" s="6"/>
      <c r="I591" s="7"/>
      <c r="J591" s="8"/>
      <c r="K591" s="6"/>
    </row>
    <row r="592" hidden="1">
      <c r="A592" s="9"/>
      <c r="B592" s="9"/>
      <c r="C592" s="9"/>
      <c r="D592" s="4"/>
      <c r="E592" s="5"/>
      <c r="F592" s="5"/>
      <c r="G592" s="4"/>
      <c r="H592" s="6"/>
      <c r="I592" s="7"/>
      <c r="J592" s="8"/>
      <c r="K592" s="6"/>
    </row>
    <row r="593" hidden="1">
      <c r="A593" s="9"/>
      <c r="B593" s="9"/>
      <c r="C593" s="9"/>
      <c r="D593" s="4"/>
      <c r="E593" s="5"/>
      <c r="F593" s="5"/>
      <c r="G593" s="4"/>
      <c r="H593" s="6"/>
      <c r="I593" s="7"/>
      <c r="J593" s="8"/>
      <c r="K593" s="6"/>
    </row>
    <row r="594" hidden="1">
      <c r="A594" s="9"/>
      <c r="B594" s="9"/>
      <c r="C594" s="9"/>
      <c r="D594" s="4"/>
      <c r="E594" s="5"/>
      <c r="F594" s="5"/>
      <c r="G594" s="4"/>
      <c r="H594" s="6"/>
      <c r="I594" s="7"/>
      <c r="J594" s="8"/>
      <c r="K594" s="6"/>
    </row>
    <row r="595" hidden="1">
      <c r="A595" s="9"/>
      <c r="B595" s="9"/>
      <c r="C595" s="9"/>
      <c r="D595" s="4"/>
      <c r="E595" s="5"/>
      <c r="F595" s="5"/>
      <c r="G595" s="4"/>
      <c r="H595" s="6"/>
      <c r="I595" s="7"/>
      <c r="J595" s="8"/>
      <c r="K595" s="6"/>
    </row>
    <row r="596" hidden="1">
      <c r="A596" s="9"/>
      <c r="B596" s="9"/>
      <c r="C596" s="9"/>
      <c r="D596" s="4"/>
      <c r="E596" s="5"/>
      <c r="F596" s="5"/>
      <c r="G596" s="4"/>
      <c r="H596" s="6"/>
      <c r="I596" s="7"/>
      <c r="J596" s="8"/>
      <c r="K596" s="6"/>
    </row>
    <row r="597" hidden="1">
      <c r="A597" s="9"/>
      <c r="B597" s="9"/>
      <c r="C597" s="9"/>
      <c r="D597" s="4"/>
      <c r="E597" s="5"/>
      <c r="F597" s="5"/>
      <c r="G597" s="4"/>
      <c r="H597" s="6"/>
      <c r="I597" s="7"/>
      <c r="J597" s="8"/>
      <c r="K597" s="6"/>
    </row>
    <row r="598" hidden="1">
      <c r="A598" s="9"/>
      <c r="B598" s="9"/>
      <c r="C598" s="9"/>
      <c r="D598" s="4"/>
      <c r="E598" s="5"/>
      <c r="F598" s="5"/>
      <c r="G598" s="4"/>
      <c r="H598" s="6"/>
      <c r="I598" s="7"/>
      <c r="J598" s="8"/>
      <c r="K598" s="6"/>
    </row>
    <row r="599" hidden="1">
      <c r="A599" s="9"/>
      <c r="B599" s="9"/>
      <c r="C599" s="9"/>
      <c r="D599" s="4"/>
      <c r="E599" s="5"/>
      <c r="F599" s="5"/>
      <c r="G599" s="4"/>
      <c r="H599" s="6"/>
      <c r="I599" s="7"/>
      <c r="J599" s="8"/>
      <c r="K599" s="6"/>
    </row>
    <row r="600" hidden="1">
      <c r="A600" s="9"/>
      <c r="B600" s="9"/>
      <c r="C600" s="9"/>
      <c r="D600" s="4"/>
      <c r="E600" s="5"/>
      <c r="F600" s="5"/>
      <c r="G600" s="4"/>
      <c r="H600" s="6"/>
      <c r="I600" s="7"/>
      <c r="J600" s="8"/>
      <c r="K600" s="6"/>
    </row>
    <row r="601" hidden="1">
      <c r="A601" s="9"/>
      <c r="B601" s="9"/>
      <c r="C601" s="9"/>
      <c r="D601" s="4"/>
      <c r="E601" s="5"/>
      <c r="F601" s="5"/>
      <c r="G601" s="4"/>
      <c r="H601" s="6"/>
      <c r="I601" s="7"/>
      <c r="J601" s="8"/>
      <c r="K601" s="6"/>
    </row>
    <row r="602" hidden="1">
      <c r="A602" s="9"/>
      <c r="B602" s="9"/>
      <c r="C602" s="9"/>
      <c r="D602" s="4"/>
      <c r="E602" s="5"/>
      <c r="F602" s="5"/>
      <c r="G602" s="4"/>
      <c r="H602" s="6"/>
      <c r="I602" s="7"/>
      <c r="J602" s="8"/>
      <c r="K602" s="6"/>
    </row>
    <row r="603" hidden="1">
      <c r="A603" s="9"/>
      <c r="B603" s="9"/>
      <c r="C603" s="9"/>
      <c r="D603" s="4"/>
      <c r="E603" s="5"/>
      <c r="F603" s="5"/>
      <c r="G603" s="4"/>
      <c r="H603" s="6"/>
      <c r="I603" s="7"/>
      <c r="J603" s="8"/>
      <c r="K603" s="6"/>
    </row>
    <row r="604" hidden="1">
      <c r="A604" s="9"/>
      <c r="B604" s="9"/>
      <c r="C604" s="9"/>
      <c r="D604" s="4"/>
      <c r="E604" s="5"/>
      <c r="F604" s="5"/>
      <c r="G604" s="4"/>
      <c r="H604" s="6"/>
      <c r="I604" s="7"/>
      <c r="J604" s="8"/>
      <c r="K604" s="6"/>
    </row>
    <row r="605" hidden="1">
      <c r="A605" s="9"/>
      <c r="B605" s="9"/>
      <c r="C605" s="9"/>
      <c r="D605" s="4"/>
      <c r="E605" s="5"/>
      <c r="F605" s="5"/>
      <c r="G605" s="4"/>
      <c r="H605" s="6"/>
      <c r="I605" s="7"/>
      <c r="J605" s="8"/>
      <c r="K605" s="6"/>
    </row>
    <row r="606" hidden="1">
      <c r="A606" s="9"/>
      <c r="B606" s="9"/>
      <c r="C606" s="9"/>
      <c r="D606" s="4"/>
      <c r="E606" s="5"/>
      <c r="F606" s="5"/>
      <c r="G606" s="4"/>
      <c r="H606" s="6"/>
      <c r="I606" s="7"/>
      <c r="J606" s="8"/>
      <c r="K606" s="6"/>
    </row>
    <row r="607" hidden="1">
      <c r="A607" s="9"/>
      <c r="B607" s="9"/>
      <c r="C607" s="9"/>
      <c r="D607" s="4"/>
      <c r="E607" s="5"/>
      <c r="F607" s="5"/>
      <c r="G607" s="4"/>
      <c r="H607" s="6"/>
      <c r="I607" s="7"/>
      <c r="J607" s="8"/>
      <c r="K607" s="6"/>
    </row>
    <row r="608" hidden="1">
      <c r="A608" s="9"/>
      <c r="B608" s="9"/>
      <c r="C608" s="9"/>
      <c r="D608" s="4"/>
      <c r="E608" s="5"/>
      <c r="F608" s="5"/>
      <c r="G608" s="4"/>
      <c r="H608" s="6"/>
      <c r="I608" s="7"/>
      <c r="J608" s="8"/>
      <c r="K608" s="6"/>
    </row>
    <row r="609" hidden="1">
      <c r="A609" s="9"/>
      <c r="B609" s="9"/>
      <c r="C609" s="9"/>
      <c r="D609" s="4"/>
      <c r="E609" s="5"/>
      <c r="F609" s="5"/>
      <c r="G609" s="4"/>
      <c r="H609" s="6"/>
      <c r="I609" s="7"/>
      <c r="J609" s="8"/>
      <c r="K609" s="6"/>
    </row>
    <row r="610" hidden="1">
      <c r="A610" s="9"/>
      <c r="B610" s="9"/>
      <c r="C610" s="9"/>
      <c r="D610" s="4"/>
      <c r="E610" s="5"/>
      <c r="F610" s="5"/>
      <c r="G610" s="4"/>
      <c r="H610" s="6"/>
      <c r="I610" s="7"/>
      <c r="J610" s="8"/>
      <c r="K610" s="6"/>
    </row>
    <row r="611" hidden="1">
      <c r="A611" s="9"/>
      <c r="B611" s="9"/>
      <c r="C611" s="9"/>
      <c r="D611" s="4"/>
      <c r="E611" s="5"/>
      <c r="F611" s="5"/>
      <c r="G611" s="4"/>
      <c r="H611" s="6"/>
      <c r="I611" s="7"/>
      <c r="J611" s="8"/>
      <c r="K611" s="6"/>
    </row>
    <row r="612" hidden="1">
      <c r="A612" s="9"/>
      <c r="B612" s="9"/>
      <c r="C612" s="9"/>
      <c r="D612" s="4"/>
      <c r="E612" s="5"/>
      <c r="F612" s="5"/>
      <c r="G612" s="4"/>
      <c r="H612" s="6"/>
      <c r="I612" s="7"/>
      <c r="J612" s="8"/>
      <c r="K612" s="6"/>
    </row>
    <row r="613" hidden="1">
      <c r="A613" s="9"/>
      <c r="B613" s="9"/>
      <c r="C613" s="9"/>
      <c r="D613" s="4"/>
      <c r="E613" s="5"/>
      <c r="F613" s="5"/>
      <c r="G613" s="4"/>
      <c r="H613" s="6"/>
      <c r="I613" s="7"/>
      <c r="J613" s="8"/>
      <c r="K613" s="6"/>
    </row>
    <row r="614" hidden="1">
      <c r="A614" s="9"/>
      <c r="B614" s="9"/>
      <c r="C614" s="9"/>
      <c r="D614" s="4"/>
      <c r="E614" s="5"/>
      <c r="F614" s="5"/>
      <c r="G614" s="4"/>
      <c r="H614" s="6"/>
      <c r="I614" s="7"/>
      <c r="J614" s="8"/>
      <c r="K614" s="6"/>
    </row>
    <row r="615" hidden="1">
      <c r="A615" s="9"/>
      <c r="B615" s="9"/>
      <c r="C615" s="9"/>
      <c r="D615" s="4"/>
      <c r="E615" s="5"/>
      <c r="F615" s="5"/>
      <c r="G615" s="4"/>
      <c r="H615" s="6"/>
      <c r="I615" s="7"/>
      <c r="J615" s="8"/>
      <c r="K615" s="6"/>
    </row>
    <row r="616" hidden="1">
      <c r="A616" s="9"/>
      <c r="B616" s="9"/>
      <c r="C616" s="9"/>
      <c r="D616" s="4"/>
      <c r="E616" s="5"/>
      <c r="F616" s="5"/>
      <c r="G616" s="4"/>
      <c r="H616" s="6"/>
      <c r="I616" s="7"/>
      <c r="J616" s="8"/>
      <c r="K616" s="6"/>
    </row>
    <row r="617" hidden="1">
      <c r="A617" s="9"/>
      <c r="B617" s="9"/>
      <c r="C617" s="9"/>
      <c r="D617" s="4"/>
      <c r="E617" s="5"/>
      <c r="F617" s="5"/>
      <c r="G617" s="4"/>
      <c r="H617" s="6"/>
      <c r="I617" s="7"/>
      <c r="J617" s="8"/>
      <c r="K617" s="6"/>
    </row>
    <row r="618" hidden="1">
      <c r="A618" s="9"/>
      <c r="B618" s="9"/>
      <c r="C618" s="9"/>
      <c r="D618" s="4"/>
      <c r="E618" s="5"/>
      <c r="F618" s="5"/>
      <c r="G618" s="4"/>
      <c r="H618" s="6"/>
      <c r="I618" s="7"/>
      <c r="J618" s="8"/>
      <c r="K618" s="6"/>
    </row>
    <row r="619" hidden="1">
      <c r="A619" s="9"/>
      <c r="B619" s="9"/>
      <c r="C619" s="9"/>
      <c r="D619" s="4"/>
      <c r="E619" s="5"/>
      <c r="F619" s="5"/>
      <c r="G619" s="4"/>
      <c r="H619" s="6"/>
      <c r="I619" s="7"/>
      <c r="J619" s="8"/>
      <c r="K619" s="6"/>
    </row>
    <row r="620" hidden="1">
      <c r="A620" s="9"/>
      <c r="B620" s="9"/>
      <c r="C620" s="9"/>
      <c r="D620" s="4"/>
      <c r="E620" s="5"/>
      <c r="F620" s="5"/>
      <c r="G620" s="4"/>
      <c r="H620" s="6"/>
      <c r="I620" s="7"/>
      <c r="J620" s="8"/>
      <c r="K620" s="6"/>
    </row>
    <row r="621" hidden="1">
      <c r="A621" s="9"/>
      <c r="B621" s="9"/>
      <c r="C621" s="9"/>
      <c r="D621" s="4"/>
      <c r="E621" s="5"/>
      <c r="F621" s="5"/>
      <c r="G621" s="4"/>
      <c r="H621" s="6"/>
      <c r="I621" s="7"/>
      <c r="J621" s="8"/>
      <c r="K621" s="6"/>
    </row>
    <row r="622" hidden="1">
      <c r="A622" s="9"/>
      <c r="B622" s="9"/>
      <c r="C622" s="9"/>
      <c r="D622" s="4"/>
      <c r="E622" s="5"/>
      <c r="F622" s="5"/>
      <c r="G622" s="4"/>
      <c r="H622" s="6"/>
      <c r="I622" s="7"/>
      <c r="J622" s="8"/>
      <c r="K622" s="6"/>
    </row>
    <row r="623" hidden="1">
      <c r="A623" s="9"/>
      <c r="B623" s="9"/>
      <c r="C623" s="9"/>
      <c r="D623" s="4"/>
      <c r="E623" s="5"/>
      <c r="F623" s="5"/>
      <c r="G623" s="4"/>
      <c r="H623" s="6"/>
      <c r="I623" s="7"/>
      <c r="J623" s="8"/>
      <c r="K623" s="6"/>
    </row>
    <row r="624" hidden="1">
      <c r="A624" s="9"/>
      <c r="B624" s="9"/>
      <c r="C624" s="9"/>
      <c r="D624" s="4"/>
      <c r="E624" s="5"/>
      <c r="F624" s="5"/>
      <c r="G624" s="4"/>
      <c r="H624" s="6"/>
      <c r="I624" s="7"/>
      <c r="J624" s="8"/>
      <c r="K624" s="6"/>
    </row>
    <row r="625" hidden="1">
      <c r="A625" s="9"/>
      <c r="B625" s="9"/>
      <c r="C625" s="9"/>
      <c r="D625" s="4"/>
      <c r="E625" s="5"/>
      <c r="F625" s="5"/>
      <c r="G625" s="4"/>
      <c r="H625" s="6"/>
      <c r="I625" s="7"/>
      <c r="J625" s="8"/>
      <c r="K625" s="6"/>
    </row>
    <row r="626" hidden="1">
      <c r="A626" s="9"/>
      <c r="B626" s="9"/>
      <c r="C626" s="9"/>
      <c r="D626" s="4"/>
      <c r="E626" s="5"/>
      <c r="F626" s="5"/>
      <c r="G626" s="4"/>
      <c r="H626" s="6"/>
      <c r="I626" s="7"/>
      <c r="J626" s="8"/>
      <c r="K626" s="6"/>
    </row>
    <row r="627" hidden="1">
      <c r="A627" s="9"/>
      <c r="B627" s="9"/>
      <c r="C627" s="9"/>
      <c r="D627" s="4"/>
      <c r="E627" s="5"/>
      <c r="F627" s="5"/>
      <c r="G627" s="4"/>
      <c r="H627" s="6"/>
      <c r="I627" s="7"/>
      <c r="J627" s="8"/>
      <c r="K627" s="6"/>
    </row>
    <row r="628" hidden="1">
      <c r="A628" s="9"/>
      <c r="B628" s="9"/>
      <c r="C628" s="9"/>
      <c r="D628" s="4"/>
      <c r="E628" s="5"/>
      <c r="F628" s="5"/>
      <c r="G628" s="4"/>
      <c r="H628" s="6"/>
      <c r="I628" s="7"/>
      <c r="J628" s="8"/>
      <c r="K628" s="6"/>
    </row>
    <row r="629" hidden="1">
      <c r="A629" s="9"/>
      <c r="B629" s="9"/>
      <c r="C629" s="9"/>
      <c r="D629" s="4"/>
      <c r="E629" s="5"/>
      <c r="F629" s="5"/>
      <c r="G629" s="4"/>
      <c r="H629" s="6"/>
      <c r="I629" s="7"/>
      <c r="J629" s="8"/>
      <c r="K629" s="6"/>
    </row>
    <row r="630" hidden="1">
      <c r="A630" s="9"/>
      <c r="B630" s="9"/>
      <c r="C630" s="9"/>
      <c r="D630" s="4"/>
      <c r="E630" s="5"/>
      <c r="F630" s="5"/>
      <c r="G630" s="4"/>
      <c r="H630" s="6"/>
      <c r="I630" s="7"/>
      <c r="J630" s="8"/>
      <c r="K630" s="6"/>
    </row>
    <row r="631" hidden="1">
      <c r="A631" s="9"/>
      <c r="B631" s="9"/>
      <c r="C631" s="9"/>
      <c r="D631" s="4"/>
      <c r="E631" s="5"/>
      <c r="F631" s="5"/>
      <c r="G631" s="4"/>
      <c r="H631" s="6"/>
      <c r="I631" s="7"/>
      <c r="J631" s="8"/>
      <c r="K631" s="6"/>
    </row>
    <row r="632" hidden="1">
      <c r="A632" s="9"/>
      <c r="B632" s="9"/>
      <c r="C632" s="9"/>
      <c r="D632" s="4"/>
      <c r="E632" s="5"/>
      <c r="F632" s="5"/>
      <c r="G632" s="4"/>
      <c r="H632" s="6"/>
      <c r="I632" s="7"/>
      <c r="J632" s="8"/>
      <c r="K632" s="6"/>
    </row>
    <row r="633" hidden="1">
      <c r="A633" s="9"/>
      <c r="B633" s="9"/>
      <c r="C633" s="9"/>
      <c r="D633" s="4"/>
      <c r="E633" s="5"/>
      <c r="F633" s="5"/>
      <c r="G633" s="4"/>
      <c r="H633" s="6"/>
      <c r="I633" s="7"/>
      <c r="J633" s="8"/>
      <c r="K633" s="6"/>
    </row>
    <row r="634" hidden="1">
      <c r="A634" s="9"/>
      <c r="B634" s="9"/>
      <c r="C634" s="9"/>
      <c r="D634" s="4"/>
      <c r="E634" s="5"/>
      <c r="F634" s="5"/>
      <c r="G634" s="4"/>
      <c r="H634" s="6"/>
      <c r="I634" s="7"/>
      <c r="J634" s="8"/>
      <c r="K634" s="6"/>
    </row>
    <row r="635" hidden="1">
      <c r="A635" s="9"/>
      <c r="B635" s="9"/>
      <c r="C635" s="9"/>
      <c r="D635" s="4"/>
      <c r="E635" s="5"/>
      <c r="F635" s="5"/>
      <c r="G635" s="4"/>
      <c r="H635" s="6"/>
      <c r="I635" s="7"/>
      <c r="J635" s="8"/>
      <c r="K635" s="6"/>
    </row>
    <row r="636" hidden="1">
      <c r="A636" s="9"/>
      <c r="B636" s="9"/>
      <c r="C636" s="9"/>
      <c r="D636" s="4"/>
      <c r="E636" s="5"/>
      <c r="F636" s="5"/>
      <c r="G636" s="4"/>
      <c r="H636" s="6"/>
      <c r="I636" s="7"/>
      <c r="J636" s="8"/>
      <c r="K636" s="6"/>
    </row>
    <row r="637" hidden="1">
      <c r="A637" s="9"/>
      <c r="B637" s="9"/>
      <c r="C637" s="9"/>
      <c r="D637" s="4"/>
      <c r="E637" s="5"/>
      <c r="F637" s="5"/>
      <c r="G637" s="4"/>
      <c r="H637" s="6"/>
      <c r="I637" s="7"/>
      <c r="J637" s="8"/>
      <c r="K637" s="6"/>
    </row>
    <row r="638" hidden="1">
      <c r="A638" s="9"/>
      <c r="B638" s="9"/>
      <c r="C638" s="9"/>
      <c r="D638" s="4"/>
      <c r="E638" s="5"/>
      <c r="F638" s="5"/>
      <c r="G638" s="4"/>
      <c r="H638" s="6"/>
      <c r="I638" s="7"/>
      <c r="J638" s="8"/>
      <c r="K638" s="6"/>
    </row>
    <row r="639" hidden="1">
      <c r="A639" s="9"/>
      <c r="B639" s="9"/>
      <c r="C639" s="9"/>
      <c r="D639" s="4"/>
      <c r="E639" s="5"/>
      <c r="F639" s="5"/>
      <c r="G639" s="4"/>
      <c r="H639" s="6"/>
      <c r="I639" s="7"/>
      <c r="J639" s="8"/>
      <c r="K639" s="6"/>
    </row>
    <row r="640" hidden="1">
      <c r="A640" s="9"/>
      <c r="B640" s="9"/>
      <c r="C640" s="9"/>
      <c r="D640" s="4"/>
      <c r="E640" s="5"/>
      <c r="F640" s="5"/>
      <c r="G640" s="4"/>
      <c r="H640" s="6"/>
      <c r="I640" s="7"/>
      <c r="J640" s="8"/>
      <c r="K640" s="6"/>
    </row>
    <row r="641" hidden="1">
      <c r="A641" s="9"/>
      <c r="B641" s="9"/>
      <c r="C641" s="9"/>
      <c r="D641" s="4"/>
      <c r="E641" s="5"/>
      <c r="F641" s="5"/>
      <c r="G641" s="4"/>
      <c r="H641" s="6"/>
      <c r="I641" s="7"/>
      <c r="J641" s="8"/>
      <c r="K641" s="6"/>
    </row>
    <row r="642" hidden="1">
      <c r="A642" s="9"/>
      <c r="B642" s="9"/>
      <c r="C642" s="9"/>
      <c r="D642" s="4"/>
      <c r="E642" s="5"/>
      <c r="F642" s="5"/>
      <c r="G642" s="4"/>
      <c r="H642" s="6"/>
      <c r="I642" s="7"/>
      <c r="J642" s="8"/>
      <c r="K642" s="6"/>
    </row>
    <row r="643" hidden="1">
      <c r="A643" s="9"/>
      <c r="B643" s="9"/>
      <c r="C643" s="9"/>
      <c r="D643" s="4"/>
      <c r="E643" s="5"/>
      <c r="F643" s="5"/>
      <c r="G643" s="4"/>
      <c r="H643" s="6"/>
      <c r="I643" s="7"/>
      <c r="J643" s="8"/>
      <c r="K643" s="6"/>
    </row>
    <row r="644" hidden="1">
      <c r="A644" s="9"/>
      <c r="B644" s="9"/>
      <c r="C644" s="9"/>
      <c r="D644" s="4"/>
      <c r="E644" s="5"/>
      <c r="F644" s="5"/>
      <c r="G644" s="4"/>
      <c r="H644" s="6"/>
      <c r="I644" s="7"/>
      <c r="J644" s="8"/>
      <c r="K644" s="6"/>
    </row>
    <row r="645" hidden="1">
      <c r="A645" s="9"/>
      <c r="B645" s="9"/>
      <c r="C645" s="9"/>
      <c r="D645" s="4"/>
      <c r="E645" s="5"/>
      <c r="F645" s="5"/>
      <c r="G645" s="4"/>
      <c r="H645" s="6"/>
      <c r="I645" s="7"/>
      <c r="J645" s="8"/>
      <c r="K645" s="6"/>
    </row>
    <row r="646" hidden="1">
      <c r="A646" s="9"/>
      <c r="B646" s="9"/>
      <c r="C646" s="9"/>
      <c r="D646" s="4"/>
      <c r="E646" s="5"/>
      <c r="F646" s="5"/>
      <c r="G646" s="4"/>
      <c r="H646" s="6"/>
      <c r="I646" s="7"/>
      <c r="J646" s="8"/>
      <c r="K646" s="6"/>
    </row>
    <row r="647" hidden="1">
      <c r="A647" s="9"/>
      <c r="B647" s="9"/>
      <c r="C647" s="9"/>
      <c r="D647" s="4"/>
      <c r="E647" s="5"/>
      <c r="F647" s="5"/>
      <c r="G647" s="4"/>
      <c r="H647" s="6"/>
      <c r="I647" s="7"/>
      <c r="J647" s="8"/>
      <c r="K647" s="6"/>
    </row>
    <row r="648" hidden="1">
      <c r="A648" s="9"/>
      <c r="B648" s="9"/>
      <c r="C648" s="9"/>
      <c r="D648" s="4"/>
      <c r="E648" s="5"/>
      <c r="F648" s="5"/>
      <c r="G648" s="4"/>
      <c r="H648" s="6"/>
      <c r="I648" s="7"/>
      <c r="J648" s="8"/>
      <c r="K648" s="6"/>
    </row>
    <row r="649" hidden="1">
      <c r="A649" s="9"/>
      <c r="B649" s="9"/>
      <c r="C649" s="9"/>
      <c r="D649" s="4"/>
      <c r="E649" s="5"/>
      <c r="F649" s="5"/>
      <c r="G649" s="4"/>
      <c r="H649" s="6"/>
      <c r="I649" s="7"/>
      <c r="J649" s="8"/>
      <c r="K649" s="6"/>
    </row>
    <row r="650" hidden="1">
      <c r="A650" s="9"/>
      <c r="B650" s="9"/>
      <c r="C650" s="9"/>
      <c r="D650" s="4"/>
      <c r="E650" s="5"/>
      <c r="F650" s="5"/>
      <c r="G650" s="4"/>
      <c r="H650" s="6"/>
      <c r="I650" s="7"/>
      <c r="J650" s="8"/>
      <c r="K650" s="6"/>
    </row>
    <row r="651" hidden="1">
      <c r="A651" s="9"/>
      <c r="B651" s="9"/>
      <c r="C651" s="9"/>
      <c r="D651" s="4"/>
      <c r="E651" s="5"/>
      <c r="F651" s="5"/>
      <c r="G651" s="4"/>
      <c r="H651" s="6"/>
      <c r="I651" s="7"/>
      <c r="J651" s="8"/>
      <c r="K651" s="6"/>
    </row>
    <row r="652" hidden="1">
      <c r="A652" s="9"/>
      <c r="B652" s="9"/>
      <c r="C652" s="9"/>
      <c r="D652" s="4"/>
      <c r="E652" s="5"/>
      <c r="F652" s="5"/>
      <c r="G652" s="4"/>
      <c r="H652" s="6"/>
      <c r="I652" s="7"/>
      <c r="J652" s="8"/>
      <c r="K652" s="6"/>
    </row>
    <row r="653" hidden="1">
      <c r="A653" s="9"/>
      <c r="B653" s="9"/>
      <c r="C653" s="9"/>
      <c r="D653" s="4"/>
      <c r="E653" s="5"/>
      <c r="F653" s="5"/>
      <c r="G653" s="4"/>
      <c r="H653" s="6"/>
      <c r="I653" s="7"/>
      <c r="J653" s="8"/>
      <c r="K653" s="6"/>
    </row>
    <row r="654" hidden="1">
      <c r="A654" s="9"/>
      <c r="B654" s="9"/>
      <c r="C654" s="9"/>
      <c r="D654" s="4"/>
      <c r="E654" s="5"/>
      <c r="F654" s="5"/>
      <c r="G654" s="4"/>
      <c r="H654" s="6"/>
      <c r="I654" s="7"/>
      <c r="J654" s="8"/>
      <c r="K654" s="6"/>
    </row>
    <row r="655" hidden="1">
      <c r="A655" s="9"/>
      <c r="B655" s="9"/>
      <c r="C655" s="9"/>
      <c r="D655" s="4"/>
      <c r="E655" s="5"/>
      <c r="F655" s="5"/>
      <c r="G655" s="4"/>
      <c r="H655" s="6"/>
      <c r="I655" s="7"/>
      <c r="J655" s="8"/>
      <c r="K655" s="6"/>
    </row>
    <row r="656" hidden="1">
      <c r="A656" s="9"/>
      <c r="B656" s="9"/>
      <c r="C656" s="9"/>
      <c r="D656" s="4"/>
      <c r="E656" s="5"/>
      <c r="F656" s="5"/>
      <c r="G656" s="4"/>
      <c r="H656" s="6"/>
      <c r="I656" s="7"/>
      <c r="J656" s="8"/>
      <c r="K656" s="6"/>
    </row>
    <row r="657" hidden="1">
      <c r="A657" s="9"/>
      <c r="B657" s="9"/>
      <c r="C657" s="9"/>
      <c r="D657" s="4"/>
      <c r="E657" s="5"/>
      <c r="F657" s="5"/>
      <c r="G657" s="4"/>
      <c r="H657" s="6"/>
      <c r="I657" s="7"/>
      <c r="J657" s="8"/>
      <c r="K657" s="6"/>
    </row>
    <row r="658" hidden="1">
      <c r="A658" s="9"/>
      <c r="B658" s="9"/>
      <c r="C658" s="9"/>
      <c r="D658" s="4"/>
      <c r="E658" s="5"/>
      <c r="F658" s="5"/>
      <c r="G658" s="4"/>
      <c r="H658" s="6"/>
      <c r="I658" s="7"/>
      <c r="J658" s="8"/>
      <c r="K658" s="6"/>
    </row>
    <row r="659" hidden="1">
      <c r="A659" s="9"/>
      <c r="B659" s="9"/>
      <c r="C659" s="9"/>
      <c r="D659" s="4"/>
      <c r="E659" s="5"/>
      <c r="F659" s="5"/>
      <c r="G659" s="4"/>
      <c r="H659" s="6"/>
      <c r="I659" s="7"/>
      <c r="J659" s="8"/>
      <c r="K659" s="6"/>
    </row>
    <row r="660" hidden="1">
      <c r="A660" s="9"/>
      <c r="B660" s="9"/>
      <c r="C660" s="9"/>
      <c r="D660" s="4"/>
      <c r="E660" s="5"/>
      <c r="F660" s="5"/>
      <c r="G660" s="4"/>
      <c r="H660" s="6"/>
      <c r="I660" s="7"/>
      <c r="J660" s="8"/>
      <c r="K660" s="6"/>
    </row>
    <row r="661" hidden="1">
      <c r="A661" s="9"/>
      <c r="B661" s="9"/>
      <c r="C661" s="9"/>
      <c r="D661" s="4"/>
      <c r="E661" s="5"/>
      <c r="F661" s="5"/>
      <c r="G661" s="4"/>
      <c r="H661" s="6"/>
      <c r="I661" s="7"/>
      <c r="J661" s="8"/>
      <c r="K661" s="6"/>
    </row>
    <row r="662" hidden="1">
      <c r="A662" s="9"/>
      <c r="B662" s="9"/>
      <c r="C662" s="9"/>
      <c r="D662" s="4"/>
      <c r="E662" s="5"/>
      <c r="F662" s="5"/>
      <c r="G662" s="4"/>
      <c r="H662" s="6"/>
      <c r="I662" s="7"/>
      <c r="J662" s="8"/>
      <c r="K662" s="6"/>
    </row>
    <row r="663" hidden="1">
      <c r="A663" s="9"/>
      <c r="B663" s="9"/>
      <c r="C663" s="9"/>
      <c r="D663" s="4"/>
      <c r="E663" s="5"/>
      <c r="F663" s="5"/>
      <c r="G663" s="4"/>
      <c r="H663" s="6"/>
      <c r="I663" s="7"/>
      <c r="J663" s="8"/>
      <c r="K663" s="6"/>
    </row>
    <row r="664" hidden="1">
      <c r="A664" s="9"/>
      <c r="B664" s="9"/>
      <c r="C664" s="9"/>
      <c r="D664" s="4"/>
      <c r="E664" s="5"/>
      <c r="F664" s="5"/>
      <c r="G664" s="4"/>
      <c r="H664" s="6"/>
      <c r="I664" s="7"/>
      <c r="J664" s="8"/>
      <c r="K664" s="6"/>
    </row>
    <row r="665" hidden="1">
      <c r="A665" s="9"/>
      <c r="B665" s="9"/>
      <c r="C665" s="9"/>
      <c r="D665" s="4"/>
      <c r="E665" s="5"/>
      <c r="F665" s="5"/>
      <c r="G665" s="4"/>
      <c r="H665" s="6"/>
      <c r="I665" s="7"/>
      <c r="J665" s="8"/>
      <c r="K665" s="6"/>
    </row>
    <row r="666" hidden="1">
      <c r="A666" s="9"/>
      <c r="B666" s="9"/>
      <c r="C666" s="9"/>
      <c r="D666" s="4"/>
      <c r="E666" s="5"/>
      <c r="F666" s="5"/>
      <c r="G666" s="4"/>
      <c r="H666" s="6"/>
      <c r="I666" s="7"/>
      <c r="J666" s="8"/>
      <c r="K666" s="6"/>
    </row>
    <row r="667" hidden="1">
      <c r="A667" s="9"/>
      <c r="B667" s="9"/>
      <c r="C667" s="9"/>
      <c r="D667" s="4"/>
      <c r="E667" s="5"/>
      <c r="F667" s="5"/>
      <c r="G667" s="4"/>
      <c r="H667" s="6"/>
      <c r="I667" s="7"/>
      <c r="J667" s="8"/>
      <c r="K667" s="6"/>
    </row>
    <row r="668" hidden="1">
      <c r="A668" s="9"/>
      <c r="B668" s="9"/>
      <c r="C668" s="9"/>
      <c r="D668" s="4"/>
      <c r="E668" s="5"/>
      <c r="F668" s="5"/>
      <c r="G668" s="4"/>
      <c r="H668" s="6"/>
      <c r="I668" s="7"/>
      <c r="J668" s="8"/>
      <c r="K668" s="6"/>
    </row>
    <row r="669" hidden="1">
      <c r="A669" s="9"/>
      <c r="B669" s="9"/>
      <c r="C669" s="9"/>
      <c r="D669" s="4"/>
      <c r="E669" s="5"/>
      <c r="F669" s="5"/>
      <c r="G669" s="4"/>
      <c r="H669" s="6"/>
      <c r="I669" s="7"/>
      <c r="J669" s="8"/>
      <c r="K669" s="6"/>
    </row>
    <row r="670" hidden="1">
      <c r="A670" s="9"/>
      <c r="B670" s="9"/>
      <c r="C670" s="9"/>
      <c r="D670" s="4"/>
      <c r="E670" s="5"/>
      <c r="F670" s="5"/>
      <c r="G670" s="4"/>
      <c r="H670" s="6"/>
      <c r="I670" s="7"/>
      <c r="J670" s="8"/>
      <c r="K670" s="6"/>
    </row>
    <row r="671" hidden="1">
      <c r="A671" s="9"/>
      <c r="B671" s="9"/>
      <c r="C671" s="9"/>
      <c r="D671" s="4"/>
      <c r="E671" s="5"/>
      <c r="F671" s="5"/>
      <c r="G671" s="4"/>
      <c r="H671" s="6"/>
      <c r="I671" s="7"/>
      <c r="J671" s="8"/>
      <c r="K671" s="6"/>
    </row>
    <row r="672" hidden="1">
      <c r="A672" s="9"/>
      <c r="B672" s="9"/>
      <c r="C672" s="9"/>
      <c r="D672" s="4"/>
      <c r="E672" s="5"/>
      <c r="F672" s="5"/>
      <c r="G672" s="4"/>
      <c r="H672" s="6"/>
      <c r="I672" s="7"/>
      <c r="J672" s="8"/>
      <c r="K672" s="6"/>
    </row>
    <row r="673" hidden="1">
      <c r="A673" s="9"/>
      <c r="B673" s="9"/>
      <c r="C673" s="9"/>
      <c r="D673" s="4"/>
      <c r="E673" s="5"/>
      <c r="F673" s="5"/>
      <c r="G673" s="4"/>
      <c r="H673" s="6"/>
      <c r="I673" s="7"/>
      <c r="J673" s="8"/>
      <c r="K673" s="6"/>
    </row>
    <row r="674" hidden="1">
      <c r="A674" s="9"/>
      <c r="B674" s="9"/>
      <c r="C674" s="9"/>
      <c r="D674" s="4"/>
      <c r="E674" s="5"/>
      <c r="F674" s="5"/>
      <c r="G674" s="4"/>
      <c r="H674" s="6"/>
      <c r="I674" s="7"/>
      <c r="J674" s="8"/>
      <c r="K674" s="6"/>
    </row>
    <row r="675" hidden="1">
      <c r="A675" s="9"/>
      <c r="B675" s="9"/>
      <c r="C675" s="9"/>
      <c r="D675" s="4"/>
      <c r="E675" s="5"/>
      <c r="F675" s="5"/>
      <c r="G675" s="4"/>
      <c r="H675" s="6"/>
      <c r="I675" s="7"/>
      <c r="J675" s="8"/>
      <c r="K675" s="6"/>
    </row>
    <row r="676" hidden="1">
      <c r="A676" s="9"/>
      <c r="B676" s="9"/>
      <c r="C676" s="9"/>
      <c r="D676" s="4"/>
      <c r="E676" s="5"/>
      <c r="F676" s="5"/>
      <c r="G676" s="4"/>
      <c r="H676" s="6"/>
      <c r="I676" s="7"/>
      <c r="J676" s="8"/>
      <c r="K676" s="6"/>
    </row>
    <row r="677" hidden="1">
      <c r="A677" s="9"/>
      <c r="B677" s="9"/>
      <c r="C677" s="9"/>
      <c r="D677" s="4"/>
      <c r="E677" s="5"/>
      <c r="F677" s="5"/>
      <c r="G677" s="4"/>
      <c r="H677" s="6"/>
      <c r="I677" s="7"/>
      <c r="J677" s="8"/>
      <c r="K677" s="6"/>
    </row>
    <row r="678" hidden="1">
      <c r="A678" s="9"/>
      <c r="B678" s="9"/>
      <c r="C678" s="9"/>
      <c r="D678" s="4"/>
      <c r="E678" s="5"/>
      <c r="F678" s="5"/>
      <c r="G678" s="4"/>
      <c r="H678" s="6"/>
      <c r="I678" s="7"/>
      <c r="J678" s="8"/>
      <c r="K678" s="6"/>
    </row>
    <row r="679" hidden="1">
      <c r="A679" s="9"/>
      <c r="B679" s="9"/>
      <c r="C679" s="9"/>
      <c r="D679" s="4"/>
      <c r="E679" s="5"/>
      <c r="F679" s="5"/>
      <c r="G679" s="4"/>
      <c r="H679" s="6"/>
      <c r="I679" s="7"/>
      <c r="J679" s="8"/>
      <c r="K679" s="6"/>
    </row>
    <row r="680" hidden="1">
      <c r="A680" s="9"/>
      <c r="B680" s="9"/>
      <c r="C680" s="9"/>
      <c r="D680" s="4"/>
      <c r="E680" s="5"/>
      <c r="F680" s="5"/>
      <c r="G680" s="4"/>
      <c r="H680" s="6"/>
      <c r="I680" s="7"/>
      <c r="J680" s="8"/>
      <c r="K680" s="6"/>
    </row>
    <row r="681" hidden="1">
      <c r="A681" s="9"/>
      <c r="B681" s="9"/>
      <c r="C681" s="9"/>
      <c r="D681" s="4"/>
      <c r="E681" s="5"/>
      <c r="F681" s="5"/>
      <c r="G681" s="4"/>
      <c r="H681" s="6"/>
      <c r="I681" s="7"/>
      <c r="J681" s="8"/>
      <c r="K681" s="6"/>
    </row>
    <row r="682" hidden="1">
      <c r="A682" s="9"/>
      <c r="B682" s="9"/>
      <c r="C682" s="9"/>
      <c r="D682" s="4"/>
      <c r="E682" s="5"/>
      <c r="F682" s="5"/>
      <c r="G682" s="4"/>
      <c r="H682" s="6"/>
      <c r="I682" s="7"/>
      <c r="J682" s="8"/>
      <c r="K682" s="6"/>
    </row>
    <row r="683" hidden="1">
      <c r="A683" s="9"/>
      <c r="B683" s="9"/>
      <c r="C683" s="9"/>
      <c r="D683" s="4"/>
      <c r="E683" s="5"/>
      <c r="F683" s="5"/>
      <c r="G683" s="4"/>
      <c r="H683" s="6"/>
      <c r="I683" s="7"/>
      <c r="J683" s="8"/>
      <c r="K683" s="6"/>
    </row>
    <row r="684" hidden="1">
      <c r="A684" s="9"/>
      <c r="B684" s="9"/>
      <c r="C684" s="9"/>
      <c r="D684" s="4"/>
      <c r="E684" s="5"/>
      <c r="F684" s="5"/>
      <c r="G684" s="4"/>
      <c r="H684" s="6"/>
      <c r="I684" s="7"/>
      <c r="J684" s="8"/>
      <c r="K684" s="6"/>
    </row>
    <row r="685" hidden="1">
      <c r="A685" s="9"/>
      <c r="B685" s="9"/>
      <c r="C685" s="9"/>
      <c r="D685" s="4"/>
      <c r="E685" s="5"/>
      <c r="F685" s="5"/>
      <c r="G685" s="4"/>
      <c r="H685" s="6"/>
      <c r="I685" s="7"/>
      <c r="J685" s="8"/>
      <c r="K685" s="6"/>
    </row>
    <row r="686" hidden="1">
      <c r="A686" s="9"/>
      <c r="B686" s="9"/>
      <c r="C686" s="9"/>
      <c r="D686" s="4"/>
      <c r="E686" s="5"/>
      <c r="F686" s="5"/>
      <c r="G686" s="4"/>
      <c r="H686" s="6"/>
      <c r="I686" s="7"/>
      <c r="J686" s="8"/>
      <c r="K686" s="6"/>
    </row>
    <row r="687" hidden="1">
      <c r="A687" s="9"/>
      <c r="B687" s="9"/>
      <c r="C687" s="9"/>
      <c r="D687" s="4"/>
      <c r="E687" s="5"/>
      <c r="F687" s="5"/>
      <c r="G687" s="4"/>
      <c r="H687" s="6"/>
      <c r="I687" s="7"/>
      <c r="J687" s="8"/>
      <c r="K687" s="6"/>
    </row>
    <row r="688" hidden="1">
      <c r="A688" s="9"/>
      <c r="B688" s="9"/>
      <c r="C688" s="9"/>
      <c r="D688" s="4"/>
      <c r="E688" s="5"/>
      <c r="F688" s="5"/>
      <c r="G688" s="4"/>
      <c r="H688" s="6"/>
      <c r="I688" s="7"/>
      <c r="J688" s="8"/>
      <c r="K688" s="6"/>
    </row>
    <row r="689" hidden="1">
      <c r="A689" s="9"/>
      <c r="B689" s="9"/>
      <c r="C689" s="9"/>
      <c r="D689" s="4"/>
      <c r="E689" s="5"/>
      <c r="F689" s="5"/>
      <c r="G689" s="4"/>
      <c r="H689" s="6"/>
      <c r="I689" s="7"/>
      <c r="J689" s="8"/>
      <c r="K689" s="6"/>
    </row>
    <row r="690" hidden="1">
      <c r="A690" s="9"/>
      <c r="B690" s="9"/>
      <c r="C690" s="9"/>
      <c r="D690" s="4"/>
      <c r="E690" s="5"/>
      <c r="F690" s="5"/>
      <c r="G690" s="4"/>
      <c r="H690" s="6"/>
      <c r="I690" s="7"/>
      <c r="J690" s="8"/>
      <c r="K690" s="6"/>
    </row>
    <row r="691" hidden="1">
      <c r="A691" s="9"/>
      <c r="B691" s="9"/>
      <c r="C691" s="9"/>
      <c r="D691" s="4"/>
      <c r="E691" s="5"/>
      <c r="F691" s="5"/>
      <c r="G691" s="4"/>
      <c r="H691" s="6"/>
      <c r="I691" s="7"/>
      <c r="J691" s="8"/>
      <c r="K691" s="6"/>
    </row>
    <row r="692" hidden="1">
      <c r="A692" s="9"/>
      <c r="B692" s="9"/>
      <c r="C692" s="9"/>
      <c r="D692" s="4"/>
      <c r="E692" s="5"/>
      <c r="F692" s="5"/>
      <c r="G692" s="4"/>
      <c r="H692" s="6"/>
      <c r="I692" s="7"/>
      <c r="J692" s="8"/>
      <c r="K692" s="6"/>
    </row>
    <row r="693" hidden="1">
      <c r="A693" s="9"/>
      <c r="B693" s="9"/>
      <c r="C693" s="9"/>
      <c r="D693" s="4"/>
      <c r="E693" s="5"/>
      <c r="F693" s="5"/>
      <c r="G693" s="4"/>
      <c r="H693" s="6"/>
      <c r="I693" s="7"/>
      <c r="J693" s="8"/>
      <c r="K693" s="6"/>
    </row>
    <row r="694" hidden="1">
      <c r="A694" s="9"/>
      <c r="B694" s="9"/>
      <c r="C694" s="9"/>
      <c r="D694" s="4"/>
      <c r="E694" s="5"/>
      <c r="F694" s="5"/>
      <c r="G694" s="4"/>
      <c r="H694" s="6"/>
      <c r="I694" s="7"/>
      <c r="J694" s="8"/>
      <c r="K694" s="6"/>
    </row>
    <row r="695" hidden="1">
      <c r="A695" s="9"/>
      <c r="B695" s="9"/>
      <c r="C695" s="9"/>
      <c r="D695" s="4"/>
      <c r="E695" s="5"/>
      <c r="F695" s="5"/>
      <c r="G695" s="4"/>
      <c r="H695" s="6"/>
      <c r="I695" s="7"/>
      <c r="J695" s="8"/>
      <c r="K695" s="6"/>
    </row>
    <row r="696" hidden="1">
      <c r="A696" s="9"/>
      <c r="B696" s="9"/>
      <c r="C696" s="9"/>
      <c r="D696" s="4"/>
      <c r="E696" s="5"/>
      <c r="F696" s="5"/>
      <c r="G696" s="4"/>
      <c r="H696" s="6"/>
      <c r="I696" s="7"/>
      <c r="J696" s="8"/>
      <c r="K696" s="6"/>
    </row>
    <row r="697" hidden="1">
      <c r="A697" s="9"/>
      <c r="B697" s="9"/>
      <c r="C697" s="9"/>
      <c r="D697" s="4"/>
      <c r="E697" s="5"/>
      <c r="F697" s="5"/>
      <c r="G697" s="4"/>
      <c r="H697" s="6"/>
      <c r="I697" s="7"/>
      <c r="J697" s="8"/>
      <c r="K697" s="6"/>
    </row>
    <row r="698" hidden="1">
      <c r="A698" s="9"/>
      <c r="B698" s="9"/>
      <c r="C698" s="9"/>
      <c r="D698" s="4"/>
      <c r="E698" s="5"/>
      <c r="F698" s="5"/>
      <c r="G698" s="4"/>
      <c r="H698" s="6"/>
      <c r="I698" s="7"/>
      <c r="J698" s="8"/>
      <c r="K698" s="6"/>
    </row>
    <row r="699" hidden="1">
      <c r="A699" s="9"/>
      <c r="B699" s="9"/>
      <c r="C699" s="9"/>
      <c r="D699" s="4"/>
      <c r="E699" s="5"/>
      <c r="F699" s="5"/>
      <c r="G699" s="4"/>
      <c r="H699" s="6"/>
      <c r="I699" s="7"/>
      <c r="J699" s="8"/>
      <c r="K699" s="6"/>
    </row>
    <row r="700" hidden="1">
      <c r="A700" s="9"/>
      <c r="B700" s="9"/>
      <c r="C700" s="9"/>
      <c r="D700" s="4"/>
      <c r="E700" s="5"/>
      <c r="F700" s="5"/>
      <c r="G700" s="4"/>
      <c r="H700" s="6"/>
      <c r="I700" s="7"/>
      <c r="J700" s="8"/>
      <c r="K700" s="6"/>
    </row>
    <row r="701" hidden="1">
      <c r="A701" s="9"/>
      <c r="B701" s="9"/>
      <c r="C701" s="9"/>
      <c r="D701" s="4"/>
      <c r="E701" s="5"/>
      <c r="F701" s="5"/>
      <c r="G701" s="4"/>
      <c r="H701" s="6"/>
      <c r="I701" s="7"/>
      <c r="J701" s="8"/>
      <c r="K701" s="6"/>
    </row>
    <row r="702" hidden="1">
      <c r="A702" s="9"/>
      <c r="B702" s="9"/>
      <c r="C702" s="9"/>
      <c r="D702" s="4"/>
      <c r="E702" s="5"/>
      <c r="F702" s="5"/>
      <c r="G702" s="4"/>
      <c r="H702" s="6"/>
      <c r="I702" s="7"/>
      <c r="J702" s="8"/>
      <c r="K702" s="6"/>
    </row>
    <row r="703" hidden="1">
      <c r="A703" s="9"/>
      <c r="B703" s="9"/>
      <c r="C703" s="9"/>
      <c r="D703" s="4"/>
      <c r="E703" s="5"/>
      <c r="F703" s="5"/>
      <c r="G703" s="4"/>
      <c r="H703" s="6"/>
      <c r="I703" s="7"/>
      <c r="J703" s="8"/>
      <c r="K703" s="6"/>
    </row>
    <row r="704" hidden="1">
      <c r="A704" s="9"/>
      <c r="B704" s="9"/>
      <c r="C704" s="9"/>
      <c r="D704" s="4"/>
      <c r="E704" s="5"/>
      <c r="F704" s="5"/>
      <c r="G704" s="4"/>
      <c r="H704" s="6"/>
      <c r="I704" s="7"/>
      <c r="J704" s="8"/>
      <c r="K704" s="6"/>
    </row>
    <row r="705" hidden="1">
      <c r="A705" s="9"/>
      <c r="B705" s="9"/>
      <c r="C705" s="9"/>
      <c r="D705" s="4"/>
      <c r="E705" s="5"/>
      <c r="F705" s="5"/>
      <c r="G705" s="4"/>
      <c r="H705" s="6"/>
      <c r="I705" s="7"/>
      <c r="J705" s="8"/>
      <c r="K705" s="6"/>
    </row>
    <row r="706" hidden="1">
      <c r="A706" s="9"/>
      <c r="B706" s="9"/>
      <c r="C706" s="9"/>
      <c r="D706" s="4"/>
      <c r="E706" s="5"/>
      <c r="F706" s="5"/>
      <c r="G706" s="4"/>
      <c r="H706" s="6"/>
      <c r="I706" s="7"/>
      <c r="J706" s="8"/>
      <c r="K706" s="6"/>
    </row>
    <row r="707" hidden="1">
      <c r="A707" s="9"/>
      <c r="B707" s="9"/>
      <c r="C707" s="9"/>
      <c r="D707" s="4"/>
      <c r="E707" s="5"/>
      <c r="F707" s="5"/>
      <c r="G707" s="4"/>
      <c r="H707" s="6"/>
      <c r="I707" s="7"/>
      <c r="J707" s="8"/>
      <c r="K707" s="6"/>
    </row>
    <row r="708" hidden="1">
      <c r="A708" s="9"/>
      <c r="B708" s="9"/>
      <c r="C708" s="9"/>
      <c r="D708" s="4"/>
      <c r="E708" s="5"/>
      <c r="F708" s="5"/>
      <c r="G708" s="4"/>
      <c r="H708" s="6"/>
      <c r="I708" s="7"/>
      <c r="J708" s="8"/>
      <c r="K708" s="6"/>
    </row>
    <row r="709" hidden="1">
      <c r="A709" s="9"/>
      <c r="B709" s="9"/>
      <c r="C709" s="9"/>
      <c r="D709" s="4"/>
      <c r="E709" s="5"/>
      <c r="F709" s="5"/>
      <c r="G709" s="4"/>
      <c r="H709" s="6"/>
      <c r="I709" s="7"/>
      <c r="J709" s="8"/>
      <c r="K709" s="6"/>
    </row>
    <row r="710" hidden="1">
      <c r="A710" s="9"/>
      <c r="B710" s="9"/>
      <c r="C710" s="9"/>
      <c r="D710" s="4"/>
      <c r="E710" s="5"/>
      <c r="F710" s="5"/>
      <c r="G710" s="4"/>
      <c r="H710" s="6"/>
      <c r="I710" s="7"/>
      <c r="J710" s="8"/>
      <c r="K710" s="6"/>
    </row>
    <row r="711" hidden="1">
      <c r="A711" s="9"/>
      <c r="B711" s="9"/>
      <c r="C711" s="9"/>
      <c r="D711" s="4"/>
      <c r="E711" s="5"/>
      <c r="F711" s="5"/>
      <c r="G711" s="4"/>
      <c r="H711" s="6"/>
      <c r="I711" s="7"/>
      <c r="J711" s="8"/>
      <c r="K711" s="6"/>
    </row>
    <row r="712" hidden="1">
      <c r="A712" s="9"/>
      <c r="B712" s="9"/>
      <c r="C712" s="9"/>
      <c r="D712" s="4"/>
      <c r="E712" s="5"/>
      <c r="F712" s="5"/>
      <c r="G712" s="4"/>
      <c r="H712" s="6"/>
      <c r="I712" s="7"/>
      <c r="J712" s="8"/>
      <c r="K712" s="6"/>
    </row>
    <row r="713" hidden="1">
      <c r="A713" s="9"/>
      <c r="B713" s="9"/>
      <c r="C713" s="9"/>
      <c r="D713" s="4"/>
      <c r="E713" s="5"/>
      <c r="F713" s="5"/>
      <c r="G713" s="4"/>
      <c r="H713" s="6"/>
      <c r="I713" s="7"/>
      <c r="J713" s="8"/>
      <c r="K713" s="6"/>
    </row>
    <row r="714" hidden="1">
      <c r="A714" s="9"/>
      <c r="B714" s="9"/>
      <c r="C714" s="9"/>
      <c r="D714" s="4"/>
      <c r="E714" s="5"/>
      <c r="F714" s="5"/>
      <c r="G714" s="4"/>
      <c r="H714" s="6"/>
      <c r="I714" s="7"/>
      <c r="J714" s="8"/>
      <c r="K714" s="6"/>
    </row>
    <row r="715" hidden="1">
      <c r="A715" s="9"/>
      <c r="B715" s="9"/>
      <c r="C715" s="9"/>
      <c r="D715" s="4"/>
      <c r="E715" s="5"/>
      <c r="F715" s="5"/>
      <c r="G715" s="4"/>
      <c r="H715" s="6"/>
      <c r="I715" s="7"/>
      <c r="J715" s="8"/>
      <c r="K715" s="6"/>
    </row>
    <row r="716" hidden="1">
      <c r="A716" s="9"/>
      <c r="B716" s="9"/>
      <c r="C716" s="9"/>
      <c r="D716" s="4"/>
      <c r="E716" s="5"/>
      <c r="F716" s="5"/>
      <c r="G716" s="4"/>
      <c r="H716" s="6"/>
      <c r="I716" s="7"/>
      <c r="J716" s="8"/>
      <c r="K716" s="6"/>
    </row>
    <row r="717" hidden="1">
      <c r="A717" s="9"/>
      <c r="B717" s="9"/>
      <c r="C717" s="9"/>
      <c r="D717" s="4"/>
      <c r="E717" s="5"/>
      <c r="F717" s="5"/>
      <c r="G717" s="4"/>
      <c r="H717" s="6"/>
      <c r="I717" s="7"/>
      <c r="J717" s="8"/>
      <c r="K717" s="6"/>
    </row>
    <row r="718" hidden="1">
      <c r="A718" s="9"/>
      <c r="B718" s="9"/>
      <c r="C718" s="9"/>
      <c r="D718" s="4"/>
      <c r="E718" s="5"/>
      <c r="F718" s="5"/>
      <c r="G718" s="4"/>
      <c r="H718" s="6"/>
      <c r="I718" s="7"/>
      <c r="J718" s="8"/>
      <c r="K718" s="6"/>
    </row>
    <row r="719" hidden="1">
      <c r="A719" s="9"/>
      <c r="B719" s="9"/>
      <c r="C719" s="9"/>
      <c r="D719" s="4"/>
      <c r="E719" s="5"/>
      <c r="F719" s="5"/>
      <c r="G719" s="4"/>
      <c r="H719" s="6"/>
      <c r="I719" s="7"/>
      <c r="J719" s="8"/>
      <c r="K719" s="6"/>
    </row>
    <row r="720" hidden="1">
      <c r="A720" s="9"/>
      <c r="B720" s="9"/>
      <c r="C720" s="9"/>
      <c r="D720" s="4"/>
      <c r="E720" s="5"/>
      <c r="F720" s="5"/>
      <c r="G720" s="4"/>
      <c r="H720" s="6"/>
      <c r="I720" s="7"/>
      <c r="J720" s="8"/>
      <c r="K720" s="6"/>
    </row>
    <row r="721" hidden="1">
      <c r="A721" s="9"/>
      <c r="B721" s="9"/>
      <c r="C721" s="9"/>
      <c r="D721" s="4"/>
      <c r="E721" s="5"/>
      <c r="F721" s="5"/>
      <c r="G721" s="4"/>
      <c r="H721" s="6"/>
      <c r="I721" s="7"/>
      <c r="J721" s="8"/>
      <c r="K721" s="6"/>
    </row>
    <row r="722" hidden="1">
      <c r="A722" s="9"/>
      <c r="B722" s="9"/>
      <c r="C722" s="9"/>
      <c r="D722" s="4"/>
      <c r="E722" s="5"/>
      <c r="F722" s="5"/>
      <c r="G722" s="4"/>
      <c r="H722" s="6"/>
      <c r="I722" s="7"/>
      <c r="J722" s="8"/>
      <c r="K722" s="6"/>
    </row>
    <row r="723" hidden="1">
      <c r="A723" s="9"/>
      <c r="B723" s="9"/>
      <c r="C723" s="9"/>
      <c r="D723" s="4"/>
      <c r="E723" s="5"/>
      <c r="F723" s="5"/>
      <c r="G723" s="4"/>
      <c r="H723" s="6"/>
      <c r="I723" s="7"/>
      <c r="J723" s="8"/>
      <c r="K723" s="6"/>
    </row>
    <row r="724" hidden="1">
      <c r="A724" s="9"/>
      <c r="B724" s="9"/>
      <c r="C724" s="9"/>
      <c r="D724" s="4"/>
      <c r="E724" s="5"/>
      <c r="F724" s="5"/>
      <c r="G724" s="4"/>
      <c r="H724" s="6"/>
      <c r="I724" s="7"/>
      <c r="J724" s="8"/>
      <c r="K724" s="6"/>
    </row>
    <row r="725" hidden="1">
      <c r="A725" s="9"/>
      <c r="B725" s="9"/>
      <c r="C725" s="9"/>
      <c r="D725" s="4"/>
      <c r="E725" s="5"/>
      <c r="F725" s="5"/>
      <c r="G725" s="4"/>
      <c r="H725" s="6"/>
      <c r="I725" s="7"/>
      <c r="J725" s="8"/>
      <c r="K725" s="6"/>
    </row>
    <row r="726" hidden="1">
      <c r="A726" s="9"/>
      <c r="B726" s="9"/>
      <c r="C726" s="9"/>
      <c r="D726" s="4"/>
      <c r="E726" s="5"/>
      <c r="F726" s="5"/>
      <c r="G726" s="4"/>
      <c r="H726" s="6"/>
      <c r="I726" s="7"/>
      <c r="J726" s="8"/>
      <c r="K726" s="6"/>
    </row>
    <row r="727" hidden="1">
      <c r="A727" s="9"/>
      <c r="B727" s="9"/>
      <c r="C727" s="9"/>
      <c r="D727" s="4"/>
      <c r="E727" s="5"/>
      <c r="F727" s="5"/>
      <c r="G727" s="4"/>
      <c r="H727" s="6"/>
      <c r="I727" s="7"/>
      <c r="J727" s="8"/>
      <c r="K727" s="6"/>
    </row>
    <row r="728" hidden="1">
      <c r="A728" s="9"/>
      <c r="B728" s="9"/>
      <c r="C728" s="9"/>
      <c r="D728" s="4"/>
      <c r="E728" s="5"/>
      <c r="F728" s="5"/>
      <c r="G728" s="4"/>
      <c r="H728" s="6"/>
      <c r="I728" s="7"/>
      <c r="J728" s="8"/>
      <c r="K728" s="6"/>
    </row>
    <row r="729" hidden="1">
      <c r="A729" s="9"/>
      <c r="B729" s="9"/>
      <c r="C729" s="9"/>
      <c r="D729" s="4"/>
      <c r="E729" s="5"/>
      <c r="F729" s="5"/>
      <c r="G729" s="4"/>
      <c r="H729" s="6"/>
      <c r="I729" s="7"/>
      <c r="J729" s="8"/>
      <c r="K729" s="6"/>
    </row>
    <row r="730" hidden="1">
      <c r="A730" s="9"/>
      <c r="B730" s="9"/>
      <c r="C730" s="9"/>
      <c r="D730" s="4"/>
      <c r="E730" s="5"/>
      <c r="F730" s="5"/>
      <c r="G730" s="4"/>
      <c r="H730" s="6"/>
      <c r="I730" s="7"/>
      <c r="J730" s="8"/>
      <c r="K730" s="6"/>
    </row>
    <row r="731" hidden="1">
      <c r="A731" s="9"/>
      <c r="B731" s="9"/>
      <c r="C731" s="9"/>
      <c r="D731" s="4"/>
      <c r="E731" s="5"/>
      <c r="F731" s="5"/>
      <c r="G731" s="4"/>
      <c r="H731" s="6"/>
      <c r="I731" s="7"/>
      <c r="J731" s="8"/>
      <c r="K731" s="6"/>
    </row>
    <row r="732" hidden="1">
      <c r="A732" s="9"/>
      <c r="B732" s="9"/>
      <c r="C732" s="9"/>
      <c r="D732" s="4"/>
      <c r="E732" s="5"/>
      <c r="F732" s="5"/>
      <c r="G732" s="4"/>
      <c r="H732" s="6"/>
      <c r="I732" s="7"/>
      <c r="J732" s="8"/>
      <c r="K732" s="6"/>
    </row>
    <row r="733" hidden="1">
      <c r="A733" s="9"/>
      <c r="B733" s="9"/>
      <c r="C733" s="9"/>
      <c r="D733" s="4"/>
      <c r="E733" s="5"/>
      <c r="F733" s="5"/>
      <c r="G733" s="4"/>
      <c r="H733" s="6"/>
      <c r="I733" s="7"/>
      <c r="J733" s="8"/>
      <c r="K733" s="6"/>
    </row>
    <row r="734" hidden="1">
      <c r="A734" s="9"/>
      <c r="B734" s="9"/>
      <c r="C734" s="9"/>
      <c r="D734" s="4"/>
      <c r="E734" s="5"/>
      <c r="F734" s="5"/>
      <c r="G734" s="4"/>
      <c r="H734" s="6"/>
      <c r="I734" s="7"/>
      <c r="J734" s="8"/>
      <c r="K734" s="6"/>
    </row>
    <row r="735" hidden="1">
      <c r="A735" s="9"/>
      <c r="B735" s="9"/>
      <c r="C735" s="9"/>
      <c r="D735" s="4"/>
      <c r="E735" s="5"/>
      <c r="F735" s="5"/>
      <c r="G735" s="4"/>
      <c r="H735" s="6"/>
      <c r="I735" s="7"/>
      <c r="J735" s="8"/>
      <c r="K735" s="6"/>
    </row>
    <row r="736" hidden="1">
      <c r="A736" s="9"/>
      <c r="B736" s="9"/>
      <c r="C736" s="9"/>
      <c r="D736" s="4"/>
      <c r="E736" s="5"/>
      <c r="F736" s="5"/>
      <c r="G736" s="4"/>
      <c r="H736" s="6"/>
      <c r="I736" s="7"/>
      <c r="J736" s="8"/>
      <c r="K736" s="6"/>
    </row>
    <row r="737" hidden="1">
      <c r="A737" s="9"/>
      <c r="B737" s="9"/>
      <c r="C737" s="9"/>
      <c r="D737" s="4"/>
      <c r="E737" s="5"/>
      <c r="F737" s="5"/>
      <c r="G737" s="4"/>
      <c r="H737" s="6"/>
      <c r="I737" s="7"/>
      <c r="J737" s="8"/>
      <c r="K737" s="6"/>
    </row>
    <row r="738" hidden="1">
      <c r="A738" s="9"/>
      <c r="B738" s="9"/>
      <c r="C738" s="9"/>
      <c r="D738" s="4"/>
      <c r="E738" s="5"/>
      <c r="F738" s="5"/>
      <c r="G738" s="4"/>
      <c r="H738" s="6"/>
      <c r="I738" s="7"/>
      <c r="J738" s="8"/>
      <c r="K738" s="6"/>
    </row>
    <row r="739" hidden="1">
      <c r="A739" s="9"/>
      <c r="B739" s="9"/>
      <c r="C739" s="9"/>
      <c r="D739" s="4"/>
      <c r="E739" s="5"/>
      <c r="F739" s="5"/>
      <c r="G739" s="4"/>
      <c r="H739" s="6"/>
      <c r="I739" s="7"/>
      <c r="J739" s="8"/>
      <c r="K739" s="6"/>
    </row>
    <row r="740" hidden="1">
      <c r="A740" s="9"/>
      <c r="B740" s="9"/>
      <c r="C740" s="9"/>
      <c r="D740" s="4"/>
      <c r="E740" s="5"/>
      <c r="F740" s="5"/>
      <c r="G740" s="4"/>
      <c r="H740" s="6"/>
      <c r="I740" s="7"/>
      <c r="J740" s="8"/>
      <c r="K740" s="6"/>
    </row>
    <row r="741" hidden="1">
      <c r="A741" s="9"/>
      <c r="B741" s="9"/>
      <c r="C741" s="9"/>
      <c r="D741" s="4"/>
      <c r="E741" s="5"/>
      <c r="F741" s="5"/>
      <c r="G741" s="4"/>
      <c r="H741" s="6"/>
      <c r="I741" s="7"/>
      <c r="J741" s="8"/>
      <c r="K741" s="6"/>
    </row>
    <row r="742" hidden="1">
      <c r="A742" s="9"/>
      <c r="B742" s="9"/>
      <c r="C742" s="9"/>
      <c r="D742" s="4"/>
      <c r="E742" s="5"/>
      <c r="F742" s="5"/>
      <c r="G742" s="4"/>
      <c r="H742" s="6"/>
      <c r="I742" s="7"/>
      <c r="J742" s="8"/>
      <c r="K742" s="6"/>
    </row>
    <row r="743" hidden="1">
      <c r="A743" s="9"/>
      <c r="B743" s="9"/>
      <c r="C743" s="9"/>
      <c r="D743" s="4"/>
      <c r="E743" s="5"/>
      <c r="F743" s="5"/>
      <c r="G743" s="4"/>
      <c r="H743" s="6"/>
      <c r="I743" s="7"/>
      <c r="J743" s="8"/>
      <c r="K743" s="6"/>
    </row>
    <row r="744" hidden="1">
      <c r="A744" s="9"/>
      <c r="B744" s="9"/>
      <c r="C744" s="9"/>
      <c r="D744" s="4"/>
      <c r="E744" s="5"/>
      <c r="F744" s="5"/>
      <c r="G744" s="4"/>
      <c r="H744" s="6"/>
      <c r="I744" s="7"/>
      <c r="J744" s="8"/>
      <c r="K744" s="6"/>
    </row>
    <row r="745" hidden="1">
      <c r="A745" s="9"/>
      <c r="B745" s="9"/>
      <c r="C745" s="9"/>
      <c r="D745" s="4"/>
      <c r="E745" s="5"/>
      <c r="F745" s="5"/>
      <c r="G745" s="4"/>
      <c r="H745" s="6"/>
      <c r="I745" s="7"/>
      <c r="J745" s="8"/>
      <c r="K745" s="6"/>
    </row>
    <row r="746" hidden="1">
      <c r="A746" s="9"/>
      <c r="B746" s="9"/>
      <c r="C746" s="9"/>
      <c r="D746" s="4"/>
      <c r="E746" s="5"/>
      <c r="F746" s="5"/>
      <c r="G746" s="4"/>
      <c r="H746" s="6"/>
      <c r="I746" s="7"/>
      <c r="J746" s="8"/>
      <c r="K746" s="6"/>
    </row>
    <row r="747" hidden="1">
      <c r="A747" s="9"/>
      <c r="B747" s="9"/>
      <c r="C747" s="9"/>
      <c r="D747" s="4"/>
      <c r="E747" s="5"/>
      <c r="F747" s="5"/>
      <c r="G747" s="4"/>
      <c r="H747" s="6"/>
      <c r="I747" s="7"/>
      <c r="J747" s="8"/>
      <c r="K747" s="6"/>
    </row>
    <row r="748" hidden="1">
      <c r="A748" s="9"/>
      <c r="B748" s="9"/>
      <c r="C748" s="9"/>
      <c r="D748" s="4"/>
      <c r="E748" s="5"/>
      <c r="F748" s="5"/>
      <c r="G748" s="4"/>
      <c r="H748" s="6"/>
      <c r="I748" s="7"/>
      <c r="J748" s="8"/>
      <c r="K748" s="6"/>
    </row>
    <row r="749" hidden="1">
      <c r="A749" s="9"/>
      <c r="B749" s="9"/>
      <c r="C749" s="9"/>
      <c r="D749" s="4"/>
      <c r="E749" s="5"/>
      <c r="F749" s="5"/>
      <c r="G749" s="4"/>
      <c r="H749" s="6"/>
      <c r="I749" s="7"/>
      <c r="J749" s="8"/>
      <c r="K749" s="6"/>
    </row>
    <row r="750" hidden="1">
      <c r="A750" s="9"/>
      <c r="B750" s="9"/>
      <c r="C750" s="9"/>
      <c r="D750" s="4"/>
      <c r="E750" s="5"/>
      <c r="F750" s="5"/>
      <c r="G750" s="4"/>
      <c r="H750" s="6"/>
      <c r="I750" s="7"/>
      <c r="J750" s="8"/>
      <c r="K750" s="6"/>
    </row>
    <row r="751" hidden="1">
      <c r="A751" s="9"/>
      <c r="B751" s="9"/>
      <c r="C751" s="9"/>
      <c r="D751" s="4"/>
      <c r="E751" s="5"/>
      <c r="F751" s="5"/>
      <c r="G751" s="4"/>
      <c r="H751" s="6"/>
      <c r="I751" s="7"/>
      <c r="J751" s="8"/>
      <c r="K751" s="6"/>
    </row>
    <row r="752" hidden="1">
      <c r="A752" s="9"/>
      <c r="B752" s="9"/>
      <c r="C752" s="9"/>
      <c r="D752" s="4"/>
      <c r="E752" s="5"/>
      <c r="F752" s="5"/>
      <c r="G752" s="4"/>
      <c r="H752" s="6"/>
      <c r="I752" s="7"/>
      <c r="J752" s="8"/>
      <c r="K752" s="6"/>
    </row>
    <row r="753" hidden="1">
      <c r="A753" s="9"/>
      <c r="B753" s="9"/>
      <c r="C753" s="9"/>
      <c r="D753" s="4"/>
      <c r="E753" s="5"/>
      <c r="F753" s="5"/>
      <c r="G753" s="4"/>
      <c r="H753" s="6"/>
      <c r="I753" s="7"/>
      <c r="J753" s="8"/>
      <c r="K753" s="6"/>
    </row>
    <row r="754" hidden="1">
      <c r="A754" s="9"/>
      <c r="B754" s="9"/>
      <c r="C754" s="9"/>
      <c r="D754" s="4"/>
      <c r="E754" s="5"/>
      <c r="F754" s="5"/>
      <c r="G754" s="4"/>
      <c r="H754" s="6"/>
      <c r="I754" s="7"/>
      <c r="J754" s="8"/>
      <c r="K754" s="6"/>
    </row>
    <row r="755" hidden="1">
      <c r="A755" s="9"/>
      <c r="B755" s="9"/>
      <c r="C755" s="9"/>
      <c r="D755" s="4"/>
      <c r="E755" s="5"/>
      <c r="F755" s="5"/>
      <c r="G755" s="4"/>
      <c r="H755" s="6"/>
      <c r="I755" s="7"/>
      <c r="J755" s="8"/>
      <c r="K755" s="6"/>
    </row>
    <row r="756" hidden="1">
      <c r="A756" s="9"/>
      <c r="B756" s="9"/>
      <c r="C756" s="9"/>
      <c r="D756" s="4"/>
      <c r="E756" s="5"/>
      <c r="F756" s="5"/>
      <c r="G756" s="4"/>
      <c r="H756" s="6"/>
      <c r="I756" s="7"/>
      <c r="J756" s="8"/>
      <c r="K756" s="6"/>
    </row>
    <row r="757" hidden="1">
      <c r="A757" s="9"/>
      <c r="B757" s="9"/>
      <c r="C757" s="9"/>
      <c r="D757" s="4"/>
      <c r="E757" s="5"/>
      <c r="F757" s="5"/>
      <c r="G757" s="4"/>
      <c r="H757" s="6"/>
      <c r="I757" s="7"/>
      <c r="J757" s="8"/>
      <c r="K757" s="6"/>
    </row>
    <row r="758" hidden="1">
      <c r="A758" s="9"/>
      <c r="B758" s="9"/>
      <c r="C758" s="9"/>
      <c r="D758" s="4"/>
      <c r="E758" s="5"/>
      <c r="F758" s="5"/>
      <c r="G758" s="4"/>
      <c r="H758" s="6"/>
      <c r="I758" s="7"/>
      <c r="J758" s="8"/>
      <c r="K758" s="6"/>
    </row>
    <row r="759" hidden="1">
      <c r="A759" s="9"/>
      <c r="B759" s="9"/>
      <c r="C759" s="9"/>
      <c r="D759" s="4"/>
      <c r="E759" s="5"/>
      <c r="F759" s="5"/>
      <c r="G759" s="4"/>
      <c r="H759" s="6"/>
      <c r="I759" s="7"/>
      <c r="J759" s="8"/>
      <c r="K759" s="6"/>
    </row>
    <row r="760" hidden="1">
      <c r="A760" s="9"/>
      <c r="B760" s="9"/>
      <c r="C760" s="9"/>
      <c r="D760" s="4"/>
      <c r="E760" s="5"/>
      <c r="F760" s="5"/>
      <c r="G760" s="4"/>
      <c r="H760" s="6"/>
      <c r="I760" s="7"/>
      <c r="J760" s="8"/>
      <c r="K760" s="6"/>
    </row>
    <row r="761" hidden="1">
      <c r="A761" s="9"/>
      <c r="B761" s="9"/>
      <c r="C761" s="9"/>
      <c r="D761" s="4"/>
      <c r="E761" s="5"/>
      <c r="F761" s="5"/>
      <c r="G761" s="4"/>
      <c r="H761" s="6"/>
      <c r="I761" s="7"/>
      <c r="J761" s="8"/>
      <c r="K761" s="6"/>
    </row>
    <row r="762" hidden="1">
      <c r="A762" s="9"/>
      <c r="B762" s="9"/>
      <c r="C762" s="9"/>
      <c r="D762" s="4"/>
      <c r="E762" s="5"/>
      <c r="F762" s="5"/>
      <c r="G762" s="4"/>
      <c r="H762" s="6"/>
      <c r="I762" s="7"/>
      <c r="J762" s="8"/>
      <c r="K762" s="6"/>
    </row>
    <row r="763" hidden="1">
      <c r="A763" s="9"/>
      <c r="B763" s="9"/>
      <c r="C763" s="9"/>
      <c r="D763" s="4"/>
      <c r="E763" s="5"/>
      <c r="F763" s="5"/>
      <c r="G763" s="4"/>
      <c r="H763" s="6"/>
      <c r="I763" s="7"/>
      <c r="J763" s="8"/>
      <c r="K763" s="6"/>
    </row>
    <row r="764" hidden="1">
      <c r="A764" s="9"/>
      <c r="B764" s="9"/>
      <c r="C764" s="9"/>
      <c r="D764" s="4"/>
      <c r="E764" s="5"/>
      <c r="F764" s="5"/>
      <c r="G764" s="4"/>
      <c r="H764" s="6"/>
      <c r="I764" s="7"/>
      <c r="J764" s="8"/>
      <c r="K764" s="6"/>
    </row>
    <row r="765" hidden="1">
      <c r="A765" s="9"/>
      <c r="B765" s="9"/>
      <c r="C765" s="9"/>
      <c r="D765" s="4"/>
      <c r="E765" s="5"/>
      <c r="F765" s="5"/>
      <c r="G765" s="4"/>
      <c r="H765" s="6"/>
      <c r="I765" s="7"/>
      <c r="J765" s="8"/>
      <c r="K765" s="6"/>
    </row>
    <row r="766" hidden="1">
      <c r="A766" s="9"/>
      <c r="B766" s="9"/>
      <c r="C766" s="9"/>
      <c r="D766" s="4"/>
      <c r="E766" s="5"/>
      <c r="F766" s="5"/>
      <c r="G766" s="4"/>
      <c r="H766" s="6"/>
      <c r="I766" s="7"/>
      <c r="J766" s="8"/>
      <c r="K766" s="6"/>
    </row>
    <row r="767" hidden="1">
      <c r="A767" s="9"/>
      <c r="B767" s="9"/>
      <c r="C767" s="9"/>
      <c r="D767" s="4"/>
      <c r="E767" s="5"/>
      <c r="F767" s="5"/>
      <c r="G767" s="4"/>
      <c r="H767" s="6"/>
      <c r="I767" s="7"/>
      <c r="J767" s="8"/>
      <c r="K767" s="6"/>
    </row>
    <row r="768" hidden="1">
      <c r="A768" s="9"/>
      <c r="B768" s="9"/>
      <c r="C768" s="9"/>
      <c r="D768" s="4"/>
      <c r="E768" s="5"/>
      <c r="F768" s="5"/>
      <c r="G768" s="4"/>
      <c r="H768" s="6"/>
      <c r="I768" s="7"/>
      <c r="J768" s="8"/>
      <c r="K768" s="6"/>
    </row>
    <row r="769" hidden="1">
      <c r="A769" s="9"/>
      <c r="B769" s="9"/>
      <c r="C769" s="9"/>
      <c r="D769" s="4"/>
      <c r="E769" s="5"/>
      <c r="F769" s="5"/>
      <c r="G769" s="4"/>
      <c r="H769" s="6"/>
      <c r="I769" s="7"/>
      <c r="J769" s="8"/>
      <c r="K769" s="6"/>
    </row>
    <row r="770" hidden="1">
      <c r="A770" s="9"/>
      <c r="B770" s="9"/>
      <c r="C770" s="9"/>
      <c r="D770" s="4"/>
      <c r="E770" s="5"/>
      <c r="F770" s="5"/>
      <c r="G770" s="4"/>
      <c r="H770" s="6"/>
      <c r="I770" s="7"/>
      <c r="J770" s="8"/>
      <c r="K770" s="6"/>
    </row>
    <row r="771" hidden="1">
      <c r="A771" s="9"/>
      <c r="B771" s="9"/>
      <c r="C771" s="9"/>
      <c r="D771" s="4"/>
      <c r="E771" s="5"/>
      <c r="F771" s="5"/>
      <c r="G771" s="4"/>
      <c r="H771" s="6"/>
      <c r="I771" s="7"/>
      <c r="J771" s="8"/>
      <c r="K771" s="6"/>
    </row>
    <row r="772" hidden="1">
      <c r="A772" s="9"/>
      <c r="B772" s="9"/>
      <c r="C772" s="9"/>
      <c r="D772" s="4"/>
      <c r="E772" s="5"/>
      <c r="F772" s="5"/>
      <c r="G772" s="4"/>
      <c r="H772" s="6"/>
      <c r="I772" s="7"/>
      <c r="J772" s="8"/>
      <c r="K772" s="6"/>
    </row>
    <row r="773" hidden="1">
      <c r="A773" s="9"/>
      <c r="B773" s="9"/>
      <c r="C773" s="9"/>
      <c r="D773" s="4"/>
      <c r="E773" s="5"/>
      <c r="F773" s="5"/>
      <c r="G773" s="4"/>
      <c r="H773" s="6"/>
      <c r="I773" s="7"/>
      <c r="J773" s="8"/>
      <c r="K773" s="6"/>
    </row>
  </sheetData>
  <autoFilter ref="$A$1:$K$773">
    <filterColumn colId="1">
      <filters>
        <filter val="Gericht"/>
        <filter val="Getränk"/>
        <filter val="Eigene Zutat"/>
      </filters>
    </filterColumn>
    <filterColumn colId="2">
      <filters blank="1">
        <filter val="ja"/>
      </filters>
    </filterColumn>
    <sortState ref="A1:K773">
      <sortCondition ref="A1:A773"/>
      <sortCondition ref="J1:J773"/>
      <sortCondition ref="B1:B773"/>
    </sortState>
  </autoFilter>
  <conditionalFormatting sqref="A2:J773">
    <cfRule type="expression" dxfId="0" priority="1">
      <formula>($J2&gt;=($E2+100%))</formula>
    </cfRule>
  </conditionalFormatting>
  <conditionalFormatting sqref="A2:J773">
    <cfRule type="expression" dxfId="1" priority="2">
      <formula>($J2&gt;=$E2)</formula>
    </cfRule>
  </conditionalFormatting>
  <conditionalFormatting sqref="A2:J773">
    <cfRule type="expression" dxfId="2" priority="3">
      <formula>($J2&gt;=($E2-45%))</formula>
    </cfRule>
  </conditionalFormatting>
  <conditionalFormatting sqref="A2:J773">
    <cfRule type="expression" dxfId="3" priority="4">
      <formula>($J2&lt;($E2-45%))</formula>
    </cfRule>
  </conditionalFormatting>
  <conditionalFormatting sqref="K2:K773">
    <cfRule type="expression" dxfId="4" priority="5">
      <formula>($I2-$H2)&gt;0</formula>
    </cfRule>
  </conditionalFormatting>
  <dataValidations>
    <dataValidation type="list" allowBlank="1" showErrorMessage="1" sqref="C2:C773">
      <formula1>"ja,nein"</formula1>
    </dataValidation>
    <dataValidation type="list" allowBlank="1" showErrorMessage="1" sqref="B2:B773">
      <formula1>"Gericht,Eigene Zutat,Getränk"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8.25"/>
    <col customWidth="1" min="2" max="2" width="10.75"/>
    <col customWidth="1" min="3" max="3" width="24.63"/>
    <col customWidth="1" min="4" max="4" width="10.13"/>
    <col customWidth="1" min="6" max="6" width="12.38"/>
  </cols>
  <sheetData>
    <row r="1">
      <c r="A1" s="11" t="s">
        <v>283</v>
      </c>
      <c r="B1" s="12" t="s">
        <v>284</v>
      </c>
      <c r="C1" s="13" t="s">
        <v>285</v>
      </c>
      <c r="D1" s="14" t="s">
        <v>286</v>
      </c>
      <c r="E1" s="15" t="s">
        <v>287</v>
      </c>
      <c r="F1" s="16" t="s">
        <v>288</v>
      </c>
      <c r="G1" s="17"/>
      <c r="H1" s="17"/>
      <c r="I1" s="17"/>
      <c r="J1" s="17"/>
      <c r="K1" s="17"/>
      <c r="L1" s="17"/>
      <c r="M1" s="17"/>
      <c r="N1" s="17"/>
      <c r="O1" s="17"/>
    </row>
    <row r="2">
      <c r="A2" s="18" t="s">
        <v>289</v>
      </c>
      <c r="B2" s="19">
        <v>1.0169674E7</v>
      </c>
      <c r="C2" s="20" t="s">
        <v>290</v>
      </c>
      <c r="D2" s="21">
        <v>1840.0</v>
      </c>
      <c r="E2" s="22">
        <v>8.64</v>
      </c>
      <c r="F2" s="23">
        <f t="shared" ref="F2:F243" si="1">E2/D2</f>
        <v>0.004695652174</v>
      </c>
      <c r="G2" s="24"/>
      <c r="H2" s="17"/>
      <c r="I2" s="17"/>
      <c r="J2" s="17"/>
      <c r="K2" s="17"/>
      <c r="L2" s="17"/>
      <c r="M2" s="17"/>
      <c r="N2" s="17"/>
      <c r="O2" s="17"/>
    </row>
    <row r="3">
      <c r="A3" s="18" t="s">
        <v>289</v>
      </c>
      <c r="B3" s="19">
        <v>1.4746147E7</v>
      </c>
      <c r="C3" s="20" t="s">
        <v>291</v>
      </c>
      <c r="D3" s="14">
        <v>10000.0</v>
      </c>
      <c r="E3" s="22">
        <v>15.7</v>
      </c>
      <c r="F3" s="23">
        <f t="shared" si="1"/>
        <v>0.00157</v>
      </c>
      <c r="G3" s="24"/>
      <c r="H3" s="17"/>
      <c r="I3" s="17"/>
      <c r="J3" s="17"/>
      <c r="K3" s="17"/>
      <c r="L3" s="17"/>
      <c r="M3" s="17"/>
      <c r="N3" s="17"/>
      <c r="O3" s="17"/>
    </row>
    <row r="4">
      <c r="A4" s="18" t="s">
        <v>289</v>
      </c>
      <c r="B4" s="19">
        <v>1.2105779E7</v>
      </c>
      <c r="C4" s="20" t="s">
        <v>292</v>
      </c>
      <c r="D4" s="21">
        <v>1000.0</v>
      </c>
      <c r="E4" s="22">
        <v>1.69</v>
      </c>
      <c r="F4" s="23">
        <f t="shared" si="1"/>
        <v>0.00169</v>
      </c>
      <c r="G4" s="24"/>
      <c r="H4" s="17"/>
      <c r="I4" s="17"/>
      <c r="J4" s="17"/>
      <c r="K4" s="17"/>
      <c r="L4" s="17"/>
      <c r="M4" s="17"/>
      <c r="N4" s="17"/>
      <c r="O4" s="17"/>
    </row>
    <row r="5">
      <c r="A5" s="18" t="s">
        <v>289</v>
      </c>
      <c r="B5" s="19">
        <v>1.0355503E7</v>
      </c>
      <c r="C5" s="20" t="s">
        <v>293</v>
      </c>
      <c r="D5" s="14">
        <v>2500.0</v>
      </c>
      <c r="E5" s="22">
        <v>4.6</v>
      </c>
      <c r="F5" s="23">
        <f t="shared" si="1"/>
        <v>0.00184</v>
      </c>
      <c r="G5" s="24"/>
      <c r="H5" s="17"/>
      <c r="I5" s="17"/>
      <c r="J5" s="17"/>
      <c r="K5" s="17"/>
      <c r="L5" s="17"/>
      <c r="M5" s="17"/>
      <c r="N5" s="17"/>
      <c r="O5" s="17"/>
    </row>
    <row r="6">
      <c r="A6" s="18"/>
      <c r="B6" s="19"/>
      <c r="C6" s="20" t="s">
        <v>294</v>
      </c>
      <c r="D6" s="21">
        <v>1000.0</v>
      </c>
      <c r="E6" s="22">
        <v>20.69</v>
      </c>
      <c r="F6" s="23">
        <f t="shared" si="1"/>
        <v>0.02069</v>
      </c>
      <c r="G6" s="24"/>
      <c r="H6" s="17"/>
      <c r="I6" s="17"/>
      <c r="J6" s="17"/>
      <c r="K6" s="17"/>
      <c r="L6" s="17"/>
      <c r="M6" s="17"/>
      <c r="N6" s="17"/>
      <c r="O6" s="17"/>
    </row>
    <row r="7">
      <c r="A7" s="18" t="s">
        <v>289</v>
      </c>
      <c r="B7" s="19">
        <v>1.4756993E7</v>
      </c>
      <c r="C7" s="20" t="s">
        <v>295</v>
      </c>
      <c r="D7" s="21">
        <v>1000.0</v>
      </c>
      <c r="E7" s="22">
        <v>2.99</v>
      </c>
      <c r="F7" s="23">
        <f t="shared" si="1"/>
        <v>0.00299</v>
      </c>
      <c r="G7" s="24"/>
      <c r="H7" s="17"/>
      <c r="I7" s="17"/>
      <c r="J7" s="17"/>
      <c r="K7" s="17"/>
      <c r="L7" s="17"/>
      <c r="M7" s="17"/>
      <c r="N7" s="17"/>
      <c r="O7" s="17"/>
    </row>
    <row r="8">
      <c r="A8" s="18"/>
      <c r="B8" s="19"/>
      <c r="C8" s="20" t="s">
        <v>296</v>
      </c>
      <c r="D8" s="21">
        <v>1000.0</v>
      </c>
      <c r="E8" s="22">
        <v>5.0</v>
      </c>
      <c r="F8" s="23">
        <f t="shared" si="1"/>
        <v>0.005</v>
      </c>
      <c r="G8" s="24"/>
      <c r="H8" s="17"/>
      <c r="I8" s="17"/>
      <c r="J8" s="17"/>
      <c r="K8" s="17"/>
      <c r="L8" s="17"/>
      <c r="M8" s="17"/>
      <c r="N8" s="17"/>
      <c r="O8" s="17"/>
    </row>
    <row r="9">
      <c r="A9" s="18" t="s">
        <v>297</v>
      </c>
      <c r="B9" s="19"/>
      <c r="C9" s="20" t="s">
        <v>298</v>
      </c>
      <c r="D9" s="14">
        <v>200.0</v>
      </c>
      <c r="E9" s="22">
        <v>1.8</v>
      </c>
      <c r="F9" s="23">
        <f t="shared" si="1"/>
        <v>0.009</v>
      </c>
      <c r="G9" s="24"/>
      <c r="H9" s="17"/>
      <c r="I9" s="17"/>
      <c r="J9" s="17"/>
      <c r="K9" s="17"/>
      <c r="L9" s="17"/>
      <c r="M9" s="17"/>
      <c r="N9" s="17"/>
      <c r="O9" s="17"/>
    </row>
    <row r="10">
      <c r="A10" s="18" t="s">
        <v>289</v>
      </c>
      <c r="B10" s="19">
        <v>1.6357587E7</v>
      </c>
      <c r="C10" s="20" t="s">
        <v>299</v>
      </c>
      <c r="D10" s="21">
        <v>1000.0</v>
      </c>
      <c r="E10" s="22">
        <v>9.59</v>
      </c>
      <c r="F10" s="23">
        <f t="shared" si="1"/>
        <v>0.00959</v>
      </c>
      <c r="G10" s="24"/>
      <c r="H10" s="17"/>
      <c r="I10" s="17"/>
      <c r="J10" s="17"/>
      <c r="K10" s="17"/>
      <c r="L10" s="17"/>
      <c r="M10" s="17"/>
      <c r="N10" s="17"/>
      <c r="O10" s="17"/>
    </row>
    <row r="11">
      <c r="A11" s="18" t="s">
        <v>289</v>
      </c>
      <c r="B11" s="19">
        <v>1.6257023E7</v>
      </c>
      <c r="C11" s="20" t="s">
        <v>300</v>
      </c>
      <c r="D11" s="21">
        <v>250.0</v>
      </c>
      <c r="E11" s="22">
        <v>3.55</v>
      </c>
      <c r="F11" s="23">
        <f t="shared" si="1"/>
        <v>0.0142</v>
      </c>
      <c r="G11" s="24"/>
      <c r="H11" s="17"/>
      <c r="I11" s="17"/>
      <c r="J11" s="17"/>
      <c r="K11" s="17"/>
      <c r="L11" s="17"/>
      <c r="M11" s="17"/>
      <c r="N11" s="17"/>
      <c r="O11" s="17"/>
    </row>
    <row r="12">
      <c r="A12" s="18"/>
      <c r="B12" s="19"/>
      <c r="C12" s="20" t="s">
        <v>301</v>
      </c>
      <c r="D12" s="21">
        <v>1000.0</v>
      </c>
      <c r="E12" s="22">
        <v>6.49</v>
      </c>
      <c r="F12" s="23">
        <f t="shared" si="1"/>
        <v>0.00649</v>
      </c>
      <c r="G12" s="24"/>
      <c r="H12" s="17"/>
      <c r="I12" s="17"/>
      <c r="J12" s="17"/>
      <c r="K12" s="17"/>
      <c r="L12" s="17"/>
      <c r="M12" s="17"/>
      <c r="N12" s="17"/>
      <c r="O12" s="17"/>
    </row>
    <row r="13">
      <c r="A13" s="18" t="s">
        <v>289</v>
      </c>
      <c r="B13" s="19">
        <v>1.7414326E7</v>
      </c>
      <c r="C13" s="20" t="s">
        <v>302</v>
      </c>
      <c r="D13" s="21">
        <v>1000.0</v>
      </c>
      <c r="E13" s="22">
        <v>11.14</v>
      </c>
      <c r="F13" s="23">
        <f t="shared" si="1"/>
        <v>0.01114</v>
      </c>
      <c r="G13" s="24"/>
      <c r="H13" s="17"/>
      <c r="I13" s="17"/>
      <c r="J13" s="17"/>
      <c r="K13" s="17"/>
      <c r="L13" s="17"/>
      <c r="M13" s="17"/>
      <c r="N13" s="17"/>
      <c r="O13" s="17"/>
    </row>
    <row r="14">
      <c r="A14" s="18" t="s">
        <v>289</v>
      </c>
      <c r="B14" s="19">
        <v>1.6124493E7</v>
      </c>
      <c r="C14" s="20" t="s">
        <v>303</v>
      </c>
      <c r="D14" s="14">
        <v>7400.0</v>
      </c>
      <c r="E14" s="22">
        <v>57.6</v>
      </c>
      <c r="F14" s="23">
        <f t="shared" si="1"/>
        <v>0.007783783784</v>
      </c>
      <c r="G14" s="24"/>
      <c r="H14" s="17"/>
      <c r="I14" s="17"/>
      <c r="J14" s="17"/>
      <c r="K14" s="17"/>
      <c r="L14" s="17"/>
      <c r="M14" s="17"/>
      <c r="N14" s="17"/>
      <c r="O14" s="17"/>
    </row>
    <row r="15">
      <c r="A15" s="18" t="s">
        <v>297</v>
      </c>
      <c r="B15" s="19"/>
      <c r="C15" s="20" t="s">
        <v>304</v>
      </c>
      <c r="D15" s="14">
        <v>1000.0</v>
      </c>
      <c r="E15" s="22">
        <v>9.99</v>
      </c>
      <c r="F15" s="23">
        <f t="shared" si="1"/>
        <v>0.00999</v>
      </c>
      <c r="G15" s="24"/>
      <c r="H15" s="17"/>
      <c r="I15" s="17"/>
      <c r="J15" s="17"/>
      <c r="K15" s="17"/>
      <c r="L15" s="17"/>
      <c r="M15" s="17"/>
      <c r="N15" s="17"/>
      <c r="O15" s="17"/>
    </row>
    <row r="16">
      <c r="A16" s="18"/>
      <c r="B16" s="19"/>
      <c r="C16" s="20" t="s">
        <v>305</v>
      </c>
      <c r="D16" s="21">
        <v>1000.0</v>
      </c>
      <c r="E16" s="22">
        <v>18.0</v>
      </c>
      <c r="F16" s="23">
        <f t="shared" si="1"/>
        <v>0.018</v>
      </c>
      <c r="G16" s="24"/>
      <c r="H16" s="17"/>
      <c r="I16" s="17"/>
      <c r="J16" s="17"/>
      <c r="K16" s="17"/>
      <c r="L16" s="17"/>
      <c r="M16" s="17"/>
      <c r="N16" s="17"/>
      <c r="O16" s="17"/>
    </row>
    <row r="17">
      <c r="A17" s="18"/>
      <c r="B17" s="19"/>
      <c r="C17" s="20" t="s">
        <v>306</v>
      </c>
      <c r="D17" s="21">
        <v>200.0</v>
      </c>
      <c r="E17" s="22">
        <v>2.5</v>
      </c>
      <c r="F17" s="23">
        <f t="shared" si="1"/>
        <v>0.0125</v>
      </c>
      <c r="G17" s="24"/>
      <c r="H17" s="17"/>
      <c r="I17" s="17"/>
      <c r="J17" s="17"/>
      <c r="K17" s="17"/>
      <c r="L17" s="17"/>
      <c r="M17" s="17"/>
      <c r="N17" s="17"/>
      <c r="O17" s="17"/>
    </row>
    <row r="18">
      <c r="A18" s="18"/>
      <c r="B18" s="19"/>
      <c r="C18" s="20" t="s">
        <v>307</v>
      </c>
      <c r="D18" s="14">
        <v>1000.0</v>
      </c>
      <c r="E18" s="22">
        <f>110.56/1.19</f>
        <v>92.90756303</v>
      </c>
      <c r="F18" s="23">
        <f t="shared" si="1"/>
        <v>0.09290756303</v>
      </c>
      <c r="G18" s="24"/>
      <c r="H18" s="17"/>
      <c r="I18" s="17"/>
      <c r="J18" s="17"/>
      <c r="K18" s="17"/>
      <c r="L18" s="17"/>
      <c r="M18" s="17"/>
      <c r="N18" s="17"/>
      <c r="O18" s="17"/>
    </row>
    <row r="19">
      <c r="A19" s="18" t="s">
        <v>289</v>
      </c>
      <c r="B19" s="19">
        <v>1.0286401E7</v>
      </c>
      <c r="C19" s="20" t="s">
        <v>308</v>
      </c>
      <c r="D19" s="14">
        <v>1200.0</v>
      </c>
      <c r="E19" s="22">
        <v>23.472</v>
      </c>
      <c r="F19" s="23">
        <f t="shared" si="1"/>
        <v>0.01956</v>
      </c>
      <c r="G19" s="24"/>
      <c r="H19" s="17"/>
      <c r="I19" s="17"/>
      <c r="J19" s="17"/>
      <c r="K19" s="17"/>
      <c r="L19" s="17"/>
      <c r="M19" s="17"/>
      <c r="N19" s="17"/>
      <c r="O19" s="17"/>
    </row>
    <row r="20">
      <c r="B20" s="19"/>
      <c r="C20" s="20" t="s">
        <v>309</v>
      </c>
      <c r="D20" s="21">
        <v>1000.0</v>
      </c>
      <c r="E20" s="22">
        <v>2.5</v>
      </c>
      <c r="F20" s="23">
        <f t="shared" si="1"/>
        <v>0.0025</v>
      </c>
      <c r="G20" s="24"/>
      <c r="H20" s="17"/>
      <c r="I20" s="17"/>
      <c r="J20" s="17"/>
      <c r="K20" s="17"/>
      <c r="L20" s="17"/>
      <c r="M20" s="17"/>
      <c r="N20" s="17"/>
      <c r="O20" s="17"/>
    </row>
    <row r="21">
      <c r="A21" s="18" t="s">
        <v>289</v>
      </c>
      <c r="B21" s="19">
        <v>1.4761768E7</v>
      </c>
      <c r="C21" s="20" t="s">
        <v>310</v>
      </c>
      <c r="D21" s="21">
        <v>125.0</v>
      </c>
      <c r="E21" s="22">
        <v>2.287</v>
      </c>
      <c r="F21" s="23">
        <f t="shared" si="1"/>
        <v>0.018296</v>
      </c>
      <c r="G21" s="24"/>
      <c r="H21" s="17"/>
      <c r="I21" s="17"/>
      <c r="J21" s="17"/>
      <c r="K21" s="17"/>
      <c r="L21" s="17"/>
      <c r="M21" s="17"/>
      <c r="N21" s="17"/>
      <c r="O21" s="17"/>
    </row>
    <row r="22">
      <c r="A22" s="18" t="s">
        <v>289</v>
      </c>
      <c r="B22" s="19">
        <v>1.7584845E7</v>
      </c>
      <c r="C22" s="20" t="s">
        <v>311</v>
      </c>
      <c r="D22" s="21">
        <v>1750.0</v>
      </c>
      <c r="E22" s="22">
        <v>11.43</v>
      </c>
      <c r="F22" s="23">
        <f t="shared" si="1"/>
        <v>0.006531428571</v>
      </c>
      <c r="G22" s="24"/>
      <c r="H22" s="17"/>
      <c r="I22" s="17"/>
      <c r="J22" s="17"/>
      <c r="K22" s="17"/>
      <c r="L22" s="17"/>
      <c r="M22" s="17"/>
      <c r="N22" s="17"/>
      <c r="O22" s="17"/>
    </row>
    <row r="23">
      <c r="A23" s="18"/>
      <c r="B23" s="19"/>
      <c r="C23" s="20" t="s">
        <v>312</v>
      </c>
      <c r="D23" s="21">
        <v>125.0</v>
      </c>
      <c r="E23" s="22">
        <v>1.69</v>
      </c>
      <c r="F23" s="23">
        <f t="shared" si="1"/>
        <v>0.01352</v>
      </c>
      <c r="G23" s="24"/>
      <c r="H23" s="17"/>
      <c r="I23" s="17"/>
      <c r="J23" s="17"/>
      <c r="K23" s="17"/>
      <c r="L23" s="17"/>
      <c r="M23" s="17"/>
      <c r="N23" s="17"/>
      <c r="O23" s="17"/>
    </row>
    <row r="24">
      <c r="A24" s="18"/>
      <c r="B24" s="19"/>
      <c r="C24" s="20" t="s">
        <v>313</v>
      </c>
      <c r="D24" s="21">
        <v>80.0</v>
      </c>
      <c r="E24" s="22">
        <v>0.5</v>
      </c>
      <c r="F24" s="23">
        <f t="shared" si="1"/>
        <v>0.00625</v>
      </c>
      <c r="G24" s="24"/>
      <c r="H24" s="17"/>
      <c r="I24" s="17"/>
      <c r="J24" s="17"/>
      <c r="K24" s="17"/>
      <c r="L24" s="17"/>
      <c r="M24" s="17"/>
      <c r="N24" s="17"/>
      <c r="O24" s="17"/>
    </row>
    <row r="25">
      <c r="A25" s="18" t="s">
        <v>289</v>
      </c>
      <c r="B25" s="19">
        <v>1.3115005E7</v>
      </c>
      <c r="C25" s="20" t="s">
        <v>38</v>
      </c>
      <c r="D25" s="14">
        <v>5000.0</v>
      </c>
      <c r="E25" s="22">
        <v>17.8</v>
      </c>
      <c r="F25" s="23">
        <f t="shared" si="1"/>
        <v>0.00356</v>
      </c>
      <c r="G25" s="24"/>
      <c r="H25" s="17"/>
      <c r="I25" s="17"/>
      <c r="J25" s="17"/>
      <c r="K25" s="17"/>
      <c r="L25" s="17"/>
      <c r="M25" s="17"/>
      <c r="N25" s="17"/>
      <c r="O25" s="17"/>
    </row>
    <row r="26">
      <c r="A26" s="18" t="s">
        <v>289</v>
      </c>
      <c r="B26" s="19">
        <v>1.403646E7</v>
      </c>
      <c r="C26" s="20" t="s">
        <v>314</v>
      </c>
      <c r="D26" s="21">
        <v>250.0</v>
      </c>
      <c r="E26" s="22">
        <v>1.8</v>
      </c>
      <c r="F26" s="23">
        <f t="shared" si="1"/>
        <v>0.0072</v>
      </c>
      <c r="G26" s="24"/>
      <c r="H26" s="17"/>
      <c r="I26" s="17"/>
      <c r="J26" s="17"/>
      <c r="K26" s="17"/>
      <c r="L26" s="17"/>
      <c r="M26" s="17"/>
      <c r="N26" s="17"/>
      <c r="O26" s="17"/>
    </row>
    <row r="27">
      <c r="A27" s="18"/>
      <c r="B27" s="19"/>
      <c r="C27" s="20" t="s">
        <v>315</v>
      </c>
      <c r="D27" s="14">
        <v>500.0</v>
      </c>
      <c r="E27" s="22">
        <v>6.68</v>
      </c>
      <c r="F27" s="23">
        <f t="shared" si="1"/>
        <v>0.01336</v>
      </c>
      <c r="G27" s="24"/>
      <c r="H27" s="17"/>
      <c r="I27" s="17"/>
      <c r="J27" s="17"/>
      <c r="K27" s="17"/>
      <c r="L27" s="17"/>
      <c r="M27" s="17"/>
      <c r="N27" s="17"/>
      <c r="O27" s="17"/>
    </row>
    <row r="28">
      <c r="A28" s="18"/>
      <c r="B28" s="19"/>
      <c r="C28" s="20" t="s">
        <v>316</v>
      </c>
      <c r="D28" s="21">
        <v>260.0</v>
      </c>
      <c r="E28" s="22">
        <v>7.78</v>
      </c>
      <c r="F28" s="23">
        <f t="shared" si="1"/>
        <v>0.02992307692</v>
      </c>
      <c r="G28" s="24"/>
      <c r="H28" s="17"/>
      <c r="I28" s="17"/>
      <c r="J28" s="17"/>
      <c r="K28" s="17"/>
      <c r="L28" s="17"/>
      <c r="M28" s="17"/>
      <c r="N28" s="17"/>
      <c r="O28" s="17"/>
    </row>
    <row r="29">
      <c r="A29" s="18" t="s">
        <v>289</v>
      </c>
      <c r="B29" s="19">
        <v>1.4761461E7</v>
      </c>
      <c r="C29" s="20" t="s">
        <v>317</v>
      </c>
      <c r="D29" s="21">
        <v>1000.0</v>
      </c>
      <c r="E29" s="22">
        <v>5.262</v>
      </c>
      <c r="F29" s="23">
        <f t="shared" si="1"/>
        <v>0.005262</v>
      </c>
      <c r="G29" s="24"/>
      <c r="H29" s="17"/>
      <c r="I29" s="17"/>
      <c r="J29" s="17"/>
      <c r="K29" s="17"/>
      <c r="L29" s="17"/>
      <c r="M29" s="17"/>
      <c r="N29" s="17"/>
      <c r="O29" s="17"/>
    </row>
    <row r="30">
      <c r="A30" s="18" t="s">
        <v>289</v>
      </c>
      <c r="B30" s="19">
        <v>1.7578387E7</v>
      </c>
      <c r="C30" s="20" t="s">
        <v>318</v>
      </c>
      <c r="D30" s="21">
        <v>1000.0</v>
      </c>
      <c r="E30" s="22">
        <v>11.39</v>
      </c>
      <c r="F30" s="23">
        <f t="shared" si="1"/>
        <v>0.01139</v>
      </c>
      <c r="G30" s="24"/>
      <c r="H30" s="17"/>
      <c r="I30" s="17"/>
      <c r="J30" s="17"/>
      <c r="K30" s="17"/>
      <c r="L30" s="17"/>
      <c r="M30" s="17"/>
      <c r="N30" s="17"/>
      <c r="O30" s="17"/>
    </row>
    <row r="31">
      <c r="A31" s="18" t="s">
        <v>289</v>
      </c>
      <c r="B31" s="19">
        <v>1.4760037E7</v>
      </c>
      <c r="C31" s="20" t="s">
        <v>319</v>
      </c>
      <c r="D31" s="21">
        <v>1000.0</v>
      </c>
      <c r="E31" s="22">
        <v>11.897</v>
      </c>
      <c r="F31" s="23">
        <f t="shared" si="1"/>
        <v>0.011897</v>
      </c>
      <c r="G31" s="24"/>
      <c r="H31" s="17"/>
      <c r="I31" s="17"/>
      <c r="J31" s="17"/>
      <c r="K31" s="17"/>
      <c r="L31" s="17"/>
      <c r="M31" s="17"/>
      <c r="N31" s="17"/>
      <c r="O31" s="17"/>
    </row>
    <row r="32">
      <c r="A32" s="18" t="s">
        <v>289</v>
      </c>
      <c r="B32" s="19">
        <v>1.6943018E7</v>
      </c>
      <c r="C32" s="20" t="s">
        <v>320</v>
      </c>
      <c r="D32" s="21">
        <v>100.0</v>
      </c>
      <c r="E32" s="22">
        <v>2.97</v>
      </c>
      <c r="F32" s="23">
        <f t="shared" si="1"/>
        <v>0.0297</v>
      </c>
      <c r="G32" s="24"/>
      <c r="H32" s="17"/>
      <c r="I32" s="17"/>
      <c r="J32" s="17"/>
      <c r="K32" s="17"/>
      <c r="L32" s="17"/>
      <c r="M32" s="17"/>
      <c r="N32" s="17"/>
      <c r="O32" s="17"/>
    </row>
    <row r="33">
      <c r="A33" s="18" t="s">
        <v>289</v>
      </c>
      <c r="B33" s="19">
        <v>1.2233571E7</v>
      </c>
      <c r="C33" s="20" t="s">
        <v>321</v>
      </c>
      <c r="D33" s="21">
        <v>190.0</v>
      </c>
      <c r="E33" s="22">
        <v>8.16</v>
      </c>
      <c r="F33" s="23">
        <f t="shared" si="1"/>
        <v>0.04294736842</v>
      </c>
      <c r="G33" s="24"/>
      <c r="H33" s="17"/>
      <c r="I33" s="17"/>
      <c r="J33" s="17"/>
      <c r="K33" s="17"/>
      <c r="L33" s="17"/>
      <c r="M33" s="17"/>
      <c r="N33" s="17"/>
      <c r="O33" s="17"/>
    </row>
    <row r="34">
      <c r="A34" s="18" t="s">
        <v>289</v>
      </c>
      <c r="B34" s="19">
        <v>1.6987869E7</v>
      </c>
      <c r="C34" s="20" t="s">
        <v>322</v>
      </c>
      <c r="D34" s="21">
        <v>850.0</v>
      </c>
      <c r="E34" s="22">
        <v>7.47</v>
      </c>
      <c r="F34" s="23">
        <f t="shared" si="1"/>
        <v>0.008788235294</v>
      </c>
      <c r="G34" s="24"/>
      <c r="H34" s="17"/>
      <c r="I34" s="17"/>
      <c r="J34" s="17"/>
      <c r="K34" s="17"/>
      <c r="L34" s="17"/>
      <c r="M34" s="17"/>
      <c r="N34" s="17"/>
      <c r="O34" s="17"/>
    </row>
    <row r="35">
      <c r="A35" s="18"/>
      <c r="B35" s="19"/>
      <c r="C35" s="20" t="s">
        <v>323</v>
      </c>
      <c r="D35" s="21">
        <v>2000.0</v>
      </c>
      <c r="E35" s="22">
        <v>7.0</v>
      </c>
      <c r="F35" s="23">
        <f t="shared" si="1"/>
        <v>0.0035</v>
      </c>
      <c r="G35" s="24"/>
      <c r="H35" s="17"/>
      <c r="I35" s="17"/>
      <c r="J35" s="17"/>
      <c r="K35" s="17"/>
      <c r="L35" s="17"/>
      <c r="M35" s="17"/>
      <c r="N35" s="17"/>
      <c r="O35" s="17"/>
    </row>
    <row r="36">
      <c r="A36" s="18"/>
      <c r="B36" s="19"/>
      <c r="C36" s="20" t="s">
        <v>324</v>
      </c>
      <c r="D36" s="21">
        <v>1000.0</v>
      </c>
      <c r="E36" s="22">
        <v>1.51</v>
      </c>
      <c r="F36" s="23">
        <f t="shared" si="1"/>
        <v>0.00151</v>
      </c>
      <c r="G36" s="24"/>
      <c r="H36" s="17"/>
      <c r="I36" s="17"/>
      <c r="J36" s="17"/>
      <c r="K36" s="17"/>
      <c r="L36" s="17"/>
      <c r="M36" s="17"/>
      <c r="N36" s="17"/>
      <c r="O36" s="17"/>
    </row>
    <row r="37">
      <c r="A37" s="18"/>
      <c r="B37" s="19"/>
      <c r="C37" s="20" t="s">
        <v>325</v>
      </c>
      <c r="D37" s="21">
        <v>1000.0</v>
      </c>
      <c r="E37" s="22">
        <v>8.0</v>
      </c>
      <c r="F37" s="23">
        <f t="shared" si="1"/>
        <v>0.008</v>
      </c>
      <c r="G37" s="24"/>
      <c r="H37" s="17"/>
      <c r="I37" s="17"/>
      <c r="J37" s="17"/>
      <c r="K37" s="17"/>
      <c r="L37" s="17"/>
      <c r="M37" s="17"/>
      <c r="N37" s="17"/>
      <c r="O37" s="17"/>
    </row>
    <row r="38">
      <c r="A38" s="18"/>
      <c r="B38" s="19"/>
      <c r="C38" s="20" t="s">
        <v>326</v>
      </c>
      <c r="D38" s="21">
        <f>5*900</f>
        <v>4500</v>
      </c>
      <c r="E38" s="22">
        <v>58.5</v>
      </c>
      <c r="F38" s="23">
        <f t="shared" si="1"/>
        <v>0.013</v>
      </c>
      <c r="G38" s="24"/>
      <c r="H38" s="17"/>
      <c r="I38" s="17"/>
      <c r="J38" s="17"/>
      <c r="K38" s="17"/>
      <c r="L38" s="17"/>
      <c r="M38" s="17"/>
      <c r="N38" s="17"/>
      <c r="O38" s="17"/>
    </row>
    <row r="39">
      <c r="A39" s="18"/>
      <c r="B39" s="19"/>
      <c r="C39" s="20" t="s">
        <v>327</v>
      </c>
      <c r="D39" s="21">
        <v>1000.0</v>
      </c>
      <c r="E39" s="22">
        <v>13.29</v>
      </c>
      <c r="F39" s="23">
        <f t="shared" si="1"/>
        <v>0.01329</v>
      </c>
      <c r="G39" s="24"/>
      <c r="H39" s="17"/>
      <c r="I39" s="17"/>
      <c r="J39" s="17"/>
      <c r="K39" s="17"/>
      <c r="L39" s="17"/>
      <c r="M39" s="17"/>
      <c r="N39" s="17"/>
      <c r="O39" s="17"/>
    </row>
    <row r="40">
      <c r="A40" s="18" t="s">
        <v>289</v>
      </c>
      <c r="B40" s="19"/>
      <c r="C40" s="20" t="s">
        <v>328</v>
      </c>
      <c r="D40" s="21">
        <v>1000.0</v>
      </c>
      <c r="E40" s="15">
        <v>6.79</v>
      </c>
      <c r="F40" s="23">
        <f t="shared" si="1"/>
        <v>0.00679</v>
      </c>
      <c r="G40" s="24"/>
      <c r="H40" s="17"/>
      <c r="I40" s="17"/>
      <c r="J40" s="17"/>
      <c r="K40" s="17"/>
      <c r="L40" s="17"/>
      <c r="M40" s="17"/>
      <c r="N40" s="17"/>
      <c r="O40" s="17"/>
    </row>
    <row r="41">
      <c r="A41" s="18" t="s">
        <v>297</v>
      </c>
      <c r="B41" s="19"/>
      <c r="C41" s="20" t="s">
        <v>329</v>
      </c>
      <c r="D41" s="14">
        <v>1000.0</v>
      </c>
      <c r="E41" s="15">
        <v>70.0</v>
      </c>
      <c r="F41" s="23">
        <f t="shared" si="1"/>
        <v>0.07</v>
      </c>
      <c r="G41" s="24"/>
      <c r="H41" s="17"/>
      <c r="I41" s="17"/>
      <c r="J41" s="17"/>
      <c r="K41" s="17"/>
      <c r="L41" s="17"/>
      <c r="M41" s="17"/>
      <c r="N41" s="17"/>
      <c r="O41" s="17"/>
    </row>
    <row r="42">
      <c r="A42" s="18" t="s">
        <v>297</v>
      </c>
      <c r="B42" s="19"/>
      <c r="C42" s="20" t="s">
        <v>330</v>
      </c>
      <c r="D42" s="14">
        <v>1000.0</v>
      </c>
      <c r="E42" s="22">
        <v>8.0</v>
      </c>
      <c r="F42" s="23">
        <f t="shared" si="1"/>
        <v>0.008</v>
      </c>
      <c r="G42" s="24"/>
      <c r="H42" s="17"/>
      <c r="I42" s="17"/>
      <c r="J42" s="17"/>
      <c r="K42" s="17"/>
      <c r="L42" s="17"/>
      <c r="M42" s="17"/>
      <c r="N42" s="17"/>
      <c r="O42" s="17"/>
    </row>
    <row r="43">
      <c r="A43" s="18"/>
      <c r="B43" s="19"/>
      <c r="C43" s="20" t="s">
        <v>331</v>
      </c>
      <c r="D43" s="14">
        <v>1.0</v>
      </c>
      <c r="E43" s="22">
        <f>0.44/1.19</f>
        <v>0.3697478992</v>
      </c>
      <c r="F43" s="23">
        <f t="shared" si="1"/>
        <v>0.3697478992</v>
      </c>
      <c r="G43" s="24"/>
      <c r="H43" s="17"/>
      <c r="I43" s="17"/>
      <c r="J43" s="17"/>
      <c r="K43" s="17"/>
      <c r="L43" s="17"/>
      <c r="M43" s="17"/>
      <c r="N43" s="17"/>
      <c r="O43" s="17"/>
    </row>
    <row r="44">
      <c r="A44" s="18" t="s">
        <v>289</v>
      </c>
      <c r="B44" s="19">
        <v>3.0012356E7</v>
      </c>
      <c r="C44" s="20" t="s">
        <v>332</v>
      </c>
      <c r="D44" s="21">
        <v>1000.0</v>
      </c>
      <c r="E44" s="22">
        <v>8.49</v>
      </c>
      <c r="F44" s="23">
        <f t="shared" si="1"/>
        <v>0.00849</v>
      </c>
      <c r="G44" s="24"/>
      <c r="H44" s="17"/>
      <c r="I44" s="17"/>
      <c r="J44" s="17"/>
      <c r="K44" s="17"/>
      <c r="L44" s="17"/>
      <c r="M44" s="17"/>
      <c r="N44" s="17"/>
      <c r="O44" s="17"/>
    </row>
    <row r="45">
      <c r="A45" s="18"/>
      <c r="B45" s="19"/>
      <c r="C45" s="20" t="s">
        <v>333</v>
      </c>
      <c r="D45" s="21">
        <v>1000.0</v>
      </c>
      <c r="E45" s="22">
        <f>54+1.23</f>
        <v>55.23</v>
      </c>
      <c r="F45" s="23">
        <f t="shared" si="1"/>
        <v>0.05523</v>
      </c>
      <c r="G45" s="24"/>
      <c r="H45" s="17"/>
      <c r="I45" s="17"/>
      <c r="J45" s="17"/>
      <c r="K45" s="17"/>
      <c r="L45" s="17"/>
      <c r="M45" s="17"/>
      <c r="N45" s="17"/>
      <c r="O45" s="17"/>
    </row>
    <row r="46">
      <c r="A46" s="18"/>
      <c r="B46" s="19"/>
      <c r="C46" s="20" t="s">
        <v>334</v>
      </c>
      <c r="D46" s="21">
        <v>1000.0</v>
      </c>
      <c r="E46" s="22">
        <f>74+4.78</f>
        <v>78.78</v>
      </c>
      <c r="F46" s="23">
        <f t="shared" si="1"/>
        <v>0.07878</v>
      </c>
      <c r="G46" s="24"/>
      <c r="H46" s="17"/>
      <c r="I46" s="17"/>
      <c r="J46" s="17"/>
      <c r="K46" s="17"/>
      <c r="L46" s="17"/>
      <c r="M46" s="17"/>
      <c r="N46" s="17"/>
      <c r="O46" s="17"/>
    </row>
    <row r="47">
      <c r="A47" s="18"/>
      <c r="B47" s="19"/>
      <c r="C47" s="20" t="s">
        <v>335</v>
      </c>
      <c r="D47" s="21">
        <v>1000.0</v>
      </c>
      <c r="E47" s="22">
        <f>43+0.83</f>
        <v>43.83</v>
      </c>
      <c r="F47" s="23">
        <f t="shared" si="1"/>
        <v>0.04383</v>
      </c>
      <c r="G47" s="24"/>
      <c r="H47" s="17"/>
      <c r="I47" s="17"/>
      <c r="J47" s="17"/>
      <c r="K47" s="17"/>
      <c r="L47" s="17"/>
      <c r="M47" s="17"/>
      <c r="N47" s="17"/>
      <c r="O47" s="17"/>
    </row>
    <row r="48">
      <c r="A48" s="18" t="s">
        <v>289</v>
      </c>
      <c r="B48" s="19">
        <v>1.4796777E7</v>
      </c>
      <c r="C48" s="20" t="s">
        <v>336</v>
      </c>
      <c r="D48" s="21">
        <v>1000.0</v>
      </c>
      <c r="E48" s="22">
        <v>6.39</v>
      </c>
      <c r="F48" s="23">
        <f t="shared" si="1"/>
        <v>0.00639</v>
      </c>
      <c r="G48" s="24"/>
      <c r="H48" s="17"/>
      <c r="I48" s="17"/>
      <c r="J48" s="17"/>
      <c r="K48" s="17"/>
      <c r="L48" s="17"/>
      <c r="M48" s="17"/>
      <c r="N48" s="17"/>
      <c r="O48" s="17"/>
    </row>
    <row r="49">
      <c r="A49" s="18"/>
      <c r="B49" s="19"/>
      <c r="C49" s="20" t="s">
        <v>337</v>
      </c>
      <c r="D49" s="21">
        <v>200.0</v>
      </c>
      <c r="E49" s="22">
        <v>3.7</v>
      </c>
      <c r="F49" s="23">
        <f t="shared" si="1"/>
        <v>0.0185</v>
      </c>
      <c r="G49" s="24"/>
      <c r="H49" s="17"/>
      <c r="I49" s="17"/>
      <c r="J49" s="17"/>
      <c r="K49" s="17"/>
      <c r="L49" s="17"/>
      <c r="M49" s="17"/>
      <c r="N49" s="17"/>
      <c r="O49" s="17"/>
    </row>
    <row r="50">
      <c r="A50" s="18"/>
      <c r="B50" s="19"/>
      <c r="C50" s="20" t="s">
        <v>338</v>
      </c>
      <c r="D50" s="21">
        <v>150.0</v>
      </c>
      <c r="E50" s="22">
        <v>6.8</v>
      </c>
      <c r="F50" s="23">
        <f t="shared" si="1"/>
        <v>0.04533333333</v>
      </c>
      <c r="G50" s="24"/>
      <c r="H50" s="17"/>
      <c r="I50" s="17"/>
      <c r="J50" s="17"/>
      <c r="K50" s="17"/>
      <c r="L50" s="17"/>
      <c r="M50" s="17"/>
      <c r="N50" s="17"/>
      <c r="O50" s="17"/>
    </row>
    <row r="51">
      <c r="A51" s="18"/>
      <c r="B51" s="19"/>
      <c r="C51" s="20" t="s">
        <v>339</v>
      </c>
      <c r="D51" s="21">
        <v>500.0</v>
      </c>
      <c r="E51" s="22">
        <v>27.9</v>
      </c>
      <c r="F51" s="23">
        <f t="shared" si="1"/>
        <v>0.0558</v>
      </c>
      <c r="G51" s="24"/>
      <c r="H51" s="17"/>
      <c r="I51" s="17"/>
      <c r="J51" s="17"/>
      <c r="K51" s="17"/>
      <c r="L51" s="17"/>
      <c r="M51" s="17"/>
      <c r="N51" s="17"/>
      <c r="O51" s="17"/>
    </row>
    <row r="52">
      <c r="A52" s="18"/>
      <c r="B52" s="19"/>
      <c r="C52" s="20" t="s">
        <v>340</v>
      </c>
      <c r="D52" s="21">
        <v>500.0</v>
      </c>
      <c r="E52" s="22">
        <v>38.9</v>
      </c>
      <c r="F52" s="23">
        <f t="shared" si="1"/>
        <v>0.0778</v>
      </c>
      <c r="G52" s="24"/>
      <c r="H52" s="17"/>
      <c r="I52" s="17"/>
      <c r="J52" s="17"/>
      <c r="K52" s="17"/>
      <c r="L52" s="17"/>
      <c r="M52" s="17"/>
      <c r="N52" s="17"/>
      <c r="O52" s="17"/>
    </row>
    <row r="53">
      <c r="A53" s="18"/>
      <c r="B53" s="19"/>
      <c r="C53" s="20" t="s">
        <v>341</v>
      </c>
      <c r="D53" s="14">
        <v>170.0</v>
      </c>
      <c r="E53" s="22">
        <f>36.2/1.07</f>
        <v>33.8317757</v>
      </c>
      <c r="F53" s="23">
        <f t="shared" si="1"/>
        <v>0.1990104453</v>
      </c>
      <c r="G53" s="24"/>
      <c r="H53" s="17"/>
      <c r="I53" s="17"/>
      <c r="J53" s="17"/>
      <c r="K53" s="17"/>
      <c r="L53" s="17"/>
      <c r="M53" s="17"/>
      <c r="N53" s="17"/>
      <c r="O53" s="17"/>
    </row>
    <row r="54">
      <c r="A54" s="18"/>
      <c r="B54" s="19"/>
      <c r="C54" s="20" t="s">
        <v>342</v>
      </c>
      <c r="D54" s="21">
        <v>378.0</v>
      </c>
      <c r="E54" s="22">
        <v>40.55</v>
      </c>
      <c r="F54" s="23">
        <f t="shared" si="1"/>
        <v>0.1072751323</v>
      </c>
      <c r="G54" s="24"/>
      <c r="H54" s="17"/>
      <c r="I54" s="17"/>
      <c r="J54" s="17"/>
      <c r="K54" s="17"/>
      <c r="L54" s="17"/>
      <c r="M54" s="17"/>
      <c r="N54" s="17"/>
      <c r="O54" s="17"/>
    </row>
    <row r="55">
      <c r="A55" s="18"/>
      <c r="B55" s="19"/>
      <c r="C55" s="20" t="s">
        <v>343</v>
      </c>
      <c r="D55" s="21">
        <v>1000.0</v>
      </c>
      <c r="E55" s="22">
        <v>11.56</v>
      </c>
      <c r="F55" s="23">
        <f t="shared" si="1"/>
        <v>0.01156</v>
      </c>
      <c r="G55" s="24"/>
      <c r="H55" s="17"/>
      <c r="I55" s="17"/>
      <c r="J55" s="17"/>
      <c r="K55" s="17"/>
      <c r="L55" s="17"/>
      <c r="M55" s="17"/>
      <c r="N55" s="17"/>
      <c r="O55" s="17"/>
    </row>
    <row r="56">
      <c r="A56" s="18"/>
      <c r="B56" s="19"/>
      <c r="C56" s="20" t="s">
        <v>344</v>
      </c>
      <c r="D56" s="14">
        <v>1000.0</v>
      </c>
      <c r="E56" s="22">
        <v>15.0</v>
      </c>
      <c r="F56" s="23">
        <f t="shared" si="1"/>
        <v>0.015</v>
      </c>
      <c r="G56" s="24"/>
      <c r="H56" s="17"/>
      <c r="I56" s="17"/>
      <c r="J56" s="17"/>
      <c r="K56" s="17"/>
      <c r="L56" s="17"/>
      <c r="M56" s="17"/>
      <c r="N56" s="17"/>
      <c r="O56" s="17"/>
    </row>
    <row r="57">
      <c r="A57" s="18" t="s">
        <v>289</v>
      </c>
      <c r="B57" s="25"/>
      <c r="C57" s="20" t="s">
        <v>345</v>
      </c>
      <c r="D57" s="14">
        <v>1000.0</v>
      </c>
      <c r="E57" s="22">
        <f>15.9*2.8</f>
        <v>44.52</v>
      </c>
      <c r="F57" s="23">
        <f t="shared" si="1"/>
        <v>0.04452</v>
      </c>
      <c r="G57" s="24"/>
      <c r="H57" s="17"/>
      <c r="I57" s="17"/>
      <c r="J57" s="17"/>
      <c r="K57" s="17"/>
      <c r="L57" s="17"/>
      <c r="M57" s="17"/>
      <c r="N57" s="17"/>
      <c r="O57" s="17"/>
    </row>
    <row r="58">
      <c r="A58" s="18"/>
      <c r="B58" s="19"/>
      <c r="C58" s="20" t="s">
        <v>346</v>
      </c>
      <c r="D58" s="21">
        <v>2500.0</v>
      </c>
      <c r="E58" s="22">
        <v>10.75</v>
      </c>
      <c r="F58" s="23">
        <f t="shared" si="1"/>
        <v>0.0043</v>
      </c>
      <c r="G58" s="24"/>
      <c r="H58" s="17"/>
      <c r="I58" s="17"/>
      <c r="J58" s="17"/>
      <c r="K58" s="17"/>
      <c r="L58" s="17"/>
      <c r="M58" s="17"/>
      <c r="N58" s="17"/>
      <c r="O58" s="17"/>
    </row>
    <row r="59">
      <c r="A59" s="18" t="s">
        <v>289</v>
      </c>
      <c r="B59" s="26">
        <v>1.4044922E7</v>
      </c>
      <c r="C59" s="20" t="s">
        <v>347</v>
      </c>
      <c r="D59" s="14">
        <v>5000.0</v>
      </c>
      <c r="E59" s="22">
        <v>20.45</v>
      </c>
      <c r="F59" s="23">
        <f t="shared" si="1"/>
        <v>0.00409</v>
      </c>
      <c r="G59" s="24"/>
      <c r="H59" s="17"/>
      <c r="I59" s="17"/>
      <c r="J59" s="17"/>
      <c r="K59" s="17"/>
      <c r="L59" s="17"/>
      <c r="M59" s="17"/>
      <c r="N59" s="17"/>
      <c r="O59" s="17"/>
    </row>
    <row r="60">
      <c r="A60" s="18" t="s">
        <v>348</v>
      </c>
      <c r="B60" s="19"/>
      <c r="C60" s="20" t="s">
        <v>349</v>
      </c>
      <c r="D60" s="21">
        <v>500.0</v>
      </c>
      <c r="E60" s="22">
        <v>4.0</v>
      </c>
      <c r="F60" s="23">
        <f t="shared" si="1"/>
        <v>0.008</v>
      </c>
      <c r="G60" s="24"/>
      <c r="H60" s="17"/>
      <c r="I60" s="17"/>
      <c r="J60" s="17"/>
      <c r="K60" s="17"/>
      <c r="L60" s="17"/>
      <c r="M60" s="17"/>
      <c r="N60" s="17"/>
      <c r="O60" s="17"/>
    </row>
    <row r="61">
      <c r="A61" s="18" t="s">
        <v>289</v>
      </c>
      <c r="B61" s="19">
        <v>1.4781117E7</v>
      </c>
      <c r="C61" s="20" t="s">
        <v>350</v>
      </c>
      <c r="D61" s="21">
        <v>1000.0</v>
      </c>
      <c r="E61" s="22">
        <v>8.53</v>
      </c>
      <c r="F61" s="23">
        <f t="shared" si="1"/>
        <v>0.00853</v>
      </c>
      <c r="G61" s="24"/>
      <c r="H61" s="17"/>
      <c r="I61" s="17"/>
      <c r="J61" s="17"/>
      <c r="K61" s="17"/>
      <c r="L61" s="17"/>
      <c r="M61" s="17"/>
      <c r="N61" s="17"/>
      <c r="O61" s="17"/>
    </row>
    <row r="62">
      <c r="A62" s="18" t="s">
        <v>289</v>
      </c>
      <c r="B62" s="19">
        <v>1.4746147E7</v>
      </c>
      <c r="C62" s="20" t="s">
        <v>351</v>
      </c>
      <c r="D62" s="21">
        <v>1000.0</v>
      </c>
      <c r="E62" s="22">
        <v>0.71</v>
      </c>
      <c r="F62" s="23">
        <f t="shared" si="1"/>
        <v>0.00071</v>
      </c>
      <c r="G62" s="24"/>
      <c r="H62" s="17"/>
      <c r="I62" s="17"/>
      <c r="J62" s="17"/>
      <c r="K62" s="17"/>
      <c r="L62" s="17"/>
      <c r="M62" s="17"/>
      <c r="N62" s="17"/>
      <c r="O62" s="17"/>
    </row>
    <row r="63">
      <c r="A63" s="18"/>
      <c r="B63" s="19"/>
      <c r="C63" s="20" t="s">
        <v>352</v>
      </c>
      <c r="D63" s="21">
        <v>100.0</v>
      </c>
      <c r="E63" s="22">
        <v>2.42</v>
      </c>
      <c r="F63" s="23">
        <f t="shared" si="1"/>
        <v>0.0242</v>
      </c>
      <c r="G63" s="24"/>
      <c r="H63" s="17"/>
      <c r="I63" s="17"/>
      <c r="J63" s="17"/>
      <c r="K63" s="17"/>
      <c r="L63" s="17"/>
      <c r="M63" s="17"/>
      <c r="N63" s="17"/>
      <c r="O63" s="17"/>
    </row>
    <row r="64">
      <c r="A64" s="18"/>
      <c r="B64" s="19"/>
      <c r="C64" s="20" t="s">
        <v>353</v>
      </c>
      <c r="D64" s="14">
        <v>1000.0</v>
      </c>
      <c r="E64" s="22">
        <v>4.6858</v>
      </c>
      <c r="F64" s="23">
        <f t="shared" si="1"/>
        <v>0.0046858</v>
      </c>
      <c r="G64" s="24"/>
      <c r="H64" s="17"/>
      <c r="I64" s="17"/>
      <c r="J64" s="17"/>
      <c r="K64" s="17"/>
      <c r="L64" s="17"/>
      <c r="M64" s="17"/>
      <c r="N64" s="17"/>
      <c r="O64" s="17"/>
    </row>
    <row r="65">
      <c r="A65" s="18" t="s">
        <v>348</v>
      </c>
      <c r="B65" s="19"/>
      <c r="C65" s="20" t="s">
        <v>354</v>
      </c>
      <c r="D65" s="14">
        <v>300.0</v>
      </c>
      <c r="E65" s="22">
        <v>1.49</v>
      </c>
      <c r="F65" s="23">
        <f t="shared" si="1"/>
        <v>0.004966666667</v>
      </c>
      <c r="G65" s="24"/>
      <c r="H65" s="17"/>
      <c r="I65" s="17"/>
      <c r="J65" s="17"/>
      <c r="K65" s="17"/>
      <c r="L65" s="17"/>
      <c r="M65" s="17"/>
      <c r="N65" s="17"/>
      <c r="O65" s="17"/>
    </row>
    <row r="66">
      <c r="A66" s="18" t="s">
        <v>289</v>
      </c>
      <c r="B66" s="19">
        <v>1.516663E7</v>
      </c>
      <c r="C66" s="20" t="s">
        <v>355</v>
      </c>
      <c r="D66" s="14">
        <v>1000.0</v>
      </c>
      <c r="E66" s="22">
        <v>1.97</v>
      </c>
      <c r="F66" s="23">
        <f t="shared" si="1"/>
        <v>0.00197</v>
      </c>
      <c r="G66" s="24"/>
      <c r="H66" s="17"/>
      <c r="I66" s="17"/>
      <c r="J66" s="17"/>
      <c r="K66" s="17"/>
      <c r="L66" s="17"/>
      <c r="M66" s="17"/>
      <c r="N66" s="17"/>
      <c r="O66" s="17"/>
    </row>
    <row r="67">
      <c r="A67" s="18"/>
      <c r="B67" s="19"/>
      <c r="C67" s="20" t="s">
        <v>356</v>
      </c>
      <c r="D67" s="14">
        <v>1.0</v>
      </c>
      <c r="E67" s="22">
        <f>VLOOKUP("Frittieröl",C:F,4,false)*66.977</f>
        <v>0.13194469</v>
      </c>
      <c r="F67" s="23">
        <f t="shared" si="1"/>
        <v>0.13194469</v>
      </c>
      <c r="G67" s="24"/>
      <c r="H67" s="17"/>
      <c r="I67" s="17"/>
      <c r="J67" s="17"/>
      <c r="K67" s="17"/>
      <c r="L67" s="17"/>
      <c r="M67" s="17"/>
      <c r="N67" s="17"/>
      <c r="O67" s="17"/>
    </row>
    <row r="68">
      <c r="A68" s="18"/>
      <c r="B68" s="19"/>
      <c r="C68" s="20" t="s">
        <v>357</v>
      </c>
      <c r="D68" s="21">
        <v>1000.0</v>
      </c>
      <c r="E68" s="22">
        <v>5.99</v>
      </c>
      <c r="F68" s="23">
        <f t="shared" si="1"/>
        <v>0.00599</v>
      </c>
      <c r="G68" s="24"/>
      <c r="H68" s="17"/>
      <c r="I68" s="17"/>
      <c r="J68" s="17"/>
      <c r="K68" s="17"/>
      <c r="L68" s="17"/>
      <c r="M68" s="17"/>
      <c r="N68" s="17"/>
      <c r="O68" s="17"/>
    </row>
    <row r="69">
      <c r="A69" s="18" t="s">
        <v>289</v>
      </c>
      <c r="B69" s="19">
        <v>1.8526929E7</v>
      </c>
      <c r="C69" s="20" t="s">
        <v>358</v>
      </c>
      <c r="D69" s="21">
        <v>1000.0</v>
      </c>
      <c r="E69" s="22">
        <v>14.99</v>
      </c>
      <c r="F69" s="23">
        <f t="shared" si="1"/>
        <v>0.01499</v>
      </c>
      <c r="G69" s="24"/>
      <c r="H69" s="17"/>
      <c r="I69" s="17"/>
      <c r="J69" s="17"/>
      <c r="K69" s="17"/>
      <c r="L69" s="17"/>
      <c r="M69" s="17"/>
      <c r="N69" s="17"/>
      <c r="O69" s="17"/>
    </row>
    <row r="70">
      <c r="A70" s="18" t="s">
        <v>289</v>
      </c>
      <c r="B70" s="19">
        <v>1.0172773E7</v>
      </c>
      <c r="C70" s="20" t="s">
        <v>359</v>
      </c>
      <c r="D70" s="21">
        <v>5600.0</v>
      </c>
      <c r="E70" s="22">
        <v>11.65</v>
      </c>
      <c r="F70" s="23">
        <f t="shared" si="1"/>
        <v>0.002080357143</v>
      </c>
      <c r="G70" s="24"/>
      <c r="H70" s="17"/>
      <c r="I70" s="17"/>
      <c r="J70" s="17"/>
      <c r="K70" s="17"/>
      <c r="L70" s="17"/>
      <c r="M70" s="17"/>
      <c r="N70" s="17"/>
      <c r="O70" s="17"/>
    </row>
    <row r="71">
      <c r="A71" s="18" t="s">
        <v>289</v>
      </c>
      <c r="B71" s="19"/>
      <c r="C71" s="20" t="s">
        <v>360</v>
      </c>
      <c r="D71" s="14">
        <v>83.0</v>
      </c>
      <c r="E71" s="22">
        <v>0.89</v>
      </c>
      <c r="F71" s="23">
        <f t="shared" si="1"/>
        <v>0.01072289157</v>
      </c>
      <c r="G71" s="24"/>
      <c r="H71" s="17"/>
      <c r="I71" s="17"/>
      <c r="J71" s="17"/>
      <c r="K71" s="17"/>
      <c r="L71" s="17"/>
      <c r="M71" s="17"/>
      <c r="N71" s="17"/>
      <c r="O71" s="17"/>
    </row>
    <row r="72">
      <c r="A72" s="18" t="s">
        <v>289</v>
      </c>
      <c r="B72" s="27">
        <v>1.0285657E7</v>
      </c>
      <c r="C72" s="20" t="s">
        <v>361</v>
      </c>
      <c r="D72" s="14">
        <v>1500.0</v>
      </c>
      <c r="E72" s="22">
        <v>10.55</v>
      </c>
      <c r="F72" s="23">
        <f t="shared" si="1"/>
        <v>0.007033333333</v>
      </c>
      <c r="G72" s="24"/>
      <c r="H72" s="17"/>
      <c r="I72" s="17"/>
      <c r="J72" s="17"/>
      <c r="K72" s="17"/>
      <c r="L72" s="17"/>
      <c r="M72" s="17"/>
      <c r="N72" s="17"/>
      <c r="O72" s="17"/>
    </row>
    <row r="73">
      <c r="A73" s="18"/>
      <c r="B73" s="19"/>
      <c r="C73" s="20" t="s">
        <v>362</v>
      </c>
      <c r="D73" s="21">
        <v>200.0</v>
      </c>
      <c r="E73" s="22">
        <v>1.78</v>
      </c>
      <c r="F73" s="23">
        <f t="shared" si="1"/>
        <v>0.0089</v>
      </c>
      <c r="G73" s="24"/>
      <c r="H73" s="17"/>
      <c r="I73" s="17"/>
      <c r="J73" s="17"/>
      <c r="K73" s="17"/>
      <c r="L73" s="17"/>
      <c r="M73" s="17"/>
      <c r="N73" s="17"/>
      <c r="O73" s="17"/>
    </row>
    <row r="74">
      <c r="A74" s="18" t="s">
        <v>297</v>
      </c>
      <c r="B74" s="19"/>
      <c r="C74" s="20" t="s">
        <v>363</v>
      </c>
      <c r="D74" s="21">
        <v>1000.0</v>
      </c>
      <c r="E74" s="22">
        <f>25.27/1.07</f>
        <v>23.61682243</v>
      </c>
      <c r="F74" s="23">
        <f t="shared" si="1"/>
        <v>0.02361682243</v>
      </c>
      <c r="G74" s="24"/>
      <c r="H74" s="17"/>
      <c r="I74" s="17"/>
      <c r="J74" s="17"/>
      <c r="K74" s="17"/>
      <c r="L74" s="17"/>
      <c r="M74" s="17"/>
      <c r="N74" s="17"/>
      <c r="O74" s="17"/>
    </row>
    <row r="75">
      <c r="A75" s="18" t="s">
        <v>297</v>
      </c>
      <c r="B75" s="26"/>
      <c r="C75" s="20" t="s">
        <v>364</v>
      </c>
      <c r="D75" s="14">
        <v>200.0</v>
      </c>
      <c r="E75" s="22">
        <f>0.99/1.19</f>
        <v>0.8319327731</v>
      </c>
      <c r="F75" s="23">
        <f t="shared" si="1"/>
        <v>0.004159663866</v>
      </c>
      <c r="G75" s="24"/>
      <c r="H75" s="17"/>
      <c r="I75" s="17"/>
      <c r="J75" s="17"/>
      <c r="K75" s="17"/>
      <c r="L75" s="17"/>
      <c r="M75" s="17"/>
      <c r="N75" s="17"/>
      <c r="O75" s="17"/>
    </row>
    <row r="76">
      <c r="A76" s="18" t="s">
        <v>289</v>
      </c>
      <c r="B76" s="26">
        <v>1.612341E7</v>
      </c>
      <c r="C76" s="20" t="s">
        <v>365</v>
      </c>
      <c r="D76" s="21">
        <v>1000.0</v>
      </c>
      <c r="E76" s="22">
        <v>2.04</v>
      </c>
      <c r="F76" s="23">
        <f t="shared" si="1"/>
        <v>0.00204</v>
      </c>
      <c r="G76" s="24"/>
      <c r="H76" s="17"/>
      <c r="I76" s="17"/>
      <c r="J76" s="17"/>
      <c r="K76" s="17"/>
      <c r="L76" s="17"/>
      <c r="M76" s="17"/>
      <c r="N76" s="17"/>
      <c r="O76" s="17"/>
    </row>
    <row r="77">
      <c r="A77" s="18" t="s">
        <v>289</v>
      </c>
      <c r="B77" s="19">
        <v>1.6305595E7</v>
      </c>
      <c r="C77" s="20" t="s">
        <v>366</v>
      </c>
      <c r="D77" s="14">
        <v>1000.0</v>
      </c>
      <c r="E77" s="22">
        <v>6.49</v>
      </c>
      <c r="F77" s="23">
        <f t="shared" si="1"/>
        <v>0.00649</v>
      </c>
      <c r="G77" s="24"/>
      <c r="H77" s="17"/>
      <c r="I77" s="17"/>
      <c r="J77" s="17"/>
      <c r="K77" s="17"/>
      <c r="L77" s="17"/>
      <c r="M77" s="17"/>
      <c r="N77" s="17"/>
      <c r="O77" s="17"/>
    </row>
    <row r="78">
      <c r="A78" s="18" t="s">
        <v>367</v>
      </c>
      <c r="B78" s="19"/>
      <c r="C78" s="18" t="s">
        <v>368</v>
      </c>
      <c r="D78" s="14">
        <v>1000.0</v>
      </c>
      <c r="E78" s="22">
        <v>5.19</v>
      </c>
      <c r="F78" s="23">
        <f t="shared" si="1"/>
        <v>0.00519</v>
      </c>
      <c r="G78" s="24"/>
      <c r="H78" s="17"/>
      <c r="I78" s="17"/>
      <c r="J78" s="17"/>
      <c r="K78" s="17"/>
      <c r="L78" s="17"/>
      <c r="M78" s="17"/>
      <c r="N78" s="17"/>
      <c r="O78" s="17"/>
    </row>
    <row r="79">
      <c r="A79" s="18" t="s">
        <v>289</v>
      </c>
      <c r="B79" s="26">
        <v>1.3149611E7</v>
      </c>
      <c r="C79" s="20" t="s">
        <v>369</v>
      </c>
      <c r="D79" s="14">
        <v>1000.0</v>
      </c>
      <c r="E79" s="22">
        <v>6.99</v>
      </c>
      <c r="F79" s="23">
        <f t="shared" si="1"/>
        <v>0.00699</v>
      </c>
      <c r="G79" s="24"/>
      <c r="H79" s="17"/>
      <c r="I79" s="17"/>
      <c r="J79" s="17"/>
      <c r="K79" s="17"/>
      <c r="L79" s="17"/>
      <c r="M79" s="17"/>
      <c r="N79" s="17"/>
      <c r="O79" s="17"/>
    </row>
    <row r="80">
      <c r="A80" s="18" t="s">
        <v>289</v>
      </c>
      <c r="B80" s="19">
        <v>1.7433587E7</v>
      </c>
      <c r="C80" s="20" t="s">
        <v>370</v>
      </c>
      <c r="D80" s="21">
        <v>1000.0</v>
      </c>
      <c r="E80" s="22">
        <v>3.4</v>
      </c>
      <c r="F80" s="23">
        <f t="shared" si="1"/>
        <v>0.0034</v>
      </c>
      <c r="G80" s="24"/>
      <c r="H80" s="17"/>
      <c r="I80" s="17"/>
      <c r="J80" s="17"/>
      <c r="K80" s="17"/>
      <c r="L80" s="17"/>
      <c r="M80" s="17"/>
      <c r="N80" s="17"/>
      <c r="O80" s="17"/>
    </row>
    <row r="81">
      <c r="A81" s="18"/>
      <c r="B81" s="26"/>
      <c r="C81" s="20" t="s">
        <v>371</v>
      </c>
      <c r="D81" s="14">
        <v>1000.0</v>
      </c>
      <c r="E81" s="22">
        <v>60.9</v>
      </c>
      <c r="F81" s="23">
        <f t="shared" si="1"/>
        <v>0.0609</v>
      </c>
      <c r="G81" s="24"/>
      <c r="H81" s="17"/>
      <c r="I81" s="17"/>
      <c r="J81" s="17"/>
      <c r="K81" s="17"/>
      <c r="L81" s="17"/>
      <c r="M81" s="17"/>
      <c r="N81" s="17"/>
      <c r="O81" s="17"/>
    </row>
    <row r="82">
      <c r="A82" s="18" t="s">
        <v>289</v>
      </c>
      <c r="B82" s="19">
        <v>1.4761768E7</v>
      </c>
      <c r="C82" s="20" t="s">
        <v>372</v>
      </c>
      <c r="D82" s="14">
        <v>125.0</v>
      </c>
      <c r="E82" s="22">
        <v>2.93</v>
      </c>
      <c r="F82" s="23">
        <f t="shared" si="1"/>
        <v>0.02344</v>
      </c>
      <c r="G82" s="24"/>
      <c r="H82" s="17"/>
      <c r="I82" s="17"/>
      <c r="J82" s="17"/>
      <c r="K82" s="17"/>
      <c r="L82" s="17"/>
      <c r="M82" s="17"/>
      <c r="N82" s="17"/>
      <c r="O82" s="17"/>
    </row>
    <row r="83">
      <c r="A83" s="18" t="s">
        <v>348</v>
      </c>
      <c r="B83" s="19">
        <v>1.4761812E7</v>
      </c>
      <c r="C83" s="20" t="s">
        <v>373</v>
      </c>
      <c r="D83" s="14">
        <v>125.0</v>
      </c>
      <c r="E83" s="22">
        <v>2.0</v>
      </c>
      <c r="F83" s="23">
        <f t="shared" si="1"/>
        <v>0.016</v>
      </c>
      <c r="G83" s="24"/>
      <c r="H83" s="17"/>
      <c r="I83" s="17"/>
      <c r="J83" s="17"/>
      <c r="K83" s="17"/>
      <c r="L83" s="17"/>
      <c r="M83" s="17"/>
      <c r="N83" s="17"/>
      <c r="O83" s="17"/>
    </row>
    <row r="84">
      <c r="A84" s="18" t="s">
        <v>289</v>
      </c>
      <c r="B84" s="19">
        <v>1.8653045E7</v>
      </c>
      <c r="C84" s="20" t="s">
        <v>374</v>
      </c>
      <c r="D84" s="14">
        <v>2500.0</v>
      </c>
      <c r="E84" s="22">
        <v>5.74</v>
      </c>
      <c r="F84" s="23">
        <f t="shared" si="1"/>
        <v>0.002296</v>
      </c>
      <c r="G84" s="24"/>
      <c r="H84" s="17"/>
      <c r="I84" s="17"/>
      <c r="J84" s="17"/>
      <c r="K84" s="17"/>
      <c r="L84" s="17"/>
      <c r="M84" s="17"/>
      <c r="N84" s="17"/>
      <c r="O84" s="17"/>
    </row>
    <row r="85">
      <c r="A85" s="18" t="s">
        <v>297</v>
      </c>
      <c r="B85" s="19"/>
      <c r="C85" s="20" t="s">
        <v>375</v>
      </c>
      <c r="D85" s="14">
        <v>1000.0</v>
      </c>
      <c r="E85" s="22">
        <v>20.0</v>
      </c>
      <c r="F85" s="23">
        <f t="shared" si="1"/>
        <v>0.02</v>
      </c>
      <c r="G85" s="24"/>
      <c r="H85" s="17"/>
      <c r="I85" s="17"/>
      <c r="J85" s="17"/>
      <c r="K85" s="17"/>
      <c r="L85" s="17"/>
      <c r="M85" s="17"/>
      <c r="N85" s="17"/>
      <c r="O85" s="17"/>
    </row>
    <row r="86">
      <c r="A86" s="17"/>
      <c r="B86" s="17"/>
      <c r="C86" s="13" t="s">
        <v>376</v>
      </c>
      <c r="D86" s="14">
        <v>500.0</v>
      </c>
      <c r="E86" s="15">
        <v>2.99</v>
      </c>
      <c r="F86" s="23">
        <f t="shared" si="1"/>
        <v>0.00598</v>
      </c>
      <c r="G86" s="24"/>
      <c r="H86" s="17"/>
      <c r="I86" s="17"/>
      <c r="J86" s="17"/>
      <c r="K86" s="17"/>
      <c r="L86" s="17"/>
      <c r="M86" s="17"/>
      <c r="N86" s="17"/>
      <c r="O86" s="17"/>
    </row>
    <row r="87">
      <c r="A87" s="18" t="s">
        <v>289</v>
      </c>
      <c r="B87" s="19">
        <v>1.0235874E7</v>
      </c>
      <c r="C87" s="20" t="s">
        <v>377</v>
      </c>
      <c r="D87" s="21">
        <v>500.0</v>
      </c>
      <c r="E87" s="22">
        <v>5.11</v>
      </c>
      <c r="F87" s="23">
        <f t="shared" si="1"/>
        <v>0.01022</v>
      </c>
      <c r="G87" s="24"/>
      <c r="H87" s="17"/>
      <c r="I87" s="17"/>
      <c r="J87" s="17"/>
      <c r="K87" s="17"/>
      <c r="L87" s="17"/>
      <c r="M87" s="17"/>
      <c r="N87" s="17"/>
      <c r="O87" s="17"/>
    </row>
    <row r="88">
      <c r="A88" s="18" t="s">
        <v>289</v>
      </c>
      <c r="B88" s="19">
        <v>1.4757471E7</v>
      </c>
      <c r="C88" s="20" t="s">
        <v>378</v>
      </c>
      <c r="D88" s="21">
        <v>1000.0</v>
      </c>
      <c r="E88" s="22">
        <v>7.642</v>
      </c>
      <c r="F88" s="23">
        <f t="shared" si="1"/>
        <v>0.007642</v>
      </c>
      <c r="G88" s="24"/>
      <c r="H88" s="17"/>
      <c r="I88" s="17"/>
      <c r="J88" s="17"/>
      <c r="K88" s="17"/>
      <c r="L88" s="17"/>
      <c r="M88" s="17"/>
      <c r="N88" s="17"/>
      <c r="O88" s="17"/>
    </row>
    <row r="89">
      <c r="A89" s="18"/>
      <c r="B89" s="19"/>
      <c r="C89" s="20" t="s">
        <v>379</v>
      </c>
      <c r="D89" s="14">
        <v>24.0</v>
      </c>
      <c r="E89" s="22">
        <v>19.61</v>
      </c>
      <c r="F89" s="23">
        <f t="shared" si="1"/>
        <v>0.8170833333</v>
      </c>
      <c r="G89" s="24"/>
      <c r="H89" s="17"/>
      <c r="I89" s="17"/>
      <c r="J89" s="17"/>
      <c r="K89" s="17"/>
      <c r="L89" s="17"/>
      <c r="M89" s="17"/>
      <c r="N89" s="17"/>
      <c r="O89" s="17"/>
    </row>
    <row r="90">
      <c r="A90" s="18" t="s">
        <v>289</v>
      </c>
      <c r="B90" s="19">
        <v>1.5465313E7</v>
      </c>
      <c r="C90" s="20" t="s">
        <v>380</v>
      </c>
      <c r="D90" s="21">
        <v>1700.0</v>
      </c>
      <c r="E90" s="22">
        <v>7.04</v>
      </c>
      <c r="F90" s="23">
        <f t="shared" si="1"/>
        <v>0.004141176471</v>
      </c>
      <c r="G90" s="24"/>
      <c r="H90" s="17"/>
      <c r="I90" s="17"/>
      <c r="J90" s="17"/>
      <c r="K90" s="17"/>
      <c r="L90" s="17"/>
      <c r="M90" s="17"/>
      <c r="N90" s="17"/>
      <c r="O90" s="17"/>
    </row>
    <row r="91">
      <c r="A91" s="18"/>
      <c r="B91" s="19"/>
      <c r="C91" s="20" t="s">
        <v>381</v>
      </c>
      <c r="D91" s="14">
        <v>1000.0</v>
      </c>
      <c r="E91" s="22">
        <v>22.41</v>
      </c>
      <c r="F91" s="23">
        <f t="shared" si="1"/>
        <v>0.02241</v>
      </c>
      <c r="G91" s="24"/>
      <c r="H91" s="17"/>
      <c r="I91" s="17"/>
      <c r="J91" s="17"/>
      <c r="K91" s="17"/>
      <c r="L91" s="17"/>
      <c r="M91" s="17"/>
      <c r="N91" s="17"/>
      <c r="O91" s="17"/>
    </row>
    <row r="92">
      <c r="A92" s="18"/>
      <c r="B92" s="19"/>
      <c r="C92" s="20" t="s">
        <v>382</v>
      </c>
      <c r="D92" s="21">
        <v>200.0</v>
      </c>
      <c r="E92" s="22">
        <v>33.18</v>
      </c>
      <c r="F92" s="23">
        <f t="shared" si="1"/>
        <v>0.1659</v>
      </c>
      <c r="G92" s="24"/>
      <c r="H92" s="17"/>
      <c r="I92" s="17"/>
      <c r="J92" s="17"/>
      <c r="K92" s="17"/>
      <c r="L92" s="17"/>
      <c r="M92" s="17"/>
      <c r="N92" s="17"/>
      <c r="O92" s="17"/>
    </row>
    <row r="93">
      <c r="A93" s="18" t="s">
        <v>289</v>
      </c>
      <c r="B93" s="19">
        <v>1.4844263E7</v>
      </c>
      <c r="C93" s="20" t="s">
        <v>383</v>
      </c>
      <c r="D93" s="21">
        <v>1000.0</v>
      </c>
      <c r="E93" s="22">
        <v>1.18</v>
      </c>
      <c r="F93" s="23">
        <f t="shared" si="1"/>
        <v>0.00118</v>
      </c>
      <c r="G93" s="24"/>
      <c r="H93" s="17"/>
      <c r="I93" s="17"/>
      <c r="J93" s="17"/>
      <c r="K93" s="17"/>
      <c r="L93" s="17"/>
      <c r="M93" s="17"/>
      <c r="N93" s="17"/>
      <c r="O93" s="17"/>
    </row>
    <row r="94">
      <c r="A94" s="18"/>
      <c r="B94" s="19"/>
      <c r="C94" s="20" t="s">
        <v>384</v>
      </c>
      <c r="D94" s="21">
        <v>1000.0</v>
      </c>
      <c r="E94" s="22">
        <v>0.7</v>
      </c>
      <c r="F94" s="23">
        <f t="shared" si="1"/>
        <v>0.0007</v>
      </c>
      <c r="G94" s="24"/>
      <c r="H94" s="17"/>
      <c r="I94" s="17"/>
      <c r="J94" s="17"/>
      <c r="K94" s="17"/>
      <c r="L94" s="17"/>
      <c r="M94" s="17"/>
      <c r="N94" s="17"/>
      <c r="O94" s="17"/>
    </row>
    <row r="95">
      <c r="A95" s="18" t="s">
        <v>289</v>
      </c>
      <c r="B95" s="19">
        <v>1.0248126E7</v>
      </c>
      <c r="C95" s="20" t="s">
        <v>385</v>
      </c>
      <c r="D95" s="21">
        <v>500.0</v>
      </c>
      <c r="E95" s="22">
        <v>1.91</v>
      </c>
      <c r="F95" s="23">
        <f t="shared" si="1"/>
        <v>0.00382</v>
      </c>
      <c r="G95" s="24"/>
      <c r="H95" s="17"/>
      <c r="I95" s="17"/>
      <c r="J95" s="17"/>
      <c r="K95" s="17"/>
      <c r="L95" s="17"/>
      <c r="M95" s="17"/>
      <c r="N95" s="17"/>
      <c r="O95" s="17"/>
    </row>
    <row r="96">
      <c r="A96" s="18"/>
      <c r="B96" s="19"/>
      <c r="C96" s="20" t="s">
        <v>386</v>
      </c>
      <c r="D96" s="21">
        <v>500.0</v>
      </c>
      <c r="E96" s="22">
        <v>1.04</v>
      </c>
      <c r="F96" s="23">
        <f t="shared" si="1"/>
        <v>0.00208</v>
      </c>
      <c r="G96" s="24"/>
      <c r="H96" s="17"/>
      <c r="I96" s="17"/>
      <c r="J96" s="17"/>
      <c r="K96" s="17"/>
      <c r="L96" s="17"/>
      <c r="M96" s="17"/>
      <c r="N96" s="17"/>
      <c r="O96" s="17"/>
    </row>
    <row r="97">
      <c r="A97" s="18"/>
      <c r="B97" s="19"/>
      <c r="C97" s="20" t="s">
        <v>387</v>
      </c>
      <c r="D97" s="21">
        <v>100.0</v>
      </c>
      <c r="E97" s="22">
        <v>2.28</v>
      </c>
      <c r="F97" s="23">
        <f t="shared" si="1"/>
        <v>0.0228</v>
      </c>
      <c r="G97" s="24"/>
      <c r="H97" s="17"/>
      <c r="I97" s="17"/>
      <c r="J97" s="17"/>
      <c r="K97" s="17"/>
      <c r="L97" s="17"/>
      <c r="M97" s="17"/>
      <c r="N97" s="17"/>
      <c r="O97" s="17"/>
    </row>
    <row r="98">
      <c r="A98" s="18" t="s">
        <v>289</v>
      </c>
      <c r="B98" s="19">
        <v>1.1941613E7</v>
      </c>
      <c r="C98" s="20" t="s">
        <v>388</v>
      </c>
      <c r="D98" s="21">
        <v>1000.0</v>
      </c>
      <c r="E98" s="22">
        <v>18.62</v>
      </c>
      <c r="F98" s="23">
        <f t="shared" si="1"/>
        <v>0.01862</v>
      </c>
      <c r="G98" s="24"/>
      <c r="H98" s="17"/>
      <c r="I98" s="17"/>
      <c r="J98" s="17"/>
      <c r="K98" s="17"/>
      <c r="L98" s="17"/>
      <c r="M98" s="17"/>
      <c r="N98" s="17"/>
      <c r="O98" s="17"/>
    </row>
    <row r="99">
      <c r="A99" s="18" t="s">
        <v>289</v>
      </c>
      <c r="B99" s="19">
        <v>1.4765995E7</v>
      </c>
      <c r="C99" s="20" t="s">
        <v>389</v>
      </c>
      <c r="D99" s="14">
        <v>240.0</v>
      </c>
      <c r="E99" s="22">
        <v>1.1</v>
      </c>
      <c r="F99" s="23">
        <f t="shared" si="1"/>
        <v>0.004583333333</v>
      </c>
      <c r="G99" s="24"/>
      <c r="H99" s="17"/>
      <c r="I99" s="17"/>
      <c r="J99" s="17"/>
      <c r="K99" s="17"/>
      <c r="L99" s="17"/>
      <c r="M99" s="17"/>
      <c r="N99" s="17"/>
      <c r="O99" s="17"/>
    </row>
    <row r="100">
      <c r="A100" s="18"/>
      <c r="B100" s="19"/>
      <c r="C100" s="20" t="s">
        <v>390</v>
      </c>
      <c r="D100" s="21">
        <v>1000.0</v>
      </c>
      <c r="E100" s="22">
        <v>16.0</v>
      </c>
      <c r="F100" s="23">
        <f t="shared" si="1"/>
        <v>0.016</v>
      </c>
      <c r="G100" s="24"/>
      <c r="H100" s="17"/>
      <c r="I100" s="17"/>
      <c r="J100" s="17"/>
      <c r="K100" s="17"/>
      <c r="L100" s="17"/>
      <c r="M100" s="17"/>
      <c r="N100" s="17"/>
      <c r="O100" s="17"/>
    </row>
    <row r="101">
      <c r="A101" s="18"/>
      <c r="B101" s="19"/>
      <c r="C101" s="20" t="s">
        <v>391</v>
      </c>
      <c r="D101" s="21">
        <f>400*16.7</f>
        <v>6680</v>
      </c>
      <c r="E101" s="22">
        <v>89.2</v>
      </c>
      <c r="F101" s="23">
        <f t="shared" si="1"/>
        <v>0.01335329341</v>
      </c>
      <c r="G101" s="24"/>
      <c r="H101" s="17"/>
      <c r="I101" s="17"/>
      <c r="J101" s="17"/>
      <c r="K101" s="17"/>
      <c r="L101" s="17"/>
      <c r="M101" s="17"/>
      <c r="N101" s="17"/>
      <c r="O101" s="17"/>
    </row>
    <row r="102">
      <c r="A102" s="18" t="s">
        <v>289</v>
      </c>
      <c r="B102" s="19">
        <v>1.4757587E7</v>
      </c>
      <c r="C102" s="20" t="s">
        <v>392</v>
      </c>
      <c r="D102" s="21">
        <v>1000.0</v>
      </c>
      <c r="E102" s="22">
        <v>6.792</v>
      </c>
      <c r="F102" s="23">
        <f t="shared" si="1"/>
        <v>0.006792</v>
      </c>
      <c r="G102" s="24"/>
      <c r="H102" s="17"/>
      <c r="I102" s="17"/>
      <c r="J102" s="17"/>
      <c r="K102" s="17"/>
      <c r="L102" s="17"/>
      <c r="M102" s="17"/>
      <c r="N102" s="17"/>
      <c r="O102" s="17"/>
    </row>
    <row r="103">
      <c r="A103" s="18" t="s">
        <v>289</v>
      </c>
      <c r="B103" s="19">
        <v>1.2035342E7</v>
      </c>
      <c r="C103" s="20" t="s">
        <v>393</v>
      </c>
      <c r="D103" s="21">
        <v>580.0</v>
      </c>
      <c r="E103" s="22">
        <v>12.34</v>
      </c>
      <c r="F103" s="23">
        <f t="shared" si="1"/>
        <v>0.02127586207</v>
      </c>
      <c r="G103" s="24"/>
      <c r="H103" s="17"/>
      <c r="I103" s="17"/>
      <c r="J103" s="17"/>
      <c r="K103" s="17"/>
      <c r="L103" s="17"/>
      <c r="M103" s="17"/>
      <c r="N103" s="17"/>
      <c r="O103" s="17"/>
    </row>
    <row r="104">
      <c r="A104" s="18"/>
      <c r="B104" s="19"/>
      <c r="C104" s="20" t="s">
        <v>394</v>
      </c>
      <c r="D104" s="14">
        <v>1000.0</v>
      </c>
      <c r="E104" s="22">
        <f>10/1.19</f>
        <v>8.403361345</v>
      </c>
      <c r="F104" s="23">
        <f t="shared" si="1"/>
        <v>0.008403361345</v>
      </c>
      <c r="G104" s="24"/>
      <c r="H104" s="17"/>
      <c r="I104" s="17"/>
      <c r="J104" s="17"/>
      <c r="K104" s="17"/>
      <c r="L104" s="17"/>
      <c r="M104" s="17"/>
      <c r="N104" s="17"/>
      <c r="O104" s="17"/>
    </row>
    <row r="105">
      <c r="A105" s="18" t="s">
        <v>289</v>
      </c>
      <c r="B105" s="19">
        <v>1.2339792E7</v>
      </c>
      <c r="C105" s="20" t="s">
        <v>395</v>
      </c>
      <c r="D105" s="21">
        <v>1000.0</v>
      </c>
      <c r="E105" s="22">
        <v>3.8</v>
      </c>
      <c r="F105" s="23">
        <f t="shared" si="1"/>
        <v>0.0038</v>
      </c>
      <c r="G105" s="24"/>
      <c r="H105" s="17"/>
      <c r="I105" s="17"/>
      <c r="J105" s="17"/>
      <c r="K105" s="17"/>
      <c r="L105" s="17"/>
      <c r="M105" s="17"/>
      <c r="N105" s="17"/>
      <c r="O105" s="17"/>
    </row>
    <row r="106">
      <c r="A106" s="18" t="s">
        <v>289</v>
      </c>
      <c r="B106" s="19">
        <v>1.5313164E7</v>
      </c>
      <c r="C106" s="20" t="s">
        <v>396</v>
      </c>
      <c r="D106" s="21">
        <v>100.0</v>
      </c>
      <c r="E106" s="22">
        <v>2.73</v>
      </c>
      <c r="F106" s="23">
        <f t="shared" si="1"/>
        <v>0.0273</v>
      </c>
      <c r="G106" s="24"/>
      <c r="H106" s="17"/>
      <c r="I106" s="17"/>
      <c r="J106" s="17"/>
      <c r="K106" s="17"/>
      <c r="L106" s="17"/>
      <c r="M106" s="17"/>
      <c r="N106" s="17"/>
      <c r="O106" s="17"/>
    </row>
    <row r="107">
      <c r="A107" s="18"/>
      <c r="B107" s="19"/>
      <c r="C107" s="20" t="s">
        <v>397</v>
      </c>
      <c r="D107" s="21">
        <v>1000.0</v>
      </c>
      <c r="E107" s="22">
        <v>8.99</v>
      </c>
      <c r="F107" s="23">
        <f t="shared" si="1"/>
        <v>0.00899</v>
      </c>
      <c r="G107" s="24"/>
      <c r="H107" s="17"/>
      <c r="I107" s="17"/>
      <c r="J107" s="17"/>
      <c r="K107" s="17"/>
      <c r="L107" s="17"/>
      <c r="M107" s="17"/>
      <c r="N107" s="17"/>
      <c r="O107" s="17"/>
    </row>
    <row r="108">
      <c r="A108" s="18" t="s">
        <v>289</v>
      </c>
      <c r="B108" s="19">
        <v>1.3559199E7</v>
      </c>
      <c r="C108" s="20" t="s">
        <v>398</v>
      </c>
      <c r="D108" s="21">
        <v>1000.0</v>
      </c>
      <c r="E108" s="22">
        <v>10.82</v>
      </c>
      <c r="F108" s="23">
        <f t="shared" si="1"/>
        <v>0.01082</v>
      </c>
      <c r="G108" s="24"/>
      <c r="H108" s="17"/>
      <c r="I108" s="17"/>
      <c r="J108" s="17"/>
      <c r="K108" s="17"/>
      <c r="L108" s="17"/>
      <c r="M108" s="17"/>
      <c r="N108" s="17"/>
      <c r="O108" s="17"/>
    </row>
    <row r="109">
      <c r="A109" s="18"/>
      <c r="B109" s="19"/>
      <c r="C109" s="20" t="s">
        <v>399</v>
      </c>
      <c r="D109" s="21">
        <v>1000.0</v>
      </c>
      <c r="E109" s="22">
        <f>2/1.19</f>
        <v>1.680672269</v>
      </c>
      <c r="F109" s="23">
        <f t="shared" si="1"/>
        <v>0.001680672269</v>
      </c>
      <c r="G109" s="24"/>
      <c r="H109" s="17"/>
      <c r="I109" s="17"/>
      <c r="J109" s="17"/>
      <c r="K109" s="17"/>
      <c r="L109" s="17"/>
      <c r="M109" s="17"/>
      <c r="N109" s="17"/>
      <c r="O109" s="17"/>
    </row>
    <row r="110">
      <c r="A110" s="18"/>
      <c r="B110" s="19"/>
      <c r="C110" s="20" t="s">
        <v>400</v>
      </c>
      <c r="D110" s="21">
        <v>1000.0</v>
      </c>
      <c r="E110" s="22">
        <v>14.32</v>
      </c>
      <c r="F110" s="23">
        <f t="shared" si="1"/>
        <v>0.01432</v>
      </c>
      <c r="G110" s="24"/>
      <c r="H110" s="17"/>
      <c r="I110" s="17"/>
      <c r="J110" s="17"/>
      <c r="K110" s="17"/>
      <c r="L110" s="17"/>
      <c r="M110" s="17"/>
      <c r="N110" s="17"/>
      <c r="O110" s="17"/>
    </row>
    <row r="111">
      <c r="A111" s="18"/>
      <c r="B111" s="19"/>
      <c r="C111" s="20" t="s">
        <v>401</v>
      </c>
      <c r="D111" s="14">
        <v>1000.0</v>
      </c>
      <c r="E111" s="22">
        <v>11.25</v>
      </c>
      <c r="F111" s="23">
        <f t="shared" si="1"/>
        <v>0.01125</v>
      </c>
      <c r="G111" s="24"/>
      <c r="H111" s="17"/>
      <c r="I111" s="17"/>
      <c r="J111" s="17"/>
      <c r="K111" s="17"/>
      <c r="L111" s="17"/>
      <c r="M111" s="17"/>
      <c r="N111" s="17"/>
      <c r="O111" s="17"/>
    </row>
    <row r="112">
      <c r="A112" s="18" t="s">
        <v>289</v>
      </c>
      <c r="B112" s="19">
        <v>1.4397639E7</v>
      </c>
      <c r="C112" s="20" t="s">
        <v>402</v>
      </c>
      <c r="D112" s="21">
        <v>1000.0</v>
      </c>
      <c r="E112" s="22">
        <v>14.44</v>
      </c>
      <c r="F112" s="23">
        <f t="shared" si="1"/>
        <v>0.01444</v>
      </c>
      <c r="G112" s="24"/>
      <c r="H112" s="17"/>
      <c r="I112" s="17"/>
      <c r="J112" s="17"/>
      <c r="K112" s="17"/>
      <c r="L112" s="17"/>
      <c r="M112" s="17"/>
      <c r="N112" s="17"/>
      <c r="O112" s="17"/>
    </row>
    <row r="113">
      <c r="A113" s="18" t="s">
        <v>289</v>
      </c>
      <c r="B113" s="19">
        <v>1.0371459E7</v>
      </c>
      <c r="C113" s="20" t="s">
        <v>403</v>
      </c>
      <c r="D113" s="21">
        <v>1000.0</v>
      </c>
      <c r="E113" s="22">
        <v>13.89</v>
      </c>
      <c r="F113" s="23">
        <f t="shared" si="1"/>
        <v>0.01389</v>
      </c>
      <c r="G113" s="24"/>
      <c r="H113" s="17"/>
      <c r="I113" s="17"/>
      <c r="J113" s="17"/>
      <c r="K113" s="17"/>
      <c r="L113" s="17"/>
      <c r="M113" s="17"/>
      <c r="N113" s="17"/>
      <c r="O113" s="17"/>
    </row>
    <row r="114">
      <c r="A114" s="18" t="s">
        <v>289</v>
      </c>
      <c r="B114" s="19">
        <v>1.4757709E7</v>
      </c>
      <c r="C114" s="20" t="s">
        <v>404</v>
      </c>
      <c r="D114" s="21">
        <v>120.0</v>
      </c>
      <c r="E114" s="22">
        <v>0.84</v>
      </c>
      <c r="F114" s="23">
        <f t="shared" si="1"/>
        <v>0.007</v>
      </c>
      <c r="G114" s="24"/>
      <c r="H114" s="17"/>
      <c r="I114" s="17"/>
      <c r="J114" s="17"/>
      <c r="K114" s="17"/>
      <c r="L114" s="17"/>
      <c r="M114" s="17"/>
      <c r="N114" s="17"/>
      <c r="O114" s="17"/>
    </row>
    <row r="115">
      <c r="A115" s="18" t="s">
        <v>289</v>
      </c>
      <c r="B115" s="26">
        <v>1.4759369E7</v>
      </c>
      <c r="C115" s="20" t="s">
        <v>405</v>
      </c>
      <c r="D115" s="14">
        <v>70.0</v>
      </c>
      <c r="E115" s="22">
        <v>0.187</v>
      </c>
      <c r="F115" s="23">
        <f t="shared" si="1"/>
        <v>0.002671428571</v>
      </c>
      <c r="G115" s="24"/>
      <c r="H115" s="17"/>
      <c r="I115" s="17"/>
      <c r="J115" s="17"/>
      <c r="K115" s="17"/>
      <c r="L115" s="17"/>
      <c r="M115" s="17"/>
      <c r="N115" s="17"/>
      <c r="O115" s="17"/>
    </row>
    <row r="116">
      <c r="A116" s="18"/>
      <c r="B116" s="19"/>
      <c r="C116" s="20" t="s">
        <v>406</v>
      </c>
      <c r="D116" s="21">
        <v>148.0</v>
      </c>
      <c r="E116" s="22">
        <v>5.95</v>
      </c>
      <c r="F116" s="23">
        <f t="shared" si="1"/>
        <v>0.0402027027</v>
      </c>
      <c r="G116" s="24"/>
      <c r="H116" s="17"/>
      <c r="I116" s="17"/>
      <c r="J116" s="17"/>
      <c r="K116" s="17"/>
      <c r="L116" s="17"/>
      <c r="M116" s="17"/>
      <c r="N116" s="17"/>
      <c r="O116" s="17"/>
    </row>
    <row r="117">
      <c r="A117" s="18"/>
      <c r="B117" s="19"/>
      <c r="C117" s="20" t="s">
        <v>407</v>
      </c>
      <c r="D117" s="21">
        <v>60.0</v>
      </c>
      <c r="E117" s="22">
        <v>4.29</v>
      </c>
      <c r="F117" s="23">
        <f t="shared" si="1"/>
        <v>0.0715</v>
      </c>
      <c r="G117" s="24"/>
      <c r="H117" s="17"/>
      <c r="I117" s="17"/>
      <c r="J117" s="17"/>
      <c r="K117" s="17"/>
      <c r="L117" s="17"/>
      <c r="M117" s="17"/>
      <c r="N117" s="17"/>
      <c r="O117" s="17"/>
    </row>
    <row r="118">
      <c r="A118" s="18" t="s">
        <v>289</v>
      </c>
      <c r="B118" s="19">
        <v>1.5955364E7</v>
      </c>
      <c r="C118" s="20" t="s">
        <v>408</v>
      </c>
      <c r="D118" s="14">
        <v>5000.0</v>
      </c>
      <c r="E118" s="22">
        <v>2.86</v>
      </c>
      <c r="F118" s="23">
        <f t="shared" si="1"/>
        <v>0.000572</v>
      </c>
      <c r="G118" s="24"/>
      <c r="H118" s="17"/>
      <c r="I118" s="17"/>
      <c r="J118" s="17"/>
      <c r="K118" s="17"/>
      <c r="L118" s="17"/>
      <c r="M118" s="17"/>
      <c r="N118" s="17"/>
      <c r="O118" s="17"/>
    </row>
    <row r="119">
      <c r="A119" s="18"/>
      <c r="B119" s="19"/>
      <c r="C119" s="20" t="s">
        <v>409</v>
      </c>
      <c r="D119" s="21">
        <v>425.0</v>
      </c>
      <c r="E119" s="22">
        <v>0.75</v>
      </c>
      <c r="F119" s="23">
        <f t="shared" si="1"/>
        <v>0.001764705882</v>
      </c>
      <c r="G119" s="24"/>
      <c r="H119" s="17"/>
      <c r="I119" s="17"/>
      <c r="J119" s="17"/>
      <c r="K119" s="17"/>
      <c r="L119" s="17"/>
      <c r="M119" s="17"/>
      <c r="N119" s="17"/>
      <c r="O119" s="17"/>
    </row>
    <row r="120">
      <c r="A120" s="18"/>
      <c r="B120" s="19"/>
      <c r="C120" s="20" t="s">
        <v>128</v>
      </c>
      <c r="D120" s="14">
        <v>5000.0</v>
      </c>
      <c r="E120" s="22">
        <v>16.05</v>
      </c>
      <c r="F120" s="23">
        <f t="shared" si="1"/>
        <v>0.00321</v>
      </c>
      <c r="G120" s="24"/>
      <c r="H120" s="17"/>
      <c r="I120" s="17"/>
      <c r="J120" s="17"/>
      <c r="K120" s="17"/>
      <c r="L120" s="17"/>
      <c r="M120" s="17"/>
      <c r="N120" s="17"/>
      <c r="O120" s="17"/>
    </row>
    <row r="121">
      <c r="A121" s="18"/>
      <c r="B121" s="19"/>
      <c r="C121" s="20" t="s">
        <v>410</v>
      </c>
      <c r="D121" s="21">
        <v>1000.0</v>
      </c>
      <c r="E121" s="22">
        <v>1.27</v>
      </c>
      <c r="F121" s="23">
        <f t="shared" si="1"/>
        <v>0.00127</v>
      </c>
      <c r="G121" s="24"/>
      <c r="H121" s="17"/>
      <c r="I121" s="17"/>
      <c r="J121" s="17"/>
      <c r="K121" s="17"/>
      <c r="L121" s="17"/>
      <c r="M121" s="17"/>
      <c r="N121" s="17"/>
      <c r="O121" s="17"/>
    </row>
    <row r="122">
      <c r="A122" s="18"/>
      <c r="B122" s="19"/>
      <c r="C122" s="20" t="s">
        <v>411</v>
      </c>
      <c r="D122" s="14">
        <v>1000.0</v>
      </c>
      <c r="E122" s="22">
        <v>26.0</v>
      </c>
      <c r="F122" s="23">
        <f t="shared" si="1"/>
        <v>0.026</v>
      </c>
      <c r="G122" s="24"/>
      <c r="H122" s="17"/>
      <c r="I122" s="17"/>
      <c r="J122" s="17"/>
      <c r="K122" s="17"/>
      <c r="L122" s="17"/>
      <c r="M122" s="17"/>
      <c r="N122" s="17"/>
      <c r="O122" s="17"/>
    </row>
    <row r="123">
      <c r="A123" s="18"/>
      <c r="B123" s="19"/>
      <c r="C123" s="20" t="s">
        <v>412</v>
      </c>
      <c r="D123" s="14">
        <v>1000.0</v>
      </c>
      <c r="E123" s="22">
        <f>1.8/1.19</f>
        <v>1.512605042</v>
      </c>
      <c r="F123" s="23">
        <f t="shared" si="1"/>
        <v>0.001512605042</v>
      </c>
      <c r="G123" s="24"/>
      <c r="H123" s="17"/>
      <c r="I123" s="17"/>
      <c r="J123" s="17"/>
      <c r="K123" s="17"/>
      <c r="L123" s="17"/>
      <c r="M123" s="17"/>
      <c r="N123" s="17"/>
      <c r="O123" s="17"/>
    </row>
    <row r="124">
      <c r="A124" s="18"/>
      <c r="B124" s="19"/>
      <c r="C124" s="20" t="s">
        <v>413</v>
      </c>
      <c r="D124" s="14">
        <v>1000.0</v>
      </c>
      <c r="E124" s="22">
        <v>15.0</v>
      </c>
      <c r="F124" s="23">
        <f t="shared" si="1"/>
        <v>0.015</v>
      </c>
      <c r="G124" s="24"/>
      <c r="H124" s="17"/>
      <c r="I124" s="17"/>
      <c r="J124" s="17"/>
      <c r="K124" s="17"/>
      <c r="L124" s="17"/>
      <c r="M124" s="17"/>
      <c r="N124" s="17"/>
      <c r="O124" s="17"/>
    </row>
    <row r="125">
      <c r="A125" s="18"/>
      <c r="B125" s="19"/>
      <c r="C125" s="20" t="s">
        <v>414</v>
      </c>
      <c r="D125" s="14">
        <v>440.0</v>
      </c>
      <c r="E125" s="22">
        <v>1.49</v>
      </c>
      <c r="F125" s="23">
        <f t="shared" si="1"/>
        <v>0.003386363636</v>
      </c>
      <c r="G125" s="24"/>
      <c r="H125" s="17"/>
      <c r="I125" s="17"/>
      <c r="J125" s="17"/>
      <c r="K125" s="17"/>
      <c r="L125" s="17"/>
      <c r="M125" s="17"/>
      <c r="N125" s="17"/>
      <c r="O125" s="17"/>
    </row>
    <row r="126">
      <c r="A126" s="18"/>
      <c r="B126" s="19"/>
      <c r="C126" s="20" t="s">
        <v>415</v>
      </c>
      <c r="D126" s="21">
        <v>1000.0</v>
      </c>
      <c r="E126" s="22">
        <v>8.1</v>
      </c>
      <c r="F126" s="23">
        <f t="shared" si="1"/>
        <v>0.0081</v>
      </c>
      <c r="G126" s="24"/>
      <c r="H126" s="17"/>
      <c r="I126" s="17"/>
      <c r="J126" s="17"/>
      <c r="K126" s="17"/>
      <c r="L126" s="17"/>
      <c r="M126" s="17"/>
      <c r="N126" s="17"/>
      <c r="O126" s="17"/>
    </row>
    <row r="127">
      <c r="A127" s="18"/>
      <c r="B127" s="19"/>
      <c r="C127" s="20" t="s">
        <v>416</v>
      </c>
      <c r="D127" s="14">
        <v>2500.0</v>
      </c>
      <c r="E127" s="22">
        <v>9.275</v>
      </c>
      <c r="F127" s="23">
        <f t="shared" si="1"/>
        <v>0.00371</v>
      </c>
      <c r="G127" s="24"/>
      <c r="H127" s="17"/>
      <c r="I127" s="17"/>
      <c r="J127" s="17"/>
      <c r="K127" s="17"/>
      <c r="L127" s="17"/>
      <c r="M127" s="17"/>
      <c r="N127" s="17"/>
      <c r="O127" s="17"/>
    </row>
    <row r="128">
      <c r="A128" s="18"/>
      <c r="B128" s="19"/>
      <c r="C128" s="20" t="s">
        <v>417</v>
      </c>
      <c r="D128" s="21">
        <v>1000.0</v>
      </c>
      <c r="E128" s="22">
        <v>1.68</v>
      </c>
      <c r="F128" s="23">
        <f t="shared" si="1"/>
        <v>0.00168</v>
      </c>
      <c r="G128" s="24"/>
      <c r="H128" s="17"/>
      <c r="I128" s="17"/>
      <c r="J128" s="17"/>
      <c r="K128" s="17"/>
      <c r="L128" s="17"/>
      <c r="M128" s="17"/>
      <c r="N128" s="17"/>
      <c r="O128" s="17"/>
    </row>
    <row r="129">
      <c r="A129" s="18"/>
      <c r="B129" s="19"/>
      <c r="C129" s="20" t="s">
        <v>418</v>
      </c>
      <c r="D129" s="14">
        <v>2500.0</v>
      </c>
      <c r="E129" s="22">
        <v>32.0</v>
      </c>
      <c r="F129" s="23">
        <f t="shared" si="1"/>
        <v>0.0128</v>
      </c>
      <c r="G129" s="24"/>
      <c r="H129" s="17"/>
      <c r="I129" s="17"/>
      <c r="J129" s="17"/>
      <c r="K129" s="17"/>
      <c r="L129" s="17"/>
      <c r="M129" s="17"/>
      <c r="N129" s="17"/>
      <c r="O129" s="17"/>
    </row>
    <row r="130">
      <c r="A130" s="18"/>
      <c r="B130" s="19"/>
      <c r="C130" s="20" t="s">
        <v>419</v>
      </c>
      <c r="D130" s="14">
        <v>100.0</v>
      </c>
      <c r="E130" s="22">
        <v>2.75</v>
      </c>
      <c r="F130" s="23">
        <f t="shared" si="1"/>
        <v>0.0275</v>
      </c>
      <c r="G130" s="24"/>
      <c r="H130" s="17"/>
      <c r="I130" s="17"/>
      <c r="J130" s="17"/>
      <c r="K130" s="17"/>
      <c r="L130" s="17"/>
      <c r="M130" s="17"/>
      <c r="N130" s="17"/>
      <c r="O130" s="17"/>
    </row>
    <row r="131">
      <c r="A131" s="28" t="s">
        <v>420</v>
      </c>
      <c r="B131" s="19"/>
      <c r="C131" s="20" t="s">
        <v>421</v>
      </c>
      <c r="D131" s="14">
        <v>1000.0</v>
      </c>
      <c r="E131" s="22">
        <v>7.89</v>
      </c>
      <c r="F131" s="23">
        <f t="shared" si="1"/>
        <v>0.00789</v>
      </c>
      <c r="G131" s="24"/>
      <c r="H131" s="17"/>
      <c r="I131" s="17"/>
      <c r="J131" s="17"/>
      <c r="K131" s="17"/>
      <c r="L131" s="17"/>
      <c r="M131" s="17"/>
      <c r="N131" s="17"/>
      <c r="O131" s="17"/>
    </row>
    <row r="132">
      <c r="A132" s="18"/>
      <c r="B132" s="19"/>
      <c r="C132" s="20" t="s">
        <v>422</v>
      </c>
      <c r="D132" s="21">
        <v>1000.0</v>
      </c>
      <c r="E132" s="22">
        <v>9.0</v>
      </c>
      <c r="F132" s="23">
        <f t="shared" si="1"/>
        <v>0.009</v>
      </c>
      <c r="G132" s="24"/>
      <c r="H132" s="17"/>
      <c r="I132" s="17"/>
      <c r="J132" s="17"/>
      <c r="K132" s="17"/>
      <c r="L132" s="17"/>
      <c r="M132" s="17"/>
      <c r="N132" s="17"/>
      <c r="O132" s="17"/>
    </row>
    <row r="133">
      <c r="A133" s="18" t="s">
        <v>289</v>
      </c>
      <c r="B133" s="19">
        <v>2.0116262E7</v>
      </c>
      <c r="C133" s="20" t="s">
        <v>423</v>
      </c>
      <c r="D133" s="21">
        <v>1000.0</v>
      </c>
      <c r="E133" s="22">
        <v>7.54</v>
      </c>
      <c r="F133" s="23">
        <f t="shared" si="1"/>
        <v>0.00754</v>
      </c>
      <c r="G133" s="24"/>
      <c r="H133" s="17"/>
      <c r="I133" s="17"/>
      <c r="J133" s="17"/>
      <c r="K133" s="17"/>
      <c r="L133" s="17"/>
      <c r="M133" s="17"/>
      <c r="N133" s="17"/>
      <c r="O133" s="17"/>
    </row>
    <row r="134">
      <c r="A134" s="18"/>
      <c r="B134" s="19"/>
      <c r="C134" s="20" t="s">
        <v>424</v>
      </c>
      <c r="D134" s="21">
        <v>100.0</v>
      </c>
      <c r="E134" s="22">
        <v>6.7</v>
      </c>
      <c r="F134" s="23">
        <f t="shared" si="1"/>
        <v>0.067</v>
      </c>
      <c r="G134" s="24"/>
      <c r="H134" s="17"/>
      <c r="I134" s="17"/>
      <c r="J134" s="17"/>
      <c r="K134" s="17"/>
      <c r="L134" s="17"/>
      <c r="M134" s="17"/>
      <c r="N134" s="17"/>
      <c r="O134" s="17"/>
    </row>
    <row r="135">
      <c r="A135" s="18"/>
      <c r="B135" s="19"/>
      <c r="C135" s="20" t="s">
        <v>425</v>
      </c>
      <c r="D135" s="21">
        <v>200.0</v>
      </c>
      <c r="E135" s="22">
        <v>12.13</v>
      </c>
      <c r="F135" s="23">
        <f t="shared" si="1"/>
        <v>0.06065</v>
      </c>
      <c r="G135" s="24"/>
      <c r="H135" s="17"/>
      <c r="I135" s="17"/>
      <c r="J135" s="17"/>
      <c r="K135" s="17"/>
      <c r="L135" s="17"/>
      <c r="M135" s="17"/>
      <c r="N135" s="17"/>
      <c r="O135" s="17"/>
    </row>
    <row r="136">
      <c r="A136" s="18"/>
      <c r="B136" s="19"/>
      <c r="C136" s="20" t="s">
        <v>426</v>
      </c>
      <c r="D136" s="21">
        <v>1000.0</v>
      </c>
      <c r="E136" s="22">
        <v>8.04</v>
      </c>
      <c r="F136" s="23">
        <f t="shared" si="1"/>
        <v>0.00804</v>
      </c>
      <c r="G136" s="24"/>
      <c r="H136" s="17"/>
      <c r="I136" s="17"/>
      <c r="J136" s="17"/>
      <c r="K136" s="17"/>
      <c r="L136" s="17"/>
      <c r="M136" s="17"/>
      <c r="N136" s="17"/>
      <c r="O136" s="17"/>
    </row>
    <row r="137">
      <c r="A137" s="18"/>
      <c r="B137" s="19"/>
      <c r="C137" s="20" t="s">
        <v>427</v>
      </c>
      <c r="D137" s="14">
        <v>10000.0</v>
      </c>
      <c r="E137" s="22">
        <v>28.9</v>
      </c>
      <c r="F137" s="23">
        <f t="shared" si="1"/>
        <v>0.00289</v>
      </c>
      <c r="G137" s="24"/>
      <c r="H137" s="17"/>
      <c r="I137" s="17"/>
      <c r="J137" s="17"/>
      <c r="K137" s="17"/>
      <c r="L137" s="17"/>
      <c r="M137" s="17"/>
      <c r="N137" s="17"/>
      <c r="O137" s="17"/>
    </row>
    <row r="138">
      <c r="A138" s="18" t="s">
        <v>289</v>
      </c>
      <c r="B138" s="19">
        <v>1.735578E7</v>
      </c>
      <c r="C138" s="20" t="s">
        <v>428</v>
      </c>
      <c r="D138" s="21">
        <v>1000.0</v>
      </c>
      <c r="E138" s="22">
        <v>8.64</v>
      </c>
      <c r="F138" s="23">
        <f t="shared" si="1"/>
        <v>0.00864</v>
      </c>
      <c r="G138" s="24"/>
      <c r="H138" s="17"/>
      <c r="I138" s="17"/>
      <c r="J138" s="17"/>
      <c r="K138" s="17"/>
      <c r="L138" s="17"/>
      <c r="M138" s="17"/>
      <c r="N138" s="17"/>
      <c r="O138" s="17"/>
    </row>
    <row r="139">
      <c r="A139" s="18"/>
      <c r="B139" s="19"/>
      <c r="C139" s="20" t="s">
        <v>429</v>
      </c>
      <c r="D139" s="21">
        <v>1000.0</v>
      </c>
      <c r="E139" s="22">
        <v>2.99</v>
      </c>
      <c r="F139" s="23">
        <f t="shared" si="1"/>
        <v>0.00299</v>
      </c>
      <c r="G139" s="24"/>
      <c r="H139" s="17"/>
      <c r="I139" s="17"/>
      <c r="J139" s="17"/>
      <c r="K139" s="17"/>
      <c r="L139" s="17"/>
      <c r="M139" s="17"/>
      <c r="N139" s="17"/>
      <c r="O139" s="17"/>
    </row>
    <row r="140">
      <c r="A140" s="18" t="s">
        <v>289</v>
      </c>
      <c r="B140" s="19">
        <v>1.2105786E7</v>
      </c>
      <c r="C140" s="20" t="s">
        <v>430</v>
      </c>
      <c r="D140" s="21">
        <v>1000.0</v>
      </c>
      <c r="E140" s="22">
        <v>1.96</v>
      </c>
      <c r="F140" s="23">
        <f t="shared" si="1"/>
        <v>0.00196</v>
      </c>
      <c r="G140" s="24"/>
      <c r="H140" s="17"/>
      <c r="I140" s="17"/>
      <c r="J140" s="17"/>
      <c r="K140" s="17"/>
      <c r="L140" s="17"/>
      <c r="M140" s="17"/>
      <c r="N140" s="17"/>
      <c r="O140" s="17"/>
    </row>
    <row r="141">
      <c r="A141" s="18" t="s">
        <v>289</v>
      </c>
      <c r="B141" s="19">
        <v>1.6152915E7</v>
      </c>
      <c r="C141" s="20" t="s">
        <v>431</v>
      </c>
      <c r="D141" s="21">
        <v>170.0</v>
      </c>
      <c r="E141" s="22">
        <v>3.79</v>
      </c>
      <c r="F141" s="23">
        <f t="shared" si="1"/>
        <v>0.02229411765</v>
      </c>
      <c r="G141" s="24"/>
      <c r="H141" s="17"/>
      <c r="I141" s="17"/>
      <c r="J141" s="17"/>
      <c r="K141" s="17"/>
      <c r="L141" s="17"/>
      <c r="M141" s="17"/>
      <c r="N141" s="17"/>
      <c r="O141" s="17"/>
    </row>
    <row r="142">
      <c r="A142" s="18"/>
      <c r="B142" s="19"/>
      <c r="C142" s="20" t="s">
        <v>432</v>
      </c>
      <c r="D142" s="14">
        <v>176.0</v>
      </c>
      <c r="E142" s="22">
        <v>1.94</v>
      </c>
      <c r="F142" s="23">
        <f t="shared" si="1"/>
        <v>0.01102272727</v>
      </c>
      <c r="G142" s="24"/>
      <c r="H142" s="17"/>
      <c r="I142" s="17"/>
      <c r="J142" s="17"/>
      <c r="K142" s="17"/>
      <c r="L142" s="17"/>
      <c r="M142" s="17"/>
      <c r="N142" s="17"/>
      <c r="O142" s="17"/>
    </row>
    <row r="143">
      <c r="A143" s="18" t="s">
        <v>289</v>
      </c>
      <c r="B143" s="19">
        <v>1.7221153E7</v>
      </c>
      <c r="C143" s="20" t="s">
        <v>433</v>
      </c>
      <c r="D143" s="21">
        <v>1000.0</v>
      </c>
      <c r="E143" s="22">
        <v>5.69</v>
      </c>
      <c r="F143" s="23">
        <f t="shared" si="1"/>
        <v>0.00569</v>
      </c>
      <c r="G143" s="24"/>
      <c r="H143" s="17"/>
      <c r="I143" s="17"/>
      <c r="J143" s="17"/>
      <c r="K143" s="17"/>
      <c r="L143" s="17"/>
      <c r="M143" s="17"/>
      <c r="N143" s="17"/>
      <c r="O143" s="17"/>
    </row>
    <row r="144">
      <c r="A144" s="18" t="s">
        <v>289</v>
      </c>
      <c r="B144" s="19">
        <v>1.4694349E7</v>
      </c>
      <c r="C144" s="20" t="s">
        <v>434</v>
      </c>
      <c r="D144" s="21">
        <v>270.0</v>
      </c>
      <c r="E144" s="22">
        <v>7.79</v>
      </c>
      <c r="F144" s="23">
        <f t="shared" si="1"/>
        <v>0.02885185185</v>
      </c>
      <c r="G144" s="24"/>
      <c r="H144" s="17"/>
      <c r="I144" s="17"/>
      <c r="J144" s="17"/>
      <c r="K144" s="17"/>
      <c r="L144" s="17"/>
      <c r="M144" s="17"/>
      <c r="N144" s="17"/>
      <c r="O144" s="17"/>
    </row>
    <row r="145">
      <c r="A145" s="18" t="s">
        <v>289</v>
      </c>
      <c r="B145" s="19">
        <v>1.4757952E7</v>
      </c>
      <c r="C145" s="20" t="s">
        <v>435</v>
      </c>
      <c r="D145" s="21">
        <v>1000.0</v>
      </c>
      <c r="E145" s="22">
        <v>5.313</v>
      </c>
      <c r="F145" s="23">
        <f t="shared" si="1"/>
        <v>0.005313</v>
      </c>
      <c r="G145" s="24"/>
      <c r="H145" s="17"/>
      <c r="I145" s="17"/>
      <c r="J145" s="17"/>
      <c r="K145" s="17"/>
      <c r="L145" s="17"/>
      <c r="M145" s="17"/>
      <c r="N145" s="17"/>
      <c r="O145" s="17"/>
    </row>
    <row r="146">
      <c r="A146" s="18" t="s">
        <v>289</v>
      </c>
      <c r="B146" s="19">
        <v>1.4758041E7</v>
      </c>
      <c r="C146" s="20" t="s">
        <v>436</v>
      </c>
      <c r="D146" s="21">
        <v>1000.0</v>
      </c>
      <c r="E146" s="22">
        <v>7.642</v>
      </c>
      <c r="F146" s="23">
        <f t="shared" si="1"/>
        <v>0.007642</v>
      </c>
      <c r="G146" s="24"/>
      <c r="H146" s="17"/>
      <c r="I146" s="17"/>
      <c r="J146" s="17"/>
      <c r="K146" s="17"/>
      <c r="L146" s="17"/>
      <c r="M146" s="17"/>
      <c r="N146" s="17"/>
      <c r="O146" s="17"/>
    </row>
    <row r="147">
      <c r="A147" s="18" t="s">
        <v>289</v>
      </c>
      <c r="B147" s="19">
        <v>1.6152809E7</v>
      </c>
      <c r="C147" s="20" t="s">
        <v>437</v>
      </c>
      <c r="D147" s="21">
        <v>600.0</v>
      </c>
      <c r="E147" s="22">
        <v>10.38</v>
      </c>
      <c r="F147" s="23">
        <f t="shared" si="1"/>
        <v>0.0173</v>
      </c>
      <c r="G147" s="24"/>
      <c r="H147" s="17"/>
      <c r="I147" s="17"/>
      <c r="J147" s="17"/>
      <c r="K147" s="17"/>
      <c r="L147" s="17"/>
      <c r="M147" s="17"/>
      <c r="N147" s="17"/>
      <c r="O147" s="17"/>
    </row>
    <row r="148">
      <c r="A148" s="18" t="s">
        <v>289</v>
      </c>
      <c r="B148" s="19">
        <v>2.0132187E7</v>
      </c>
      <c r="C148" s="20" t="s">
        <v>438</v>
      </c>
      <c r="D148" s="21">
        <v>1000.0</v>
      </c>
      <c r="E148" s="22">
        <v>23.19</v>
      </c>
      <c r="F148" s="23">
        <f t="shared" si="1"/>
        <v>0.02319</v>
      </c>
      <c r="G148" s="24"/>
      <c r="H148" s="17"/>
      <c r="I148" s="17"/>
      <c r="J148" s="17"/>
      <c r="K148" s="17"/>
      <c r="L148" s="17"/>
      <c r="M148" s="17"/>
      <c r="N148" s="17"/>
      <c r="O148" s="17"/>
    </row>
    <row r="149">
      <c r="A149" s="18"/>
      <c r="B149" s="19"/>
      <c r="C149" s="20" t="s">
        <v>439</v>
      </c>
      <c r="D149" s="14">
        <v>1000.0</v>
      </c>
      <c r="E149" s="22">
        <v>2.933</v>
      </c>
      <c r="F149" s="23">
        <f t="shared" si="1"/>
        <v>0.002933</v>
      </c>
      <c r="G149" s="24"/>
      <c r="H149" s="17"/>
      <c r="I149" s="17"/>
      <c r="J149" s="17"/>
      <c r="K149" s="17"/>
      <c r="L149" s="17"/>
      <c r="M149" s="17"/>
      <c r="N149" s="17"/>
      <c r="O149" s="17"/>
    </row>
    <row r="150">
      <c r="A150" s="18" t="s">
        <v>297</v>
      </c>
      <c r="B150" s="19"/>
      <c r="C150" s="20" t="s">
        <v>440</v>
      </c>
      <c r="D150" s="14">
        <v>1000.0</v>
      </c>
      <c r="E150" s="22">
        <v>15.9</v>
      </c>
      <c r="F150" s="23">
        <f t="shared" si="1"/>
        <v>0.0159</v>
      </c>
      <c r="G150" s="24"/>
      <c r="H150" s="17"/>
      <c r="I150" s="17"/>
      <c r="J150" s="17"/>
      <c r="K150" s="17"/>
      <c r="L150" s="17"/>
      <c r="M150" s="17"/>
      <c r="N150" s="17"/>
      <c r="O150" s="17"/>
    </row>
    <row r="151">
      <c r="A151" s="18" t="s">
        <v>289</v>
      </c>
      <c r="B151" s="19">
        <v>1.4761034E7</v>
      </c>
      <c r="C151" s="20" t="s">
        <v>441</v>
      </c>
      <c r="D151" s="21">
        <v>250.0</v>
      </c>
      <c r="E151" s="22">
        <v>2.38</v>
      </c>
      <c r="F151" s="23">
        <f t="shared" si="1"/>
        <v>0.00952</v>
      </c>
      <c r="G151" s="24"/>
      <c r="H151" s="17"/>
      <c r="I151" s="17"/>
      <c r="J151" s="17"/>
      <c r="K151" s="17"/>
      <c r="L151" s="17"/>
      <c r="M151" s="17"/>
      <c r="N151" s="17"/>
      <c r="O151" s="17"/>
    </row>
    <row r="152">
      <c r="A152" s="18" t="s">
        <v>289</v>
      </c>
      <c r="B152" s="19">
        <v>1.6152793E7</v>
      </c>
      <c r="C152" s="20" t="s">
        <v>442</v>
      </c>
      <c r="D152" s="21">
        <v>600.0</v>
      </c>
      <c r="E152" s="22">
        <v>19.44</v>
      </c>
      <c r="F152" s="23">
        <f t="shared" si="1"/>
        <v>0.0324</v>
      </c>
      <c r="G152" s="24"/>
      <c r="H152" s="17"/>
      <c r="I152" s="17"/>
      <c r="J152" s="17"/>
      <c r="K152" s="17"/>
      <c r="L152" s="17"/>
      <c r="M152" s="17"/>
      <c r="N152" s="17"/>
      <c r="O152" s="17"/>
    </row>
    <row r="153">
      <c r="A153" s="18" t="s">
        <v>289</v>
      </c>
      <c r="B153" s="26">
        <v>1.4761584E7</v>
      </c>
      <c r="C153" s="20" t="s">
        <v>443</v>
      </c>
      <c r="D153" s="14">
        <v>1000.0</v>
      </c>
      <c r="E153" s="22">
        <v>21.0</v>
      </c>
      <c r="F153" s="23">
        <f t="shared" si="1"/>
        <v>0.021</v>
      </c>
      <c r="G153" s="24"/>
      <c r="H153" s="17"/>
      <c r="I153" s="17"/>
      <c r="J153" s="17"/>
      <c r="K153" s="17"/>
      <c r="L153" s="17"/>
      <c r="M153" s="17"/>
      <c r="N153" s="17"/>
      <c r="O153" s="17"/>
    </row>
    <row r="154">
      <c r="A154" s="18"/>
      <c r="B154" s="19"/>
      <c r="C154" s="20" t="s">
        <v>444</v>
      </c>
      <c r="D154" s="21">
        <v>1000.0</v>
      </c>
      <c r="E154" s="22">
        <v>4.293</v>
      </c>
      <c r="F154" s="23">
        <f t="shared" si="1"/>
        <v>0.004293</v>
      </c>
      <c r="G154" s="24"/>
      <c r="H154" s="17"/>
      <c r="I154" s="17"/>
      <c r="J154" s="17"/>
      <c r="K154" s="17"/>
      <c r="L154" s="17"/>
      <c r="M154" s="17"/>
      <c r="N154" s="17"/>
      <c r="O154" s="17"/>
    </row>
    <row r="155">
      <c r="A155" s="18" t="s">
        <v>289</v>
      </c>
      <c r="B155" s="19">
        <v>1.6588011E7</v>
      </c>
      <c r="C155" s="20" t="s">
        <v>445</v>
      </c>
      <c r="D155" s="21">
        <v>450.0</v>
      </c>
      <c r="E155" s="22">
        <v>2.01</v>
      </c>
      <c r="F155" s="23">
        <f t="shared" si="1"/>
        <v>0.004466666667</v>
      </c>
      <c r="G155" s="24"/>
      <c r="H155" s="17"/>
      <c r="I155" s="17"/>
      <c r="J155" s="17"/>
      <c r="K155" s="17"/>
      <c r="L155" s="17"/>
      <c r="M155" s="17"/>
      <c r="N155" s="17"/>
      <c r="O155" s="17"/>
    </row>
    <row r="156">
      <c r="A156" s="18"/>
      <c r="B156" s="19"/>
      <c r="C156" s="20" t="s">
        <v>446</v>
      </c>
      <c r="D156" s="14">
        <v>1000.0</v>
      </c>
      <c r="E156" s="22">
        <v>11.0</v>
      </c>
      <c r="F156" s="23">
        <f t="shared" si="1"/>
        <v>0.011</v>
      </c>
      <c r="G156" s="24"/>
      <c r="H156" s="17"/>
      <c r="I156" s="17"/>
      <c r="J156" s="17"/>
      <c r="K156" s="17"/>
      <c r="L156" s="17"/>
      <c r="M156" s="17"/>
      <c r="N156" s="17"/>
      <c r="O156" s="17"/>
    </row>
    <row r="157">
      <c r="A157" s="18" t="s">
        <v>289</v>
      </c>
      <c r="B157" s="19">
        <v>1.6788367E7</v>
      </c>
      <c r="C157" s="20" t="s">
        <v>447</v>
      </c>
      <c r="D157" s="21">
        <v>1000.0</v>
      </c>
      <c r="E157" s="22">
        <v>41.79</v>
      </c>
      <c r="F157" s="23">
        <f t="shared" si="1"/>
        <v>0.04179</v>
      </c>
      <c r="G157" s="24"/>
      <c r="H157" s="17"/>
      <c r="I157" s="17"/>
      <c r="J157" s="17"/>
      <c r="K157" s="17"/>
      <c r="L157" s="17"/>
      <c r="M157" s="17"/>
      <c r="N157" s="17"/>
      <c r="O157" s="17"/>
    </row>
    <row r="158">
      <c r="A158" s="18">
        <v>8.6</v>
      </c>
      <c r="B158" s="19">
        <v>1.6317338E7</v>
      </c>
      <c r="C158" s="20" t="s">
        <v>448</v>
      </c>
      <c r="D158" s="14">
        <v>1000.0</v>
      </c>
      <c r="E158" s="22">
        <v>3.11</v>
      </c>
      <c r="F158" s="23">
        <f t="shared" si="1"/>
        <v>0.00311</v>
      </c>
      <c r="G158" s="24"/>
      <c r="H158" s="17"/>
      <c r="I158" s="17"/>
      <c r="J158" s="17"/>
      <c r="K158" s="17"/>
      <c r="L158" s="17"/>
      <c r="M158" s="17"/>
      <c r="N158" s="17"/>
      <c r="O158" s="17"/>
    </row>
    <row r="159">
      <c r="A159" s="18"/>
      <c r="B159" s="19"/>
      <c r="C159" s="20" t="s">
        <v>449</v>
      </c>
      <c r="D159" s="21">
        <v>1000.0</v>
      </c>
      <c r="E159" s="22">
        <v>3.21</v>
      </c>
      <c r="F159" s="23">
        <f t="shared" si="1"/>
        <v>0.00321</v>
      </c>
      <c r="G159" s="24"/>
      <c r="H159" s="17"/>
      <c r="I159" s="17"/>
      <c r="J159" s="17"/>
      <c r="K159" s="17"/>
      <c r="L159" s="17"/>
      <c r="M159" s="17"/>
      <c r="N159" s="17"/>
      <c r="O159" s="17"/>
    </row>
    <row r="160">
      <c r="A160" s="18" t="s">
        <v>289</v>
      </c>
      <c r="B160" s="26">
        <v>1.5741295E7</v>
      </c>
      <c r="C160" s="29" t="s">
        <v>450</v>
      </c>
      <c r="D160" s="14">
        <v>1000.0</v>
      </c>
      <c r="E160" s="22">
        <v>7.2</v>
      </c>
      <c r="F160" s="23">
        <f t="shared" si="1"/>
        <v>0.0072</v>
      </c>
      <c r="G160" s="24"/>
      <c r="H160" s="17"/>
      <c r="I160" s="17"/>
      <c r="J160" s="17"/>
      <c r="K160" s="17"/>
      <c r="L160" s="17"/>
      <c r="M160" s="17"/>
      <c r="N160" s="17"/>
      <c r="O160" s="17"/>
    </row>
    <row r="161">
      <c r="A161" s="18"/>
      <c r="B161" s="19"/>
      <c r="C161" s="20" t="s">
        <v>451</v>
      </c>
      <c r="D161" s="14">
        <v>5000.0</v>
      </c>
      <c r="E161" s="22">
        <v>34.0</v>
      </c>
      <c r="F161" s="23">
        <f t="shared" si="1"/>
        <v>0.0068</v>
      </c>
      <c r="G161" s="24"/>
      <c r="H161" s="17"/>
      <c r="I161" s="17"/>
      <c r="J161" s="17"/>
      <c r="K161" s="17"/>
      <c r="L161" s="17"/>
      <c r="M161" s="17"/>
      <c r="N161" s="17"/>
      <c r="O161" s="17"/>
    </row>
    <row r="162">
      <c r="A162" s="18" t="s">
        <v>289</v>
      </c>
      <c r="B162" s="19">
        <v>2.0020194E7</v>
      </c>
      <c r="C162" s="20" t="s">
        <v>452</v>
      </c>
      <c r="D162" s="14">
        <v>250.0</v>
      </c>
      <c r="E162" s="22">
        <v>0.598</v>
      </c>
      <c r="F162" s="23">
        <f t="shared" si="1"/>
        <v>0.002392</v>
      </c>
      <c r="G162" s="24"/>
      <c r="H162" s="17"/>
      <c r="I162" s="17"/>
      <c r="J162" s="17"/>
      <c r="K162" s="17"/>
      <c r="L162" s="17"/>
      <c r="M162" s="17"/>
      <c r="N162" s="17"/>
      <c r="O162" s="17"/>
    </row>
    <row r="163">
      <c r="A163" s="18"/>
      <c r="B163" s="26" t="s">
        <v>297</v>
      </c>
      <c r="C163" s="20" t="s">
        <v>453</v>
      </c>
      <c r="D163" s="14">
        <v>1000.0</v>
      </c>
      <c r="E163" s="22">
        <f>4.5/1.19</f>
        <v>3.781512605</v>
      </c>
      <c r="F163" s="23">
        <f t="shared" si="1"/>
        <v>0.003781512605</v>
      </c>
      <c r="G163" s="24"/>
      <c r="H163" s="17"/>
      <c r="I163" s="17"/>
      <c r="J163" s="17"/>
      <c r="K163" s="17"/>
      <c r="L163" s="17"/>
      <c r="M163" s="17"/>
      <c r="N163" s="17"/>
      <c r="O163" s="17"/>
    </row>
    <row r="164">
      <c r="A164" s="18" t="s">
        <v>289</v>
      </c>
      <c r="B164" s="19">
        <v>1.7549707E7</v>
      </c>
      <c r="C164" s="20" t="s">
        <v>454</v>
      </c>
      <c r="D164" s="21">
        <v>400.0</v>
      </c>
      <c r="E164" s="22">
        <v>5.29</v>
      </c>
      <c r="F164" s="23">
        <f t="shared" si="1"/>
        <v>0.013225</v>
      </c>
      <c r="G164" s="24"/>
      <c r="H164" s="17"/>
      <c r="I164" s="17"/>
      <c r="J164" s="17"/>
      <c r="K164" s="17"/>
      <c r="L164" s="17"/>
      <c r="M164" s="17"/>
      <c r="N164" s="17"/>
      <c r="O164" s="17"/>
    </row>
    <row r="165">
      <c r="A165" s="18" t="s">
        <v>289</v>
      </c>
      <c r="B165" s="19">
        <v>1.1426738E7</v>
      </c>
      <c r="C165" s="20" t="s">
        <v>455</v>
      </c>
      <c r="D165" s="21">
        <v>1000.0</v>
      </c>
      <c r="E165" s="22">
        <v>1.99</v>
      </c>
      <c r="F165" s="23">
        <f t="shared" si="1"/>
        <v>0.00199</v>
      </c>
      <c r="G165" s="24"/>
      <c r="H165" s="17"/>
      <c r="I165" s="17"/>
      <c r="J165" s="17"/>
      <c r="K165" s="17"/>
      <c r="L165" s="17"/>
      <c r="M165" s="17"/>
      <c r="N165" s="17"/>
      <c r="O165" s="17"/>
    </row>
    <row r="166">
      <c r="A166" s="18" t="s">
        <v>289</v>
      </c>
      <c r="B166" s="26">
        <v>1.5990907E7</v>
      </c>
      <c r="C166" s="20" t="s">
        <v>456</v>
      </c>
      <c r="D166" s="14">
        <v>1000.0</v>
      </c>
      <c r="E166" s="22">
        <v>5.68</v>
      </c>
      <c r="F166" s="23">
        <f t="shared" si="1"/>
        <v>0.00568</v>
      </c>
      <c r="G166" s="24"/>
      <c r="H166" s="17"/>
      <c r="I166" s="17"/>
      <c r="J166" s="17"/>
      <c r="K166" s="17"/>
      <c r="L166" s="17"/>
      <c r="M166" s="17"/>
      <c r="N166" s="17"/>
      <c r="O166" s="17"/>
    </row>
    <row r="167">
      <c r="A167" s="18" t="s">
        <v>289</v>
      </c>
      <c r="B167" s="26">
        <v>1.2143276E7</v>
      </c>
      <c r="C167" s="20" t="s">
        <v>457</v>
      </c>
      <c r="D167" s="21">
        <v>1000.0</v>
      </c>
      <c r="E167" s="22">
        <v>5.99</v>
      </c>
      <c r="F167" s="23">
        <f t="shared" si="1"/>
        <v>0.00599</v>
      </c>
      <c r="G167" s="24"/>
      <c r="H167" s="17"/>
      <c r="I167" s="17"/>
      <c r="J167" s="17"/>
      <c r="K167" s="17"/>
      <c r="L167" s="17"/>
      <c r="M167" s="17"/>
      <c r="N167" s="17"/>
      <c r="O167" s="17"/>
    </row>
    <row r="168">
      <c r="A168" s="18" t="s">
        <v>289</v>
      </c>
      <c r="B168" s="19">
        <v>2.0028572E7</v>
      </c>
      <c r="C168" s="20" t="s">
        <v>458</v>
      </c>
      <c r="D168" s="21">
        <v>1000.0</v>
      </c>
      <c r="E168" s="22">
        <v>8.49</v>
      </c>
      <c r="F168" s="23">
        <f t="shared" si="1"/>
        <v>0.00849</v>
      </c>
      <c r="G168" s="24"/>
      <c r="H168" s="17"/>
      <c r="I168" s="17"/>
      <c r="J168" s="17"/>
      <c r="K168" s="17"/>
      <c r="L168" s="17"/>
      <c r="M168" s="17"/>
      <c r="N168" s="17"/>
      <c r="O168" s="17"/>
    </row>
    <row r="169">
      <c r="A169" s="18" t="s">
        <v>289</v>
      </c>
      <c r="B169" s="19">
        <v>1.6996472E7</v>
      </c>
      <c r="C169" s="20" t="s">
        <v>459</v>
      </c>
      <c r="D169" s="21">
        <v>500.0</v>
      </c>
      <c r="E169" s="22">
        <v>1.21</v>
      </c>
      <c r="F169" s="23">
        <f t="shared" si="1"/>
        <v>0.00242</v>
      </c>
      <c r="G169" s="24"/>
      <c r="H169" s="17"/>
      <c r="I169" s="17"/>
      <c r="J169" s="17"/>
      <c r="K169" s="17"/>
      <c r="L169" s="17"/>
      <c r="M169" s="17"/>
      <c r="N169" s="17"/>
      <c r="O169" s="17"/>
    </row>
    <row r="170">
      <c r="A170" s="18" t="s">
        <v>289</v>
      </c>
      <c r="B170" s="19">
        <v>1.4762086E7</v>
      </c>
      <c r="C170" s="20" t="s">
        <v>460</v>
      </c>
      <c r="D170" s="21">
        <v>250.0</v>
      </c>
      <c r="E170" s="22">
        <v>1.947</v>
      </c>
      <c r="F170" s="23">
        <f t="shared" si="1"/>
        <v>0.007788</v>
      </c>
      <c r="G170" s="24"/>
      <c r="H170" s="17"/>
      <c r="I170" s="17"/>
      <c r="J170" s="17"/>
      <c r="K170" s="17"/>
      <c r="L170" s="17"/>
      <c r="M170" s="17"/>
      <c r="N170" s="17"/>
      <c r="O170" s="17"/>
    </row>
    <row r="171">
      <c r="A171" s="18" t="s">
        <v>289</v>
      </c>
      <c r="B171" s="19">
        <v>1.4875113E7</v>
      </c>
      <c r="C171" s="20" t="s">
        <v>461</v>
      </c>
      <c r="D171" s="21">
        <v>140.0</v>
      </c>
      <c r="E171" s="22">
        <v>29.36</v>
      </c>
      <c r="F171" s="23">
        <f t="shared" si="1"/>
        <v>0.2097142857</v>
      </c>
      <c r="G171" s="24"/>
      <c r="H171" s="17"/>
      <c r="I171" s="17"/>
      <c r="J171" s="17"/>
      <c r="K171" s="17"/>
      <c r="L171" s="17"/>
      <c r="M171" s="17"/>
      <c r="N171" s="17"/>
      <c r="O171" s="17"/>
    </row>
    <row r="172">
      <c r="A172" s="18"/>
      <c r="B172" s="19"/>
      <c r="C172" s="20" t="s">
        <v>462</v>
      </c>
      <c r="D172" s="21">
        <v>5000.0</v>
      </c>
      <c r="E172" s="22">
        <v>31.45</v>
      </c>
      <c r="F172" s="23">
        <f t="shared" si="1"/>
        <v>0.00629</v>
      </c>
      <c r="G172" s="24"/>
      <c r="H172" s="17"/>
      <c r="I172" s="17"/>
      <c r="J172" s="17"/>
      <c r="K172" s="17"/>
      <c r="L172" s="17"/>
      <c r="M172" s="17"/>
      <c r="N172" s="17"/>
      <c r="O172" s="17"/>
    </row>
    <row r="173">
      <c r="A173" s="18"/>
      <c r="B173" s="19"/>
      <c r="C173" s="20" t="s">
        <v>463</v>
      </c>
      <c r="D173" s="14">
        <v>1000.0</v>
      </c>
      <c r="E173" s="22">
        <v>1.2</v>
      </c>
      <c r="F173" s="23">
        <f t="shared" si="1"/>
        <v>0.0012</v>
      </c>
      <c r="G173" s="24"/>
      <c r="H173" s="17"/>
      <c r="I173" s="17"/>
      <c r="J173" s="17"/>
      <c r="K173" s="17"/>
      <c r="L173" s="17"/>
      <c r="M173" s="17"/>
      <c r="N173" s="17"/>
      <c r="O173" s="17"/>
    </row>
    <row r="174">
      <c r="A174" s="18" t="s">
        <v>289</v>
      </c>
      <c r="B174" s="19">
        <v>1.4758799E7</v>
      </c>
      <c r="C174" s="20" t="s">
        <v>464</v>
      </c>
      <c r="D174" s="21">
        <v>1000.0</v>
      </c>
      <c r="E174" s="22">
        <v>1.148</v>
      </c>
      <c r="F174" s="23">
        <f t="shared" si="1"/>
        <v>0.001148</v>
      </c>
      <c r="G174" s="24"/>
      <c r="H174" s="17"/>
      <c r="I174" s="17"/>
      <c r="J174" s="17"/>
      <c r="K174" s="17"/>
      <c r="L174" s="17"/>
      <c r="M174" s="17"/>
      <c r="N174" s="17"/>
      <c r="O174" s="17"/>
    </row>
    <row r="175">
      <c r="A175" s="18"/>
      <c r="B175" s="19"/>
      <c r="C175" s="20" t="s">
        <v>465</v>
      </c>
      <c r="D175" s="21">
        <v>750.0</v>
      </c>
      <c r="E175" s="22">
        <v>8.05</v>
      </c>
      <c r="F175" s="23">
        <f t="shared" si="1"/>
        <v>0.01073333333</v>
      </c>
      <c r="G175" s="24"/>
      <c r="H175" s="17"/>
      <c r="I175" s="17"/>
      <c r="J175" s="17"/>
      <c r="K175" s="17"/>
      <c r="L175" s="17"/>
      <c r="M175" s="17"/>
      <c r="N175" s="17"/>
      <c r="O175" s="17"/>
    </row>
    <row r="176">
      <c r="A176" s="18" t="s">
        <v>289</v>
      </c>
      <c r="B176" s="19">
        <v>1.2250042E7</v>
      </c>
      <c r="C176" s="20" t="s">
        <v>466</v>
      </c>
      <c r="D176" s="21">
        <v>1000.0</v>
      </c>
      <c r="E176" s="22">
        <v>4.43</v>
      </c>
      <c r="F176" s="23">
        <f t="shared" si="1"/>
        <v>0.00443</v>
      </c>
      <c r="G176" s="24"/>
      <c r="H176" s="17"/>
      <c r="I176" s="17"/>
      <c r="J176" s="17"/>
      <c r="K176" s="17"/>
      <c r="L176" s="17"/>
      <c r="M176" s="17"/>
      <c r="N176" s="17"/>
      <c r="O176" s="17"/>
    </row>
    <row r="177">
      <c r="A177" s="18" t="s">
        <v>289</v>
      </c>
      <c r="B177" s="19">
        <v>1.7931212E7</v>
      </c>
      <c r="C177" s="20" t="s">
        <v>467</v>
      </c>
      <c r="D177" s="21">
        <v>500.0</v>
      </c>
      <c r="E177" s="22">
        <v>0.184</v>
      </c>
      <c r="F177" s="23">
        <f t="shared" si="1"/>
        <v>0.000368</v>
      </c>
      <c r="G177" s="24"/>
      <c r="H177" s="17"/>
      <c r="I177" s="17"/>
      <c r="J177" s="17"/>
      <c r="K177" s="17"/>
      <c r="L177" s="17"/>
      <c r="M177" s="17"/>
      <c r="N177" s="17"/>
      <c r="O177" s="17"/>
    </row>
    <row r="178">
      <c r="A178" s="18" t="s">
        <v>297</v>
      </c>
      <c r="B178" s="19"/>
      <c r="C178" s="20" t="s">
        <v>468</v>
      </c>
      <c r="D178" s="14">
        <v>1000.0</v>
      </c>
      <c r="E178" s="22">
        <v>6.5</v>
      </c>
      <c r="F178" s="23">
        <f t="shared" si="1"/>
        <v>0.0065</v>
      </c>
      <c r="G178" s="24"/>
      <c r="H178" s="17"/>
      <c r="I178" s="17"/>
      <c r="J178" s="17"/>
      <c r="K178" s="17"/>
      <c r="L178" s="17"/>
      <c r="M178" s="17"/>
      <c r="N178" s="17"/>
      <c r="O178" s="17"/>
    </row>
    <row r="179">
      <c r="A179" s="18" t="s">
        <v>289</v>
      </c>
      <c r="B179" s="19"/>
      <c r="C179" s="20" t="s">
        <v>469</v>
      </c>
      <c r="D179" s="21">
        <v>300.0</v>
      </c>
      <c r="E179" s="22">
        <v>3.32</v>
      </c>
      <c r="F179" s="23">
        <f t="shared" si="1"/>
        <v>0.01106666667</v>
      </c>
      <c r="G179" s="24"/>
      <c r="H179" s="17"/>
      <c r="I179" s="17"/>
      <c r="J179" s="17"/>
      <c r="K179" s="17"/>
      <c r="L179" s="17"/>
      <c r="M179" s="17"/>
      <c r="N179" s="17"/>
      <c r="O179" s="17"/>
    </row>
    <row r="180">
      <c r="A180" s="18" t="s">
        <v>289</v>
      </c>
      <c r="B180" s="26">
        <v>1.0805268E7</v>
      </c>
      <c r="C180" s="20" t="s">
        <v>470</v>
      </c>
      <c r="D180" s="14">
        <v>1000.0</v>
      </c>
      <c r="E180" s="15">
        <v>4.54</v>
      </c>
      <c r="F180" s="23">
        <f t="shared" si="1"/>
        <v>0.00454</v>
      </c>
      <c r="G180" s="24"/>
      <c r="H180" s="17"/>
      <c r="I180" s="17"/>
      <c r="J180" s="17"/>
      <c r="K180" s="17"/>
      <c r="L180" s="17"/>
      <c r="M180" s="17"/>
      <c r="N180" s="17"/>
      <c r="O180" s="17"/>
    </row>
    <row r="181">
      <c r="A181" s="18" t="s">
        <v>289</v>
      </c>
      <c r="B181" s="19">
        <v>1.4761249E7</v>
      </c>
      <c r="C181" s="20" t="s">
        <v>471</v>
      </c>
      <c r="D181" s="21">
        <v>100.0</v>
      </c>
      <c r="E181" s="22">
        <v>2.712</v>
      </c>
      <c r="F181" s="23">
        <f t="shared" si="1"/>
        <v>0.02712</v>
      </c>
      <c r="G181" s="24"/>
      <c r="H181" s="17"/>
      <c r="I181" s="17"/>
      <c r="J181" s="17"/>
      <c r="K181" s="17"/>
      <c r="L181" s="17"/>
      <c r="M181" s="17"/>
      <c r="N181" s="17"/>
      <c r="O181" s="17"/>
    </row>
    <row r="182">
      <c r="A182" s="18" t="s">
        <v>289</v>
      </c>
      <c r="B182" s="26">
        <v>1.4044984E7</v>
      </c>
      <c r="C182" s="20" t="s">
        <v>472</v>
      </c>
      <c r="D182" s="14">
        <v>5000.0</v>
      </c>
      <c r="E182" s="22">
        <v>20.45</v>
      </c>
      <c r="F182" s="23">
        <f t="shared" si="1"/>
        <v>0.00409</v>
      </c>
      <c r="G182" s="24"/>
      <c r="H182" s="17"/>
      <c r="I182" s="17"/>
      <c r="J182" s="17"/>
      <c r="K182" s="17"/>
      <c r="L182" s="17"/>
      <c r="M182" s="17"/>
      <c r="N182" s="17"/>
      <c r="O182" s="17"/>
    </row>
    <row r="183">
      <c r="A183" s="18" t="s">
        <v>289</v>
      </c>
      <c r="B183" s="19">
        <v>1.4397639E7</v>
      </c>
      <c r="C183" s="20" t="s">
        <v>473</v>
      </c>
      <c r="D183" s="14">
        <v>2500.0</v>
      </c>
      <c r="E183" s="22">
        <v>36.1</v>
      </c>
      <c r="F183" s="23">
        <f t="shared" si="1"/>
        <v>0.01444</v>
      </c>
      <c r="G183" s="24"/>
      <c r="H183" s="17"/>
      <c r="I183" s="17"/>
      <c r="J183" s="17"/>
      <c r="K183" s="17"/>
      <c r="L183" s="17"/>
      <c r="M183" s="17"/>
      <c r="N183" s="17"/>
      <c r="O183" s="17"/>
    </row>
    <row r="184">
      <c r="A184" s="18"/>
      <c r="B184" s="19"/>
      <c r="C184" s="20" t="s">
        <v>474</v>
      </c>
      <c r="D184" s="21">
        <v>900.0</v>
      </c>
      <c r="E184" s="22">
        <v>8.34</v>
      </c>
      <c r="F184" s="23">
        <f t="shared" si="1"/>
        <v>0.009266666667</v>
      </c>
      <c r="G184" s="24"/>
      <c r="H184" s="17"/>
      <c r="I184" s="17"/>
      <c r="J184" s="17"/>
      <c r="K184" s="17"/>
      <c r="L184" s="17"/>
      <c r="M184" s="17"/>
      <c r="N184" s="17"/>
      <c r="O184" s="17"/>
    </row>
    <row r="185">
      <c r="A185" s="18" t="s">
        <v>289</v>
      </c>
      <c r="B185" s="19">
        <v>1.6943018E7</v>
      </c>
      <c r="C185" s="20" t="s">
        <v>475</v>
      </c>
      <c r="D185" s="21">
        <v>100.0</v>
      </c>
      <c r="E185" s="22">
        <v>2.97</v>
      </c>
      <c r="F185" s="23">
        <f t="shared" si="1"/>
        <v>0.0297</v>
      </c>
      <c r="G185" s="24"/>
      <c r="H185" s="17"/>
      <c r="I185" s="17"/>
      <c r="J185" s="17"/>
      <c r="K185" s="17"/>
      <c r="L185" s="17"/>
      <c r="M185" s="17"/>
      <c r="N185" s="17"/>
      <c r="O185" s="17"/>
    </row>
    <row r="186">
      <c r="A186" s="18"/>
      <c r="B186" s="19"/>
      <c r="C186" s="20" t="s">
        <v>476</v>
      </c>
      <c r="D186" s="21">
        <v>1200.0</v>
      </c>
      <c r="E186" s="22">
        <v>28.64</v>
      </c>
      <c r="F186" s="23">
        <f t="shared" si="1"/>
        <v>0.02386666667</v>
      </c>
      <c r="G186" s="24"/>
      <c r="H186" s="17"/>
      <c r="I186" s="17"/>
      <c r="J186" s="17"/>
      <c r="K186" s="17"/>
      <c r="L186" s="17"/>
      <c r="M186" s="17"/>
      <c r="N186" s="17"/>
      <c r="O186" s="17"/>
    </row>
    <row r="187">
      <c r="A187" s="18" t="s">
        <v>289</v>
      </c>
      <c r="B187" s="19">
        <v>1.0335239E7</v>
      </c>
      <c r="C187" s="20" t="s">
        <v>477</v>
      </c>
      <c r="D187" s="21">
        <v>1000.0</v>
      </c>
      <c r="E187" s="22">
        <v>5.99</v>
      </c>
      <c r="F187" s="23">
        <f t="shared" si="1"/>
        <v>0.00599</v>
      </c>
      <c r="G187" s="24"/>
      <c r="H187" s="17"/>
      <c r="I187" s="17"/>
      <c r="J187" s="17"/>
      <c r="K187" s="17"/>
      <c r="L187" s="17"/>
      <c r="M187" s="17"/>
      <c r="N187" s="17"/>
      <c r="O187" s="17"/>
    </row>
    <row r="188">
      <c r="A188" s="18" t="s">
        <v>289</v>
      </c>
      <c r="B188" s="19">
        <v>1.0329429E7</v>
      </c>
      <c r="C188" s="20" t="s">
        <v>478</v>
      </c>
      <c r="D188" s="21">
        <v>1000.0</v>
      </c>
      <c r="E188" s="22">
        <v>5.89</v>
      </c>
      <c r="F188" s="23">
        <f t="shared" si="1"/>
        <v>0.00589</v>
      </c>
      <c r="G188" s="24"/>
      <c r="H188" s="17"/>
      <c r="I188" s="17"/>
      <c r="J188" s="17"/>
      <c r="K188" s="17"/>
      <c r="L188" s="17"/>
      <c r="M188" s="17"/>
      <c r="N188" s="17"/>
      <c r="O188" s="17"/>
    </row>
    <row r="189">
      <c r="A189" s="18"/>
      <c r="B189" s="19"/>
      <c r="C189" s="20" t="s">
        <v>479</v>
      </c>
      <c r="D189" s="21">
        <v>1000.0</v>
      </c>
      <c r="E189" s="22">
        <v>5.89</v>
      </c>
      <c r="F189" s="23">
        <f t="shared" si="1"/>
        <v>0.00589</v>
      </c>
      <c r="G189" s="24"/>
      <c r="H189" s="17"/>
      <c r="I189" s="17"/>
      <c r="J189" s="17"/>
      <c r="K189" s="17"/>
      <c r="L189" s="17"/>
      <c r="M189" s="17"/>
      <c r="N189" s="17"/>
      <c r="O189" s="17"/>
    </row>
    <row r="190">
      <c r="A190" s="18" t="s">
        <v>289</v>
      </c>
      <c r="B190" s="26">
        <v>1.369843E7</v>
      </c>
      <c r="C190" s="20" t="s">
        <v>480</v>
      </c>
      <c r="D190" s="21">
        <v>1000.0</v>
      </c>
      <c r="E190" s="22">
        <v>5.89</v>
      </c>
      <c r="F190" s="23">
        <f t="shared" si="1"/>
        <v>0.00589</v>
      </c>
      <c r="G190" s="24"/>
      <c r="H190" s="17"/>
      <c r="I190" s="17"/>
      <c r="J190" s="17"/>
      <c r="K190" s="17"/>
      <c r="L190" s="17"/>
      <c r="M190" s="17"/>
      <c r="N190" s="17"/>
      <c r="O190" s="17"/>
    </row>
    <row r="191">
      <c r="A191" s="18"/>
      <c r="B191" s="19"/>
      <c r="C191" s="20" t="s">
        <v>481</v>
      </c>
      <c r="D191" s="21">
        <v>1000.0</v>
      </c>
      <c r="E191" s="22">
        <v>0.92</v>
      </c>
      <c r="F191" s="23">
        <f t="shared" si="1"/>
        <v>0.00092</v>
      </c>
      <c r="G191" s="24"/>
      <c r="H191" s="17"/>
      <c r="I191" s="17"/>
      <c r="J191" s="17"/>
      <c r="K191" s="17"/>
      <c r="L191" s="17"/>
      <c r="M191" s="17"/>
      <c r="N191" s="17"/>
      <c r="O191" s="17"/>
    </row>
    <row r="192">
      <c r="A192" s="18" t="s">
        <v>289</v>
      </c>
      <c r="B192" s="26">
        <v>1.8846126E7</v>
      </c>
      <c r="C192" s="20" t="s">
        <v>482</v>
      </c>
      <c r="D192" s="14">
        <v>5000.0</v>
      </c>
      <c r="E192" s="22">
        <v>16.1</v>
      </c>
      <c r="F192" s="23">
        <f t="shared" si="1"/>
        <v>0.00322</v>
      </c>
      <c r="G192" s="24"/>
      <c r="H192" s="17"/>
      <c r="I192" s="17"/>
      <c r="J192" s="17"/>
      <c r="K192" s="17"/>
      <c r="L192" s="17"/>
      <c r="M192" s="17"/>
      <c r="N192" s="17"/>
      <c r="O192" s="17"/>
    </row>
    <row r="193">
      <c r="A193" s="18" t="s">
        <v>289</v>
      </c>
      <c r="B193" s="19">
        <v>1.3702526E7</v>
      </c>
      <c r="C193" s="20" t="s">
        <v>483</v>
      </c>
      <c r="D193" s="21">
        <v>1000.0</v>
      </c>
      <c r="E193" s="22">
        <v>9.25</v>
      </c>
      <c r="F193" s="23">
        <f t="shared" si="1"/>
        <v>0.00925</v>
      </c>
      <c r="G193" s="24"/>
      <c r="H193" s="17"/>
      <c r="I193" s="17"/>
      <c r="J193" s="17"/>
      <c r="K193" s="17"/>
      <c r="L193" s="17"/>
      <c r="M193" s="17"/>
      <c r="N193" s="17"/>
      <c r="O193" s="17"/>
    </row>
    <row r="194">
      <c r="A194" s="18"/>
      <c r="B194" s="19"/>
      <c r="C194" s="20" t="s">
        <v>484</v>
      </c>
      <c r="D194" s="21">
        <v>50.0</v>
      </c>
      <c r="E194" s="22">
        <v>9.66</v>
      </c>
      <c r="F194" s="23">
        <f t="shared" si="1"/>
        <v>0.1932</v>
      </c>
      <c r="G194" s="24"/>
      <c r="H194" s="17"/>
      <c r="I194" s="17"/>
      <c r="J194" s="17"/>
      <c r="K194" s="17"/>
      <c r="L194" s="17"/>
      <c r="M194" s="17"/>
      <c r="N194" s="17"/>
      <c r="O194" s="17"/>
    </row>
    <row r="195">
      <c r="A195" s="18"/>
      <c r="B195" s="19"/>
      <c r="C195" s="20" t="s">
        <v>485</v>
      </c>
      <c r="D195" s="21">
        <v>1000.0</v>
      </c>
      <c r="E195" s="22">
        <v>5.39</v>
      </c>
      <c r="F195" s="23">
        <f t="shared" si="1"/>
        <v>0.00539</v>
      </c>
      <c r="G195" s="24"/>
      <c r="H195" s="17"/>
      <c r="I195" s="17"/>
      <c r="J195" s="17"/>
      <c r="K195" s="17"/>
      <c r="L195" s="17"/>
      <c r="M195" s="17"/>
      <c r="N195" s="17"/>
      <c r="O195" s="17"/>
    </row>
    <row r="196">
      <c r="A196" s="18" t="s">
        <v>289</v>
      </c>
      <c r="B196" s="19">
        <v>1.1481089E7</v>
      </c>
      <c r="C196" s="20" t="s">
        <v>486</v>
      </c>
      <c r="D196" s="21">
        <v>500.0</v>
      </c>
      <c r="E196" s="22">
        <v>5.59</v>
      </c>
      <c r="F196" s="23">
        <f t="shared" si="1"/>
        <v>0.01118</v>
      </c>
      <c r="G196" s="24"/>
      <c r="H196" s="17"/>
      <c r="I196" s="17"/>
      <c r="J196" s="17"/>
      <c r="K196" s="17"/>
      <c r="L196" s="17"/>
      <c r="M196" s="17"/>
      <c r="N196" s="17"/>
      <c r="O196" s="17"/>
    </row>
    <row r="197">
      <c r="A197" s="18"/>
      <c r="B197" s="19"/>
      <c r="C197" s="20" t="s">
        <v>487</v>
      </c>
      <c r="D197" s="14">
        <v>3000.0</v>
      </c>
      <c r="E197" s="22">
        <v>43.5</v>
      </c>
      <c r="F197" s="23">
        <f t="shared" si="1"/>
        <v>0.0145</v>
      </c>
      <c r="G197" s="24"/>
      <c r="H197" s="17"/>
      <c r="I197" s="17"/>
      <c r="J197" s="17"/>
      <c r="K197" s="17"/>
      <c r="L197" s="17"/>
      <c r="M197" s="17"/>
      <c r="N197" s="17"/>
      <c r="O197" s="17"/>
    </row>
    <row r="198">
      <c r="A198" s="18"/>
      <c r="B198" s="19"/>
      <c r="C198" s="20" t="s">
        <v>488</v>
      </c>
      <c r="D198" s="21">
        <v>5000.0</v>
      </c>
      <c r="E198" s="22">
        <v>65.05</v>
      </c>
      <c r="F198" s="23">
        <f t="shared" si="1"/>
        <v>0.01301</v>
      </c>
      <c r="G198" s="24"/>
      <c r="H198" s="17"/>
      <c r="I198" s="17"/>
      <c r="J198" s="17"/>
      <c r="K198" s="17"/>
      <c r="L198" s="17"/>
      <c r="M198" s="17"/>
      <c r="N198" s="17"/>
      <c r="O198" s="17"/>
    </row>
    <row r="199">
      <c r="A199" s="18"/>
      <c r="B199" s="19"/>
      <c r="C199" s="20" t="s">
        <v>489</v>
      </c>
      <c r="D199" s="14">
        <v>3000.0</v>
      </c>
      <c r="E199" s="22">
        <v>52.95</v>
      </c>
      <c r="F199" s="23">
        <f t="shared" si="1"/>
        <v>0.01765</v>
      </c>
      <c r="G199" s="24"/>
      <c r="H199" s="17"/>
      <c r="I199" s="17"/>
      <c r="J199" s="17"/>
      <c r="K199" s="17"/>
      <c r="L199" s="17"/>
      <c r="M199" s="17"/>
      <c r="N199" s="17"/>
      <c r="O199" s="17"/>
    </row>
    <row r="200">
      <c r="A200" s="18"/>
      <c r="B200" s="19"/>
      <c r="C200" s="20" t="s">
        <v>226</v>
      </c>
      <c r="D200" s="21">
        <f>SUMIFS(Rezepte!C:C,Rezepte!A:A,C200)</f>
        <v>4000</v>
      </c>
      <c r="E200" s="22">
        <f>SUMIFS(Rezepte!G:G,Rezepte!A:A,C200)</f>
        <v>9.47</v>
      </c>
      <c r="F200" s="23">
        <f t="shared" si="1"/>
        <v>0.0023675</v>
      </c>
      <c r="G200" s="24"/>
      <c r="H200" s="17"/>
      <c r="I200" s="17"/>
      <c r="J200" s="17"/>
      <c r="K200" s="17"/>
      <c r="L200" s="17"/>
      <c r="M200" s="17"/>
      <c r="N200" s="17"/>
      <c r="O200" s="17"/>
    </row>
    <row r="201">
      <c r="A201" s="18"/>
      <c r="B201" s="19"/>
      <c r="C201" s="20" t="s">
        <v>490</v>
      </c>
      <c r="D201" s="21">
        <v>12000.0</v>
      </c>
      <c r="E201" s="22">
        <v>70.8</v>
      </c>
      <c r="F201" s="23">
        <f t="shared" si="1"/>
        <v>0.0059</v>
      </c>
      <c r="G201" s="24"/>
      <c r="H201" s="17"/>
      <c r="I201" s="17"/>
      <c r="J201" s="17"/>
      <c r="K201" s="17"/>
      <c r="L201" s="17"/>
      <c r="M201" s="17"/>
      <c r="N201" s="17"/>
      <c r="O201" s="17"/>
    </row>
    <row r="202">
      <c r="A202" s="18"/>
      <c r="B202" s="19"/>
      <c r="C202" s="20" t="s">
        <v>491</v>
      </c>
      <c r="D202" s="21">
        <v>12000.0</v>
      </c>
      <c r="E202" s="22">
        <v>70.8</v>
      </c>
      <c r="F202" s="23">
        <f t="shared" si="1"/>
        <v>0.0059</v>
      </c>
      <c r="G202" s="24"/>
      <c r="H202" s="17"/>
      <c r="I202" s="17"/>
      <c r="J202" s="17"/>
      <c r="K202" s="17"/>
      <c r="L202" s="17"/>
      <c r="M202" s="17"/>
      <c r="N202" s="17"/>
      <c r="O202" s="17"/>
    </row>
    <row r="203">
      <c r="A203" s="18" t="s">
        <v>289</v>
      </c>
      <c r="B203" s="19">
        <v>1.0176351E7</v>
      </c>
      <c r="C203" s="20" t="s">
        <v>492</v>
      </c>
      <c r="D203" s="21">
        <v>1000.0</v>
      </c>
      <c r="E203" s="22">
        <v>11.0</v>
      </c>
      <c r="F203" s="23">
        <f t="shared" si="1"/>
        <v>0.011</v>
      </c>
      <c r="G203" s="24"/>
      <c r="H203" s="17"/>
      <c r="I203" s="17"/>
      <c r="J203" s="17"/>
      <c r="K203" s="17"/>
      <c r="L203" s="17"/>
      <c r="M203" s="17"/>
      <c r="N203" s="17"/>
      <c r="O203" s="17"/>
    </row>
    <row r="204">
      <c r="A204" s="18" t="s">
        <v>289</v>
      </c>
      <c r="B204" s="19">
        <v>1.4758638E7</v>
      </c>
      <c r="C204" s="20" t="s">
        <v>493</v>
      </c>
      <c r="D204" s="14">
        <v>450.0</v>
      </c>
      <c r="E204" s="22">
        <v>7.81</v>
      </c>
      <c r="F204" s="23">
        <f t="shared" si="1"/>
        <v>0.01735555556</v>
      </c>
      <c r="G204" s="24"/>
      <c r="H204" s="17"/>
      <c r="I204" s="17"/>
      <c r="J204" s="17"/>
      <c r="K204" s="17"/>
      <c r="L204" s="17"/>
      <c r="M204" s="17"/>
      <c r="N204" s="17"/>
      <c r="O204" s="17"/>
    </row>
    <row r="205">
      <c r="A205" s="18"/>
      <c r="B205" s="26"/>
      <c r="C205" s="20" t="s">
        <v>494</v>
      </c>
      <c r="D205" s="14">
        <v>500.0</v>
      </c>
      <c r="E205" s="22">
        <v>1.224</v>
      </c>
      <c r="F205" s="23">
        <f t="shared" si="1"/>
        <v>0.002448</v>
      </c>
      <c r="G205" s="24"/>
      <c r="H205" s="17"/>
      <c r="I205" s="17"/>
      <c r="J205" s="17"/>
      <c r="K205" s="17"/>
      <c r="L205" s="17"/>
      <c r="M205" s="17"/>
      <c r="N205" s="17"/>
      <c r="O205" s="17"/>
    </row>
    <row r="206">
      <c r="A206" s="18"/>
      <c r="B206" s="19"/>
      <c r="C206" s="20" t="s">
        <v>495</v>
      </c>
      <c r="D206" s="21">
        <v>470.0</v>
      </c>
      <c r="E206" s="22">
        <v>6.2</v>
      </c>
      <c r="F206" s="23">
        <f t="shared" si="1"/>
        <v>0.01319148936</v>
      </c>
      <c r="G206" s="24"/>
      <c r="H206" s="17"/>
      <c r="I206" s="17"/>
      <c r="J206" s="17"/>
      <c r="K206" s="17"/>
      <c r="L206" s="17"/>
      <c r="M206" s="17"/>
      <c r="N206" s="17"/>
      <c r="O206" s="17"/>
    </row>
    <row r="207">
      <c r="A207" s="18" t="s">
        <v>289</v>
      </c>
      <c r="B207" s="19">
        <v>1.8599244E7</v>
      </c>
      <c r="C207" s="20" t="s">
        <v>496</v>
      </c>
      <c r="D207" s="14">
        <v>1000.0</v>
      </c>
      <c r="E207" s="22">
        <v>5.49</v>
      </c>
      <c r="F207" s="23">
        <f t="shared" si="1"/>
        <v>0.00549</v>
      </c>
      <c r="G207" s="24"/>
      <c r="H207" s="17"/>
      <c r="I207" s="17"/>
      <c r="J207" s="17"/>
      <c r="K207" s="17"/>
      <c r="L207" s="17"/>
      <c r="M207" s="17"/>
      <c r="N207" s="17"/>
      <c r="O207" s="17"/>
    </row>
    <row r="208">
      <c r="A208" s="18" t="s">
        <v>289</v>
      </c>
      <c r="B208" s="19">
        <v>1.4760051E7</v>
      </c>
      <c r="C208" s="20" t="s">
        <v>497</v>
      </c>
      <c r="D208" s="21">
        <v>1000.0</v>
      </c>
      <c r="E208" s="22">
        <v>2.282</v>
      </c>
      <c r="F208" s="23">
        <f t="shared" si="1"/>
        <v>0.002282</v>
      </c>
      <c r="G208" s="24"/>
      <c r="H208" s="17"/>
      <c r="I208" s="17"/>
      <c r="J208" s="17"/>
      <c r="K208" s="17"/>
      <c r="L208" s="17"/>
      <c r="M208" s="17"/>
      <c r="N208" s="17"/>
      <c r="O208" s="17"/>
    </row>
    <row r="209">
      <c r="A209" s="18"/>
      <c r="B209" s="19"/>
      <c r="C209" s="20" t="s">
        <v>498</v>
      </c>
      <c r="D209" s="21">
        <v>2000.0</v>
      </c>
      <c r="E209" s="22">
        <v>3.0</v>
      </c>
      <c r="F209" s="23">
        <f t="shared" si="1"/>
        <v>0.0015</v>
      </c>
      <c r="G209" s="24"/>
      <c r="H209" s="17"/>
      <c r="I209" s="17"/>
      <c r="J209" s="17"/>
      <c r="K209" s="17"/>
      <c r="L209" s="17"/>
      <c r="M209" s="17"/>
      <c r="N209" s="17"/>
      <c r="O209" s="17"/>
    </row>
    <row r="210">
      <c r="A210" s="18" t="s">
        <v>289</v>
      </c>
      <c r="B210" s="19">
        <v>1.2214419E7</v>
      </c>
      <c r="C210" s="20" t="s">
        <v>499</v>
      </c>
      <c r="D210" s="21">
        <v>300.0</v>
      </c>
      <c r="E210" s="22">
        <v>5.39</v>
      </c>
      <c r="F210" s="23">
        <f t="shared" si="1"/>
        <v>0.01796666667</v>
      </c>
      <c r="G210" s="24"/>
      <c r="H210" s="17"/>
      <c r="I210" s="17"/>
      <c r="J210" s="17"/>
      <c r="K210" s="17"/>
      <c r="L210" s="17"/>
      <c r="M210" s="17"/>
      <c r="N210" s="17"/>
      <c r="O210" s="17"/>
    </row>
    <row r="211">
      <c r="A211" s="18" t="s">
        <v>289</v>
      </c>
      <c r="B211" s="19">
        <v>1.2034758E7</v>
      </c>
      <c r="C211" s="20" t="s">
        <v>500</v>
      </c>
      <c r="D211" s="21">
        <v>75.0</v>
      </c>
      <c r="E211" s="22">
        <v>21.52</v>
      </c>
      <c r="F211" s="23">
        <f t="shared" si="1"/>
        <v>0.2869333333</v>
      </c>
      <c r="G211" s="24"/>
      <c r="H211" s="17"/>
      <c r="I211" s="17"/>
      <c r="J211" s="17"/>
      <c r="K211" s="17"/>
      <c r="L211" s="17"/>
      <c r="M211" s="17"/>
      <c r="N211" s="17"/>
      <c r="O211" s="17"/>
    </row>
    <row r="212">
      <c r="A212" s="18"/>
      <c r="B212" s="19"/>
      <c r="C212" s="20" t="s">
        <v>501</v>
      </c>
      <c r="D212" s="14">
        <v>6000.0</v>
      </c>
      <c r="E212" s="22">
        <v>83.1</v>
      </c>
      <c r="F212" s="23">
        <f t="shared" si="1"/>
        <v>0.01385</v>
      </c>
      <c r="G212" s="24"/>
      <c r="H212" s="17"/>
      <c r="I212" s="17"/>
      <c r="J212" s="17"/>
      <c r="K212" s="17"/>
      <c r="L212" s="17"/>
      <c r="M212" s="17"/>
      <c r="N212" s="17"/>
      <c r="O212" s="17"/>
    </row>
    <row r="213">
      <c r="A213" s="18" t="s">
        <v>289</v>
      </c>
      <c r="B213" s="19">
        <v>1.4759949E7</v>
      </c>
      <c r="C213" s="20" t="s">
        <v>502</v>
      </c>
      <c r="D213" s="21">
        <v>1000.0</v>
      </c>
      <c r="E213" s="22">
        <v>2.763</v>
      </c>
      <c r="F213" s="23">
        <f t="shared" si="1"/>
        <v>0.002763</v>
      </c>
      <c r="G213" s="24"/>
      <c r="H213" s="17"/>
      <c r="I213" s="17"/>
      <c r="J213" s="17"/>
      <c r="K213" s="17"/>
      <c r="L213" s="17"/>
      <c r="M213" s="17"/>
      <c r="N213" s="17"/>
      <c r="O213" s="17"/>
    </row>
    <row r="214">
      <c r="A214" s="18"/>
      <c r="B214" s="19"/>
      <c r="C214" s="20" t="s">
        <v>503</v>
      </c>
      <c r="D214" s="21">
        <v>1000.0</v>
      </c>
      <c r="E214" s="22">
        <v>9.76</v>
      </c>
      <c r="F214" s="23">
        <f t="shared" si="1"/>
        <v>0.00976</v>
      </c>
      <c r="G214" s="24"/>
      <c r="H214" s="17"/>
      <c r="I214" s="17"/>
      <c r="J214" s="17"/>
      <c r="K214" s="17"/>
      <c r="L214" s="17"/>
      <c r="M214" s="17"/>
      <c r="N214" s="17"/>
      <c r="O214" s="17"/>
    </row>
    <row r="215">
      <c r="A215" s="18" t="s">
        <v>289</v>
      </c>
      <c r="B215" s="19">
        <v>1.3789732E7</v>
      </c>
      <c r="C215" s="20" t="s">
        <v>504</v>
      </c>
      <c r="D215" s="21">
        <v>2650.0</v>
      </c>
      <c r="E215" s="22">
        <v>1.42</v>
      </c>
      <c r="F215" s="23">
        <f t="shared" si="1"/>
        <v>0.0005358490566</v>
      </c>
      <c r="G215" s="24"/>
      <c r="H215" s="17"/>
      <c r="I215" s="17"/>
      <c r="J215" s="17"/>
      <c r="K215" s="17"/>
      <c r="L215" s="17"/>
      <c r="M215" s="17"/>
      <c r="N215" s="17"/>
      <c r="O215" s="17"/>
    </row>
    <row r="216">
      <c r="A216" s="18" t="s">
        <v>289</v>
      </c>
      <c r="B216" s="19">
        <v>1.0224779E7</v>
      </c>
      <c r="C216" s="20" t="s">
        <v>505</v>
      </c>
      <c r="D216" s="14">
        <v>1000.0</v>
      </c>
      <c r="E216" s="22">
        <v>2.85</v>
      </c>
      <c r="F216" s="23">
        <f t="shared" si="1"/>
        <v>0.00285</v>
      </c>
      <c r="G216" s="24"/>
      <c r="H216" s="17"/>
      <c r="I216" s="17"/>
      <c r="J216" s="17"/>
      <c r="K216" s="17"/>
      <c r="L216" s="17"/>
      <c r="M216" s="17"/>
      <c r="N216" s="17"/>
      <c r="O216" s="17"/>
    </row>
    <row r="217">
      <c r="A217" s="18" t="s">
        <v>289</v>
      </c>
      <c r="B217" s="19">
        <v>1.2404155E7</v>
      </c>
      <c r="C217" s="20" t="s">
        <v>506</v>
      </c>
      <c r="D217" s="21">
        <v>250.0</v>
      </c>
      <c r="E217" s="22">
        <v>15.39</v>
      </c>
      <c r="F217" s="23">
        <f t="shared" si="1"/>
        <v>0.06156</v>
      </c>
      <c r="G217" s="24"/>
      <c r="H217" s="17"/>
      <c r="I217" s="17"/>
      <c r="J217" s="17"/>
      <c r="K217" s="17"/>
      <c r="L217" s="17"/>
      <c r="M217" s="17"/>
      <c r="N217" s="17"/>
      <c r="O217" s="17"/>
    </row>
    <row r="218">
      <c r="A218" s="18" t="s">
        <v>289</v>
      </c>
      <c r="B218" s="19">
        <v>1.6327115E7</v>
      </c>
      <c r="C218" s="20" t="s">
        <v>507</v>
      </c>
      <c r="D218" s="21">
        <v>100.0</v>
      </c>
      <c r="E218" s="22">
        <v>56.99</v>
      </c>
      <c r="F218" s="23">
        <f t="shared" si="1"/>
        <v>0.5699</v>
      </c>
      <c r="G218" s="24"/>
      <c r="H218" s="17"/>
      <c r="I218" s="17"/>
      <c r="J218" s="17"/>
      <c r="K218" s="17"/>
      <c r="L218" s="17"/>
      <c r="M218" s="17"/>
      <c r="N218" s="17"/>
      <c r="O218" s="17"/>
    </row>
    <row r="219">
      <c r="A219" s="18" t="s">
        <v>289</v>
      </c>
      <c r="B219" s="19">
        <v>1.4044984E7</v>
      </c>
      <c r="C219" s="20" t="s">
        <v>508</v>
      </c>
      <c r="D219" s="14">
        <v>5000.0</v>
      </c>
      <c r="E219" s="22">
        <v>20.45</v>
      </c>
      <c r="F219" s="23">
        <f t="shared" si="1"/>
        <v>0.00409</v>
      </c>
      <c r="G219" s="24"/>
      <c r="H219" s="17"/>
      <c r="I219" s="17"/>
      <c r="J219" s="17"/>
      <c r="K219" s="17"/>
      <c r="L219" s="17"/>
      <c r="M219" s="17"/>
      <c r="N219" s="17"/>
      <c r="O219" s="17"/>
    </row>
    <row r="220">
      <c r="A220" s="18" t="s">
        <v>289</v>
      </c>
      <c r="B220" s="19">
        <v>1.0107133E7</v>
      </c>
      <c r="C220" s="20" t="s">
        <v>509</v>
      </c>
      <c r="D220" s="21">
        <v>1000.0</v>
      </c>
      <c r="E220" s="22">
        <v>3.89</v>
      </c>
      <c r="F220" s="23">
        <f t="shared" si="1"/>
        <v>0.00389</v>
      </c>
      <c r="G220" s="24"/>
      <c r="H220" s="17"/>
      <c r="I220" s="17"/>
      <c r="J220" s="17"/>
      <c r="K220" s="17"/>
      <c r="L220" s="17"/>
      <c r="M220" s="17"/>
      <c r="N220" s="17"/>
      <c r="O220" s="17"/>
    </row>
    <row r="221">
      <c r="A221" s="18" t="s">
        <v>289</v>
      </c>
      <c r="B221" s="19">
        <v>1.3344849E7</v>
      </c>
      <c r="C221" s="20" t="s">
        <v>510</v>
      </c>
      <c r="D221" s="21">
        <v>1000.0</v>
      </c>
      <c r="E221" s="22">
        <v>4.64</v>
      </c>
      <c r="F221" s="23">
        <f t="shared" si="1"/>
        <v>0.00464</v>
      </c>
      <c r="G221" s="24"/>
      <c r="H221" s="17"/>
      <c r="I221" s="17"/>
      <c r="J221" s="17"/>
      <c r="K221" s="17"/>
      <c r="L221" s="17"/>
      <c r="M221" s="17"/>
      <c r="N221" s="17"/>
      <c r="O221" s="17"/>
    </row>
    <row r="222">
      <c r="A222" s="18" t="s">
        <v>289</v>
      </c>
      <c r="B222" s="19">
        <v>1.0844588E7</v>
      </c>
      <c r="C222" s="20" t="s">
        <v>511</v>
      </c>
      <c r="D222" s="21">
        <v>1000.0</v>
      </c>
      <c r="E222" s="22">
        <v>1.19</v>
      </c>
      <c r="F222" s="23">
        <f t="shared" si="1"/>
        <v>0.00119</v>
      </c>
      <c r="G222" s="24"/>
      <c r="H222" s="17"/>
      <c r="I222" s="17"/>
      <c r="J222" s="17"/>
      <c r="K222" s="17"/>
      <c r="L222" s="17"/>
      <c r="M222" s="17"/>
      <c r="N222" s="17"/>
      <c r="O222" s="17"/>
    </row>
    <row r="223">
      <c r="A223" s="18"/>
      <c r="B223" s="19"/>
      <c r="C223" s="20" t="s">
        <v>512</v>
      </c>
      <c r="D223" s="21">
        <v>400.0</v>
      </c>
      <c r="E223" s="22">
        <v>11.08</v>
      </c>
      <c r="F223" s="23">
        <f t="shared" si="1"/>
        <v>0.0277</v>
      </c>
      <c r="G223" s="24"/>
      <c r="H223" s="17"/>
      <c r="I223" s="17"/>
      <c r="J223" s="17"/>
      <c r="K223" s="17"/>
      <c r="L223" s="17"/>
      <c r="M223" s="17"/>
      <c r="N223" s="17"/>
      <c r="O223" s="17"/>
    </row>
    <row r="224">
      <c r="A224" s="18"/>
      <c r="B224" s="19"/>
      <c r="C224" s="20" t="s">
        <v>272</v>
      </c>
      <c r="D224" s="21">
        <f>SUMIFS(Rezepte!C:C,Rezepte!A:A,C224)</f>
        <v>3455</v>
      </c>
      <c r="E224" s="22">
        <f>SUMIFS(Rezepte!G:G,Rezepte!A:A,C224)</f>
        <v>13.4628</v>
      </c>
      <c r="F224" s="23">
        <f t="shared" si="1"/>
        <v>0.003896613603</v>
      </c>
      <c r="G224" s="24"/>
      <c r="H224" s="17"/>
      <c r="I224" s="17"/>
      <c r="J224" s="17"/>
      <c r="K224" s="17"/>
      <c r="L224" s="17"/>
      <c r="M224" s="17"/>
      <c r="N224" s="17"/>
      <c r="O224" s="17"/>
    </row>
    <row r="225">
      <c r="A225" s="18" t="s">
        <v>289</v>
      </c>
      <c r="B225" s="19">
        <v>1.7676649E7</v>
      </c>
      <c r="C225" s="20" t="s">
        <v>513</v>
      </c>
      <c r="D225" s="21">
        <v>500.0</v>
      </c>
      <c r="E225" s="22">
        <v>5.64</v>
      </c>
      <c r="F225" s="23">
        <f t="shared" si="1"/>
        <v>0.01128</v>
      </c>
      <c r="G225" s="24"/>
      <c r="H225" s="17"/>
      <c r="I225" s="17"/>
      <c r="J225" s="17"/>
      <c r="K225" s="17"/>
      <c r="L225" s="17"/>
      <c r="M225" s="17"/>
      <c r="N225" s="17"/>
      <c r="O225" s="17"/>
    </row>
    <row r="226">
      <c r="A226" s="18"/>
      <c r="B226" s="19"/>
      <c r="C226" s="20" t="s">
        <v>514</v>
      </c>
      <c r="D226" s="21">
        <v>1000.0</v>
      </c>
      <c r="E226" s="22">
        <v>0.01</v>
      </c>
      <c r="F226" s="23">
        <f t="shared" si="1"/>
        <v>0.00001</v>
      </c>
      <c r="G226" s="24"/>
      <c r="H226" s="17"/>
      <c r="I226" s="17"/>
      <c r="J226" s="17"/>
      <c r="K226" s="17"/>
      <c r="L226" s="17"/>
      <c r="M226" s="17"/>
      <c r="N226" s="17"/>
      <c r="O226" s="17"/>
    </row>
    <row r="227">
      <c r="A227" s="18"/>
      <c r="B227" s="19"/>
      <c r="C227" s="20" t="s">
        <v>515</v>
      </c>
      <c r="D227" s="21">
        <v>2500.0</v>
      </c>
      <c r="E227" s="22">
        <v>46.975</v>
      </c>
      <c r="F227" s="23">
        <f t="shared" si="1"/>
        <v>0.01879</v>
      </c>
      <c r="G227" s="24"/>
      <c r="H227" s="17"/>
      <c r="I227" s="17"/>
      <c r="J227" s="17"/>
      <c r="K227" s="17"/>
      <c r="L227" s="17"/>
      <c r="M227" s="17"/>
      <c r="N227" s="17"/>
      <c r="O227" s="17"/>
    </row>
    <row r="228">
      <c r="A228" s="18" t="s">
        <v>289</v>
      </c>
      <c r="B228" s="19">
        <v>1.475885E7</v>
      </c>
      <c r="C228" s="20" t="s">
        <v>516</v>
      </c>
      <c r="D228" s="21">
        <v>1000.0</v>
      </c>
      <c r="E228" s="22">
        <v>1.063</v>
      </c>
      <c r="F228" s="23">
        <f t="shared" si="1"/>
        <v>0.001063</v>
      </c>
      <c r="G228" s="24"/>
      <c r="H228" s="17"/>
      <c r="I228" s="17"/>
      <c r="J228" s="17"/>
      <c r="K228" s="17"/>
      <c r="L228" s="17"/>
      <c r="M228" s="17"/>
      <c r="N228" s="17"/>
      <c r="O228" s="17"/>
    </row>
    <row r="229">
      <c r="A229" s="18"/>
      <c r="B229" s="19"/>
      <c r="C229" s="20" t="s">
        <v>517</v>
      </c>
      <c r="D229" s="21">
        <v>700.0</v>
      </c>
      <c r="E229" s="22">
        <v>6.0</v>
      </c>
      <c r="F229" s="23">
        <f t="shared" si="1"/>
        <v>0.008571428571</v>
      </c>
      <c r="G229" s="24"/>
      <c r="H229" s="17"/>
      <c r="I229" s="17"/>
      <c r="J229" s="17"/>
      <c r="K229" s="17"/>
      <c r="L229" s="17"/>
      <c r="M229" s="17"/>
      <c r="N229" s="17"/>
      <c r="O229" s="17"/>
    </row>
    <row r="230">
      <c r="A230" s="18" t="s">
        <v>289</v>
      </c>
      <c r="B230" s="19">
        <v>2.0002336E7</v>
      </c>
      <c r="C230" s="20" t="s">
        <v>518</v>
      </c>
      <c r="D230" s="21">
        <v>1000.0</v>
      </c>
      <c r="E230" s="22">
        <v>0.747</v>
      </c>
      <c r="F230" s="23">
        <f t="shared" si="1"/>
        <v>0.000747</v>
      </c>
      <c r="G230" s="24"/>
      <c r="H230" s="17"/>
      <c r="I230" s="17"/>
      <c r="J230" s="17"/>
      <c r="K230" s="17"/>
      <c r="L230" s="17"/>
      <c r="M230" s="17"/>
      <c r="N230" s="17"/>
      <c r="O230" s="17"/>
    </row>
    <row r="231">
      <c r="A231" s="18" t="s">
        <v>289</v>
      </c>
      <c r="B231" s="19">
        <v>1.66645E7</v>
      </c>
      <c r="C231" s="20" t="s">
        <v>519</v>
      </c>
      <c r="D231" s="14">
        <v>250.0</v>
      </c>
      <c r="E231" s="22">
        <v>5.09</v>
      </c>
      <c r="F231" s="23">
        <f t="shared" si="1"/>
        <v>0.02036</v>
      </c>
      <c r="G231" s="24"/>
      <c r="H231" s="17"/>
      <c r="I231" s="17"/>
      <c r="J231" s="17"/>
      <c r="K231" s="17"/>
      <c r="L231" s="17"/>
      <c r="M231" s="17"/>
      <c r="N231" s="17"/>
      <c r="O231" s="17"/>
    </row>
    <row r="232">
      <c r="A232" s="18"/>
      <c r="B232" s="19"/>
      <c r="C232" s="20" t="s">
        <v>520</v>
      </c>
      <c r="D232" s="21">
        <v>1000.0</v>
      </c>
      <c r="E232" s="22">
        <v>13.85</v>
      </c>
      <c r="F232" s="23">
        <f t="shared" si="1"/>
        <v>0.01385</v>
      </c>
      <c r="G232" s="24"/>
      <c r="H232" s="17"/>
      <c r="I232" s="17"/>
      <c r="J232" s="17"/>
      <c r="K232" s="17"/>
      <c r="L232" s="17"/>
      <c r="M232" s="17"/>
      <c r="N232" s="17"/>
      <c r="O232" s="17"/>
    </row>
    <row r="233">
      <c r="A233" s="18" t="s">
        <v>289</v>
      </c>
      <c r="B233" s="19">
        <v>1.0115664E7</v>
      </c>
      <c r="C233" s="20" t="s">
        <v>521</v>
      </c>
      <c r="D233" s="21">
        <v>1000.0</v>
      </c>
      <c r="E233" s="22">
        <v>11.99</v>
      </c>
      <c r="F233" s="23">
        <f t="shared" si="1"/>
        <v>0.01199</v>
      </c>
      <c r="G233" s="24"/>
      <c r="H233" s="17"/>
      <c r="I233" s="17"/>
      <c r="J233" s="17"/>
      <c r="K233" s="17"/>
      <c r="L233" s="17"/>
      <c r="M233" s="17"/>
      <c r="N233" s="17"/>
      <c r="O233" s="17"/>
    </row>
    <row r="234">
      <c r="A234" s="18" t="s">
        <v>289</v>
      </c>
      <c r="B234" s="19">
        <v>1.028296E7</v>
      </c>
      <c r="C234" s="20" t="s">
        <v>522</v>
      </c>
      <c r="D234" s="21">
        <v>1000.0</v>
      </c>
      <c r="E234" s="22">
        <v>14.06</v>
      </c>
      <c r="F234" s="23">
        <f t="shared" si="1"/>
        <v>0.01406</v>
      </c>
      <c r="G234" s="24"/>
      <c r="H234" s="17"/>
      <c r="I234" s="17"/>
      <c r="J234" s="17"/>
      <c r="K234" s="17"/>
      <c r="L234" s="17"/>
      <c r="M234" s="17"/>
      <c r="N234" s="17"/>
      <c r="O234" s="17"/>
    </row>
    <row r="235">
      <c r="A235" s="18"/>
      <c r="B235" s="19"/>
      <c r="C235" s="20" t="s">
        <v>523</v>
      </c>
      <c r="D235" s="14">
        <v>150.0</v>
      </c>
      <c r="E235" s="22">
        <f>2.19/1.19</f>
        <v>1.840336134</v>
      </c>
      <c r="F235" s="23">
        <f t="shared" si="1"/>
        <v>0.01226890756</v>
      </c>
      <c r="G235" s="24"/>
      <c r="H235" s="17"/>
      <c r="I235" s="17"/>
      <c r="J235" s="17"/>
      <c r="K235" s="17"/>
      <c r="L235" s="17"/>
      <c r="M235" s="17"/>
      <c r="N235" s="17"/>
      <c r="O235" s="17"/>
    </row>
    <row r="236">
      <c r="A236" s="18"/>
      <c r="B236" s="19"/>
      <c r="C236" s="20" t="s">
        <v>524</v>
      </c>
      <c r="D236" s="21">
        <v>300.0</v>
      </c>
      <c r="E236" s="22">
        <v>9.92</v>
      </c>
      <c r="F236" s="23">
        <f t="shared" si="1"/>
        <v>0.03306666667</v>
      </c>
      <c r="G236" s="24"/>
      <c r="H236" s="17"/>
      <c r="I236" s="17"/>
      <c r="J236" s="17"/>
      <c r="K236" s="17"/>
      <c r="L236" s="17"/>
      <c r="M236" s="17"/>
      <c r="N236" s="17"/>
      <c r="O236" s="17"/>
    </row>
    <row r="237">
      <c r="A237" s="18" t="s">
        <v>289</v>
      </c>
      <c r="B237" s="26">
        <v>1.4758539E7</v>
      </c>
      <c r="C237" s="20" t="s">
        <v>525</v>
      </c>
      <c r="D237" s="14">
        <f>5000/30</f>
        <v>166.6666667</v>
      </c>
      <c r="E237" s="22">
        <v>0.417</v>
      </c>
      <c r="F237" s="23">
        <f t="shared" si="1"/>
        <v>0.002502</v>
      </c>
      <c r="G237" s="24"/>
      <c r="H237" s="17"/>
      <c r="I237" s="17"/>
      <c r="J237" s="17"/>
      <c r="K237" s="17"/>
      <c r="L237" s="17"/>
      <c r="M237" s="17"/>
      <c r="N237" s="17"/>
      <c r="O237" s="17"/>
    </row>
    <row r="238">
      <c r="A238" s="18" t="s">
        <v>289</v>
      </c>
      <c r="B238" s="19">
        <v>1.5542175E7</v>
      </c>
      <c r="C238" s="20" t="s">
        <v>526</v>
      </c>
      <c r="D238" s="21">
        <v>100.0</v>
      </c>
      <c r="E238" s="22">
        <v>2.559</v>
      </c>
      <c r="F238" s="23">
        <f t="shared" si="1"/>
        <v>0.02559</v>
      </c>
      <c r="G238" s="24"/>
      <c r="H238" s="17"/>
      <c r="I238" s="17"/>
      <c r="J238" s="17"/>
      <c r="K238" s="17"/>
      <c r="L238" s="17"/>
      <c r="M238" s="17"/>
      <c r="N238" s="17"/>
      <c r="O238" s="17"/>
    </row>
    <row r="239">
      <c r="A239" s="18" t="s">
        <v>289</v>
      </c>
      <c r="B239" s="19">
        <v>1.3847685E7</v>
      </c>
      <c r="C239" s="20" t="s">
        <v>527</v>
      </c>
      <c r="D239" s="21">
        <v>1000.0</v>
      </c>
      <c r="E239" s="22">
        <v>2.4</v>
      </c>
      <c r="F239" s="23">
        <f t="shared" si="1"/>
        <v>0.0024</v>
      </c>
      <c r="G239" s="24"/>
      <c r="H239" s="17"/>
      <c r="I239" s="17"/>
      <c r="J239" s="17"/>
      <c r="K239" s="17"/>
      <c r="L239" s="17"/>
      <c r="M239" s="17"/>
      <c r="N239" s="17"/>
      <c r="O239" s="17"/>
    </row>
    <row r="240">
      <c r="A240" s="18" t="s">
        <v>289</v>
      </c>
      <c r="B240" s="19">
        <v>2.0020163E7</v>
      </c>
      <c r="C240" s="20" t="s">
        <v>528</v>
      </c>
      <c r="D240" s="21">
        <v>1000.0</v>
      </c>
      <c r="E240" s="22">
        <v>1.44</v>
      </c>
      <c r="F240" s="23">
        <f t="shared" si="1"/>
        <v>0.00144</v>
      </c>
      <c r="G240" s="24"/>
      <c r="H240" s="17"/>
      <c r="I240" s="17"/>
      <c r="J240" s="17"/>
      <c r="K240" s="17"/>
      <c r="L240" s="17"/>
      <c r="M240" s="17"/>
      <c r="N240" s="17"/>
      <c r="O240" s="17"/>
    </row>
    <row r="241">
      <c r="A241" s="18" t="s">
        <v>289</v>
      </c>
      <c r="B241" s="19">
        <v>1.6107977E7</v>
      </c>
      <c r="C241" s="20" t="s">
        <v>529</v>
      </c>
      <c r="D241" s="21">
        <v>1000.0</v>
      </c>
      <c r="E241" s="22">
        <v>10.4</v>
      </c>
      <c r="F241" s="23">
        <f t="shared" si="1"/>
        <v>0.0104</v>
      </c>
      <c r="G241" s="24"/>
      <c r="H241" s="17"/>
      <c r="I241" s="17"/>
      <c r="J241" s="17"/>
      <c r="K241" s="17"/>
      <c r="L241" s="17"/>
      <c r="M241" s="17"/>
      <c r="N241" s="17"/>
      <c r="O241" s="17"/>
    </row>
    <row r="242">
      <c r="A242" s="18" t="s">
        <v>348</v>
      </c>
      <c r="B242" s="19"/>
      <c r="C242" s="20" t="s">
        <v>530</v>
      </c>
      <c r="D242" s="21">
        <v>1000.0</v>
      </c>
      <c r="E242" s="22">
        <v>1.2</v>
      </c>
      <c r="F242" s="23">
        <f t="shared" si="1"/>
        <v>0.0012</v>
      </c>
      <c r="G242" s="24"/>
      <c r="H242" s="17"/>
      <c r="I242" s="17"/>
      <c r="J242" s="17"/>
      <c r="K242" s="17"/>
      <c r="L242" s="17"/>
      <c r="M242" s="17"/>
      <c r="N242" s="17"/>
      <c r="O242" s="17"/>
    </row>
    <row r="243">
      <c r="A243" s="18" t="s">
        <v>289</v>
      </c>
      <c r="B243" s="26">
        <v>1.5218247E7</v>
      </c>
      <c r="C243" s="20" t="s">
        <v>531</v>
      </c>
      <c r="D243" s="14">
        <v>1000.0</v>
      </c>
      <c r="E243" s="22">
        <v>2.77</v>
      </c>
      <c r="F243" s="23">
        <f t="shared" si="1"/>
        <v>0.00277</v>
      </c>
      <c r="G243" s="24"/>
      <c r="H243" s="17"/>
      <c r="I243" s="17"/>
      <c r="J243" s="17"/>
      <c r="K243" s="17"/>
      <c r="L243" s="17"/>
      <c r="M243" s="17"/>
      <c r="N243" s="17"/>
      <c r="O243" s="17"/>
    </row>
    <row r="244">
      <c r="A244" s="18"/>
      <c r="B244" s="19"/>
      <c r="C244" s="20"/>
      <c r="D244" s="14"/>
      <c r="E244" s="22"/>
      <c r="F244" s="23"/>
      <c r="G244" s="17"/>
      <c r="H244" s="17"/>
      <c r="I244" s="17"/>
      <c r="J244" s="17"/>
      <c r="K244" s="17"/>
      <c r="L244" s="17"/>
      <c r="M244" s="17"/>
      <c r="N244" s="17"/>
      <c r="O244" s="17"/>
    </row>
    <row r="245">
      <c r="A245" s="18"/>
      <c r="B245" s="19"/>
      <c r="C245" s="20"/>
      <c r="D245" s="21"/>
      <c r="E245" s="22"/>
      <c r="F245" s="23"/>
      <c r="G245" s="17"/>
      <c r="H245" s="17"/>
      <c r="I245" s="17"/>
      <c r="J245" s="17"/>
      <c r="K245" s="17"/>
      <c r="L245" s="17"/>
      <c r="M245" s="17"/>
      <c r="N245" s="17"/>
      <c r="O245" s="17"/>
    </row>
    <row r="246">
      <c r="A246" s="18"/>
      <c r="B246" s="19"/>
      <c r="C246" s="20"/>
      <c r="D246" s="21"/>
      <c r="E246" s="22"/>
      <c r="F246" s="23"/>
      <c r="G246" s="17"/>
      <c r="H246" s="17"/>
      <c r="I246" s="17"/>
      <c r="J246" s="17"/>
      <c r="K246" s="17"/>
      <c r="L246" s="17"/>
      <c r="M246" s="17"/>
      <c r="N246" s="17"/>
      <c r="O246" s="17"/>
    </row>
    <row r="247" hidden="1">
      <c r="A247" s="30"/>
      <c r="B247" s="31"/>
      <c r="C247" s="32"/>
      <c r="D247" s="33"/>
      <c r="E247" s="34"/>
      <c r="F247" s="35"/>
      <c r="G247" s="36"/>
      <c r="H247" s="36"/>
      <c r="I247" s="36"/>
      <c r="J247" s="36"/>
      <c r="K247" s="36"/>
      <c r="L247" s="36"/>
      <c r="M247" s="36"/>
      <c r="N247" s="36"/>
      <c r="O247" s="36"/>
    </row>
    <row r="248" hidden="1">
      <c r="A248" s="30"/>
      <c r="B248" s="31"/>
      <c r="C248" s="32"/>
      <c r="D248" s="33"/>
      <c r="E248" s="34"/>
      <c r="F248" s="35"/>
      <c r="G248" s="36"/>
      <c r="H248" s="36"/>
      <c r="I248" s="36"/>
      <c r="J248" s="36"/>
      <c r="K248" s="36"/>
      <c r="L248" s="36"/>
      <c r="M248" s="36"/>
      <c r="N248" s="36"/>
      <c r="O248" s="36"/>
    </row>
    <row r="249" hidden="1">
      <c r="A249" s="37" t="s">
        <v>532</v>
      </c>
      <c r="B249" s="38"/>
      <c r="C249" s="39"/>
      <c r="D249" s="40"/>
      <c r="E249" s="41"/>
      <c r="F249" s="42"/>
      <c r="G249" s="38"/>
      <c r="H249" s="38"/>
      <c r="I249" s="38"/>
      <c r="J249" s="38"/>
      <c r="K249" s="38"/>
      <c r="L249" s="38"/>
      <c r="M249" s="38"/>
      <c r="N249" s="38"/>
      <c r="O249" s="38"/>
    </row>
    <row r="250" hidden="1">
      <c r="A250" s="38"/>
      <c r="B250" s="38"/>
      <c r="C250" s="39" t="str">
        <f>IFERROR(__xludf.DUMMYFUNCTION("UNIQUE(SORT(Rezepte!A2:A1308))"),"""Rosemarie"" Honey Chicken")</f>
        <v>"Rosemarie" Honey Chicken</v>
      </c>
      <c r="D250" s="40">
        <f>SUMIFS(Rezepte!F:F,Rezepte!A:A,C250)</f>
        <v>234</v>
      </c>
      <c r="E250" s="41">
        <f>SUMIFS(Rezepte!G:G,Rezepte!A:A,C250)</f>
        <v>2.961495246</v>
      </c>
      <c r="F250" s="42">
        <f t="shared" ref="F250:F1308" si="2">E250/D250</f>
        <v>0.01265596259</v>
      </c>
      <c r="G250" s="43"/>
      <c r="H250" s="38"/>
      <c r="I250" s="43"/>
      <c r="J250" s="44"/>
      <c r="K250" s="38"/>
      <c r="L250" s="38"/>
      <c r="M250" s="38"/>
      <c r="N250" s="38"/>
      <c r="O250" s="38"/>
    </row>
    <row r="251" hidden="1">
      <c r="A251" s="38"/>
      <c r="B251" s="38"/>
      <c r="C251" s="39" t="str">
        <f>IFERROR(__xludf.DUMMYFUNCTION("""COMPUTED_VALUE"""),"Al capone")</f>
        <v>Al capone</v>
      </c>
      <c r="D251" s="40">
        <f>SUMIFS(Rezepte!F:F,Rezepte!A:A,C251)</f>
        <v>800</v>
      </c>
      <c r="E251" s="41">
        <f>SUMIFS(Rezepte!G:G,Rezepte!A:A,C251)</f>
        <v>5.622903902</v>
      </c>
      <c r="F251" s="42">
        <f t="shared" si="2"/>
        <v>0.007028629878</v>
      </c>
      <c r="G251" s="43"/>
      <c r="H251" s="38"/>
      <c r="I251" s="43"/>
      <c r="J251" s="44"/>
      <c r="K251" s="38"/>
      <c r="L251" s="38"/>
      <c r="M251" s="38"/>
      <c r="N251" s="38"/>
      <c r="O251" s="38"/>
    </row>
    <row r="252" hidden="1">
      <c r="A252" s="38"/>
      <c r="B252" s="38"/>
      <c r="C252" s="39" t="str">
        <f>IFERROR(__xludf.DUMMYFUNCTION("""COMPUTED_VALUE"""),"Al capone (Single)")</f>
        <v>Al capone (Single)</v>
      </c>
      <c r="D252" s="40">
        <f>SUMIFS(Rezepte!F:F,Rezepte!A:A,C252)</f>
        <v>615</v>
      </c>
      <c r="E252" s="41">
        <f>SUMIFS(Rezepte!G:G,Rezepte!A:A,C252)</f>
        <v>4.012503902</v>
      </c>
      <c r="F252" s="42">
        <f t="shared" si="2"/>
        <v>0.006524396589</v>
      </c>
      <c r="G252" s="43"/>
      <c r="H252" s="38"/>
      <c r="I252" s="43"/>
      <c r="J252" s="44"/>
      <c r="K252" s="38"/>
      <c r="L252" s="38"/>
      <c r="M252" s="38"/>
      <c r="N252" s="38"/>
      <c r="O252" s="38"/>
    </row>
    <row r="253" hidden="1">
      <c r="A253" s="38"/>
      <c r="B253" s="38"/>
      <c r="C253" s="39" t="str">
        <f>IFERROR(__xludf.DUMMYFUNCTION("""COMPUTED_VALUE"""),"Apfel Senf Dressing")</f>
        <v>Apfel Senf Dressing</v>
      </c>
      <c r="D253" s="40">
        <f>SUMIFS(Rezepte!F:F,Rezepte!A:A,C253)</f>
        <v>4520</v>
      </c>
      <c r="E253" s="41">
        <f>SUMIFS(Rezepte!G:G,Rezepte!A:A,C253)</f>
        <v>16.19736</v>
      </c>
      <c r="F253" s="42">
        <f t="shared" si="2"/>
        <v>0.003583486726</v>
      </c>
      <c r="G253" s="43"/>
      <c r="H253" s="38"/>
      <c r="I253" s="43"/>
      <c r="J253" s="44"/>
      <c r="K253" s="38"/>
      <c r="L253" s="38"/>
      <c r="M253" s="38"/>
      <c r="N253" s="38"/>
      <c r="O253" s="38"/>
    </row>
    <row r="254" hidden="1">
      <c r="A254" s="38"/>
      <c r="B254" s="38"/>
      <c r="C254" s="39" t="str">
        <f>IFERROR(__xludf.DUMMYFUNCTION("""COMPUTED_VALUE"""),"Asian Chicken Burger")</f>
        <v>Asian Chicken Burger</v>
      </c>
      <c r="D254" s="40">
        <f>SUMIFS(Rezepte!F:F,Rezepte!A:A,C254)</f>
        <v>462</v>
      </c>
      <c r="E254" s="41">
        <f>SUMIFS(Rezepte!G:G,Rezepte!A:A,C254)</f>
        <v>2.722288013</v>
      </c>
      <c r="F254" s="42">
        <f t="shared" si="2"/>
        <v>0.005892398297</v>
      </c>
      <c r="G254" s="43"/>
      <c r="H254" s="38"/>
      <c r="I254" s="43"/>
      <c r="J254" s="44"/>
      <c r="K254" s="38"/>
      <c r="L254" s="38"/>
      <c r="M254" s="38"/>
      <c r="N254" s="38"/>
      <c r="O254" s="38"/>
    </row>
    <row r="255" hidden="1">
      <c r="A255" s="38"/>
      <c r="B255" s="38"/>
      <c r="C255" s="39" t="str">
        <f>IFERROR(__xludf.DUMMYFUNCTION("""COMPUTED_VALUE"""),"Asian Rib Burger")</f>
        <v>Asian Rib Burger</v>
      </c>
      <c r="D255" s="40">
        <f>SUMIFS(Rezepte!F:F,Rezepte!A:A,C255)</f>
        <v>390</v>
      </c>
      <c r="E255" s="41">
        <f>SUMIFS(Rezepte!G:G,Rezepte!A:A,C255)</f>
        <v>2.744100437</v>
      </c>
      <c r="F255" s="42">
        <f t="shared" si="2"/>
        <v>0.007036154968</v>
      </c>
      <c r="G255" s="43"/>
      <c r="H255" s="38"/>
      <c r="I255" s="43"/>
      <c r="J255" s="44"/>
      <c r="K255" s="38"/>
      <c r="L255" s="38"/>
      <c r="M255" s="38"/>
      <c r="N255" s="38"/>
      <c r="O255" s="38"/>
    </row>
    <row r="256" hidden="1">
      <c r="A256" s="38"/>
      <c r="B256" s="38"/>
      <c r="C256" s="39" t="str">
        <f>IFERROR(__xludf.DUMMYFUNCTION("""COMPUTED_VALUE"""),"Avocado Salat")</f>
        <v>Avocado Salat</v>
      </c>
      <c r="D256" s="40">
        <f>SUMIFS(Rezepte!F:F,Rezepte!A:A,C256)</f>
        <v>1037.364486</v>
      </c>
      <c r="E256" s="41">
        <f>SUMIFS(Rezepte!G:G,Rezepte!A:A,C256)</f>
        <v>7.797212</v>
      </c>
      <c r="F256" s="42">
        <f t="shared" si="2"/>
        <v>0.007516366817</v>
      </c>
      <c r="G256" s="43"/>
      <c r="H256" s="38"/>
      <c r="I256" s="43"/>
      <c r="J256" s="44"/>
      <c r="K256" s="38"/>
      <c r="L256" s="38"/>
      <c r="M256" s="38"/>
      <c r="N256" s="38"/>
      <c r="O256" s="38"/>
    </row>
    <row r="257" hidden="1">
      <c r="A257" s="38"/>
      <c r="B257" s="38"/>
      <c r="C257" s="39" t="str">
        <f>IFERROR(__xludf.DUMMYFUNCTION("""COMPUTED_VALUE"""),"Backofengemüse")</f>
        <v>Backofengemüse</v>
      </c>
      <c r="D257" s="40">
        <f>SUMIFS(Rezepte!F:F,Rezepte!A:A,C257)</f>
        <v>8795</v>
      </c>
      <c r="E257" s="41">
        <f>SUMIFS(Rezepte!G:G,Rezepte!A:A,C257)</f>
        <v>44.73451143</v>
      </c>
      <c r="F257" s="42">
        <f t="shared" si="2"/>
        <v>0.005086357183</v>
      </c>
      <c r="G257" s="43"/>
      <c r="H257" s="38"/>
      <c r="I257" s="43"/>
      <c r="J257" s="44"/>
      <c r="K257" s="38"/>
      <c r="L257" s="38"/>
      <c r="M257" s="38"/>
      <c r="N257" s="38"/>
      <c r="O257" s="38"/>
    </row>
    <row r="258" hidden="1">
      <c r="A258" s="38"/>
      <c r="B258" s="38"/>
      <c r="C258" s="39" t="str">
        <f>IFERROR(__xludf.DUMMYFUNCTION("""COMPUTED_VALUE"""),"Backwood Wings")</f>
        <v>Backwood Wings</v>
      </c>
      <c r="D258" s="40">
        <f>SUMIFS(Rezepte!F:F,Rezepte!A:A,C258)</f>
        <v>200</v>
      </c>
      <c r="E258" s="41">
        <f>SUMIFS(Rezepte!G:G,Rezepte!A:A,C258)</f>
        <v>1.011927778</v>
      </c>
      <c r="F258" s="42">
        <f t="shared" si="2"/>
        <v>0.005059638889</v>
      </c>
      <c r="G258" s="43"/>
      <c r="H258" s="38"/>
      <c r="I258" s="43"/>
      <c r="J258" s="44"/>
      <c r="K258" s="38"/>
      <c r="L258" s="38"/>
      <c r="M258" s="38"/>
      <c r="N258" s="38"/>
      <c r="O258" s="38"/>
    </row>
    <row r="259" hidden="1">
      <c r="A259" s="38"/>
      <c r="B259" s="38"/>
      <c r="C259" s="39" t="str">
        <f>IFERROR(__xludf.DUMMYFUNCTION("""COMPUTED_VALUE"""),"Bärlauch Mayo")</f>
        <v>Bärlauch Mayo</v>
      </c>
      <c r="D259" s="40">
        <f>SUMIFS(Rezepte!F:F,Rezepte!A:A,C259)</f>
        <v>5340</v>
      </c>
      <c r="E259" s="41">
        <f>SUMIFS(Rezepte!G:G,Rezepte!A:A,C259)</f>
        <v>15.19644</v>
      </c>
      <c r="F259" s="42">
        <f t="shared" si="2"/>
        <v>0.002845775281</v>
      </c>
      <c r="G259" s="43"/>
      <c r="H259" s="38"/>
      <c r="I259" s="43"/>
      <c r="J259" s="44"/>
      <c r="K259" s="38"/>
      <c r="L259" s="38"/>
      <c r="M259" s="38"/>
      <c r="N259" s="38"/>
      <c r="O259" s="38"/>
    </row>
    <row r="260" hidden="1">
      <c r="A260" s="38"/>
      <c r="B260" s="38"/>
      <c r="C260" s="39" t="str">
        <f>IFERROR(__xludf.DUMMYFUNCTION("""COMPUTED_VALUE"""),"Basilikum Mayo")</f>
        <v>Basilikum Mayo</v>
      </c>
      <c r="D260" s="40">
        <f>SUMIFS(Rezepte!F:F,Rezepte!A:A,C260)</f>
        <v>1308</v>
      </c>
      <c r="E260" s="41">
        <f>SUMIFS(Rezepte!G:G,Rezepte!A:A,C260)</f>
        <v>2.967835966</v>
      </c>
      <c r="F260" s="42">
        <f t="shared" si="2"/>
        <v>0.002268987742</v>
      </c>
      <c r="G260" s="45"/>
      <c r="H260" s="45"/>
      <c r="I260" s="45"/>
      <c r="J260" s="45"/>
      <c r="K260" s="38"/>
      <c r="L260" s="38"/>
      <c r="M260" s="38"/>
      <c r="N260" s="38"/>
      <c r="O260" s="38"/>
    </row>
    <row r="261" hidden="1">
      <c r="A261" s="38"/>
      <c r="B261" s="38"/>
      <c r="C261" s="39" t="str">
        <f>IFERROR(__xludf.DUMMYFUNCTION("""COMPUTED_VALUE"""),"Basisburger")</f>
        <v>Basisburger</v>
      </c>
      <c r="D261" s="40">
        <f>SUMIFS(Rezepte!F:F,Rezepte!A:A,C261)</f>
        <v>250</v>
      </c>
      <c r="E261" s="41">
        <f>SUMIFS(Rezepte!G:G,Rezepte!A:A,C261)</f>
        <v>1.9433</v>
      </c>
      <c r="F261" s="42">
        <f t="shared" si="2"/>
        <v>0.0077732</v>
      </c>
      <c r="G261" s="43"/>
      <c r="H261" s="38"/>
      <c r="I261" s="43"/>
      <c r="J261" s="44"/>
      <c r="K261" s="38"/>
      <c r="L261" s="38"/>
      <c r="M261" s="38"/>
      <c r="N261" s="38"/>
      <c r="O261" s="38"/>
    </row>
    <row r="262" hidden="1">
      <c r="A262" s="38"/>
      <c r="B262" s="38"/>
      <c r="C262" s="39" t="str">
        <f>IFERROR(__xludf.DUMMYFUNCTION("""COMPUTED_VALUE"""),"BBQ-Burger")</f>
        <v>BBQ-Burger</v>
      </c>
      <c r="D262" s="40">
        <f>SUMIFS(Rezepte!F:F,Rezepte!A:A,C262)</f>
        <v>465</v>
      </c>
      <c r="E262" s="41">
        <f>SUMIFS(Rezepte!G:G,Rezepte!A:A,C262)</f>
        <v>3.118693852</v>
      </c>
      <c r="F262" s="42">
        <f t="shared" si="2"/>
        <v>0.006706868499</v>
      </c>
      <c r="G262" s="43"/>
      <c r="H262" s="38"/>
      <c r="I262" s="43"/>
      <c r="J262" s="44"/>
      <c r="K262" s="38"/>
      <c r="L262" s="38"/>
      <c r="M262" s="38"/>
      <c r="N262" s="38"/>
      <c r="O262" s="38"/>
    </row>
    <row r="263" hidden="1">
      <c r="A263" s="38"/>
      <c r="B263" s="38"/>
      <c r="C263" s="39" t="str">
        <f>IFERROR(__xludf.DUMMYFUNCTION("""COMPUTED_VALUE"""),"BBQ-Sauce")</f>
        <v>BBQ-Sauce</v>
      </c>
      <c r="D263" s="40">
        <f>SUMIFS(Rezepte!F:F,Rezepte!A:A,C263)</f>
        <v>21302</v>
      </c>
      <c r="E263" s="41">
        <f>SUMIFS(Rezepte!G:G,Rezepte!A:A,C263)</f>
        <v>158.7000582</v>
      </c>
      <c r="F263" s="42">
        <f t="shared" si="2"/>
        <v>0.007450007428</v>
      </c>
      <c r="G263" s="43"/>
      <c r="H263" s="38"/>
      <c r="I263" s="43"/>
      <c r="J263" s="44"/>
      <c r="K263" s="38"/>
      <c r="L263" s="38"/>
      <c r="M263" s="38"/>
      <c r="N263" s="38"/>
      <c r="O263" s="38"/>
    </row>
    <row r="264" hidden="1">
      <c r="A264" s="38"/>
      <c r="B264" s="38"/>
      <c r="C264" s="39" t="str">
        <f>IFERROR(__xludf.DUMMYFUNCTION("""COMPUTED_VALUE"""),"BBQ-Sauce Cranberries")</f>
        <v>BBQ-Sauce Cranberries</v>
      </c>
      <c r="D264" s="40">
        <f>SUMIFS(Rezepte!F:F,Rezepte!A:A,C264)</f>
        <v>27021</v>
      </c>
      <c r="E264" s="41">
        <f>SUMIFS(Rezepte!G:G,Rezepte!A:A,C264)</f>
        <v>186.5313742</v>
      </c>
      <c r="F264" s="42">
        <f t="shared" si="2"/>
        <v>0.006903200258</v>
      </c>
      <c r="G264" s="43"/>
      <c r="H264" s="38"/>
      <c r="I264" s="43"/>
      <c r="J264" s="44"/>
      <c r="K264" s="38"/>
      <c r="L264" s="38"/>
      <c r="M264" s="38"/>
      <c r="N264" s="38"/>
      <c r="O264" s="38"/>
    </row>
    <row r="265" hidden="1">
      <c r="A265" s="38"/>
      <c r="B265" s="38"/>
      <c r="C265" s="39" t="str">
        <f>IFERROR(__xludf.DUMMYFUNCTION("""COMPUTED_VALUE"""),"BC Topping Erdnüsse")</f>
        <v>BC Topping Erdnüsse</v>
      </c>
      <c r="D265" s="40">
        <f>SUMIFS(Rezepte!F:F,Rezepte!A:A,C265)</f>
        <v>10</v>
      </c>
      <c r="E265" s="41">
        <f>SUMIFS(Rezepte!G:G,Rezepte!A:A,C265)</f>
        <v>0.0399</v>
      </c>
      <c r="F265" s="42">
        <f t="shared" si="2"/>
        <v>0.00399</v>
      </c>
      <c r="G265" s="43"/>
      <c r="H265" s="38"/>
      <c r="I265" s="43"/>
      <c r="J265" s="44"/>
      <c r="K265" s="38"/>
      <c r="L265" s="38"/>
      <c r="M265" s="38"/>
      <c r="N265" s="38"/>
      <c r="O265" s="38"/>
    </row>
    <row r="266" hidden="1">
      <c r="A266" s="38"/>
      <c r="B266" s="38"/>
      <c r="C266" s="39" t="str">
        <f>IFERROR(__xludf.DUMMYFUNCTION("""COMPUTED_VALUE"""),"BC Topping Walnuss")</f>
        <v>BC Topping Walnuss</v>
      </c>
      <c r="D266" s="40">
        <f>SUMIFS(Rezepte!F:F,Rezepte!A:A,C266)</f>
        <v>10</v>
      </c>
      <c r="E266" s="41">
        <f>SUMIFS(Rezepte!G:G,Rezepte!A:A,C266)</f>
        <v>0.0509</v>
      </c>
      <c r="F266" s="42">
        <f t="shared" si="2"/>
        <v>0.00509</v>
      </c>
      <c r="G266" s="43"/>
      <c r="H266" s="38"/>
      <c r="I266" s="43"/>
      <c r="J266" s="44"/>
      <c r="K266" s="38"/>
      <c r="L266" s="38"/>
      <c r="M266" s="38"/>
      <c r="N266" s="38"/>
      <c r="O266" s="38"/>
    </row>
    <row r="267" hidden="1">
      <c r="A267" s="38"/>
      <c r="B267" s="38"/>
      <c r="C267" s="39" t="str">
        <f>IFERROR(__xludf.DUMMYFUNCTION("""COMPUTED_VALUE"""),"Beef Ribs")</f>
        <v>Beef Ribs</v>
      </c>
      <c r="D267" s="40">
        <f>SUMIFS(Rezepte!F:F,Rezepte!A:A,C267)</f>
        <v>904</v>
      </c>
      <c r="E267" s="41">
        <f>SUMIFS(Rezepte!G:G,Rezepte!A:A,C267)</f>
        <v>4.798601114</v>
      </c>
      <c r="F267" s="42">
        <f t="shared" si="2"/>
        <v>0.005308187073</v>
      </c>
      <c r="G267" s="43"/>
      <c r="H267" s="38"/>
      <c r="I267" s="43"/>
      <c r="J267" s="44"/>
      <c r="K267" s="38"/>
      <c r="L267" s="38"/>
      <c r="M267" s="38"/>
      <c r="N267" s="38"/>
      <c r="O267" s="38"/>
    </row>
    <row r="268" hidden="1">
      <c r="A268" s="38"/>
      <c r="B268" s="38"/>
      <c r="C268" s="39" t="str">
        <f>IFERROR(__xludf.DUMMYFUNCTION("""COMPUTED_VALUE"""),"Beef-Balls")</f>
        <v>Beef-Balls</v>
      </c>
      <c r="D268" s="40">
        <f>SUMIFS(Rezepte!F:F,Rezepte!A:A,C268)</f>
        <v>14800</v>
      </c>
      <c r="E268" s="41">
        <f>SUMIFS(Rezepte!G:G,Rezepte!A:A,C268)</f>
        <v>120.7944143</v>
      </c>
      <c r="F268" s="42">
        <f t="shared" si="2"/>
        <v>0.008161784748</v>
      </c>
      <c r="G268" s="43"/>
      <c r="H268" s="38"/>
      <c r="I268" s="43"/>
      <c r="J268" s="44"/>
      <c r="K268" s="38"/>
      <c r="L268" s="38"/>
      <c r="M268" s="38"/>
      <c r="N268" s="38"/>
      <c r="O268" s="38"/>
    </row>
    <row r="269" hidden="1">
      <c r="A269" s="38"/>
      <c r="B269" s="38"/>
      <c r="C269" s="39" t="str">
        <f>IFERROR(__xludf.DUMMYFUNCTION("""COMPUTED_VALUE"""),"Birnen gezuckert")</f>
        <v>Birnen gezuckert</v>
      </c>
      <c r="D269" s="40">
        <f>SUMIFS(Rezepte!F:F,Rezepte!A:A,C269)</f>
        <v>1500</v>
      </c>
      <c r="E269" s="41">
        <f>SUMIFS(Rezepte!G:G,Rezepte!A:A,C269)</f>
        <v>3.22</v>
      </c>
      <c r="F269" s="42">
        <f t="shared" si="2"/>
        <v>0.002146666667</v>
      </c>
      <c r="G269" s="43"/>
      <c r="H269" s="38"/>
      <c r="I269" s="43"/>
      <c r="J269" s="44"/>
      <c r="K269" s="38"/>
      <c r="L269" s="38"/>
      <c r="M269" s="38"/>
      <c r="N269" s="38"/>
      <c r="O269" s="38"/>
    </row>
    <row r="270" hidden="1">
      <c r="A270" s="38"/>
      <c r="B270" s="38"/>
      <c r="C270" s="39" t="str">
        <f>IFERROR(__xludf.DUMMYFUNCTION("""COMPUTED_VALUE"""),"Biskuitboden")</f>
        <v>Biskuitboden</v>
      </c>
      <c r="D270" s="40">
        <f>SUMIFS(Rezepte!F:F,Rezepte!A:A,C270)</f>
        <v>1490</v>
      </c>
      <c r="E270" s="41">
        <f>SUMIFS(Rezepte!G:G,Rezepte!A:A,C270)</f>
        <v>7.225</v>
      </c>
      <c r="F270" s="42">
        <f t="shared" si="2"/>
        <v>0.004848993289</v>
      </c>
      <c r="G270" s="43"/>
      <c r="H270" s="38"/>
      <c r="I270" s="43"/>
      <c r="J270" s="44"/>
      <c r="K270" s="38"/>
      <c r="L270" s="38"/>
      <c r="M270" s="38"/>
      <c r="N270" s="38"/>
      <c r="O270" s="38"/>
    </row>
    <row r="271" hidden="1">
      <c r="A271" s="38"/>
      <c r="B271" s="38"/>
      <c r="C271" s="39" t="str">
        <f>IFERROR(__xludf.DUMMYFUNCTION("""COMPUTED_VALUE"""),"Bowl")</f>
        <v>Bowl</v>
      </c>
      <c r="D271" s="40">
        <f>SUMIFS(Rezepte!F:F,Rezepte!A:A,C271)</f>
        <v>595</v>
      </c>
      <c r="E271" s="41">
        <f>SUMIFS(Rezepte!G:G,Rezepte!A:A,C271)</f>
        <v>4.549435388</v>
      </c>
      <c r="F271" s="42">
        <f t="shared" si="2"/>
        <v>0.007646109896</v>
      </c>
      <c r="G271" s="43"/>
      <c r="H271" s="38"/>
      <c r="I271" s="43"/>
      <c r="J271" s="44"/>
      <c r="K271" s="38"/>
      <c r="L271" s="38"/>
      <c r="M271" s="38"/>
      <c r="N271" s="38"/>
      <c r="O271" s="38"/>
    </row>
    <row r="272" hidden="1">
      <c r="A272" s="38"/>
      <c r="B272" s="38"/>
      <c r="C272" s="39" t="str">
        <f>IFERROR(__xludf.DUMMYFUNCTION("""COMPUTED_VALUE"""),"Brownie")</f>
        <v>Brownie</v>
      </c>
      <c r="D272" s="40">
        <f>SUMIFS(Rezepte!F:F,Rezepte!A:A,C272)</f>
        <v>3900</v>
      </c>
      <c r="E272" s="41">
        <f>SUMIFS(Rezepte!G:G,Rezepte!A:A,C272)</f>
        <v>29.2239</v>
      </c>
      <c r="F272" s="42">
        <f t="shared" si="2"/>
        <v>0.007493307692</v>
      </c>
      <c r="G272" s="43"/>
      <c r="H272" s="38"/>
      <c r="I272" s="43"/>
      <c r="J272" s="44"/>
      <c r="K272" s="38"/>
      <c r="L272" s="38"/>
      <c r="M272" s="38"/>
      <c r="N272" s="38"/>
      <c r="O272" s="38"/>
    </row>
    <row r="273" hidden="1">
      <c r="A273" s="38"/>
      <c r="B273" s="38"/>
      <c r="C273" s="39" t="str">
        <f>IFERROR(__xludf.DUMMYFUNCTION("""COMPUTED_VALUE"""),"Brownie (21er Teilung)")</f>
        <v>Brownie (21er Teilung)</v>
      </c>
      <c r="D273" s="40">
        <f>SUMIFS(Rezepte!F:F,Rezepte!A:A,C273)</f>
        <v>225.7142857</v>
      </c>
      <c r="E273" s="41">
        <f>SUMIFS(Rezepte!G:G,Rezepte!A:A,C273)</f>
        <v>1.572842857</v>
      </c>
      <c r="F273" s="42">
        <f t="shared" si="2"/>
        <v>0.006968291139</v>
      </c>
      <c r="G273" s="43"/>
      <c r="H273" s="38"/>
      <c r="I273" s="43"/>
      <c r="J273" s="44"/>
      <c r="K273" s="38"/>
      <c r="L273" s="38"/>
      <c r="M273" s="38"/>
      <c r="N273" s="38"/>
      <c r="O273" s="38"/>
    </row>
    <row r="274" hidden="1">
      <c r="A274" s="38"/>
      <c r="B274" s="38"/>
      <c r="C274" s="39" t="str">
        <f>IFERROR(__xludf.DUMMYFUNCTION("""COMPUTED_VALUE"""),"Bubblewaffel")</f>
        <v>Bubblewaffel</v>
      </c>
      <c r="D274" s="40">
        <f>SUMIFS(Rezepte!F:F,Rezepte!A:A,C274)</f>
        <v>240</v>
      </c>
      <c r="E274" s="41">
        <f>SUMIFS(Rezepte!G:G,Rezepte!A:A,C274)</f>
        <v>0.9351872648</v>
      </c>
      <c r="F274" s="42">
        <f t="shared" si="2"/>
        <v>0.003896613603</v>
      </c>
      <c r="G274" s="43"/>
      <c r="H274" s="38"/>
      <c r="I274" s="43"/>
      <c r="J274" s="44"/>
      <c r="K274" s="38"/>
      <c r="L274" s="38"/>
      <c r="M274" s="38"/>
      <c r="N274" s="38"/>
      <c r="O274" s="38"/>
    </row>
    <row r="275" hidden="1">
      <c r="A275" s="38"/>
      <c r="B275" s="38"/>
      <c r="C275" s="39" t="str">
        <f>IFERROR(__xludf.DUMMYFUNCTION("""COMPUTED_VALUE"""),"Bubblewaffel mit Softeis")</f>
        <v>Bubblewaffel mit Softeis</v>
      </c>
      <c r="D275" s="40">
        <f>SUMIFS(Rezepte!F:F,Rezepte!A:A,C275)</f>
        <v>400</v>
      </c>
      <c r="E275" s="41">
        <f>SUMIFS(Rezepte!G:G,Rezepte!A:A,C275)</f>
        <v>1.313987265</v>
      </c>
      <c r="F275" s="42">
        <f t="shared" si="2"/>
        <v>0.003284968162</v>
      </c>
      <c r="G275" s="43"/>
      <c r="H275" s="38"/>
      <c r="I275" s="43"/>
      <c r="J275" s="44"/>
      <c r="K275" s="38"/>
      <c r="L275" s="38"/>
      <c r="M275" s="38"/>
      <c r="N275" s="38"/>
      <c r="O275" s="38"/>
    </row>
    <row r="276" hidden="1">
      <c r="A276" s="38"/>
      <c r="B276" s="38"/>
      <c r="C276" s="39" t="str">
        <f>IFERROR(__xludf.DUMMYFUNCTION("""COMPUTED_VALUE"""),"Bulgur")</f>
        <v>Bulgur</v>
      </c>
      <c r="D276" s="40">
        <f>SUMIFS(Rezepte!F:F,Rezepte!A:A,C276)</f>
        <v>4170</v>
      </c>
      <c r="E276" s="41">
        <f>SUMIFS(Rezepte!G:G,Rezepte!A:A,C276)</f>
        <v>8.94952</v>
      </c>
      <c r="F276" s="42">
        <f t="shared" si="2"/>
        <v>0.002146167866</v>
      </c>
      <c r="G276" s="43"/>
      <c r="H276" s="38"/>
      <c r="I276" s="43"/>
      <c r="J276" s="44"/>
      <c r="K276" s="38"/>
      <c r="L276" s="38"/>
      <c r="M276" s="38"/>
      <c r="N276" s="38"/>
      <c r="O276" s="38"/>
    </row>
    <row r="277" hidden="1">
      <c r="A277" s="38"/>
      <c r="B277" s="38"/>
      <c r="C277" s="39" t="str">
        <f>IFERROR(__xludf.DUMMYFUNCTION("""COMPUTED_VALUE"""),"Bulgurpatty")</f>
        <v>Bulgurpatty</v>
      </c>
      <c r="D277" s="40">
        <f>SUMIFS(Rezepte!F:F,Rezepte!A:A,C277)</f>
        <v>4270</v>
      </c>
      <c r="E277" s="41">
        <f>SUMIFS(Rezepte!G:G,Rezepte!A:A,C277)</f>
        <v>22.36698963</v>
      </c>
      <c r="F277" s="42">
        <f t="shared" si="2"/>
        <v>0.005238170873</v>
      </c>
      <c r="G277" s="43"/>
      <c r="H277" s="38"/>
      <c r="I277" s="43"/>
      <c r="J277" s="44"/>
      <c r="K277" s="38"/>
      <c r="L277" s="38"/>
      <c r="M277" s="38"/>
      <c r="N277" s="38"/>
      <c r="O277" s="38"/>
    </row>
    <row r="278" hidden="1">
      <c r="A278" s="38"/>
      <c r="B278" s="38"/>
      <c r="C278" s="39" t="str">
        <f>IFERROR(__xludf.DUMMYFUNCTION("""COMPUTED_VALUE"""),"Caesar Chicken Burger ")</f>
        <v>Caesar Chicken Burger </v>
      </c>
      <c r="D278" s="40">
        <f>SUMIFS(Rezepte!F:F,Rezepte!A:A,C278)</f>
        <v>420</v>
      </c>
      <c r="E278" s="41">
        <f>SUMIFS(Rezepte!G:G,Rezepte!A:A,C278)</f>
        <v>2.58563409</v>
      </c>
      <c r="F278" s="42">
        <f t="shared" si="2"/>
        <v>0.006156271643</v>
      </c>
      <c r="G278" s="43"/>
      <c r="H278" s="38"/>
      <c r="I278" s="43"/>
      <c r="J278" s="44"/>
      <c r="K278" s="38"/>
      <c r="L278" s="38"/>
      <c r="M278" s="38"/>
      <c r="N278" s="38"/>
      <c r="O278" s="38"/>
    </row>
    <row r="279" hidden="1">
      <c r="A279" s="38"/>
      <c r="B279" s="38"/>
      <c r="C279" s="39" t="str">
        <f>IFERROR(__xludf.DUMMYFUNCTION("""COMPUTED_VALUE"""),"Caesar Dressing")</f>
        <v>Caesar Dressing</v>
      </c>
      <c r="D279" s="40">
        <f>SUMIFS(Rezepte!F:F,Rezepte!A:A,C279)</f>
        <v>6130</v>
      </c>
      <c r="E279" s="41">
        <f>SUMIFS(Rezepte!G:G,Rezepte!A:A,C279)</f>
        <v>37.37182</v>
      </c>
      <c r="F279" s="42">
        <f t="shared" si="2"/>
        <v>0.006096544861</v>
      </c>
      <c r="G279" s="43"/>
      <c r="H279" s="38"/>
      <c r="I279" s="43"/>
      <c r="J279" s="44"/>
      <c r="K279" s="38"/>
      <c r="L279" s="38"/>
      <c r="M279" s="38"/>
      <c r="N279" s="38"/>
      <c r="O279" s="38"/>
    </row>
    <row r="280" hidden="1">
      <c r="A280" s="38"/>
      <c r="B280" s="38"/>
      <c r="C280" s="39" t="str">
        <f>IFERROR(__xludf.DUMMYFUNCTION("""COMPUTED_VALUE"""),"Caesar Salad")</f>
        <v>Caesar Salad</v>
      </c>
      <c r="D280" s="40">
        <f>SUMIFS(Rezepte!F:F,Rezepte!A:A,C280)</f>
        <v>485</v>
      </c>
      <c r="E280" s="41">
        <f>SUMIFS(Rezepte!G:G,Rezepte!A:A,C280)</f>
        <v>4.319957216</v>
      </c>
      <c r="F280" s="42">
        <f t="shared" si="2"/>
        <v>0.008907128281</v>
      </c>
      <c r="G280" s="43"/>
      <c r="H280" s="38"/>
      <c r="I280" s="43"/>
      <c r="J280" s="44"/>
      <c r="K280" s="38"/>
      <c r="L280" s="38"/>
      <c r="M280" s="38"/>
      <c r="N280" s="38"/>
      <c r="O280" s="38"/>
    </row>
    <row r="281" hidden="1">
      <c r="A281" s="38"/>
      <c r="B281" s="38"/>
      <c r="C281" s="39" t="str">
        <f>IFERROR(__xludf.DUMMYFUNCTION("""COMPUTED_VALUE"""),"Caotina")</f>
        <v>Caotina</v>
      </c>
      <c r="D281" s="40">
        <f>SUMIFS(Rezepte!F:F,Rezepte!A:A,C281)</f>
        <v>316</v>
      </c>
      <c r="E281" s="41">
        <f>SUMIFS(Rezepte!G:G,Rezepte!A:A,C281)</f>
        <v>0.57076</v>
      </c>
      <c r="F281" s="42">
        <f t="shared" si="2"/>
        <v>0.001806202532</v>
      </c>
      <c r="G281" s="43"/>
      <c r="H281" s="38"/>
      <c r="I281" s="43"/>
      <c r="J281" s="44"/>
      <c r="K281" s="38"/>
      <c r="L281" s="38"/>
      <c r="M281" s="38"/>
      <c r="N281" s="38"/>
      <c r="O281" s="38"/>
    </row>
    <row r="282" hidden="1">
      <c r="A282" s="38"/>
      <c r="B282" s="38"/>
      <c r="C282" s="46" t="str">
        <f>IFERROR(__xludf.DUMMYFUNCTION("""COMPUTED_VALUE"""),"Champignons gebratene")</f>
        <v>Champignons gebratene</v>
      </c>
      <c r="D282" s="40">
        <f>SUMIFS(Rezepte!F:F,Rezepte!A:A,C282)</f>
        <v>1064</v>
      </c>
      <c r="E282" s="41">
        <f>SUMIFS(Rezepte!G:G,Rezepte!A:A,C282)</f>
        <v>11.34417333</v>
      </c>
      <c r="F282" s="42">
        <f t="shared" si="2"/>
        <v>0.01066181704</v>
      </c>
      <c r="G282" s="43"/>
      <c r="H282" s="38"/>
      <c r="I282" s="43"/>
      <c r="J282" s="44"/>
      <c r="K282" s="38"/>
      <c r="L282" s="38"/>
      <c r="M282" s="38"/>
      <c r="N282" s="38"/>
      <c r="O282" s="38"/>
    </row>
    <row r="283" hidden="1">
      <c r="A283" s="38"/>
      <c r="B283" s="38"/>
      <c r="C283" s="39" t="str">
        <f>IFERROR(__xludf.DUMMYFUNCTION("""COMPUTED_VALUE"""),"Cheeseburger ")</f>
        <v>Cheeseburger </v>
      </c>
      <c r="D283" s="40">
        <f>SUMIFS(Rezepte!F:F,Rezepte!A:A,C283)</f>
        <v>430</v>
      </c>
      <c r="E283" s="41">
        <f>SUMIFS(Rezepte!G:G,Rezepte!A:A,C283)</f>
        <v>2.65737146</v>
      </c>
      <c r="F283" s="42">
        <f t="shared" si="2"/>
        <v>0.006179933628</v>
      </c>
      <c r="G283" s="43"/>
      <c r="H283" s="38"/>
      <c r="I283" s="43"/>
      <c r="J283" s="44"/>
      <c r="K283" s="38"/>
      <c r="L283" s="38"/>
      <c r="M283" s="38"/>
      <c r="N283" s="38"/>
      <c r="O283" s="38"/>
    </row>
    <row r="284" hidden="1">
      <c r="A284" s="38"/>
      <c r="B284" s="38"/>
      <c r="C284" s="39" t="str">
        <f>IFERROR(__xludf.DUMMYFUNCTION("""COMPUTED_VALUE"""),"Chili con carne")</f>
        <v>Chili con carne</v>
      </c>
      <c r="D284" s="40">
        <f>SUMIFS(Rezepte!F:F,Rezepte!A:A,C284)</f>
        <v>11412</v>
      </c>
      <c r="E284" s="41">
        <f>SUMIFS(Rezepte!G:G,Rezepte!A:A,C284)</f>
        <v>53.56116761</v>
      </c>
      <c r="F284" s="42">
        <f t="shared" si="2"/>
        <v>0.004693407607</v>
      </c>
      <c r="G284" s="43"/>
      <c r="H284" s="38"/>
      <c r="I284" s="43"/>
      <c r="J284" s="44"/>
      <c r="K284" s="38"/>
      <c r="L284" s="38"/>
      <c r="M284" s="38"/>
      <c r="N284" s="38"/>
      <c r="O284" s="38"/>
    </row>
    <row r="285" hidden="1">
      <c r="A285" s="38"/>
      <c r="B285" s="38"/>
      <c r="C285" s="39" t="str">
        <f>IFERROR(__xludf.DUMMYFUNCTION("""COMPUTED_VALUE"""),"Chili con Carne Burger")</f>
        <v>Chili con Carne Burger</v>
      </c>
      <c r="D285" s="40">
        <f>SUMIFS(Rezepte!F:F,Rezepte!A:A,C285)</f>
        <v>535</v>
      </c>
      <c r="E285" s="41">
        <f>SUMIFS(Rezepte!G:G,Rezepte!A:A,C285)</f>
        <v>3.60995056</v>
      </c>
      <c r="F285" s="42">
        <f t="shared" si="2"/>
        <v>0.006747571141</v>
      </c>
      <c r="G285" s="43"/>
      <c r="H285" s="38"/>
      <c r="I285" s="43"/>
      <c r="J285" s="44"/>
      <c r="K285" s="38"/>
      <c r="L285" s="38"/>
      <c r="M285" s="38"/>
      <c r="N285" s="38"/>
      <c r="O285" s="38"/>
    </row>
    <row r="286" hidden="1">
      <c r="A286" s="43"/>
      <c r="B286" s="43"/>
      <c r="C286" s="39" t="str">
        <f>IFERROR(__xludf.DUMMYFUNCTION("""COMPUTED_VALUE"""),"Chili con fries")</f>
        <v>Chili con fries</v>
      </c>
      <c r="D286" s="40">
        <f>SUMIFS(Rezepte!F:F,Rezepte!A:A,C286)</f>
        <v>630</v>
      </c>
      <c r="E286" s="41">
        <f>SUMIFS(Rezepte!G:G,Rezepte!A:A,C286)</f>
        <v>2.480393703</v>
      </c>
      <c r="F286" s="42">
        <f t="shared" si="2"/>
        <v>0.003937132862</v>
      </c>
      <c r="G286" s="43"/>
      <c r="H286" s="38"/>
      <c r="I286" s="43"/>
      <c r="J286" s="44"/>
      <c r="K286" s="38"/>
      <c r="L286" s="38"/>
      <c r="M286" s="47"/>
      <c r="N286" s="38"/>
      <c r="O286" s="38"/>
    </row>
    <row r="287" hidden="1">
      <c r="A287" s="48"/>
      <c r="B287" s="48"/>
      <c r="C287" s="49" t="str">
        <f>IFERROR(__xludf.DUMMYFUNCTION("""COMPUTED_VALUE"""),"Cole Slaw")</f>
        <v>Cole Slaw</v>
      </c>
      <c r="D287" s="40">
        <f>SUMIFS(Rezepte!F:F,Rezepte!A:A,C287)</f>
        <v>7320</v>
      </c>
      <c r="E287" s="41">
        <f>SUMIFS(Rezepte!G:G,Rezepte!A:A,C287)</f>
        <v>12.66472424</v>
      </c>
      <c r="F287" s="42">
        <f t="shared" si="2"/>
        <v>0.001730153585</v>
      </c>
      <c r="G287" s="43"/>
      <c r="H287" s="38"/>
      <c r="I287" s="50"/>
      <c r="J287" s="44"/>
      <c r="K287" s="38"/>
      <c r="L287" s="38"/>
      <c r="M287" s="38"/>
      <c r="N287" s="38"/>
      <c r="O287" s="38"/>
    </row>
    <row r="288" hidden="1">
      <c r="A288" s="38"/>
      <c r="B288" s="38"/>
      <c r="C288" s="39" t="str">
        <f>IFERROR(__xludf.DUMMYFUNCTION("""COMPUTED_VALUE"""),"Creamy Cheesecake")</f>
        <v>Creamy Cheesecake</v>
      </c>
      <c r="D288" s="40">
        <f>SUMIFS(Rezepte!F:F,Rezepte!A:A,C288)</f>
        <v>2195</v>
      </c>
      <c r="E288" s="41">
        <f>SUMIFS(Rezepte!G:G,Rezepte!A:A,C288)</f>
        <v>9.55408</v>
      </c>
      <c r="F288" s="42">
        <f t="shared" si="2"/>
        <v>0.004352656036</v>
      </c>
      <c r="G288" s="43"/>
      <c r="H288" s="38"/>
      <c r="I288" s="43"/>
      <c r="J288" s="44"/>
      <c r="K288" s="38"/>
      <c r="L288" s="38"/>
      <c r="M288" s="38"/>
      <c r="N288" s="38"/>
      <c r="O288" s="38"/>
    </row>
    <row r="289" hidden="1">
      <c r="A289" s="38"/>
      <c r="B289" s="38"/>
      <c r="C289" s="39" t="str">
        <f>IFERROR(__xludf.DUMMYFUNCTION("""COMPUTED_VALUE"""),"Creamy Cheesecake (16er Teilung)")</f>
        <v>Creamy Cheesecake (16er Teilung)</v>
      </c>
      <c r="D289" s="40">
        <f>SUMIFS(Rezepte!F:F,Rezepte!A:A,C289)</f>
        <v>230.796875</v>
      </c>
      <c r="E289" s="41">
        <f>SUMIFS(Rezepte!G:G,Rezepte!A:A,C289)</f>
        <v>1.149937728</v>
      </c>
      <c r="F289" s="42">
        <f t="shared" si="2"/>
        <v>0.004982466631</v>
      </c>
      <c r="G289" s="43"/>
      <c r="H289" s="38"/>
      <c r="I289" s="43"/>
      <c r="J289" s="44"/>
      <c r="K289" s="38"/>
      <c r="L289" s="38"/>
      <c r="M289" s="38"/>
      <c r="N289" s="38"/>
      <c r="O289" s="38"/>
    </row>
    <row r="290" hidden="1">
      <c r="A290" s="38"/>
      <c r="B290" s="38"/>
      <c r="C290" s="39" t="str">
        <f>IFERROR(__xludf.DUMMYFUNCTION("""COMPUTED_VALUE"""),"Creamy Cheesecake Cover")</f>
        <v>Creamy Cheesecake Cover</v>
      </c>
      <c r="D290" s="40">
        <f>SUMIFS(Rezepte!F:F,Rezepte!A:A,C290)</f>
        <v>670</v>
      </c>
      <c r="E290" s="41">
        <f>SUMIFS(Rezepte!G:G,Rezepte!A:A,C290)</f>
        <v>2.972</v>
      </c>
      <c r="F290" s="42">
        <f t="shared" si="2"/>
        <v>0.004435820896</v>
      </c>
      <c r="G290" s="43"/>
      <c r="H290" s="38"/>
      <c r="I290" s="43"/>
      <c r="J290" s="44"/>
      <c r="K290" s="38"/>
      <c r="L290" s="38"/>
      <c r="M290" s="38"/>
      <c r="N290" s="38"/>
      <c r="O290" s="38"/>
    </row>
    <row r="291" hidden="1">
      <c r="A291" s="38"/>
      <c r="B291" s="38"/>
      <c r="C291" s="39" t="str">
        <f>IFERROR(__xludf.DUMMYFUNCTION("""COMPUTED_VALUE"""),"Creamy Cheesecake im Glas 150g")</f>
        <v>Creamy Cheesecake im Glas 150g</v>
      </c>
      <c r="D291" s="40">
        <f>SUMIFS(Rezepte!F:F,Rezepte!A:A,C291)</f>
        <v>251.5</v>
      </c>
      <c r="E291" s="41">
        <f>SUMIFS(Rezepte!G:G,Rezepte!A:A,C291)</f>
        <v>1.278451839</v>
      </c>
      <c r="F291" s="42">
        <f t="shared" si="2"/>
        <v>0.005083307512</v>
      </c>
      <c r="G291" s="43"/>
      <c r="H291" s="38"/>
      <c r="I291" s="43"/>
      <c r="J291" s="44"/>
      <c r="K291" s="38"/>
      <c r="L291" s="38"/>
      <c r="M291" s="38"/>
      <c r="N291" s="38"/>
      <c r="O291" s="38"/>
    </row>
    <row r="292" hidden="1">
      <c r="A292" s="38"/>
      <c r="B292" s="38"/>
      <c r="C292" s="39" t="str">
        <f>IFERROR(__xludf.DUMMYFUNCTION("""COMPUTED_VALUE"""),"Creme Fraiche c.c.c.")</f>
        <v>Creme Fraiche c.c.c.</v>
      </c>
      <c r="D292" s="40">
        <f>SUMIFS(Rezepte!F:F,Rezepte!A:A,C292)</f>
        <v>4675</v>
      </c>
      <c r="E292" s="41">
        <f>SUMIFS(Rezepte!G:G,Rezepte!A:A,C292)</f>
        <v>31.69355294</v>
      </c>
      <c r="F292" s="42">
        <f t="shared" si="2"/>
        <v>0.006779369613</v>
      </c>
      <c r="G292" s="43"/>
      <c r="H292" s="38"/>
      <c r="I292" s="43"/>
      <c r="J292" s="44"/>
      <c r="K292" s="38"/>
      <c r="L292" s="38"/>
      <c r="M292" s="38"/>
      <c r="N292" s="38"/>
      <c r="O292" s="38"/>
    </row>
    <row r="293" hidden="1">
      <c r="A293" s="38"/>
      <c r="B293" s="38"/>
      <c r="C293" s="39" t="str">
        <f>IFERROR(__xludf.DUMMYFUNCTION("""COMPUTED_VALUE"""),"Crispy Cheesy Mushroom")</f>
        <v>Crispy Cheesy Mushroom</v>
      </c>
      <c r="D293" s="40">
        <f>SUMIFS(Rezepte!F:F,Rezepte!A:A,C293)</f>
        <v>440</v>
      </c>
      <c r="E293" s="41">
        <f>SUMIFS(Rezepte!G:G,Rezepte!A:A,C293)</f>
        <v>3.843978109</v>
      </c>
      <c r="F293" s="42">
        <f t="shared" si="2"/>
        <v>0.008736313884</v>
      </c>
      <c r="G293" s="43"/>
      <c r="H293" s="38"/>
      <c r="I293" s="43"/>
      <c r="J293" s="44"/>
      <c r="K293" s="38"/>
      <c r="L293" s="38"/>
      <c r="M293" s="38"/>
      <c r="N293" s="38"/>
      <c r="O293" s="38"/>
    </row>
    <row r="294" hidden="1">
      <c r="A294" s="38"/>
      <c r="B294" s="38"/>
      <c r="C294" s="39" t="str">
        <f>IFERROR(__xludf.DUMMYFUNCTION("""COMPUTED_VALUE"""),"Crispy Cheesy Mushroom Beef")</f>
        <v>Crispy Cheesy Mushroom Beef</v>
      </c>
      <c r="D294" s="40">
        <f>SUMIFS(Rezepte!F:F,Rezepte!A:A,C294)</f>
        <v>620</v>
      </c>
      <c r="E294" s="41">
        <f>SUMIFS(Rezepte!G:G,Rezepte!A:A,C294)</f>
        <v>5.385013756</v>
      </c>
      <c r="F294" s="42">
        <f t="shared" si="2"/>
        <v>0.008685506058</v>
      </c>
      <c r="G294" s="43"/>
      <c r="H294" s="38"/>
      <c r="I294" s="43"/>
      <c r="J294" s="44"/>
      <c r="K294" s="38"/>
      <c r="L294" s="38"/>
      <c r="M294" s="38"/>
      <c r="N294" s="38"/>
      <c r="O294" s="38"/>
    </row>
    <row r="295" hidden="1">
      <c r="A295" s="38"/>
      <c r="B295" s="38"/>
      <c r="C295" s="39" t="str">
        <f>IFERROR(__xludf.DUMMYFUNCTION("""COMPUTED_VALUE"""),"Crispy Chicken Nuggets")</f>
        <v>Crispy Chicken Nuggets</v>
      </c>
      <c r="D295" s="40">
        <f>SUMIFS(Rezepte!F:F,Rezepte!A:A,C295)</f>
        <v>190</v>
      </c>
      <c r="E295" s="41">
        <f>SUMIFS(Rezepte!G:G,Rezepte!A:A,C295)</f>
        <v>1.245185478</v>
      </c>
      <c r="F295" s="42">
        <f t="shared" si="2"/>
        <v>0.00655360778</v>
      </c>
      <c r="G295" s="43"/>
      <c r="H295" s="38"/>
      <c r="I295" s="43"/>
      <c r="J295" s="44"/>
      <c r="K295" s="38"/>
      <c r="L295" s="38"/>
      <c r="M295" s="38"/>
      <c r="N295" s="38"/>
      <c r="O295" s="38"/>
    </row>
    <row r="296" hidden="1">
      <c r="A296" s="38"/>
      <c r="B296" s="38"/>
      <c r="C296" s="39" t="str">
        <f>IFERROR(__xludf.DUMMYFUNCTION("""COMPUTED_VALUE"""),"Crispy Filets Nuggets")</f>
        <v>Crispy Filets Nuggets</v>
      </c>
      <c r="D296" s="40">
        <f>SUMIFS(Rezepte!F:F,Rezepte!A:A,C296)</f>
        <v>200</v>
      </c>
      <c r="E296" s="41">
        <f>SUMIFS(Rezepte!G:G,Rezepte!A:A,C296)</f>
        <v>2.214729241</v>
      </c>
      <c r="F296" s="42">
        <f t="shared" si="2"/>
        <v>0.0110736462</v>
      </c>
      <c r="G296" s="43"/>
      <c r="H296" s="38"/>
      <c r="I296" s="43"/>
      <c r="J296" s="44"/>
      <c r="K296" s="38"/>
      <c r="L296" s="38"/>
      <c r="M296" s="38"/>
      <c r="N296" s="38"/>
      <c r="O296" s="38"/>
    </row>
    <row r="297" hidden="1">
      <c r="A297" s="38"/>
      <c r="B297" s="38"/>
      <c r="C297" s="39" t="str">
        <f>IFERROR(__xludf.DUMMYFUNCTION("""COMPUTED_VALUE"""),"Crispy Lollipops")</f>
        <v>Crispy Lollipops</v>
      </c>
      <c r="D297" s="40">
        <f>SUMIFS(Rezepte!F:F,Rezepte!A:A,C297)</f>
        <v>305</v>
      </c>
      <c r="E297" s="41">
        <f>SUMIFS(Rezepte!G:G,Rezepte!A:A,C297)</f>
        <v>1.626128547</v>
      </c>
      <c r="F297" s="42">
        <f t="shared" si="2"/>
        <v>0.005331569008</v>
      </c>
      <c r="G297" s="43"/>
      <c r="H297" s="38"/>
      <c r="I297" s="43"/>
      <c r="J297" s="44"/>
      <c r="K297" s="38"/>
      <c r="L297" s="38"/>
      <c r="M297" s="38"/>
      <c r="N297" s="38"/>
      <c r="O297" s="38"/>
    </row>
    <row r="298" hidden="1">
      <c r="A298" s="38"/>
      <c r="B298" s="38"/>
      <c r="C298" s="43" t="str">
        <f>IFERROR(__xludf.DUMMYFUNCTION("""COMPUTED_VALUE"""),"Crispy Prawns")</f>
        <v>Crispy Prawns</v>
      </c>
      <c r="D298" s="40">
        <f>SUMIFS(Rezepte!F:F,Rezepte!A:A,C298)</f>
        <v>190</v>
      </c>
      <c r="E298" s="41">
        <f>SUMIFS(Rezepte!G:G,Rezepte!A:A,C298)</f>
        <v>1.863802824</v>
      </c>
      <c r="F298" s="42">
        <f t="shared" si="2"/>
        <v>0.00980948855</v>
      </c>
      <c r="G298" s="43"/>
      <c r="H298" s="38"/>
      <c r="I298" s="43"/>
      <c r="J298" s="44"/>
      <c r="K298" s="38"/>
      <c r="L298" s="38"/>
      <c r="M298" s="38"/>
      <c r="N298" s="38"/>
      <c r="O298" s="38"/>
    </row>
    <row r="299" hidden="1">
      <c r="A299" s="38"/>
      <c r="B299" s="38"/>
      <c r="C299" s="43" t="str">
        <f>IFERROR(__xludf.DUMMYFUNCTION("""COMPUTED_VALUE"""),"Croutons")</f>
        <v>Croutons</v>
      </c>
      <c r="D299" s="40">
        <f>SUMIFS(Rezepte!F:F,Rezepte!A:A,C299)</f>
        <v>1089</v>
      </c>
      <c r="E299" s="41">
        <f>SUMIFS(Rezepte!G:G,Rezepte!A:A,C299)</f>
        <v>7.055632</v>
      </c>
      <c r="F299" s="42">
        <f t="shared" si="2"/>
        <v>0.006479000918</v>
      </c>
      <c r="G299" s="43"/>
      <c r="H299" s="38"/>
      <c r="I299" s="43"/>
      <c r="J299" s="44"/>
      <c r="K299" s="38"/>
      <c r="L299" s="38"/>
      <c r="M299" s="38"/>
      <c r="N299" s="38"/>
      <c r="O299" s="38"/>
    </row>
    <row r="300" hidden="1">
      <c r="A300" s="38"/>
      <c r="B300" s="38"/>
      <c r="C300" s="43" t="str">
        <f>IFERROR(__xludf.DUMMYFUNCTION("""COMPUTED_VALUE"""),"Cuince Pumpkin Burger")</f>
        <v>Cuince Pumpkin Burger</v>
      </c>
      <c r="D300" s="40">
        <f>SUMIFS(Rezepte!F:F,Rezepte!A:A,C300)</f>
        <v>290</v>
      </c>
      <c r="E300" s="41">
        <f>SUMIFS(Rezepte!G:G,Rezepte!A:A,C300)</f>
        <v>1.162937809</v>
      </c>
      <c r="F300" s="42">
        <f t="shared" si="2"/>
        <v>0.004010130377</v>
      </c>
      <c r="G300" s="43"/>
      <c r="H300" s="38"/>
      <c r="I300" s="43"/>
      <c r="J300" s="44"/>
      <c r="K300" s="38"/>
      <c r="L300" s="38"/>
      <c r="M300" s="38"/>
      <c r="N300" s="38"/>
      <c r="O300" s="38"/>
    </row>
    <row r="301" hidden="1">
      <c r="A301" s="38"/>
      <c r="B301" s="38"/>
      <c r="C301" s="43" t="str">
        <f>IFERROR(__xludf.DUMMYFUNCTION("""COMPUTED_VALUE"""),"Der Schweizer")</f>
        <v>Der Schweizer</v>
      </c>
      <c r="D301" s="40">
        <f>SUMIFS(Rezepte!F:F,Rezepte!A:A,C301)</f>
        <v>405</v>
      </c>
      <c r="E301" s="41">
        <f>SUMIFS(Rezepte!G:G,Rezepte!A:A,C301)</f>
        <v>2.968583129</v>
      </c>
      <c r="F301" s="42">
        <f t="shared" si="2"/>
        <v>0.007329834887</v>
      </c>
      <c r="G301" s="43"/>
      <c r="H301" s="38"/>
      <c r="I301" s="43"/>
      <c r="J301" s="44"/>
      <c r="K301" s="38"/>
      <c r="L301" s="38"/>
      <c r="M301" s="38"/>
      <c r="N301" s="38"/>
      <c r="O301" s="38"/>
    </row>
    <row r="302" hidden="1">
      <c r="A302" s="38"/>
      <c r="B302" s="38"/>
      <c r="C302" s="43" t="str">
        <f>IFERROR(__xludf.DUMMYFUNCTION("""COMPUTED_VALUE"""),"Dirty Road")</f>
        <v>Dirty Road</v>
      </c>
      <c r="D302" s="40">
        <f>SUMIFS(Rezepte!F:F,Rezepte!A:A,C302)</f>
        <v>400</v>
      </c>
      <c r="E302" s="41">
        <f>SUMIFS(Rezepte!G:G,Rezepte!A:A,C302)</f>
        <v>3.122656958</v>
      </c>
      <c r="F302" s="42">
        <f t="shared" si="2"/>
        <v>0.007806642394</v>
      </c>
      <c r="G302" s="43"/>
      <c r="H302" s="38"/>
      <c r="I302" s="43"/>
      <c r="J302" s="44"/>
      <c r="K302" s="38"/>
      <c r="L302" s="38"/>
      <c r="M302" s="38"/>
      <c r="N302" s="38"/>
      <c r="O302" s="38"/>
    </row>
    <row r="303" hidden="1">
      <c r="A303" s="38"/>
      <c r="B303" s="38"/>
      <c r="C303" s="43" t="str">
        <f>IFERROR(__xludf.DUMMYFUNCTION("""COMPUTED_VALUE"""),"Double Burger")</f>
        <v>Double Burger</v>
      </c>
      <c r="D303" s="40">
        <f>SUMIFS(Rezepte!F:F,Rezepte!A:A,C303)</f>
        <v>710</v>
      </c>
      <c r="E303" s="41">
        <f>SUMIFS(Rezepte!G:G,Rezepte!A:A,C303)</f>
        <v>5.018830996</v>
      </c>
      <c r="F303" s="42">
        <f t="shared" si="2"/>
        <v>0.00706877605</v>
      </c>
      <c r="G303" s="43"/>
      <c r="H303" s="38"/>
      <c r="I303" s="43"/>
      <c r="J303" s="44"/>
      <c r="K303" s="38"/>
      <c r="L303" s="38"/>
      <c r="M303" s="38"/>
      <c r="N303" s="38"/>
      <c r="O303" s="38"/>
    </row>
    <row r="304" hidden="1">
      <c r="A304" s="38"/>
      <c r="B304" s="38"/>
      <c r="C304" s="43" t="str">
        <f>IFERROR(__xludf.DUMMYFUNCTION("""COMPUTED_VALUE"""),"Double Burger (Single)")</f>
        <v>Double Burger (Single)</v>
      </c>
      <c r="D304" s="40">
        <f>SUMIFS(Rezepte!F:F,Rezepte!A:A,C304)</f>
        <v>520</v>
      </c>
      <c r="E304" s="41">
        <f>SUMIFS(Rezepte!G:G,Rezepte!A:A,C304)</f>
        <v>3.347730996</v>
      </c>
      <c r="F304" s="42">
        <f t="shared" si="2"/>
        <v>0.006437944223</v>
      </c>
      <c r="G304" s="43"/>
      <c r="H304" s="38"/>
      <c r="I304" s="43"/>
      <c r="J304" s="44"/>
      <c r="K304" s="38"/>
      <c r="L304" s="38"/>
      <c r="M304" s="38"/>
      <c r="N304" s="38"/>
      <c r="O304" s="38"/>
    </row>
    <row r="305" hidden="1">
      <c r="A305" s="38"/>
      <c r="B305" s="38"/>
      <c r="C305" s="39" t="str">
        <f>IFERROR(__xludf.DUMMYFUNCTION("""COMPUTED_VALUE"""),"Dressing Cole Slaw")</f>
        <v>Dressing Cole Slaw</v>
      </c>
      <c r="D305" s="40">
        <f>SUMIFS(Rezepte!F:F,Rezepte!A:A,C305)</f>
        <v>3070</v>
      </c>
      <c r="E305" s="41">
        <f>SUMIFS(Rezepte!G:G,Rezepte!A:A,C305)</f>
        <v>7.327114114</v>
      </c>
      <c r="F305" s="42">
        <f t="shared" si="2"/>
        <v>0.002386682122</v>
      </c>
      <c r="G305" s="43"/>
      <c r="H305" s="38"/>
      <c r="I305" s="43"/>
      <c r="J305" s="44"/>
      <c r="K305" s="38"/>
      <c r="L305" s="38"/>
      <c r="M305" s="38"/>
      <c r="N305" s="38"/>
      <c r="O305" s="38"/>
    </row>
    <row r="306" hidden="1">
      <c r="A306" s="38"/>
      <c r="B306" s="38"/>
      <c r="C306" s="39" t="str">
        <f>IFERROR(__xludf.DUMMYFUNCTION("""COMPUTED_VALUE"""),"Ei Caramba")</f>
        <v>Ei Caramba</v>
      </c>
      <c r="D306" s="40">
        <f>SUMIFS(Rezepte!F:F,Rezepte!A:A,C306)</f>
        <v>318</v>
      </c>
      <c r="E306" s="41">
        <f>SUMIFS(Rezepte!G:G,Rezepte!A:A,C306)</f>
        <v>3.19227017</v>
      </c>
      <c r="F306" s="42">
        <f t="shared" si="2"/>
        <v>0.01003858544</v>
      </c>
      <c r="G306" s="43"/>
      <c r="H306" s="38"/>
      <c r="I306" s="43"/>
      <c r="J306" s="44"/>
      <c r="K306" s="38"/>
      <c r="L306" s="38"/>
      <c r="M306" s="38"/>
      <c r="N306" s="38"/>
      <c r="O306" s="38"/>
    </row>
    <row r="307" hidden="1">
      <c r="A307" s="38"/>
      <c r="B307" s="38"/>
      <c r="C307" s="39" t="str">
        <f>IFERROR(__xludf.DUMMYFUNCTION("""COMPUTED_VALUE"""),"Eingelegte Rotkohl")</f>
        <v>Eingelegte Rotkohl</v>
      </c>
      <c r="D307" s="40">
        <f>SUMIFS(Rezepte!F:F,Rezepte!A:A,C307)</f>
        <v>2287</v>
      </c>
      <c r="E307" s="41">
        <f>SUMIFS(Rezepte!G:G,Rezepte!A:A,C307)</f>
        <v>3.291994737</v>
      </c>
      <c r="F307" s="42">
        <f t="shared" si="2"/>
        <v>0.001439438013</v>
      </c>
      <c r="G307" s="43"/>
      <c r="H307" s="38"/>
      <c r="I307" s="43"/>
      <c r="J307" s="44"/>
      <c r="K307" s="38"/>
      <c r="L307" s="38"/>
      <c r="M307" s="38"/>
      <c r="N307" s="38"/>
      <c r="O307" s="38"/>
    </row>
    <row r="308" hidden="1">
      <c r="A308" s="43"/>
      <c r="B308" s="43"/>
      <c r="C308" s="43" t="str">
        <f>IFERROR(__xludf.DUMMYFUNCTION("""COMPUTED_VALUE"""),"Eisbecher Crunch")</f>
        <v>Eisbecher Crunch</v>
      </c>
      <c r="D308" s="40">
        <f>SUMIFS(Rezepte!F:F,Rezepte!A:A,C308)</f>
        <v>280</v>
      </c>
      <c r="E308" s="41">
        <f>SUMIFS(Rezepte!G:G,Rezepte!A:A,C308)</f>
        <v>0.9244131109</v>
      </c>
      <c r="F308" s="42">
        <f t="shared" si="2"/>
        <v>0.003301475396</v>
      </c>
      <c r="G308" s="43"/>
      <c r="H308" s="38"/>
      <c r="I308" s="43"/>
      <c r="J308" s="44"/>
      <c r="K308" s="43"/>
      <c r="L308" s="43"/>
      <c r="M308" s="50"/>
      <c r="N308" s="38"/>
      <c r="O308" s="38"/>
    </row>
    <row r="309" hidden="1">
      <c r="A309" s="43"/>
      <c r="B309" s="43"/>
      <c r="C309" s="43" t="str">
        <f>IFERROR(__xludf.DUMMYFUNCTION("""COMPUTED_VALUE"""),"Eisbecher Frucht")</f>
        <v>Eisbecher Frucht</v>
      </c>
      <c r="D309" s="40">
        <f>SUMIFS(Rezepte!F:F,Rezepte!A:A,C309)</f>
        <v>300</v>
      </c>
      <c r="E309" s="41">
        <f>SUMIFS(Rezepte!G:G,Rezepte!A:A,C309)</f>
        <v>1.549225</v>
      </c>
      <c r="F309" s="42">
        <f t="shared" si="2"/>
        <v>0.005164083333</v>
      </c>
      <c r="G309" s="50"/>
      <c r="H309" s="43"/>
      <c r="I309" s="43"/>
      <c r="J309" s="50"/>
      <c r="K309" s="43"/>
      <c r="L309" s="43"/>
      <c r="M309" s="50"/>
      <c r="N309" s="38"/>
      <c r="O309" s="38"/>
    </row>
    <row r="310" hidden="1">
      <c r="A310" s="38"/>
      <c r="B310" s="38"/>
      <c r="C310" s="43" t="str">
        <f>IFERROR(__xludf.DUMMYFUNCTION("""COMPUTED_VALUE"""),"Eisbecher Mango")</f>
        <v>Eisbecher Mango</v>
      </c>
      <c r="D310" s="40">
        <f>SUMIFS(Rezepte!F:F,Rezepte!A:A,C310)</f>
        <v>355</v>
      </c>
      <c r="E310" s="41">
        <f>SUMIFS(Rezepte!G:G,Rezepte!A:A,C310)</f>
        <v>0.9296383207</v>
      </c>
      <c r="F310" s="42">
        <f t="shared" si="2"/>
        <v>0.002618699495</v>
      </c>
      <c r="G310" s="50"/>
      <c r="H310" s="43"/>
      <c r="I310" s="43"/>
      <c r="J310" s="50"/>
      <c r="K310" s="38"/>
      <c r="L310" s="38"/>
      <c r="M310" s="38"/>
      <c r="N310" s="38"/>
      <c r="O310" s="38"/>
    </row>
    <row r="311" hidden="1">
      <c r="A311" s="38"/>
      <c r="B311" s="38"/>
      <c r="C311" s="39" t="str">
        <f>IFERROR(__xludf.DUMMYFUNCTION("""COMPUTED_VALUE"""),"Eisbecher Nuss")</f>
        <v>Eisbecher Nuss</v>
      </c>
      <c r="D311" s="40">
        <f>SUMIFS(Rezepte!F:F,Rezepte!A:A,C311)</f>
        <v>275</v>
      </c>
      <c r="E311" s="41">
        <f>SUMIFS(Rezepte!G:G,Rezepte!A:A,C311)</f>
        <v>0.7135321429</v>
      </c>
      <c r="F311" s="42">
        <f t="shared" si="2"/>
        <v>0.002594662338</v>
      </c>
      <c r="G311" s="43"/>
      <c r="H311" s="38"/>
      <c r="I311" s="43"/>
      <c r="J311" s="44"/>
      <c r="K311" s="38"/>
      <c r="L311" s="38"/>
      <c r="M311" s="38"/>
      <c r="N311" s="38"/>
      <c r="O311" s="38"/>
    </row>
    <row r="312" hidden="1">
      <c r="A312" s="38"/>
      <c r="B312" s="38"/>
      <c r="C312" s="43" t="str">
        <f>IFERROR(__xludf.DUMMYFUNCTION("""COMPUTED_VALUE"""),"Eisbecher Oreo")</f>
        <v>Eisbecher Oreo</v>
      </c>
      <c r="D312" s="40">
        <f>SUMIFS(Rezepte!F:F,Rezepte!A:A,C312)</f>
        <v>290</v>
      </c>
      <c r="E312" s="41">
        <f>SUMIFS(Rezepte!G:G,Rezepte!A:A,C312)</f>
        <v>0.9247462121</v>
      </c>
      <c r="F312" s="42">
        <f t="shared" si="2"/>
        <v>0.003188780042</v>
      </c>
      <c r="G312" s="43"/>
      <c r="H312" s="38"/>
      <c r="I312" s="43"/>
      <c r="J312" s="44"/>
      <c r="K312" s="38"/>
      <c r="L312" s="38"/>
      <c r="M312" s="38"/>
      <c r="N312" s="38"/>
      <c r="O312" s="38"/>
    </row>
    <row r="313" hidden="1">
      <c r="A313" s="38"/>
      <c r="B313" s="38"/>
      <c r="C313" s="43" t="str">
        <f>IFERROR(__xludf.DUMMYFUNCTION("""COMPUTED_VALUE"""),"Eisbecher Salted Lemons Vanilla")</f>
        <v>Eisbecher Salted Lemons Vanilla</v>
      </c>
      <c r="D313" s="40">
        <f>SUMIFS(Rezepte!F:F,Rezepte!A:A,C313)</f>
        <v>299</v>
      </c>
      <c r="E313" s="41">
        <f>SUMIFS(Rezepte!G:G,Rezepte!A:A,C313)</f>
        <v>0.7993378571</v>
      </c>
      <c r="F313" s="42">
        <f t="shared" si="2"/>
        <v>0.00267337076</v>
      </c>
      <c r="G313" s="43"/>
      <c r="H313" s="38"/>
      <c r="I313" s="43"/>
      <c r="J313" s="44"/>
      <c r="K313" s="38"/>
      <c r="L313" s="38"/>
      <c r="M313" s="38"/>
      <c r="N313" s="38"/>
      <c r="O313" s="38"/>
    </row>
    <row r="314" hidden="1">
      <c r="A314" s="38"/>
      <c r="B314" s="38"/>
      <c r="C314" s="39" t="str">
        <f>IFERROR(__xludf.DUMMYFUNCTION("""COMPUTED_VALUE"""),"Eisbecher Schoko")</f>
        <v>Eisbecher Schoko</v>
      </c>
      <c r="D314" s="40">
        <f>SUMIFS(Rezepte!F:F,Rezepte!A:A,C314)</f>
        <v>280</v>
      </c>
      <c r="E314" s="41">
        <f>SUMIFS(Rezepte!G:G,Rezepte!A:A,C314)</f>
        <v>0.8196482967</v>
      </c>
      <c r="F314" s="42">
        <f t="shared" si="2"/>
        <v>0.002927315345</v>
      </c>
      <c r="G314" s="43"/>
      <c r="H314" s="38"/>
      <c r="I314" s="43"/>
      <c r="J314" s="44"/>
      <c r="K314" s="38"/>
      <c r="L314" s="38"/>
      <c r="M314" s="38"/>
      <c r="N314" s="38"/>
      <c r="O314" s="38"/>
    </row>
    <row r="315" hidden="1">
      <c r="A315" s="38"/>
      <c r="B315" s="38"/>
      <c r="C315" s="39" t="str">
        <f>IFERROR(__xludf.DUMMYFUNCTION("""COMPUTED_VALUE"""),"Eiskaffee")</f>
        <v>Eiskaffee</v>
      </c>
      <c r="D315" s="40">
        <f>SUMIFS(Rezepte!F:F,Rezepte!A:A,C315)</f>
        <v>428</v>
      </c>
      <c r="E315" s="41">
        <f>SUMIFS(Rezepte!G:G,Rezepte!A:A,C315)</f>
        <v>1.169167857</v>
      </c>
      <c r="F315" s="42">
        <f t="shared" si="2"/>
        <v>0.002731700601</v>
      </c>
      <c r="G315" s="43"/>
      <c r="H315" s="38"/>
      <c r="I315" s="43"/>
      <c r="J315" s="44"/>
      <c r="K315" s="38"/>
      <c r="L315" s="38"/>
      <c r="M315" s="38"/>
      <c r="N315" s="38"/>
      <c r="O315" s="38"/>
    </row>
    <row r="316" hidden="1">
      <c r="A316" s="38"/>
      <c r="B316" s="38"/>
      <c r="C316" s="39" t="str">
        <f>IFERROR(__xludf.DUMMYFUNCTION("""COMPUTED_VALUE"""),"Eistee")</f>
        <v>Eistee</v>
      </c>
      <c r="D316" s="40">
        <f>SUMIFS(Rezepte!F:F,Rezepte!A:A,C316)</f>
        <v>14560</v>
      </c>
      <c r="E316" s="41">
        <f>SUMIFS(Rezepte!G:G,Rezepte!A:A,C316)</f>
        <v>7.542</v>
      </c>
      <c r="F316" s="42">
        <f t="shared" si="2"/>
        <v>0.0005179945055</v>
      </c>
      <c r="G316" s="43"/>
      <c r="H316" s="38"/>
      <c r="I316" s="43"/>
      <c r="J316" s="44"/>
      <c r="K316" s="38"/>
      <c r="L316" s="38"/>
      <c r="M316" s="38"/>
      <c r="N316" s="38"/>
      <c r="O316" s="38"/>
    </row>
    <row r="317" hidden="1">
      <c r="A317" s="38"/>
      <c r="B317" s="38"/>
      <c r="C317" s="39" t="str">
        <f>IFERROR(__xludf.DUMMYFUNCTION("""COMPUTED_VALUE"""),"Erbbeeren chili")</f>
        <v>Erbbeeren chili</v>
      </c>
      <c r="D317" s="40">
        <f>SUMIFS(Rezepte!F:F,Rezepte!A:A,C317)</f>
        <v>354</v>
      </c>
      <c r="E317" s="41">
        <f>SUMIFS(Rezepte!G:G,Rezepte!A:A,C317)</f>
        <v>3.099789474</v>
      </c>
      <c r="F317" s="42">
        <f t="shared" si="2"/>
        <v>0.00875646744</v>
      </c>
      <c r="G317" s="43"/>
      <c r="H317" s="38"/>
      <c r="I317" s="43"/>
      <c r="J317" s="44"/>
      <c r="K317" s="38"/>
      <c r="L317" s="38"/>
      <c r="M317" s="38"/>
      <c r="N317" s="38"/>
      <c r="O317" s="38"/>
    </row>
    <row r="318" hidden="1">
      <c r="A318" s="38"/>
      <c r="B318" s="38"/>
      <c r="C318" s="39" t="str">
        <f>IFERROR(__xludf.DUMMYFUNCTION("""COMPUTED_VALUE"""),"Erbsen Topping")</f>
        <v>Erbsen Topping</v>
      </c>
      <c r="D318" s="40">
        <f>SUMIFS(Rezepte!F:F,Rezepte!A:A,C318)</f>
        <v>1240</v>
      </c>
      <c r="E318" s="41">
        <f>SUMIFS(Rezepte!G:G,Rezepte!A:A,C318)</f>
        <v>6.02604</v>
      </c>
      <c r="F318" s="42">
        <f t="shared" si="2"/>
        <v>0.004859709677</v>
      </c>
      <c r="G318" s="43"/>
      <c r="H318" s="38"/>
      <c r="I318" s="43"/>
      <c r="J318" s="44"/>
      <c r="K318" s="38"/>
      <c r="L318" s="38"/>
      <c r="M318" s="38"/>
      <c r="N318" s="38"/>
      <c r="O318" s="38"/>
    </row>
    <row r="319" hidden="1">
      <c r="A319" s="38"/>
      <c r="B319" s="38"/>
      <c r="C319" s="39" t="str">
        <f>IFERROR(__xludf.DUMMYFUNCTION("""COMPUTED_VALUE"""),"Erdbeerziegenkäse")</f>
        <v>Erdbeerziegenkäse</v>
      </c>
      <c r="D319" s="40">
        <f>SUMIFS(Rezepte!F:F,Rezepte!A:A,C319)</f>
        <v>1208</v>
      </c>
      <c r="E319" s="41">
        <f>SUMIFS(Rezepte!G:G,Rezepte!A:A,C319)</f>
        <v>17.964</v>
      </c>
      <c r="F319" s="42">
        <f t="shared" si="2"/>
        <v>0.01487086093</v>
      </c>
      <c r="G319" s="43"/>
      <c r="H319" s="38"/>
      <c r="I319" s="43"/>
      <c r="J319" s="44"/>
      <c r="K319" s="38"/>
      <c r="L319" s="38"/>
      <c r="M319" s="38"/>
      <c r="N319" s="38"/>
      <c r="O319" s="38"/>
    </row>
    <row r="320" hidden="1">
      <c r="A320" s="45"/>
      <c r="B320" s="45"/>
      <c r="C320" s="46" t="str">
        <f>IFERROR(__xludf.DUMMYFUNCTION("""COMPUTED_VALUE"""),"Erdnuss Chicken Burger marinade")</f>
        <v>Erdnuss Chicken Burger marinade</v>
      </c>
      <c r="D320" s="40">
        <f>SUMIFS(Rezepte!F:F,Rezepte!A:A,C320)</f>
        <v>2205</v>
      </c>
      <c r="E320" s="41">
        <f>SUMIFS(Rezepte!G:G,Rezepte!A:A,C320)</f>
        <v>12.01184</v>
      </c>
      <c r="F320" s="42">
        <f t="shared" si="2"/>
        <v>0.005447546485</v>
      </c>
      <c r="G320" s="43"/>
      <c r="H320" s="38"/>
      <c r="I320" s="43"/>
      <c r="J320" s="44"/>
      <c r="K320" s="45"/>
      <c r="L320" s="45"/>
      <c r="M320" s="45"/>
      <c r="N320" s="45"/>
      <c r="O320" s="45"/>
    </row>
    <row r="321" hidden="1">
      <c r="A321" s="38"/>
      <c r="B321" s="38"/>
      <c r="C321" s="39" t="str">
        <f>IFERROR(__xludf.DUMMYFUNCTION("""COMPUTED_VALUE"""),"Erdnuss-Honig-Sauce")</f>
        <v>Erdnuss-Honig-Sauce</v>
      </c>
      <c r="D321" s="40">
        <f>SUMIFS(Rezepte!F:F,Rezepte!A:A,C321)</f>
        <v>1610</v>
      </c>
      <c r="E321" s="41">
        <f>SUMIFS(Rezepte!G:G,Rezepte!A:A,C321)</f>
        <v>10.55068</v>
      </c>
      <c r="F321" s="42">
        <f t="shared" si="2"/>
        <v>0.006553217391</v>
      </c>
      <c r="G321" s="45"/>
      <c r="H321" s="45"/>
      <c r="I321" s="45"/>
      <c r="J321" s="51"/>
      <c r="K321" s="38"/>
      <c r="L321" s="38"/>
      <c r="M321" s="38"/>
      <c r="N321" s="38"/>
      <c r="O321" s="38"/>
    </row>
    <row r="322" hidden="1">
      <c r="A322" s="38"/>
      <c r="B322" s="38"/>
      <c r="C322" s="39" t="str">
        <f>IFERROR(__xludf.DUMMYFUNCTION("""COMPUTED_VALUE"""),"Explorer-Burger")</f>
        <v>Explorer-Burger</v>
      </c>
      <c r="D322" s="40">
        <f>SUMIFS(Rezepte!F:F,Rezepte!A:A,C322)</f>
        <v>405</v>
      </c>
      <c r="E322" s="41">
        <f>SUMIFS(Rezepte!G:G,Rezepte!A:A,C322)</f>
        <v>3.168298663</v>
      </c>
      <c r="F322" s="42">
        <f t="shared" si="2"/>
        <v>0.007822959663</v>
      </c>
      <c r="G322" s="43"/>
      <c r="H322" s="38"/>
      <c r="I322" s="43"/>
      <c r="J322" s="44"/>
      <c r="K322" s="38"/>
      <c r="L322" s="38"/>
      <c r="M322" s="38"/>
      <c r="N322" s="38"/>
      <c r="O322" s="38"/>
    </row>
    <row r="323" hidden="1">
      <c r="A323" s="38"/>
      <c r="B323" s="38"/>
      <c r="C323" s="39" t="str">
        <f>IFERROR(__xludf.DUMMYFUNCTION("""COMPUTED_VALUE"""),"Extra Beef Patty")</f>
        <v>Extra Beef Patty</v>
      </c>
      <c r="D323" s="40">
        <f>SUMIFS(Rezepte!F:F,Rezepte!A:A,C323)</f>
        <v>170</v>
      </c>
      <c r="E323" s="41">
        <f>SUMIFS(Rezepte!G:G,Rezepte!A:A,C323)</f>
        <v>1.4433</v>
      </c>
      <c r="F323" s="42">
        <f t="shared" si="2"/>
        <v>0.00849</v>
      </c>
      <c r="G323" s="43"/>
      <c r="H323" s="38"/>
      <c r="I323" s="43"/>
      <c r="J323" s="44"/>
      <c r="K323" s="38"/>
      <c r="L323" s="38"/>
      <c r="M323" s="38"/>
      <c r="N323" s="38"/>
      <c r="O323" s="38"/>
    </row>
    <row r="324" hidden="1">
      <c r="A324" s="38"/>
      <c r="B324" s="38"/>
      <c r="C324" s="39" t="str">
        <f>IFERROR(__xludf.DUMMYFUNCTION("""COMPUTED_VALUE"""),"Extra Bulgur Patty")</f>
        <v>Extra Bulgur Patty</v>
      </c>
      <c r="D324" s="40">
        <f>SUMIFS(Rezepte!F:F,Rezepte!A:A,C324)</f>
        <v>135</v>
      </c>
      <c r="E324" s="41">
        <f>SUMIFS(Rezepte!G:G,Rezepte!A:A,C324)</f>
        <v>0.7071530679</v>
      </c>
      <c r="F324" s="42">
        <f t="shared" si="2"/>
        <v>0.005238170873</v>
      </c>
      <c r="G324" s="43"/>
      <c r="H324" s="38"/>
      <c r="I324" s="43"/>
      <c r="J324" s="44"/>
      <c r="K324" s="38"/>
      <c r="L324" s="38"/>
      <c r="M324" s="38"/>
      <c r="N324" s="38"/>
      <c r="O324" s="38"/>
    </row>
    <row r="325" hidden="1">
      <c r="A325" s="38"/>
      <c r="B325" s="38"/>
      <c r="C325" s="39" t="str">
        <f>IFERROR(__xludf.DUMMYFUNCTION("""COMPUTED_VALUE"""),"Extra Chicken Patty")</f>
        <v>Extra Chicken Patty</v>
      </c>
      <c r="D325" s="40">
        <f>SUMIFS(Rezepte!F:F,Rezepte!A:A,C325)</f>
        <v>150</v>
      </c>
      <c r="E325" s="41">
        <f>SUMIFS(Rezepte!G:G,Rezepte!A:A,C325)</f>
        <v>0.9830411669</v>
      </c>
      <c r="F325" s="42">
        <f t="shared" si="2"/>
        <v>0.00655360778</v>
      </c>
      <c r="G325" s="43"/>
      <c r="H325" s="38"/>
      <c r="I325" s="43"/>
      <c r="J325" s="44"/>
      <c r="K325" s="38"/>
      <c r="L325" s="38"/>
      <c r="M325" s="38"/>
      <c r="N325" s="38"/>
      <c r="O325" s="38"/>
    </row>
    <row r="326" hidden="1">
      <c r="A326" s="38"/>
      <c r="B326" s="38"/>
      <c r="C326" s="39" t="str">
        <f>IFERROR(__xludf.DUMMYFUNCTION("""COMPUTED_VALUE"""),"Extra Wild Boar Patty")</f>
        <v>Extra Wild Boar Patty</v>
      </c>
      <c r="D326" s="40">
        <f>SUMIFS(Rezepte!F:F,Rezepte!A:A,C326)</f>
        <v>170</v>
      </c>
      <c r="E326" s="41">
        <f>SUMIFS(Rezepte!G:G,Rezepte!A:A,C326)</f>
        <v>1.751</v>
      </c>
      <c r="F326" s="42">
        <f t="shared" si="2"/>
        <v>0.0103</v>
      </c>
      <c r="G326" s="43"/>
      <c r="H326" s="38"/>
      <c r="I326" s="43"/>
      <c r="J326" s="44"/>
      <c r="K326" s="38"/>
      <c r="L326" s="38"/>
      <c r="M326" s="38"/>
      <c r="N326" s="38"/>
      <c r="O326" s="38"/>
    </row>
    <row r="327" hidden="1">
      <c r="A327" s="38"/>
      <c r="B327" s="38"/>
      <c r="C327" s="39" t="str">
        <f>IFERROR(__xludf.DUMMYFUNCTION("""COMPUTED_VALUE"""),"Fish &amp; Chips")</f>
        <v>Fish &amp; Chips</v>
      </c>
      <c r="D327" s="40">
        <f>SUMIFS(Rezepte!F:F,Rezepte!A:A,C327)</f>
        <v>543</v>
      </c>
      <c r="E327" s="41">
        <f>SUMIFS(Rezepte!G:G,Rezepte!A:A,C327)</f>
        <v>2.686555983</v>
      </c>
      <c r="F327" s="42">
        <f t="shared" si="2"/>
        <v>0.004947616912</v>
      </c>
      <c r="G327" s="43"/>
      <c r="H327" s="38"/>
      <c r="I327" s="43"/>
      <c r="J327" s="44"/>
      <c r="K327" s="38"/>
      <c r="L327" s="38"/>
      <c r="M327" s="38"/>
      <c r="N327" s="38"/>
      <c r="O327" s="38"/>
    </row>
    <row r="328" hidden="1">
      <c r="A328" s="38"/>
      <c r="B328" s="38"/>
      <c r="C328" s="39" t="str">
        <f>IFERROR(__xludf.DUMMYFUNCTION("""COMPUTED_VALUE"""),"Fried Ribs")</f>
        <v>Fried Ribs</v>
      </c>
      <c r="D328" s="40">
        <f>SUMIFS(Rezepte!F:F,Rezepte!A:A,C328)</f>
        <v>329</v>
      </c>
      <c r="E328" s="41">
        <f>SUMIFS(Rezepte!G:G,Rezepte!A:A,C328)</f>
        <v>1.87624624</v>
      </c>
      <c r="F328" s="42">
        <f t="shared" si="2"/>
        <v>0.005702876109</v>
      </c>
      <c r="G328" s="43"/>
      <c r="H328" s="38"/>
      <c r="I328" s="43"/>
      <c r="J328" s="44"/>
      <c r="K328" s="38"/>
      <c r="L328" s="38"/>
      <c r="M328" s="38"/>
      <c r="N328" s="38"/>
      <c r="O328" s="38"/>
    </row>
    <row r="329" hidden="1">
      <c r="A329" s="38"/>
      <c r="B329" s="38"/>
      <c r="C329" s="52" t="str">
        <f>IFERROR(__xludf.DUMMYFUNCTION("""COMPUTED_VALUE"""),"Fried Salmon Burger")</f>
        <v>Fried Salmon Burger</v>
      </c>
      <c r="D329" s="53">
        <v>1000.0</v>
      </c>
      <c r="E329" s="41">
        <f>SUMIFS(Rezepte!G:G,Rezepte!A:A,C329)</f>
        <v>5.493806767</v>
      </c>
      <c r="F329" s="42">
        <f t="shared" si="2"/>
        <v>0.005493806767</v>
      </c>
      <c r="G329" s="43"/>
      <c r="H329" s="38"/>
      <c r="I329" s="43"/>
      <c r="J329" s="44"/>
      <c r="K329" s="38"/>
      <c r="L329" s="38"/>
      <c r="M329" s="38"/>
      <c r="N329" s="38"/>
      <c r="O329" s="38"/>
    </row>
    <row r="330" hidden="1">
      <c r="A330" s="38"/>
      <c r="B330" s="38"/>
      <c r="C330" s="52" t="str">
        <f>IFERROR(__xludf.DUMMYFUNCTION("""COMPUTED_VALUE"""),"Gebratene Weißkohl")</f>
        <v>Gebratene Weißkohl</v>
      </c>
      <c r="D330" s="40">
        <f>SUMIFS(Rezepte!F:F,Rezepte!A:A,C330)</f>
        <v>2380</v>
      </c>
      <c r="E330" s="41">
        <f>SUMIFS(Rezepte!G:G,Rezepte!A:A,C330)</f>
        <v>4.7972</v>
      </c>
      <c r="F330" s="42">
        <f t="shared" si="2"/>
        <v>0.002015630252</v>
      </c>
      <c r="G330" s="43"/>
      <c r="H330" s="38"/>
      <c r="I330" s="43"/>
      <c r="J330" s="44"/>
      <c r="K330" s="38"/>
      <c r="L330" s="38"/>
      <c r="M330" s="38"/>
      <c r="N330" s="38"/>
      <c r="O330" s="38"/>
    </row>
    <row r="331" hidden="1">
      <c r="A331" s="38"/>
      <c r="B331" s="38"/>
      <c r="C331" s="52" t="str">
        <f>IFERROR(__xludf.DUMMYFUNCTION("""COMPUTED_VALUE"""),"Glasierte Ananas")</f>
        <v>Glasierte Ananas</v>
      </c>
      <c r="D331" s="40">
        <f>SUMIFS(Rezepte!F:F,Rezepte!A:A,C331)</f>
        <v>3000</v>
      </c>
      <c r="E331" s="41">
        <f>SUMIFS(Rezepte!G:G,Rezepte!A:A,C331)</f>
        <v>12.94913043</v>
      </c>
      <c r="F331" s="42">
        <f t="shared" si="2"/>
        <v>0.004316376812</v>
      </c>
      <c r="G331" s="43"/>
      <c r="H331" s="38"/>
      <c r="I331" s="43"/>
      <c r="J331" s="44"/>
      <c r="K331" s="38"/>
      <c r="L331" s="38"/>
      <c r="M331" s="38"/>
      <c r="N331" s="38"/>
      <c r="O331" s="38"/>
    </row>
    <row r="332" hidden="1">
      <c r="A332" s="38"/>
      <c r="B332" s="38"/>
      <c r="C332" s="52" t="str">
        <f>IFERROR(__xludf.DUMMYFUNCTION("""COMPUTED_VALUE"""),"Gorgonzola Mayo")</f>
        <v>Gorgonzola Mayo</v>
      </c>
      <c r="D332" s="40">
        <f>SUMIFS(Rezepte!F:F,Rezepte!A:A,C332)</f>
        <v>330.15</v>
      </c>
      <c r="E332" s="41">
        <f>SUMIFS(Rezepte!G:G,Rezepte!A:A,C332)</f>
        <v>1.993763498</v>
      </c>
      <c r="F332" s="42">
        <f t="shared" si="2"/>
        <v>0.006038962586</v>
      </c>
      <c r="G332" s="43"/>
      <c r="H332" s="38"/>
      <c r="I332" s="43"/>
      <c r="J332" s="44"/>
      <c r="K332" s="38"/>
      <c r="L332" s="38"/>
      <c r="M332" s="38"/>
      <c r="N332" s="38"/>
      <c r="O332" s="38"/>
    </row>
    <row r="333" hidden="1">
      <c r="A333" s="38"/>
      <c r="B333" s="38"/>
      <c r="C333" s="52" t="str">
        <f>IFERROR(__xludf.DUMMYFUNCTION("""COMPUTED_VALUE"""),"Granatapfelkerne")</f>
        <v>Granatapfelkerne</v>
      </c>
      <c r="D333" s="40">
        <f>SUMIFS(Rezepte!F:F,Rezepte!A:A,C333)</f>
        <v>173</v>
      </c>
      <c r="E333" s="41">
        <f>SUMIFS(Rezepte!G:G,Rezepte!A:A,C333)</f>
        <v>2.67</v>
      </c>
      <c r="F333" s="42">
        <f t="shared" si="2"/>
        <v>0.01543352601</v>
      </c>
      <c r="G333" s="38"/>
      <c r="H333" s="38"/>
      <c r="I333" s="38"/>
      <c r="J333" s="38"/>
      <c r="K333" s="38"/>
      <c r="L333" s="38"/>
      <c r="M333" s="38"/>
      <c r="N333" s="38"/>
      <c r="O333" s="38"/>
    </row>
    <row r="334" hidden="1">
      <c r="A334" s="38"/>
      <c r="B334" s="38"/>
      <c r="C334" s="52" t="str">
        <f>IFERROR(__xludf.DUMMYFUNCTION("""COMPUTED_VALUE"""),"Grilled Salmon Burger")</f>
        <v>Grilled Salmon Burger</v>
      </c>
      <c r="D334" s="40">
        <f>SUMIFS(Rezepte!F:F,Rezepte!A:A,C334)</f>
        <v>470</v>
      </c>
      <c r="E334" s="41">
        <f>SUMIFS(Rezepte!G:G,Rezepte!A:A,C334)</f>
        <v>4.518598133</v>
      </c>
      <c r="F334" s="42">
        <f t="shared" si="2"/>
        <v>0.00961403858</v>
      </c>
      <c r="G334" s="38"/>
      <c r="H334" s="38"/>
      <c r="I334" s="38"/>
      <c r="J334" s="38"/>
      <c r="K334" s="38"/>
      <c r="L334" s="38"/>
      <c r="M334" s="38"/>
      <c r="N334" s="38"/>
      <c r="O334" s="38"/>
    </row>
    <row r="335" hidden="1">
      <c r="A335" s="38"/>
      <c r="B335" s="38"/>
      <c r="C335" s="54" t="str">
        <f>IFERROR(__xludf.DUMMYFUNCTION("""COMPUTED_VALUE"""),"Guacamole")</f>
        <v>Guacamole</v>
      </c>
      <c r="D335" s="40">
        <f>SUMIFS(Rezepte!F:F,Rezepte!A:A,C335)</f>
        <v>3180</v>
      </c>
      <c r="E335" s="41">
        <f>SUMIFS(Rezepte!G:G,Rezepte!A:A,C335)</f>
        <v>23.78554737</v>
      </c>
      <c r="F335" s="42">
        <f t="shared" si="2"/>
        <v>0.007479731877</v>
      </c>
      <c r="G335" s="38"/>
      <c r="H335" s="38"/>
      <c r="I335" s="38"/>
      <c r="J335" s="38"/>
      <c r="K335" s="38"/>
      <c r="L335" s="38"/>
      <c r="M335" s="38"/>
      <c r="N335" s="38"/>
      <c r="O335" s="38"/>
    </row>
    <row r="336" hidden="1">
      <c r="A336" s="38"/>
      <c r="B336" s="38"/>
      <c r="C336" s="39" t="str">
        <f>IFERROR(__xludf.DUMMYFUNCTION("""COMPUTED_VALUE"""),"Hähnchen Patty")</f>
        <v>Hähnchen Patty</v>
      </c>
      <c r="D336" s="40">
        <f>SUMIFS(Rezepte!F:F,Rezepte!A:A,C336)</f>
        <v>6170</v>
      </c>
      <c r="E336" s="41">
        <f>SUMIFS(Rezepte!G:G,Rezepte!A:A,C336)</f>
        <v>40.43576</v>
      </c>
      <c r="F336" s="42">
        <f t="shared" si="2"/>
        <v>0.00655360778</v>
      </c>
      <c r="G336" s="38"/>
      <c r="H336" s="38"/>
      <c r="I336" s="38"/>
      <c r="J336" s="38"/>
      <c r="K336" s="38"/>
      <c r="L336" s="38"/>
      <c r="M336" s="38"/>
      <c r="N336" s="38"/>
      <c r="O336" s="38"/>
    </row>
    <row r="337" hidden="1">
      <c r="A337" s="38"/>
      <c r="B337" s="38"/>
      <c r="C337" s="39" t="str">
        <f>IFERROR(__xludf.DUMMYFUNCTION("""COMPUTED_VALUE"""),"Hähnchenstreifen")</f>
        <v>Hähnchenstreifen</v>
      </c>
      <c r="D337" s="40">
        <f>SUMIFS(Rezepte!F:F,Rezepte!A:A,C337)</f>
        <v>1270</v>
      </c>
      <c r="E337" s="41">
        <f>SUMIFS(Rezepte!G:G,Rezepte!A:A,C337)</f>
        <v>7.84564</v>
      </c>
      <c r="F337" s="42">
        <f t="shared" si="2"/>
        <v>0.006177669291</v>
      </c>
      <c r="G337" s="38"/>
      <c r="H337" s="38"/>
      <c r="I337" s="38"/>
      <c r="J337" s="38"/>
      <c r="K337" s="38"/>
      <c r="L337" s="38"/>
      <c r="M337" s="38"/>
      <c r="N337" s="38"/>
      <c r="O337" s="38"/>
    </row>
    <row r="338" hidden="1">
      <c r="A338" s="38"/>
      <c r="B338" s="38"/>
      <c r="C338" s="39" t="str">
        <f>IFERROR(__xludf.DUMMYFUNCTION("""COMPUTED_VALUE"""),"Hauslimo Eistee")</f>
        <v>Hauslimo Eistee</v>
      </c>
      <c r="D338" s="40">
        <f>SUMIFS(Rezepte!F:F,Rezepte!A:A,C338)</f>
        <v>200</v>
      </c>
      <c r="E338" s="41">
        <f>SUMIFS(Rezepte!G:G,Rezepte!A:A,C338)</f>
        <v>0.1035989011</v>
      </c>
      <c r="F338" s="42">
        <f t="shared" si="2"/>
        <v>0.0005179945055</v>
      </c>
      <c r="G338" s="38"/>
      <c r="H338" s="38"/>
      <c r="I338" s="38"/>
      <c r="J338" s="38"/>
      <c r="K338" s="38"/>
      <c r="L338" s="38"/>
      <c r="M338" s="38"/>
      <c r="N338" s="38"/>
      <c r="O338" s="38"/>
    </row>
    <row r="339" hidden="1">
      <c r="A339" s="38"/>
      <c r="B339" s="38"/>
      <c r="C339" s="39" t="str">
        <f>IFERROR(__xludf.DUMMYFUNCTION("""COMPUTED_VALUE"""),"Hauslimo Himbeer")</f>
        <v>Hauslimo Himbeer</v>
      </c>
      <c r="D339" s="40">
        <f>SUMIFS(Rezepte!F:F,Rezepte!A:A,C339)</f>
        <v>100</v>
      </c>
      <c r="E339" s="41">
        <f>SUMIFS(Rezepte!G:G,Rezepte!A:A,C339)</f>
        <v>0.1975</v>
      </c>
      <c r="F339" s="42">
        <f t="shared" si="2"/>
        <v>0.001975</v>
      </c>
      <c r="G339" s="38"/>
      <c r="H339" s="38"/>
      <c r="I339" s="38"/>
      <c r="J339" s="38"/>
      <c r="K339" s="38"/>
      <c r="L339" s="38"/>
      <c r="M339" s="38"/>
      <c r="N339" s="38"/>
      <c r="O339" s="38"/>
    </row>
    <row r="340" hidden="1">
      <c r="A340" s="38"/>
      <c r="B340" s="38"/>
      <c r="C340" s="39" t="str">
        <f>IFERROR(__xludf.DUMMYFUNCTION("""COMPUTED_VALUE"""),"Hauslimo Zitrone")</f>
        <v>Hauslimo Zitrone</v>
      </c>
      <c r="D340" s="40">
        <f>SUMIFS(Rezepte!F:F,Rezepte!A:A,C340)</f>
        <v>100</v>
      </c>
      <c r="E340" s="41">
        <f>SUMIFS(Rezepte!G:G,Rezepte!A:A,C340)</f>
        <v>0.2109984733</v>
      </c>
      <c r="F340" s="42">
        <f t="shared" si="2"/>
        <v>0.002109984733</v>
      </c>
      <c r="G340" s="38"/>
      <c r="H340" s="38"/>
      <c r="I340" s="38"/>
      <c r="J340" s="38"/>
      <c r="K340" s="38"/>
      <c r="L340" s="38"/>
      <c r="M340" s="38"/>
      <c r="N340" s="38"/>
      <c r="O340" s="38"/>
    </row>
    <row r="341" hidden="1">
      <c r="A341" s="38"/>
      <c r="B341" s="38"/>
      <c r="C341" s="39" t="str">
        <f>IFERROR(__xludf.DUMMYFUNCTION("""COMPUTED_VALUE"""),"Hearty pork")</f>
        <v>Hearty pork</v>
      </c>
      <c r="D341" s="40">
        <f>SUMIFS(Rezepte!F:F,Rezepte!A:A,C341)</f>
        <v>705</v>
      </c>
      <c r="E341" s="41">
        <f>SUMIFS(Rezepte!G:G,Rezepte!A:A,C341)</f>
        <v>5.033153495</v>
      </c>
      <c r="F341" s="42">
        <f t="shared" si="2"/>
        <v>0.007139224816</v>
      </c>
      <c r="G341" s="38"/>
      <c r="H341" s="38"/>
      <c r="I341" s="38"/>
      <c r="J341" s="38"/>
      <c r="K341" s="38"/>
      <c r="L341" s="38"/>
      <c r="M341" s="38"/>
      <c r="N341" s="38"/>
      <c r="O341" s="38"/>
    </row>
    <row r="342" hidden="1">
      <c r="A342" s="38"/>
      <c r="B342" s="38"/>
      <c r="C342" s="39" t="str">
        <f>IFERROR(__xludf.DUMMYFUNCTION("""COMPUTED_VALUE"""),"Heiße Schokolade (0,2l) mit Sahne")</f>
        <v>Heiße Schokolade (0,2l) mit Sahne</v>
      </c>
      <c r="D342" s="40">
        <f>SUMIFS(Rezepte!F:F,Rezepte!A:A,C342)</f>
        <v>260</v>
      </c>
      <c r="E342" s="41">
        <f>SUMIFS(Rezepte!G:G,Rezepte!A:A,C342)</f>
        <v>0.7107428144</v>
      </c>
      <c r="F342" s="42">
        <f t="shared" si="2"/>
        <v>0.002733626209</v>
      </c>
      <c r="G342" s="38"/>
      <c r="H342" s="38"/>
      <c r="I342" s="38"/>
      <c r="J342" s="38"/>
      <c r="K342" s="38"/>
      <c r="L342" s="38"/>
      <c r="M342" s="38"/>
      <c r="N342" s="38"/>
      <c r="O342" s="38"/>
    </row>
    <row r="343" hidden="1">
      <c r="A343" s="38"/>
      <c r="B343" s="38"/>
      <c r="C343" s="39" t="str">
        <f>IFERROR(__xludf.DUMMYFUNCTION("""COMPUTED_VALUE"""),"Heiße Schokolade (0,4l) mit Sahne")</f>
        <v>Heiße Schokolade (0,4l) mit Sahne</v>
      </c>
      <c r="D343" s="40">
        <f>SUMIFS(Rezepte!F:F,Rezepte!A:A,C343)</f>
        <v>445</v>
      </c>
      <c r="E343" s="41">
        <f>SUMIFS(Rezepte!G:G,Rezepte!A:A,C343)</f>
        <v>0.9917428144</v>
      </c>
      <c r="F343" s="42">
        <f t="shared" si="2"/>
        <v>0.002228635538</v>
      </c>
      <c r="G343" s="38"/>
      <c r="H343" s="38"/>
      <c r="I343" s="38"/>
      <c r="J343" s="38"/>
      <c r="K343" s="38"/>
      <c r="L343" s="38"/>
      <c r="M343" s="38"/>
      <c r="N343" s="38"/>
      <c r="O343" s="38"/>
    </row>
    <row r="344" hidden="1">
      <c r="A344" s="38"/>
      <c r="B344" s="38"/>
      <c r="C344" s="39" t="str">
        <f>IFERROR(__xludf.DUMMYFUNCTION("""COMPUTED_VALUE"""),"Himbeersauce")</f>
        <v>Himbeersauce</v>
      </c>
      <c r="D344" s="40">
        <f>SUMIFS(Rezepte!F:F,Rezepte!A:A,C344)</f>
        <v>4000</v>
      </c>
      <c r="E344" s="41">
        <f>SUMIFS(Rezepte!G:G,Rezepte!A:A,C344)</f>
        <v>7.9</v>
      </c>
      <c r="F344" s="42">
        <f t="shared" si="2"/>
        <v>0.001975</v>
      </c>
      <c r="G344" s="38"/>
      <c r="H344" s="38"/>
      <c r="I344" s="38"/>
      <c r="J344" s="38"/>
      <c r="K344" s="38"/>
      <c r="L344" s="38"/>
      <c r="M344" s="38"/>
      <c r="N344" s="38"/>
      <c r="O344" s="38"/>
    </row>
    <row r="345" hidden="1">
      <c r="A345" s="38"/>
      <c r="B345" s="38"/>
      <c r="C345" s="39" t="str">
        <f>IFERROR(__xludf.DUMMYFUNCTION("""COMPUTED_VALUE"""),"Holy Mushrooms")</f>
        <v>Holy Mushrooms</v>
      </c>
      <c r="D345" s="40">
        <f>SUMIFS(Rezepte!F:F,Rezepte!A:A,C345)</f>
        <v>450</v>
      </c>
      <c r="E345" s="41">
        <f>SUMIFS(Rezepte!G:G,Rezepte!A:A,C345)</f>
        <v>2.608918839</v>
      </c>
      <c r="F345" s="42">
        <f t="shared" si="2"/>
        <v>0.00579759742</v>
      </c>
      <c r="G345" s="38"/>
      <c r="H345" s="38"/>
      <c r="I345" s="38"/>
      <c r="J345" s="38"/>
      <c r="K345" s="38"/>
      <c r="L345" s="38"/>
      <c r="M345" s="38"/>
      <c r="N345" s="38"/>
      <c r="O345" s="38"/>
    </row>
    <row r="346" hidden="1">
      <c r="A346" s="38"/>
      <c r="B346" s="38"/>
      <c r="C346" s="39" t="str">
        <f>IFERROR(__xludf.DUMMYFUNCTION("""COMPUTED_VALUE"""),"Honig Bacon sauce ")</f>
        <v>Honig Bacon sauce </v>
      </c>
      <c r="D346" s="40">
        <f>SUMIFS(Rezepte!F:F,Rezepte!A:A,C346)</f>
        <v>1605</v>
      </c>
      <c r="E346" s="41">
        <f>SUMIFS(Rezepte!G:G,Rezepte!A:A,C346)</f>
        <v>17.066</v>
      </c>
      <c r="F346" s="42">
        <f t="shared" si="2"/>
        <v>0.01063302181</v>
      </c>
      <c r="G346" s="38"/>
      <c r="H346" s="38"/>
      <c r="I346" s="38"/>
      <c r="J346" s="38"/>
      <c r="K346" s="38"/>
      <c r="L346" s="38"/>
      <c r="M346" s="38"/>
      <c r="N346" s="38"/>
      <c r="O346" s="38"/>
    </row>
    <row r="347" hidden="1">
      <c r="A347" s="38"/>
      <c r="B347" s="38"/>
      <c r="C347" s="39" t="str">
        <f>IFERROR(__xludf.DUMMYFUNCTION("""COMPUTED_VALUE"""),"honig chili sauce")</f>
        <v>honig chili sauce</v>
      </c>
      <c r="D347" s="40">
        <f>SUMIFS(Rezepte!F:F,Rezepte!A:A,C347)</f>
        <v>3150</v>
      </c>
      <c r="E347" s="41">
        <f>SUMIFS(Rezepte!G:G,Rezepte!A:A,C347)</f>
        <v>37.8225</v>
      </c>
      <c r="F347" s="42">
        <f t="shared" si="2"/>
        <v>0.01200714286</v>
      </c>
      <c r="G347" s="38"/>
      <c r="H347" s="38"/>
      <c r="I347" s="38"/>
      <c r="J347" s="38"/>
      <c r="K347" s="38"/>
      <c r="L347" s="38"/>
      <c r="M347" s="38"/>
      <c r="N347" s="38"/>
      <c r="O347" s="38"/>
    </row>
    <row r="348" hidden="1">
      <c r="A348" s="38"/>
      <c r="B348" s="38"/>
      <c r="C348" s="39" t="str">
        <f>IFERROR(__xludf.DUMMYFUNCTION("""COMPUTED_VALUE"""),"Honig Senf Sauce")</f>
        <v>Honig Senf Sauce</v>
      </c>
      <c r="D348" s="40">
        <f>SUMIFS(Rezepte!F:F,Rezepte!A:A,C348)</f>
        <v>1250</v>
      </c>
      <c r="E348" s="41">
        <f>SUMIFS(Rezepte!G:G,Rezepte!A:A,C348)</f>
        <v>11.025</v>
      </c>
      <c r="F348" s="42">
        <f t="shared" si="2"/>
        <v>0.00882</v>
      </c>
      <c r="G348" s="38"/>
      <c r="H348" s="38"/>
      <c r="I348" s="38"/>
      <c r="J348" s="38"/>
      <c r="K348" s="38"/>
      <c r="L348" s="38"/>
      <c r="M348" s="38"/>
      <c r="N348" s="38"/>
      <c r="O348" s="38"/>
    </row>
    <row r="349" hidden="1">
      <c r="A349" s="38"/>
      <c r="B349" s="38"/>
      <c r="C349" s="43" t="str">
        <f>IFERROR(__xludf.DUMMYFUNCTION("""COMPUTED_VALUE"""),"Housesauce")</f>
        <v>Housesauce</v>
      </c>
      <c r="D349" s="40">
        <f>SUMIFS(Rezepte!F:F,Rezepte!A:A,C349)</f>
        <v>14570</v>
      </c>
      <c r="E349" s="41">
        <f>SUMIFS(Rezepte!G:G,Rezepte!A:A,C349)</f>
        <v>45.48797966</v>
      </c>
      <c r="F349" s="42">
        <f t="shared" si="2"/>
        <v>0.003122030175</v>
      </c>
      <c r="G349" s="38"/>
      <c r="H349" s="38"/>
      <c r="I349" s="38"/>
      <c r="J349" s="38"/>
      <c r="K349" s="38"/>
      <c r="L349" s="38"/>
      <c r="M349" s="38"/>
      <c r="N349" s="38"/>
      <c r="O349" s="38"/>
    </row>
    <row r="350" hidden="1">
      <c r="A350" s="38"/>
      <c r="B350" s="38"/>
      <c r="C350" s="39" t="str">
        <f>IFERROR(__xludf.DUMMYFUNCTION("""COMPUTED_VALUE"""),"Kandierte Kirschtomaten")</f>
        <v>Kandierte Kirschtomaten</v>
      </c>
      <c r="D350" s="40">
        <f>SUMIFS(Rezepte!F:F,Rezepte!A:A,C350)</f>
        <v>2224</v>
      </c>
      <c r="E350" s="41">
        <f>SUMIFS(Rezepte!G:G,Rezepte!A:A,C350)</f>
        <v>25.80265524</v>
      </c>
      <c r="F350" s="42">
        <f t="shared" si="2"/>
        <v>0.01160191333</v>
      </c>
      <c r="G350" s="38"/>
      <c r="H350" s="38"/>
      <c r="I350" s="38"/>
      <c r="J350" s="38"/>
      <c r="K350" s="38"/>
      <c r="L350" s="38"/>
      <c r="M350" s="38"/>
      <c r="N350" s="38"/>
      <c r="O350" s="38"/>
    </row>
    <row r="351" hidden="1">
      <c r="A351" s="38"/>
      <c r="B351" s="38"/>
      <c r="C351" s="39" t="str">
        <f>IFERROR(__xludf.DUMMYFUNCTION("""COMPUTED_VALUE"""),"Karamellisierte Erdnüsse")</f>
        <v>Karamellisierte Erdnüsse</v>
      </c>
      <c r="D351" s="40">
        <f>SUMIFS(Rezepte!F:F,Rezepte!A:A,C351)</f>
        <v>2500</v>
      </c>
      <c r="E351" s="41">
        <f>SUMIFS(Rezepte!G:G,Rezepte!A:A,C351)</f>
        <v>9.975</v>
      </c>
      <c r="F351" s="42">
        <f t="shared" si="2"/>
        <v>0.00399</v>
      </c>
      <c r="G351" s="38"/>
      <c r="H351" s="38"/>
      <c r="I351" s="38"/>
      <c r="J351" s="38"/>
      <c r="K351" s="38"/>
      <c r="L351" s="38"/>
      <c r="M351" s="38"/>
      <c r="N351" s="38"/>
      <c r="O351" s="38"/>
    </row>
    <row r="352" hidden="1">
      <c r="A352" s="38"/>
      <c r="B352" s="38"/>
      <c r="C352" s="39" t="str">
        <f>IFERROR(__xludf.DUMMYFUNCTION("""COMPUTED_VALUE"""),"Karamellisierte Walnüsse")</f>
        <v>Karamellisierte Walnüsse</v>
      </c>
      <c r="D352" s="40">
        <f>SUMIFS(Rezepte!F:F,Rezepte!A:A,C352)</f>
        <v>2500</v>
      </c>
      <c r="E352" s="41">
        <f>SUMIFS(Rezepte!G:G,Rezepte!A:A,C352)</f>
        <v>12.725</v>
      </c>
      <c r="F352" s="42">
        <f t="shared" si="2"/>
        <v>0.00509</v>
      </c>
      <c r="G352" s="38"/>
      <c r="H352" s="38"/>
      <c r="I352" s="38"/>
      <c r="J352" s="38"/>
      <c r="K352" s="38"/>
      <c r="L352" s="38"/>
      <c r="M352" s="38"/>
      <c r="N352" s="38"/>
      <c r="O352" s="38"/>
    </row>
    <row r="353" hidden="1">
      <c r="A353" s="38"/>
      <c r="B353" s="38"/>
      <c r="C353" s="39" t="str">
        <f>IFERROR(__xludf.DUMMYFUNCTION("""COMPUTED_VALUE"""),"Käse Sauce")</f>
        <v>Käse Sauce</v>
      </c>
      <c r="D353" s="40">
        <f>SUMIFS(Rezepte!F:F,Rezepte!A:A,C353)</f>
        <v>5500</v>
      </c>
      <c r="E353" s="41">
        <f>SUMIFS(Rezepte!G:G,Rezepte!A:A,C353)</f>
        <v>40.43851331</v>
      </c>
      <c r="F353" s="42">
        <f t="shared" si="2"/>
        <v>0.007352456966</v>
      </c>
      <c r="G353" s="38"/>
      <c r="H353" s="38"/>
      <c r="I353" s="38"/>
      <c r="J353" s="38"/>
      <c r="K353" s="38"/>
      <c r="L353" s="38"/>
      <c r="M353" s="38"/>
      <c r="N353" s="38"/>
      <c r="O353" s="38"/>
    </row>
    <row r="354" hidden="1">
      <c r="A354" s="38"/>
      <c r="B354" s="38"/>
      <c r="C354" s="39" t="str">
        <f>IFERROR(__xludf.DUMMYFUNCTION("""COMPUTED_VALUE"""),"Käsefondue")</f>
        <v>Käsefondue</v>
      </c>
      <c r="D354" s="40">
        <f>SUMIFS(Rezepte!F:F,Rezepte!A:A,C354)</f>
        <v>1053</v>
      </c>
      <c r="E354" s="41">
        <f>SUMIFS(Rezepte!G:G,Rezepte!A:A,C354)</f>
        <v>15.39613591</v>
      </c>
      <c r="F354" s="42">
        <f t="shared" si="2"/>
        <v>0.01462121169</v>
      </c>
      <c r="G354" s="38"/>
      <c r="H354" s="38"/>
      <c r="I354" s="38"/>
      <c r="J354" s="38"/>
      <c r="K354" s="38"/>
      <c r="L354" s="38"/>
      <c r="M354" s="38"/>
      <c r="N354" s="38"/>
      <c r="O354" s="38"/>
    </row>
    <row r="355" hidden="1">
      <c r="A355" s="38"/>
      <c r="B355" s="38"/>
      <c r="C355" s="39" t="str">
        <f>IFERROR(__xludf.DUMMYFUNCTION("""COMPUTED_VALUE"""),"Käsefondue Burger")</f>
        <v>Käsefondue Burger</v>
      </c>
      <c r="D355" s="40">
        <f>SUMIFS(Rezepte!F:F,Rezepte!A:A,C355)</f>
        <v>467</v>
      </c>
      <c r="E355" s="41">
        <f>SUMIFS(Rezepte!G:G,Rezepte!A:A,C355)</f>
        <v>3.788010776</v>
      </c>
      <c r="F355" s="42">
        <f t="shared" si="2"/>
        <v>0.008111372111</v>
      </c>
      <c r="G355" s="38"/>
      <c r="H355" s="38"/>
      <c r="I355" s="38"/>
      <c r="J355" s="38"/>
      <c r="K355" s="38"/>
      <c r="L355" s="38"/>
      <c r="M355" s="38"/>
      <c r="N355" s="38"/>
      <c r="O355" s="38"/>
    </row>
    <row r="356" hidden="1">
      <c r="A356" s="38"/>
      <c r="B356" s="38"/>
      <c r="C356" s="39" t="str">
        <f>IFERROR(__xludf.DUMMYFUNCTION("""COMPUTED_VALUE"""),"Käsekuchen")</f>
        <v>Käsekuchen</v>
      </c>
      <c r="D356" s="40">
        <f>SUMIFS(Rezepte!F:F,Rezepte!A:A,C356)</f>
        <v>2270</v>
      </c>
      <c r="E356" s="41">
        <f>SUMIFS(Rezepte!G:G,Rezepte!A:A,C356)</f>
        <v>2.9906</v>
      </c>
      <c r="F356" s="42">
        <f t="shared" si="2"/>
        <v>0.001317444934</v>
      </c>
      <c r="G356" s="38"/>
      <c r="H356" s="38"/>
      <c r="I356" s="38"/>
      <c r="J356" s="38"/>
      <c r="K356" s="38"/>
      <c r="L356" s="38"/>
      <c r="M356" s="38"/>
      <c r="N356" s="38"/>
      <c r="O356" s="38"/>
    </row>
    <row r="357" hidden="1">
      <c r="A357" s="38"/>
      <c r="B357" s="38"/>
      <c r="C357" s="39" t="str">
        <f>IFERROR(__xludf.DUMMYFUNCTION("""COMPUTED_VALUE"""),"Käsekuchen (12er Teilung)")</f>
        <v>Käsekuchen (12er Teilung)</v>
      </c>
      <c r="D357" s="40">
        <f>SUMIFS(Rezepte!F:F,Rezepte!A:A,C357)</f>
        <v>262.3611111</v>
      </c>
      <c r="E357" s="41">
        <f>SUMIFS(Rezepte!G:G,Rezepte!A:A,C357)</f>
        <v>0.5722038207</v>
      </c>
      <c r="F357" s="42">
        <f t="shared" si="2"/>
        <v>0.002180978035</v>
      </c>
      <c r="G357" s="38"/>
      <c r="H357" s="38"/>
      <c r="I357" s="38"/>
      <c r="J357" s="38"/>
      <c r="K357" s="38"/>
      <c r="L357" s="38"/>
      <c r="M357" s="38"/>
      <c r="N357" s="38"/>
      <c r="O357" s="38"/>
    </row>
    <row r="358" hidden="1">
      <c r="A358" s="38"/>
      <c r="B358" s="38"/>
      <c r="C358" s="39" t="str">
        <f>IFERROR(__xludf.DUMMYFUNCTION("""COMPUTED_VALUE"""),"Käsemakkaroni")</f>
        <v>Käsemakkaroni</v>
      </c>
      <c r="D358" s="40">
        <f>SUMIFS(Rezepte!F:F,Rezepte!A:A,C358)</f>
        <v>1255</v>
      </c>
      <c r="E358" s="41">
        <f>SUMIFS(Rezepte!G:G,Rezepte!A:A,C358)</f>
        <v>7.121182725</v>
      </c>
      <c r="F358" s="42">
        <f t="shared" si="2"/>
        <v>0.005674249183</v>
      </c>
      <c r="G358" s="38"/>
      <c r="H358" s="38"/>
      <c r="I358" s="38"/>
      <c r="J358" s="38"/>
      <c r="K358" s="38"/>
      <c r="L358" s="38"/>
      <c r="M358" s="38"/>
      <c r="N358" s="38"/>
      <c r="O358" s="38"/>
    </row>
    <row r="359" hidden="1">
      <c r="A359" s="38"/>
      <c r="B359" s="38"/>
      <c r="C359" s="39" t="str">
        <f>IFERROR(__xludf.DUMMYFUNCTION("""COMPUTED_VALUE"""),"Kinderburger")</f>
        <v>Kinderburger</v>
      </c>
      <c r="D359" s="40">
        <f>SUMIFS(Rezepte!F:F,Rezepte!A:A,C359)</f>
        <v>195</v>
      </c>
      <c r="E359" s="41">
        <f>SUMIFS(Rezepte!G:G,Rezepte!A:A,C359)</f>
        <v>1.47825</v>
      </c>
      <c r="F359" s="42">
        <f t="shared" si="2"/>
        <v>0.007580769231</v>
      </c>
      <c r="G359" s="38"/>
      <c r="H359" s="38"/>
      <c r="I359" s="38"/>
      <c r="J359" s="38"/>
      <c r="K359" s="38"/>
      <c r="L359" s="38"/>
      <c r="M359" s="38"/>
      <c r="N359" s="38"/>
      <c r="O359" s="38"/>
    </row>
    <row r="360" hidden="1">
      <c r="A360" s="38"/>
      <c r="B360" s="38"/>
      <c r="C360" s="39" t="str">
        <f>IFERROR(__xludf.DUMMYFUNCTION("""COMPUTED_VALUE"""),"Kirschwasser beeren")</f>
        <v>Kirschwasser beeren</v>
      </c>
      <c r="D360" s="40">
        <f>SUMIFS(Rezepte!F:F,Rezepte!A:A,C360)</f>
        <v>450</v>
      </c>
      <c r="E360" s="41">
        <f>SUMIFS(Rezepte!G:G,Rezepte!A:A,C360)</f>
        <v>4.6032</v>
      </c>
      <c r="F360" s="42">
        <f t="shared" si="2"/>
        <v>0.01022933333</v>
      </c>
      <c r="G360" s="38"/>
      <c r="H360" s="38"/>
      <c r="I360" s="38"/>
      <c r="J360" s="38"/>
      <c r="K360" s="38"/>
      <c r="L360" s="38"/>
      <c r="M360" s="38"/>
      <c r="N360" s="38"/>
      <c r="O360" s="38"/>
    </row>
    <row r="361" hidden="1">
      <c r="A361" s="38"/>
      <c r="B361" s="38"/>
      <c r="C361" s="39" t="str">
        <f>IFERROR(__xludf.DUMMYFUNCTION("""COMPUTED_VALUE"""),"lollipop chicken")</f>
        <v>lollipop chicken</v>
      </c>
      <c r="D361" s="40">
        <f>SUMIFS(Rezepte!F:F,Rezepte!A:A,C361)</f>
        <v>1485</v>
      </c>
      <c r="E361" s="41">
        <f>SUMIFS(Rezepte!G:G,Rezepte!A:A,C361)</f>
        <v>5.73647</v>
      </c>
      <c r="F361" s="42">
        <f t="shared" si="2"/>
        <v>0.003862942761</v>
      </c>
      <c r="G361" s="38"/>
      <c r="H361" s="38"/>
      <c r="I361" s="38"/>
      <c r="J361" s="38"/>
      <c r="K361" s="38"/>
      <c r="L361" s="38"/>
      <c r="M361" s="38"/>
      <c r="N361" s="38"/>
      <c r="O361" s="38"/>
    </row>
    <row r="362" hidden="1">
      <c r="A362" s="38"/>
      <c r="B362" s="38"/>
      <c r="C362" s="39" t="str">
        <f>IFERROR(__xludf.DUMMYFUNCTION("""COMPUTED_VALUE"""),"Mac n chees")</f>
        <v>Mac n chees</v>
      </c>
      <c r="D362" s="40">
        <f>SUMIFS(Rezepte!F:F,Rezepte!A:A,C362)</f>
        <v>3335</v>
      </c>
      <c r="E362" s="41">
        <f>SUMIFS(Rezepte!G:G,Rezepte!A:A,C362)</f>
        <v>25.62959394</v>
      </c>
      <c r="F362" s="42">
        <f t="shared" si="2"/>
        <v>0.007685035665</v>
      </c>
      <c r="G362" s="38"/>
      <c r="H362" s="38"/>
      <c r="I362" s="38"/>
      <c r="J362" s="38"/>
      <c r="K362" s="38"/>
      <c r="L362" s="38"/>
      <c r="M362" s="38"/>
      <c r="N362" s="38"/>
      <c r="O362" s="38"/>
    </row>
    <row r="363" hidden="1">
      <c r="A363" s="38"/>
      <c r="B363" s="38"/>
      <c r="C363" s="39" t="str">
        <f>IFERROR(__xludf.DUMMYFUNCTION("""COMPUTED_VALUE"""),"Mac n cheese")</f>
        <v>Mac n cheese</v>
      </c>
      <c r="D363" s="40">
        <f>SUMIFS(Rezepte!F:F,Rezepte!A:A,C363)</f>
        <v>176</v>
      </c>
      <c r="E363" s="41">
        <f>SUMIFS(Rezepte!G:G,Rezepte!A:A,C363)</f>
        <v>1.367857387</v>
      </c>
      <c r="F363" s="42">
        <f t="shared" si="2"/>
        <v>0.007771916973</v>
      </c>
      <c r="G363" s="38"/>
      <c r="H363" s="38"/>
      <c r="I363" s="38"/>
      <c r="J363" s="38"/>
      <c r="K363" s="38"/>
      <c r="L363" s="38"/>
      <c r="M363" s="38"/>
      <c r="N363" s="38"/>
      <c r="O363" s="38"/>
    </row>
    <row r="364" hidden="1">
      <c r="A364" s="38"/>
      <c r="B364" s="38"/>
      <c r="C364" s="39" t="str">
        <f>IFERROR(__xludf.DUMMYFUNCTION("""COMPUTED_VALUE"""),"Makkaroni")</f>
        <v>Makkaroni</v>
      </c>
      <c r="D364" s="40">
        <f>SUMIFS(Rezepte!F:F,Rezepte!A:A,C364)</f>
        <v>278</v>
      </c>
      <c r="E364" s="41">
        <f>SUMIFS(Rezepte!G:G,Rezepte!A:A,C364)</f>
        <v>1.577441273</v>
      </c>
      <c r="F364" s="42">
        <f t="shared" si="2"/>
        <v>0.005674249183</v>
      </c>
      <c r="G364" s="38"/>
      <c r="H364" s="38"/>
      <c r="I364" s="38"/>
      <c r="J364" s="38"/>
      <c r="K364" s="38"/>
      <c r="L364" s="38"/>
      <c r="M364" s="38"/>
      <c r="N364" s="38"/>
      <c r="O364" s="38"/>
    </row>
    <row r="365" hidden="1">
      <c r="A365" s="38"/>
      <c r="B365" s="38"/>
      <c r="C365" s="39" t="str">
        <f>IFERROR(__xludf.DUMMYFUNCTION("""COMPUTED_VALUE"""),"Malzbierteig")</f>
        <v>Malzbierteig</v>
      </c>
      <c r="D365" s="40">
        <f>SUMIFS(Rezepte!F:F,Rezepte!A:A,C365)</f>
        <v>936</v>
      </c>
      <c r="E365" s="41">
        <f>SUMIFS(Rezepte!G:G,Rezepte!A:A,C365)</f>
        <v>1.311108</v>
      </c>
      <c r="F365" s="42">
        <f t="shared" si="2"/>
        <v>0.00140075641</v>
      </c>
      <c r="G365" s="38"/>
      <c r="H365" s="38"/>
      <c r="I365" s="38"/>
      <c r="J365" s="38"/>
      <c r="K365" s="38"/>
      <c r="L365" s="38"/>
      <c r="M365" s="38"/>
      <c r="N365" s="38"/>
      <c r="O365" s="38"/>
    </row>
    <row r="366" hidden="1">
      <c r="A366" s="38"/>
      <c r="B366" s="38"/>
      <c r="C366" s="39" t="str">
        <f>IFERROR(__xludf.DUMMYFUNCTION("""COMPUTED_VALUE"""),"Mangotopping")</f>
        <v>Mangotopping</v>
      </c>
      <c r="D366" s="40">
        <f>SUMIFS(Rezepte!F:F,Rezepte!A:A,C366)</f>
        <v>324.5</v>
      </c>
      <c r="E366" s="41">
        <f>SUMIFS(Rezepte!G:G,Rezepte!A:A,C366)</f>
        <v>1.158454775</v>
      </c>
      <c r="F366" s="42">
        <f t="shared" si="2"/>
        <v>0.00356996849</v>
      </c>
      <c r="G366" s="38"/>
      <c r="H366" s="38"/>
      <c r="I366" s="38"/>
      <c r="J366" s="38"/>
      <c r="K366" s="38"/>
      <c r="L366" s="38"/>
      <c r="M366" s="38"/>
      <c r="N366" s="38"/>
      <c r="O366" s="38"/>
    </row>
    <row r="367" hidden="1">
      <c r="A367" s="38"/>
      <c r="B367" s="38"/>
      <c r="C367" s="39" t="str">
        <f>IFERROR(__xludf.DUMMYFUNCTION("""COMPUTED_VALUE"""),"Mangotopping Heike")</f>
        <v>Mangotopping Heike</v>
      </c>
      <c r="D367" s="40">
        <f>SUMIFS(Rezepte!F:F,Rezepte!A:A,C367)</f>
        <v>1806</v>
      </c>
      <c r="E367" s="41">
        <f>SUMIFS(Rezepte!G:G,Rezepte!A:A,C367)</f>
        <v>5.937525714</v>
      </c>
      <c r="F367" s="42">
        <f t="shared" si="2"/>
        <v>0.003287666508</v>
      </c>
      <c r="G367" s="38"/>
      <c r="H367" s="38"/>
      <c r="I367" s="38"/>
      <c r="J367" s="38"/>
      <c r="K367" s="38"/>
      <c r="L367" s="38"/>
      <c r="M367" s="38"/>
      <c r="N367" s="38"/>
      <c r="O367" s="38"/>
    </row>
    <row r="368" hidden="1">
      <c r="A368" s="38"/>
      <c r="B368" s="38"/>
      <c r="C368" s="39" t="str">
        <f>IFERROR(__xludf.DUMMYFUNCTION("""COMPUTED_VALUE"""),"Mayo")</f>
        <v>Mayo</v>
      </c>
      <c r="D368" s="40">
        <f>SUMIFS(Rezepte!F:F,Rezepte!A:A,C368)</f>
        <v>10330</v>
      </c>
      <c r="E368" s="41">
        <f>SUMIFS(Rezepte!G:G,Rezepte!A:A,C368)</f>
        <v>29.3256</v>
      </c>
      <c r="F368" s="42">
        <f t="shared" si="2"/>
        <v>0.002838877057</v>
      </c>
      <c r="G368" s="38"/>
      <c r="H368" s="38"/>
      <c r="I368" s="38"/>
      <c r="J368" s="38"/>
      <c r="K368" s="38"/>
      <c r="L368" s="38"/>
      <c r="M368" s="38"/>
      <c r="N368" s="38"/>
      <c r="O368" s="38"/>
    </row>
    <row r="369" hidden="1">
      <c r="A369" s="38"/>
      <c r="B369" s="38"/>
      <c r="C369" s="39" t="str">
        <f>IFERROR(__xludf.DUMMYFUNCTION("""COMPUTED_VALUE"""),"Mayo Ochsenbacken")</f>
        <v>Mayo Ochsenbacken</v>
      </c>
      <c r="D369" s="40">
        <f>SUMIFS(Rezepte!F:F,Rezepte!A:A,C369)</f>
        <v>10530</v>
      </c>
      <c r="E369" s="41">
        <f>SUMIFS(Rezepte!G:G,Rezepte!A:A,C369)</f>
        <v>34.0256</v>
      </c>
      <c r="F369" s="42">
        <f t="shared" si="2"/>
        <v>0.003231301045</v>
      </c>
      <c r="G369" s="38"/>
      <c r="H369" s="38"/>
      <c r="I369" s="38"/>
      <c r="J369" s="38"/>
      <c r="K369" s="38"/>
      <c r="L369" s="38"/>
      <c r="M369" s="38"/>
      <c r="N369" s="38"/>
      <c r="O369" s="38"/>
    </row>
    <row r="370" hidden="1">
      <c r="A370" s="38"/>
      <c r="B370" s="38"/>
      <c r="C370" s="39" t="str">
        <f>IFERROR(__xludf.DUMMYFUNCTION("""COMPUTED_VALUE"""),"Mexikan Bowl")</f>
        <v>Mexikan Bowl</v>
      </c>
      <c r="D370" s="40">
        <f>SUMIFS(Rezepte!F:F,Rezepte!A:A,C370)</f>
        <v>570</v>
      </c>
      <c r="E370" s="41">
        <f>SUMIFS(Rezepte!G:G,Rezepte!A:A,C370)</f>
        <v>2.809015941</v>
      </c>
      <c r="F370" s="42">
        <f t="shared" si="2"/>
        <v>0.004928098142</v>
      </c>
      <c r="G370" s="38"/>
      <c r="H370" s="38"/>
      <c r="I370" s="38"/>
      <c r="J370" s="38"/>
      <c r="K370" s="38"/>
      <c r="L370" s="38"/>
      <c r="M370" s="38"/>
      <c r="N370" s="38"/>
      <c r="O370" s="38"/>
    </row>
    <row r="371" hidden="1">
      <c r="A371" s="38"/>
      <c r="B371" s="38"/>
      <c r="C371" s="39" t="str">
        <f>IFERROR(__xludf.DUMMYFUNCTION("""COMPUTED_VALUE"""),"Milchshake Softeis Vanille")</f>
        <v>Milchshake Softeis Vanille</v>
      </c>
      <c r="D371" s="40">
        <f>SUMIFS(Rezepte!F:F,Rezepte!A:A,C371)</f>
        <v>420</v>
      </c>
      <c r="E371" s="41">
        <f>SUMIFS(Rezepte!G:G,Rezepte!A:A,C371)</f>
        <v>1.021667857</v>
      </c>
      <c r="F371" s="42">
        <f t="shared" si="2"/>
        <v>0.002432542517</v>
      </c>
      <c r="G371" s="38"/>
      <c r="H371" s="38"/>
      <c r="I371" s="38"/>
      <c r="J371" s="38"/>
      <c r="K371" s="38"/>
      <c r="L371" s="38"/>
      <c r="M371" s="38"/>
      <c r="N371" s="38"/>
      <c r="O371" s="38"/>
    </row>
    <row r="372" hidden="1">
      <c r="A372" s="38"/>
      <c r="B372" s="38"/>
      <c r="C372" s="39" t="str">
        <f>IFERROR(__xludf.DUMMYFUNCTION("""COMPUTED_VALUE"""),"Milchshake Vanille")</f>
        <v>Milchshake Vanille</v>
      </c>
      <c r="D372" s="40">
        <f>SUMIFS(Rezepte!F:F,Rezepte!A:A,C372)</f>
        <v>440</v>
      </c>
      <c r="E372" s="41">
        <f>SUMIFS(Rezepte!G:G,Rezepte!A:A,C372)</f>
        <v>1.275342857</v>
      </c>
      <c r="F372" s="42">
        <f t="shared" si="2"/>
        <v>0.002898506494</v>
      </c>
      <c r="G372" s="38"/>
      <c r="H372" s="38"/>
      <c r="I372" s="38"/>
      <c r="J372" s="38"/>
      <c r="K372" s="38"/>
      <c r="L372" s="38"/>
      <c r="M372" s="38"/>
      <c r="N372" s="38"/>
      <c r="O372" s="38"/>
    </row>
    <row r="373" hidden="1">
      <c r="A373" s="38"/>
      <c r="B373" s="38"/>
      <c r="C373" s="39" t="str">
        <f>IFERROR(__xludf.DUMMYFUNCTION("""COMPUTED_VALUE"""),"Mini Mixed Salat ")</f>
        <v>Mini Mixed Salat </v>
      </c>
      <c r="D373" s="40">
        <f>SUMIFS(Rezepte!F:F,Rezepte!A:A,C373)</f>
        <v>75</v>
      </c>
      <c r="E373" s="41">
        <f>SUMIFS(Rezepte!G:G,Rezepte!A:A,C373)</f>
        <v>0.8101871338</v>
      </c>
      <c r="F373" s="42">
        <f t="shared" si="2"/>
        <v>0.01080249512</v>
      </c>
      <c r="G373" s="38"/>
      <c r="H373" s="38"/>
      <c r="I373" s="38"/>
      <c r="J373" s="38"/>
      <c r="K373" s="38"/>
      <c r="L373" s="38"/>
      <c r="M373" s="38"/>
      <c r="N373" s="38"/>
      <c r="O373" s="38"/>
    </row>
    <row r="374" hidden="1">
      <c r="A374" s="38"/>
      <c r="B374" s="38"/>
      <c r="C374" s="39" t="str">
        <f>IFERROR(__xludf.DUMMYFUNCTION("""COMPUTED_VALUE"""),"Mouse au Chocolat Torte")</f>
        <v>Mouse au Chocolat Torte</v>
      </c>
      <c r="D374" s="40">
        <f>SUMIFS(Rezepte!F:F,Rezepte!A:A,C374)</f>
        <v>1735</v>
      </c>
      <c r="E374" s="41">
        <f>SUMIFS(Rezepte!G:G,Rezepte!A:A,C374)</f>
        <v>15.81705</v>
      </c>
      <c r="F374" s="42">
        <f t="shared" si="2"/>
        <v>0.009116455331</v>
      </c>
      <c r="G374" s="38"/>
      <c r="H374" s="38"/>
      <c r="I374" s="38"/>
      <c r="J374" s="38"/>
      <c r="K374" s="38"/>
      <c r="L374" s="38"/>
      <c r="M374" s="38"/>
      <c r="N374" s="38"/>
      <c r="O374" s="38"/>
    </row>
    <row r="375" hidden="1">
      <c r="A375" s="38"/>
      <c r="B375" s="38"/>
      <c r="C375" s="39" t="str">
        <f>IFERROR(__xludf.DUMMYFUNCTION("""COMPUTED_VALUE"""),"Mouse au Chocolat Torte (12er Teilung)")</f>
        <v>Mouse au Chocolat Torte (12er Teilung)</v>
      </c>
      <c r="D375" s="40">
        <f>SUMIFS(Rezepte!F:F,Rezepte!A:A,C375)</f>
        <v>141.75</v>
      </c>
      <c r="E375" s="41">
        <f>SUMIFS(Rezepte!G:G,Rezepte!A:A,C375)</f>
        <v>1.093639208</v>
      </c>
      <c r="F375" s="42">
        <f t="shared" si="2"/>
        <v>0.007715267785</v>
      </c>
      <c r="G375" s="38"/>
      <c r="H375" s="38"/>
      <c r="I375" s="38"/>
      <c r="J375" s="38"/>
      <c r="K375" s="38"/>
      <c r="L375" s="38"/>
      <c r="M375" s="38"/>
      <c r="N375" s="38"/>
      <c r="O375" s="38"/>
    </row>
    <row r="376" hidden="1">
      <c r="A376" s="38"/>
      <c r="B376" s="38"/>
      <c r="C376" s="39" t="str">
        <f>IFERROR(__xludf.DUMMYFUNCTION("""COMPUTED_VALUE"""),"Mozarella Sticks")</f>
        <v>Mozarella Sticks</v>
      </c>
      <c r="D376" s="40">
        <f>SUMIFS(Rezepte!F:F,Rezepte!A:A,C376)</f>
        <v>330</v>
      </c>
      <c r="E376" s="41">
        <f>SUMIFS(Rezepte!G:G,Rezepte!A:A,C376)</f>
        <v>1.877398374</v>
      </c>
      <c r="F376" s="42">
        <f t="shared" si="2"/>
        <v>0.005689085981</v>
      </c>
      <c r="G376" s="38"/>
      <c r="H376" s="38"/>
      <c r="I376" s="38"/>
      <c r="J376" s="38"/>
      <c r="K376" s="38"/>
      <c r="L376" s="38"/>
      <c r="M376" s="38"/>
      <c r="N376" s="38"/>
      <c r="O376" s="38"/>
    </row>
    <row r="377" hidden="1">
      <c r="A377" s="38"/>
      <c r="B377" s="38"/>
      <c r="C377" s="39" t="str">
        <f>IFERROR(__xludf.DUMMYFUNCTION("""COMPUTED_VALUE"""),"Mozarella Sticks (zubereitet)")</f>
        <v>Mozarella Sticks (zubereitet)</v>
      </c>
      <c r="D377" s="40">
        <f>SUMIFS(Rezepte!F:F,Rezepte!A:A,C377)</f>
        <v>1900</v>
      </c>
      <c r="E377" s="41">
        <f>SUMIFS(Rezepte!G:G,Rezepte!A:A,C377)</f>
        <v>11.65705</v>
      </c>
      <c r="F377" s="42">
        <f t="shared" si="2"/>
        <v>0.006135289474</v>
      </c>
      <c r="G377" s="38"/>
      <c r="H377" s="38"/>
      <c r="I377" s="38"/>
      <c r="J377" s="38"/>
      <c r="K377" s="38"/>
      <c r="L377" s="38"/>
      <c r="M377" s="38"/>
      <c r="N377" s="38"/>
      <c r="O377" s="38"/>
    </row>
    <row r="378" hidden="1">
      <c r="A378" s="38"/>
      <c r="B378" s="38"/>
      <c r="C378" s="39" t="str">
        <f>IFERROR(__xludf.DUMMYFUNCTION("""COMPUTED_VALUE"""),"Mürbeteig dunkel")</f>
        <v>Mürbeteig dunkel</v>
      </c>
      <c r="D378" s="40">
        <f>SUMIFS(Rezepte!F:F,Rezepte!A:A,C378)</f>
        <v>1555</v>
      </c>
      <c r="E378" s="41">
        <f>SUMIFS(Rezepte!G:G,Rezepte!A:A,C378)</f>
        <v>7.9075</v>
      </c>
      <c r="F378" s="42">
        <f t="shared" si="2"/>
        <v>0.005085209003</v>
      </c>
      <c r="G378" s="38"/>
      <c r="H378" s="38"/>
      <c r="I378" s="38"/>
      <c r="J378" s="38"/>
      <c r="K378" s="38"/>
      <c r="L378" s="38"/>
      <c r="M378" s="38"/>
      <c r="N378" s="38"/>
      <c r="O378" s="38"/>
    </row>
    <row r="379" hidden="1">
      <c r="A379" s="38"/>
      <c r="B379" s="38"/>
      <c r="C379" s="39" t="str">
        <f>IFERROR(__xludf.DUMMYFUNCTION("""COMPUTED_VALUE"""),"Mürbeteig hell")</f>
        <v>Mürbeteig hell</v>
      </c>
      <c r="D379" s="40">
        <f>SUMIFS(Rezepte!F:F,Rezepte!A:A,C379)</f>
        <v>1555</v>
      </c>
      <c r="E379" s="41">
        <f>SUMIFS(Rezepte!G:G,Rezepte!A:A,C379)</f>
        <v>5.09131</v>
      </c>
      <c r="F379" s="42">
        <f t="shared" si="2"/>
        <v>0.003274154341</v>
      </c>
      <c r="G379" s="38"/>
      <c r="H379" s="38"/>
      <c r="I379" s="38"/>
      <c r="J379" s="38"/>
      <c r="K379" s="38"/>
      <c r="L379" s="38"/>
      <c r="M379" s="38"/>
      <c r="N379" s="38"/>
      <c r="O379" s="38"/>
    </row>
    <row r="380" hidden="1">
      <c r="A380" s="38"/>
      <c r="B380" s="38"/>
      <c r="C380" s="39" t="str">
        <f>IFERROR(__xludf.DUMMYFUNCTION("""COMPUTED_VALUE"""),"My Burger (Beef)")</f>
        <v>My Burger (Beef)</v>
      </c>
      <c r="D380" s="40">
        <f>SUMIFS(Rezepte!F:F,Rezepte!A:A,C380)</f>
        <v>405</v>
      </c>
      <c r="E380" s="41">
        <f>SUMIFS(Rezepte!G:G,Rezepte!A:A,C380)</f>
        <v>2.031671394</v>
      </c>
      <c r="F380" s="42">
        <f t="shared" si="2"/>
        <v>0.005016472578</v>
      </c>
      <c r="G380" s="38"/>
      <c r="H380" s="38"/>
      <c r="I380" s="38"/>
      <c r="J380" s="38"/>
      <c r="K380" s="38"/>
      <c r="L380" s="38"/>
      <c r="M380" s="38"/>
      <c r="N380" s="38"/>
      <c r="O380" s="38"/>
    </row>
    <row r="381" hidden="1">
      <c r="A381" s="38"/>
      <c r="B381" s="38"/>
      <c r="C381" s="39" t="str">
        <f>IFERROR(__xludf.DUMMYFUNCTION("""COMPUTED_VALUE"""),"My Burger (Hähnchen) ")</f>
        <v>My Burger (Hähnchen) </v>
      </c>
      <c r="D381" s="40">
        <f>SUMIFS(Rezepte!F:F,Rezepte!A:A,C381)</f>
        <v>415</v>
      </c>
      <c r="E381" s="41">
        <f>SUMIFS(Rezepte!G:G,Rezepte!A:A,C381)</f>
        <v>1.932614133</v>
      </c>
      <c r="F381" s="42">
        <f t="shared" si="2"/>
        <v>0.004656901525</v>
      </c>
      <c r="G381" s="38"/>
      <c r="H381" s="38"/>
      <c r="I381" s="38"/>
      <c r="J381" s="38"/>
      <c r="K381" s="38"/>
      <c r="L381" s="38"/>
      <c r="M381" s="38"/>
      <c r="N381" s="38"/>
      <c r="O381" s="38"/>
    </row>
    <row r="382" hidden="1">
      <c r="A382" s="38"/>
      <c r="B382" s="38"/>
      <c r="C382" s="39" t="str">
        <f>IFERROR(__xludf.DUMMYFUNCTION("""COMPUTED_VALUE"""),"My Burger (Veggy) ")</f>
        <v>My Burger (Veggy) </v>
      </c>
      <c r="D382" s="40">
        <f>SUMIFS(Rezepte!F:F,Rezepte!A:A,C382)</f>
        <v>415</v>
      </c>
      <c r="E382" s="41">
        <f>SUMIFS(Rezepte!G:G,Rezepte!A:A,C382)</f>
        <v>1.807647627</v>
      </c>
      <c r="F382" s="42">
        <f t="shared" si="2"/>
        <v>0.004355777414</v>
      </c>
      <c r="G382" s="38"/>
      <c r="H382" s="38"/>
      <c r="I382" s="38"/>
      <c r="J382" s="38"/>
      <c r="K382" s="38"/>
      <c r="L382" s="38"/>
      <c r="M382" s="38"/>
      <c r="N382" s="38"/>
      <c r="O382" s="38"/>
    </row>
    <row r="383" hidden="1">
      <c r="A383" s="38"/>
      <c r="B383" s="38"/>
      <c r="C383" s="39" t="str">
        <f>IFERROR(__xludf.DUMMYFUNCTION("""COMPUTED_VALUE"""),"My Nuggets")</f>
        <v>My Nuggets</v>
      </c>
      <c r="D383" s="40">
        <f>SUMIFS(Rezepte!F:F,Rezepte!A:A,C383)</f>
        <v>435</v>
      </c>
      <c r="E383" s="41">
        <f>SUMIFS(Rezepte!G:G,Rezepte!A:A,C383)</f>
        <v>1.982956872</v>
      </c>
      <c r="F383" s="42">
        <f t="shared" si="2"/>
        <v>0.004558521545</v>
      </c>
      <c r="G383" s="38"/>
      <c r="H383" s="38"/>
      <c r="I383" s="38"/>
      <c r="J383" s="38"/>
      <c r="K383" s="38"/>
      <c r="L383" s="38"/>
      <c r="M383" s="38"/>
      <c r="N383" s="38"/>
      <c r="O383" s="38"/>
    </row>
    <row r="384" hidden="1">
      <c r="A384" s="38"/>
      <c r="B384" s="38"/>
      <c r="C384" s="39" t="str">
        <f>IFERROR(__xludf.DUMMYFUNCTION("""COMPUTED_VALUE"""),"Ochsenbacken Burger")</f>
        <v>Ochsenbacken Burger</v>
      </c>
      <c r="D384" s="40">
        <f>SUMIFS(Rezepte!F:F,Rezepte!A:A,C384)</f>
        <v>444</v>
      </c>
      <c r="E384" s="41">
        <f>SUMIFS(Rezepte!G:G,Rezepte!A:A,C384)</f>
        <v>1.902673327</v>
      </c>
      <c r="F384" s="42">
        <f t="shared" si="2"/>
        <v>0.004285300287</v>
      </c>
      <c r="G384" s="38"/>
      <c r="H384" s="38"/>
      <c r="I384" s="38"/>
      <c r="J384" s="38"/>
      <c r="K384" s="38"/>
      <c r="L384" s="38"/>
      <c r="M384" s="38"/>
      <c r="N384" s="38"/>
      <c r="O384" s="38"/>
    </row>
    <row r="385" hidden="1">
      <c r="A385" s="38"/>
      <c r="B385" s="38"/>
      <c r="C385" s="39" t="str">
        <f>IFERROR(__xludf.DUMMYFUNCTION("""COMPUTED_VALUE"""),"Ochsenbacken zubereitet")</f>
        <v>Ochsenbacken zubereitet</v>
      </c>
      <c r="D385" s="40">
        <f>SUMIFS(Rezepte!F:F,Rezepte!A:A,C385)</f>
        <v>18550</v>
      </c>
      <c r="E385" s="41">
        <f>SUMIFS(Rezepte!G:G,Rezepte!A:A,C385)</f>
        <v>92.66840743</v>
      </c>
      <c r="F385" s="42">
        <f t="shared" si="2"/>
        <v>0.004995601479</v>
      </c>
      <c r="G385" s="38"/>
      <c r="H385" s="38"/>
      <c r="I385" s="38"/>
      <c r="J385" s="38"/>
      <c r="K385" s="38"/>
      <c r="L385" s="38"/>
      <c r="M385" s="38"/>
      <c r="N385" s="38"/>
      <c r="O385" s="38"/>
    </row>
    <row r="386" hidden="1">
      <c r="A386" s="38"/>
      <c r="B386" s="38"/>
      <c r="C386" s="39" t="str">
        <f>IFERROR(__xludf.DUMMYFUNCTION("""COMPUTED_VALUE"""),"Onion Rings")</f>
        <v>Onion Rings</v>
      </c>
      <c r="D386" s="40">
        <f>SUMIFS(Rezepte!F:F,Rezepte!A:A,C386)</f>
        <v>6126.6</v>
      </c>
      <c r="E386" s="41">
        <f>SUMIFS(Rezepte!G:G,Rezepte!A:A,C386)</f>
        <v>31.2229</v>
      </c>
      <c r="F386" s="42">
        <f t="shared" si="2"/>
        <v>0.005096285052</v>
      </c>
      <c r="G386" s="38"/>
      <c r="H386" s="38"/>
      <c r="I386" s="38"/>
      <c r="J386" s="38"/>
      <c r="K386" s="38"/>
      <c r="L386" s="38"/>
      <c r="M386" s="38"/>
      <c r="N386" s="38"/>
      <c r="O386" s="38"/>
    </row>
    <row r="387" hidden="1">
      <c r="A387" s="38"/>
      <c r="B387" s="38"/>
      <c r="C387" s="39" t="str">
        <f>IFERROR(__xludf.DUMMYFUNCTION("""COMPUTED_VALUE"""),"Onion RIngs (Schale)")</f>
        <v>Onion RIngs (Schale)</v>
      </c>
      <c r="D387" s="40">
        <f>SUMIFS(Rezepte!F:F,Rezepte!A:A,C387)</f>
        <v>170</v>
      </c>
      <c r="E387" s="41">
        <f>SUMIFS(Rezepte!G:G,Rezepte!A:A,C387)</f>
        <v>0.8663684589</v>
      </c>
      <c r="F387" s="42">
        <f t="shared" si="2"/>
        <v>0.005096285052</v>
      </c>
      <c r="G387" s="38"/>
      <c r="H387" s="38"/>
      <c r="I387" s="38"/>
      <c r="J387" s="38"/>
      <c r="K387" s="38"/>
      <c r="L387" s="38"/>
      <c r="M387" s="38"/>
      <c r="N387" s="38"/>
      <c r="O387" s="38"/>
    </row>
    <row r="388" hidden="1">
      <c r="A388" s="38"/>
      <c r="B388" s="38"/>
      <c r="C388" s="39" t="str">
        <f>IFERROR(__xludf.DUMMYFUNCTION("""COMPUTED_VALUE"""),"Panierte Garnelen")</f>
        <v>Panierte Garnelen</v>
      </c>
      <c r="D388" s="40">
        <f>SUMIFS(Rezepte!F:F,Rezepte!A:A,C388)</f>
        <v>2620</v>
      </c>
      <c r="E388" s="41">
        <f>SUMIFS(Rezepte!G:G,Rezepte!A:A,C388)</f>
        <v>25.70086</v>
      </c>
      <c r="F388" s="42">
        <f t="shared" si="2"/>
        <v>0.00980948855</v>
      </c>
      <c r="G388" s="38"/>
      <c r="H388" s="38"/>
      <c r="I388" s="38"/>
      <c r="J388" s="38"/>
      <c r="K388" s="38"/>
      <c r="L388" s="38"/>
      <c r="M388" s="38"/>
      <c r="N388" s="38"/>
      <c r="O388" s="38"/>
    </row>
    <row r="389" hidden="1">
      <c r="A389" s="38"/>
      <c r="B389" s="38"/>
      <c r="C389" s="39" t="str">
        <f>IFERROR(__xludf.DUMMYFUNCTION("""COMPUTED_VALUE"""),"Panierte Hähnchen")</f>
        <v>Panierte Hähnchen</v>
      </c>
      <c r="D389" s="40">
        <f>SUMIFS(Rezepte!F:F,Rezepte!A:A,C389)</f>
        <v>5000</v>
      </c>
      <c r="E389" s="41">
        <f>SUMIFS(Rezepte!G:G,Rezepte!A:A,C389)</f>
        <v>32.45</v>
      </c>
      <c r="F389" s="42">
        <f t="shared" si="2"/>
        <v>0.00649</v>
      </c>
      <c r="G389" s="38"/>
      <c r="H389" s="38"/>
      <c r="I389" s="38"/>
      <c r="J389" s="38"/>
      <c r="K389" s="38"/>
      <c r="L389" s="38"/>
      <c r="M389" s="38"/>
      <c r="N389" s="38"/>
      <c r="O389" s="38"/>
    </row>
    <row r="390" hidden="1">
      <c r="A390" s="38"/>
      <c r="B390" s="38"/>
      <c r="C390" s="39" t="str">
        <f>IFERROR(__xludf.DUMMYFUNCTION("""COMPUTED_VALUE"""),"Panierte Hähnchen ")</f>
        <v>Panierte Hähnchen </v>
      </c>
      <c r="D390" s="40">
        <f>SUMIFS(Rezepte!F:F,Rezepte!A:A,C390)</f>
        <v>1810</v>
      </c>
      <c r="E390" s="41">
        <f>SUMIFS(Rezepte!G:G,Rezepte!A:A,C390)</f>
        <v>20.04329963</v>
      </c>
      <c r="F390" s="42">
        <f t="shared" si="2"/>
        <v>0.0110736462</v>
      </c>
      <c r="G390" s="38"/>
      <c r="H390" s="38"/>
      <c r="I390" s="38"/>
      <c r="J390" s="38"/>
      <c r="K390" s="38"/>
      <c r="L390" s="38"/>
      <c r="M390" s="38"/>
      <c r="N390" s="38"/>
      <c r="O390" s="38"/>
    </row>
    <row r="391" hidden="1">
      <c r="A391" s="38"/>
      <c r="B391" s="38"/>
      <c r="C391" s="39" t="str">
        <f>IFERROR(__xludf.DUMMYFUNCTION("""COMPUTED_VALUE"""),"Panierte Ziegenkäse")</f>
        <v>Panierte Ziegenkäse</v>
      </c>
      <c r="D391" s="40">
        <f>SUMIFS(Rezepte!F:F,Rezepte!A:A,C391)</f>
        <v>2670</v>
      </c>
      <c r="E391" s="41">
        <f>SUMIFS(Rezepte!G:G,Rezepte!A:A,C391)</f>
        <v>24.77086</v>
      </c>
      <c r="F391" s="42">
        <f t="shared" si="2"/>
        <v>0.009277475655</v>
      </c>
      <c r="G391" s="38"/>
      <c r="H391" s="38"/>
      <c r="I391" s="38"/>
      <c r="J391" s="38"/>
      <c r="K391" s="38"/>
      <c r="L391" s="38"/>
      <c r="M391" s="38"/>
      <c r="N391" s="38"/>
      <c r="O391" s="38"/>
    </row>
    <row r="392" hidden="1">
      <c r="A392" s="38"/>
      <c r="B392" s="38"/>
      <c r="C392" s="39" t="str">
        <f>IFERROR(__xludf.DUMMYFUNCTION("""COMPUTED_VALUE"""),"panierter Lachs")</f>
        <v>panierter Lachs</v>
      </c>
      <c r="D392" s="40">
        <f>SUMIFS(Rezepte!F:F,Rezepte!A:A,C392)</f>
        <v>1620</v>
      </c>
      <c r="E392" s="41">
        <f>SUMIFS(Rezepte!G:G,Rezepte!A:A,C392)</f>
        <v>21.09141</v>
      </c>
      <c r="F392" s="42">
        <f t="shared" si="2"/>
        <v>0.01301938889</v>
      </c>
      <c r="G392" s="38"/>
      <c r="H392" s="38"/>
      <c r="I392" s="38"/>
      <c r="J392" s="38"/>
      <c r="K392" s="38"/>
      <c r="L392" s="38"/>
      <c r="M392" s="38"/>
      <c r="N392" s="38"/>
      <c r="O392" s="38"/>
    </row>
    <row r="393" hidden="1">
      <c r="A393" s="38"/>
      <c r="B393" s="38"/>
      <c r="C393" s="39" t="str">
        <f>IFERROR(__xludf.DUMMYFUNCTION("""COMPUTED_VALUE"""),"Paprika Mangel")</f>
        <v>Paprika Mangel</v>
      </c>
      <c r="D393" s="40">
        <f>SUMIFS(Rezepte!F:F,Rezepte!A:A,C393)</f>
        <v>2153.85</v>
      </c>
      <c r="E393" s="41">
        <f>SUMIFS(Rezepte!G:G,Rezepte!A:A,C393)</f>
        <v>21.1236</v>
      </c>
      <c r="F393" s="42">
        <f t="shared" si="2"/>
        <v>0.009807368201</v>
      </c>
      <c r="G393" s="38"/>
      <c r="H393" s="38"/>
      <c r="I393" s="38"/>
      <c r="J393" s="38"/>
      <c r="K393" s="38"/>
      <c r="L393" s="38"/>
      <c r="M393" s="38"/>
      <c r="N393" s="38"/>
      <c r="O393" s="38"/>
    </row>
    <row r="394" hidden="1">
      <c r="A394" s="38"/>
      <c r="B394" s="38"/>
      <c r="C394" s="39" t="str">
        <f>IFERROR(__xludf.DUMMYFUNCTION("""COMPUTED_VALUE"""),"Paprika Marmelade")</f>
        <v>Paprika Marmelade</v>
      </c>
      <c r="D394" s="40">
        <f>SUMIFS(Rezepte!F:F,Rezepte!A:A,C394)</f>
        <v>1520</v>
      </c>
      <c r="E394" s="41">
        <f>SUMIFS(Rezepte!G:G,Rezepte!A:A,C394)</f>
        <v>6.79886</v>
      </c>
      <c r="F394" s="42">
        <f t="shared" si="2"/>
        <v>0.004472934211</v>
      </c>
      <c r="G394" s="38"/>
      <c r="H394" s="38"/>
      <c r="I394" s="38"/>
      <c r="J394" s="38"/>
      <c r="K394" s="38"/>
      <c r="L394" s="38"/>
      <c r="M394" s="38"/>
      <c r="N394" s="38"/>
      <c r="O394" s="38"/>
    </row>
    <row r="395" hidden="1">
      <c r="A395" s="38"/>
      <c r="B395" s="38"/>
      <c r="C395" s="39" t="str">
        <f>IFERROR(__xludf.DUMMYFUNCTION("""COMPUTED_VALUE"""),"Pastinaken Chips")</f>
        <v>Pastinaken Chips</v>
      </c>
      <c r="D395" s="40">
        <f>SUMIFS(Rezepte!F:F,Rezepte!A:A,C395)</f>
        <v>690</v>
      </c>
      <c r="E395" s="41">
        <f>SUMIFS(Rezepte!G:G,Rezepte!A:A,C395)</f>
        <v>6.010481</v>
      </c>
      <c r="F395" s="42">
        <f t="shared" si="2"/>
        <v>0.008710842029</v>
      </c>
      <c r="G395" s="38"/>
      <c r="H395" s="38"/>
      <c r="I395" s="38"/>
      <c r="J395" s="38"/>
      <c r="K395" s="38"/>
      <c r="L395" s="38"/>
      <c r="M395" s="38"/>
      <c r="N395" s="38"/>
      <c r="O395" s="38"/>
    </row>
    <row r="396" hidden="1">
      <c r="A396" s="38"/>
      <c r="B396" s="38"/>
      <c r="C396" s="39" t="str">
        <f>IFERROR(__xludf.DUMMYFUNCTION("""COMPUTED_VALUE"""),"Petersilien Alioli")</f>
        <v>Petersilien Alioli</v>
      </c>
      <c r="D396" s="40">
        <f>SUMIFS(Rezepte!F:F,Rezepte!A:A,C396)</f>
        <v>10710</v>
      </c>
      <c r="E396" s="41">
        <f>SUMIFS(Rezepte!G:G,Rezepte!A:A,C396)</f>
        <v>33.88024</v>
      </c>
      <c r="F396" s="42">
        <f t="shared" si="2"/>
        <v>0.003163421102</v>
      </c>
      <c r="G396" s="38"/>
      <c r="H396" s="38"/>
      <c r="I396" s="38"/>
      <c r="J396" s="38"/>
      <c r="K396" s="38"/>
      <c r="L396" s="38"/>
      <c r="M396" s="38"/>
      <c r="N396" s="38"/>
      <c r="O396" s="38"/>
    </row>
    <row r="397" hidden="1">
      <c r="A397" s="38"/>
      <c r="B397" s="38"/>
      <c r="C397" s="39" t="str">
        <f>IFERROR(__xludf.DUMMYFUNCTION("""COMPUTED_VALUE"""),"Pfifferlinge gebratene")</f>
        <v>Pfifferlinge gebratene</v>
      </c>
      <c r="D397" s="40">
        <f>SUMIFS(Rezepte!F:F,Rezepte!A:A,C397)</f>
        <v>294</v>
      </c>
      <c r="E397" s="41">
        <f>SUMIFS(Rezepte!G:G,Rezepte!A:A,C397)</f>
        <v>10.94976933</v>
      </c>
      <c r="F397" s="42">
        <f t="shared" si="2"/>
        <v>0.03724411338</v>
      </c>
      <c r="G397" s="38"/>
      <c r="H397" s="38"/>
      <c r="I397" s="38"/>
      <c r="J397" s="38"/>
      <c r="K397" s="38"/>
      <c r="L397" s="38"/>
      <c r="M397" s="38"/>
      <c r="N397" s="38"/>
      <c r="O397" s="38"/>
    </row>
    <row r="398" hidden="1">
      <c r="A398" s="38"/>
      <c r="B398" s="38"/>
      <c r="C398" s="39" t="str">
        <f>IFERROR(__xludf.DUMMYFUNCTION("""COMPUTED_VALUE"""),"Pilzsuppe")</f>
        <v>Pilzsuppe</v>
      </c>
      <c r="D398" s="40">
        <f>SUMIFS(Rezepte!F:F,Rezepte!A:A,C398)</f>
        <v>8224</v>
      </c>
      <c r="E398" s="41">
        <f>SUMIFS(Rezepte!G:G,Rezepte!A:A,C398)</f>
        <v>28.30538667</v>
      </c>
      <c r="F398" s="42">
        <f t="shared" si="2"/>
        <v>0.003441802853</v>
      </c>
      <c r="G398" s="38"/>
      <c r="H398" s="38"/>
      <c r="I398" s="38"/>
      <c r="J398" s="38"/>
      <c r="K398" s="38"/>
      <c r="L398" s="38"/>
      <c r="M398" s="38"/>
      <c r="N398" s="38"/>
      <c r="O398" s="38"/>
    </row>
    <row r="399" hidden="1">
      <c r="A399" s="38"/>
      <c r="B399" s="38"/>
      <c r="C399" s="39" t="str">
        <f>IFERROR(__xludf.DUMMYFUNCTION("""COMPUTED_VALUE"""),"Pilzsuppe fertig")</f>
        <v>Pilzsuppe fertig</v>
      </c>
      <c r="D399" s="40">
        <f>SUMIFS(Rezepte!F:F,Rezepte!A:A,C399)</f>
        <v>360</v>
      </c>
      <c r="E399" s="41">
        <f>SUMIFS(Rezepte!G:G,Rezepte!A:A,C399)</f>
        <v>1.269421008</v>
      </c>
      <c r="F399" s="42">
        <f t="shared" si="2"/>
        <v>0.003526169466</v>
      </c>
      <c r="G399" s="38"/>
      <c r="H399" s="38"/>
      <c r="I399" s="38"/>
      <c r="J399" s="38"/>
      <c r="K399" s="38"/>
      <c r="L399" s="38"/>
      <c r="M399" s="38"/>
      <c r="N399" s="38"/>
      <c r="O399" s="38"/>
    </row>
    <row r="400" hidden="1">
      <c r="A400" s="38"/>
      <c r="B400" s="38"/>
      <c r="C400" s="39" t="str">
        <f>IFERROR(__xludf.DUMMYFUNCTION("""COMPUTED_VALUE"""),"Portobello mit Käse gebacken")</f>
        <v>Portobello mit Käse gebacken</v>
      </c>
      <c r="D400" s="40">
        <f>SUMIFS(Rezepte!F:F,Rezepte!A:A,C400)</f>
        <v>2800</v>
      </c>
      <c r="E400" s="41">
        <f>SUMIFS(Rezepte!G:G,Rezepte!A:A,C400)</f>
        <v>27.36598115</v>
      </c>
      <c r="F400" s="42">
        <f t="shared" si="2"/>
        <v>0.009773564695</v>
      </c>
      <c r="G400" s="38"/>
      <c r="H400" s="38"/>
      <c r="I400" s="38"/>
      <c r="J400" s="38"/>
      <c r="K400" s="38"/>
      <c r="L400" s="38"/>
      <c r="M400" s="38"/>
      <c r="N400" s="38"/>
      <c r="O400" s="38"/>
    </row>
    <row r="401" hidden="1">
      <c r="A401" s="38"/>
      <c r="B401" s="38"/>
      <c r="C401" s="39" t="str">
        <f>IFERROR(__xludf.DUMMYFUNCTION("""COMPUTED_VALUE"""),"Pulled Duck")</f>
        <v>Pulled Duck</v>
      </c>
      <c r="D401" s="40">
        <f>SUMIFS(Rezepte!F:F,Rezepte!A:A,C401)</f>
        <v>6900</v>
      </c>
      <c r="E401" s="41">
        <f>SUMIFS(Rezepte!G:G,Rezepte!A:A,C401)</f>
        <v>215.4516287</v>
      </c>
      <c r="F401" s="42">
        <f t="shared" si="2"/>
        <v>0.03122487373</v>
      </c>
      <c r="G401" s="38"/>
      <c r="H401" s="38"/>
      <c r="I401" s="38"/>
      <c r="J401" s="38"/>
      <c r="K401" s="38"/>
      <c r="L401" s="38"/>
      <c r="M401" s="38"/>
      <c r="N401" s="38"/>
      <c r="O401" s="38"/>
    </row>
    <row r="402" hidden="1">
      <c r="A402" s="38"/>
      <c r="B402" s="38"/>
      <c r="C402" s="39" t="str">
        <f>IFERROR(__xludf.DUMMYFUNCTION("""COMPUTED_VALUE"""),"Pulled Pork")</f>
        <v>Pulled Pork</v>
      </c>
      <c r="D402" s="40">
        <f>SUMIFS(Rezepte!F:F,Rezepte!A:A,C402)</f>
        <v>6000</v>
      </c>
      <c r="E402" s="41">
        <f>SUMIFS(Rezepte!G:G,Rezepte!A:A,C402)</f>
        <v>66.71745318</v>
      </c>
      <c r="F402" s="42">
        <f t="shared" si="2"/>
        <v>0.01111957553</v>
      </c>
      <c r="G402" s="38"/>
      <c r="H402" s="38"/>
      <c r="I402" s="38"/>
      <c r="J402" s="38"/>
      <c r="K402" s="38"/>
      <c r="L402" s="38"/>
      <c r="M402" s="38"/>
      <c r="N402" s="38"/>
      <c r="O402" s="38"/>
    </row>
    <row r="403" hidden="1">
      <c r="A403" s="38"/>
      <c r="B403" s="38"/>
      <c r="C403" s="39" t="str">
        <f>IFERROR(__xludf.DUMMYFUNCTION("""COMPUTED_VALUE"""),"Pulled Pork Balls")</f>
        <v>Pulled Pork Balls</v>
      </c>
      <c r="D403" s="40">
        <f>SUMIFS(Rezepte!F:F,Rezepte!A:A,C403)</f>
        <v>305</v>
      </c>
      <c r="E403" s="41">
        <f>SUMIFS(Rezepte!G:G,Rezepte!A:A,C403)</f>
        <v>2.804664205</v>
      </c>
      <c r="F403" s="42">
        <f t="shared" si="2"/>
        <v>0.009195620345</v>
      </c>
      <c r="G403" s="38"/>
      <c r="H403" s="38"/>
      <c r="I403" s="38"/>
      <c r="J403" s="38"/>
      <c r="K403" s="38"/>
      <c r="L403" s="38"/>
      <c r="M403" s="38"/>
      <c r="N403" s="38"/>
      <c r="O403" s="38"/>
    </row>
    <row r="404" hidden="1">
      <c r="A404" s="38"/>
      <c r="B404" s="38"/>
      <c r="C404" s="39" t="str">
        <f>IFERROR(__xludf.DUMMYFUNCTION("""COMPUTED_VALUE"""),"Pulled Pork Burger ")</f>
        <v>Pulled Pork Burger </v>
      </c>
      <c r="D404" s="40">
        <f>SUMIFS(Rezepte!F:F,Rezepte!A:A,C404)</f>
        <v>410</v>
      </c>
      <c r="E404" s="41">
        <f>SUMIFS(Rezepte!G:G,Rezepte!A:A,C404)</f>
        <v>2.808997083</v>
      </c>
      <c r="F404" s="42">
        <f t="shared" si="2"/>
        <v>0.006851212397</v>
      </c>
      <c r="G404" s="38"/>
      <c r="H404" s="38"/>
      <c r="I404" s="38"/>
      <c r="J404" s="38"/>
      <c r="K404" s="38"/>
      <c r="L404" s="38"/>
      <c r="M404" s="38"/>
      <c r="N404" s="38"/>
      <c r="O404" s="38"/>
    </row>
    <row r="405" hidden="1">
      <c r="A405" s="38"/>
      <c r="B405" s="38"/>
      <c r="C405" s="39" t="str">
        <f>IFERROR(__xludf.DUMMYFUNCTION("""COMPUTED_VALUE"""),"Pumpkin Patty")</f>
        <v>Pumpkin Patty</v>
      </c>
      <c r="D405" s="40">
        <f>SUMIFS(Rezepte!F:F,Rezepte!A:A,C405)</f>
        <v>2917</v>
      </c>
      <c r="E405" s="41">
        <f>SUMIFS(Rezepte!G:G,Rezepte!A:A,C405)</f>
        <v>8.026536807</v>
      </c>
      <c r="F405" s="42">
        <f t="shared" si="2"/>
        <v>0.002751641003</v>
      </c>
      <c r="G405" s="38"/>
      <c r="H405" s="38"/>
      <c r="I405" s="38"/>
      <c r="J405" s="38"/>
      <c r="K405" s="38"/>
      <c r="L405" s="38"/>
      <c r="M405" s="38"/>
      <c r="N405" s="38"/>
      <c r="O405" s="38"/>
    </row>
    <row r="406" hidden="1">
      <c r="A406" s="38"/>
      <c r="B406" s="38"/>
      <c r="C406" s="39" t="str">
        <f>IFERROR(__xludf.DUMMYFUNCTION("""COMPUTED_VALUE"""),"Pumpkin pear salad")</f>
        <v>Pumpkin pear salad</v>
      </c>
      <c r="D406" s="40">
        <f>SUMIFS(Rezepte!F:F,Rezepte!A:A,C406)</f>
        <v>450</v>
      </c>
      <c r="E406" s="41">
        <f>SUMIFS(Rezepte!G:G,Rezepte!A:A,C406)</f>
        <v>4.745987745</v>
      </c>
      <c r="F406" s="42">
        <f t="shared" si="2"/>
        <v>0.01054663943</v>
      </c>
      <c r="G406" s="38"/>
      <c r="H406" s="38"/>
      <c r="I406" s="38"/>
      <c r="J406" s="38"/>
      <c r="K406" s="38"/>
      <c r="L406" s="38"/>
      <c r="M406" s="38"/>
      <c r="N406" s="38"/>
      <c r="O406" s="38"/>
    </row>
    <row r="407" hidden="1">
      <c r="A407" s="38"/>
      <c r="B407" s="38"/>
      <c r="C407" s="39" t="str">
        <f>IFERROR(__xludf.DUMMYFUNCTION("""COMPUTED_VALUE"""),"Pumpkin pear salad dressing")</f>
        <v>Pumpkin pear salad dressing</v>
      </c>
      <c r="D407" s="40">
        <f>SUMIFS(Rezepte!F:F,Rezepte!A:A,C407)</f>
        <v>1400</v>
      </c>
      <c r="E407" s="41">
        <f>SUMIFS(Rezepte!G:G,Rezepte!A:A,C407)</f>
        <v>5.9835</v>
      </c>
      <c r="F407" s="42">
        <f t="shared" si="2"/>
        <v>0.004273928571</v>
      </c>
      <c r="G407" s="38"/>
      <c r="H407" s="38"/>
      <c r="I407" s="38"/>
      <c r="J407" s="38"/>
      <c r="K407" s="38"/>
      <c r="L407" s="38"/>
      <c r="M407" s="38"/>
      <c r="N407" s="38"/>
      <c r="O407" s="38"/>
    </row>
    <row r="408" hidden="1">
      <c r="A408" s="38"/>
      <c r="B408" s="38"/>
      <c r="C408" s="39" t="str">
        <f>IFERROR(__xludf.DUMMYFUNCTION("""COMPUTED_VALUE"""),"Pumpkin pear salad Kürbis")</f>
        <v>Pumpkin pear salad Kürbis</v>
      </c>
      <c r="D408" s="40">
        <f>SUMIFS(Rezepte!F:F,Rezepte!A:A,C408)</f>
        <v>900</v>
      </c>
      <c r="E408" s="41">
        <f>SUMIFS(Rezepte!G:G,Rezepte!A:A,C408)</f>
        <v>2.016806723</v>
      </c>
      <c r="F408" s="42">
        <f t="shared" si="2"/>
        <v>0.002240896359</v>
      </c>
      <c r="G408" s="38"/>
      <c r="H408" s="38"/>
      <c r="I408" s="38"/>
      <c r="J408" s="38"/>
      <c r="K408" s="38"/>
      <c r="L408" s="38"/>
      <c r="M408" s="38"/>
      <c r="N408" s="38"/>
      <c r="O408" s="38"/>
    </row>
    <row r="409" hidden="1">
      <c r="A409" s="38"/>
      <c r="B409" s="38"/>
      <c r="C409" s="39" t="str">
        <f>IFERROR(__xludf.DUMMYFUNCTION("""COMPUTED_VALUE"""),"Quitten Chutney")</f>
        <v>Quitten Chutney</v>
      </c>
      <c r="D409" s="40">
        <f>SUMIFS(Rezepte!F:F,Rezepte!A:A,C409)</f>
        <v>2106</v>
      </c>
      <c r="E409" s="41">
        <f>SUMIFS(Rezepte!G:G,Rezepte!A:A,C409)</f>
        <v>7.75692521</v>
      </c>
      <c r="F409" s="42">
        <f t="shared" si="2"/>
        <v>0.003683250337</v>
      </c>
      <c r="G409" s="38"/>
      <c r="H409" s="38"/>
      <c r="I409" s="38"/>
      <c r="J409" s="38"/>
      <c r="K409" s="38"/>
      <c r="L409" s="38"/>
      <c r="M409" s="38"/>
      <c r="N409" s="38"/>
      <c r="O409" s="38"/>
    </row>
    <row r="410" hidden="1">
      <c r="A410" s="38"/>
      <c r="B410" s="38"/>
      <c r="C410" s="39" t="str">
        <f>IFERROR(__xludf.DUMMYFUNCTION("""COMPUTED_VALUE"""),"Remoulade")</f>
        <v>Remoulade</v>
      </c>
      <c r="D410" s="40">
        <f>SUMIFS(Rezepte!F:F,Rezepte!A:A,C410)</f>
        <v>1751</v>
      </c>
      <c r="E410" s="41">
        <f>SUMIFS(Rezepte!G:G,Rezepte!A:A,C410)</f>
        <v>5.4946292</v>
      </c>
      <c r="F410" s="42">
        <f t="shared" si="2"/>
        <v>0.003137994974</v>
      </c>
      <c r="G410" s="38"/>
      <c r="H410" s="38"/>
      <c r="I410" s="38"/>
      <c r="J410" s="38"/>
      <c r="K410" s="38"/>
      <c r="L410" s="38"/>
      <c r="M410" s="38"/>
      <c r="N410" s="38"/>
      <c r="O410" s="38"/>
    </row>
    <row r="411" hidden="1">
      <c r="A411" s="38"/>
      <c r="B411" s="38"/>
      <c r="C411" s="39" t="str">
        <f>IFERROR(__xludf.DUMMYFUNCTION("""COMPUTED_VALUE"""),"Rindfleischpatty")</f>
        <v>Rindfleischpatty</v>
      </c>
      <c r="D411" s="40">
        <f>SUMIFS(Rezepte!F:F,Rezepte!A:A,C411)</f>
        <v>1015</v>
      </c>
      <c r="E411" s="41">
        <f>SUMIFS(Rezepte!G:G,Rezepte!A:A,C411)</f>
        <v>8.65568</v>
      </c>
      <c r="F411" s="42">
        <f t="shared" si="2"/>
        <v>0.008527763547</v>
      </c>
      <c r="G411" s="38"/>
      <c r="H411" s="38"/>
      <c r="I411" s="38"/>
      <c r="J411" s="38"/>
      <c r="K411" s="38"/>
      <c r="L411" s="38"/>
      <c r="M411" s="38"/>
      <c r="N411" s="38"/>
      <c r="O411" s="38"/>
    </row>
    <row r="412" hidden="1">
      <c r="A412" s="38"/>
      <c r="B412" s="38"/>
      <c r="C412" s="39" t="str">
        <f>IFERROR(__xludf.DUMMYFUNCTION("""COMPUTED_VALUE"""),"Rosmarin Hähnchen zubereitet")</f>
        <v>Rosmarin Hähnchen zubereitet</v>
      </c>
      <c r="D412" s="40">
        <f>SUMIFS(Rezepte!F:F,Rezepte!A:A,C412)</f>
        <v>3351.1</v>
      </c>
      <c r="E412" s="41">
        <f>SUMIFS(Rezepte!G:G,Rezepte!A:A,C412)</f>
        <v>49.62671714</v>
      </c>
      <c r="F412" s="42">
        <f t="shared" si="2"/>
        <v>0.01480908273</v>
      </c>
      <c r="G412" s="38"/>
      <c r="H412" s="38"/>
      <c r="I412" s="38"/>
      <c r="J412" s="38"/>
      <c r="K412" s="38"/>
      <c r="L412" s="38"/>
      <c r="M412" s="38"/>
      <c r="N412" s="38"/>
      <c r="O412" s="38"/>
    </row>
    <row r="413" hidden="1">
      <c r="A413" s="38"/>
      <c r="B413" s="38"/>
      <c r="C413" s="39" t="str">
        <f>IFERROR(__xludf.DUMMYFUNCTION("""COMPUTED_VALUE"""),"Röstzwiebeln")</f>
        <v>Röstzwiebeln</v>
      </c>
      <c r="D413" s="40">
        <f>SUMIFS(Rezepte!F:F,Rezepte!A:A,C413)</f>
        <v>4270</v>
      </c>
      <c r="E413" s="41">
        <f>SUMIFS(Rezepte!G:G,Rezepte!A:A,C413)</f>
        <v>4.64786</v>
      </c>
      <c r="F413" s="42">
        <f t="shared" si="2"/>
        <v>0.001088491803</v>
      </c>
      <c r="G413" s="38"/>
      <c r="H413" s="38"/>
      <c r="I413" s="38"/>
      <c r="J413" s="38"/>
      <c r="K413" s="38"/>
      <c r="L413" s="38"/>
      <c r="M413" s="38"/>
      <c r="N413" s="38"/>
      <c r="O413" s="38"/>
    </row>
    <row r="414" hidden="1">
      <c r="A414" s="38"/>
      <c r="B414" s="38"/>
      <c r="C414" s="39" t="str">
        <f>IFERROR(__xludf.DUMMYFUNCTION("""COMPUTED_VALUE"""),"Rote Zwiebel (eingelegt)")</f>
        <v>Rote Zwiebel (eingelegt)</v>
      </c>
      <c r="D414" s="40">
        <f>SUMIFS(Rezepte!F:F,Rezepte!A:A,C414)</f>
        <v>1008.863158</v>
      </c>
      <c r="E414" s="41">
        <f>SUMIFS(Rezepte!G:G,Rezepte!A:A,C414)</f>
        <v>5.42436</v>
      </c>
      <c r="F414" s="42">
        <f t="shared" si="2"/>
        <v>0.005376705411</v>
      </c>
      <c r="G414" s="38"/>
      <c r="H414" s="38"/>
      <c r="I414" s="38"/>
      <c r="J414" s="38"/>
      <c r="K414" s="38"/>
      <c r="L414" s="38"/>
      <c r="M414" s="38"/>
      <c r="N414" s="38"/>
      <c r="O414" s="38"/>
    </row>
    <row r="415" hidden="1">
      <c r="A415" s="38"/>
      <c r="B415" s="38"/>
      <c r="C415" s="39" t="str">
        <f>IFERROR(__xludf.DUMMYFUNCTION("""COMPUTED_VALUE"""),"Rotkohl roh")</f>
        <v>Rotkohl roh</v>
      </c>
      <c r="D415" s="40">
        <f>SUMIFS(Rezepte!F:F,Rezepte!A:A,C415)</f>
        <v>1150</v>
      </c>
      <c r="E415" s="41">
        <f>SUMIFS(Rezepte!G:G,Rezepte!A:A,C415)</f>
        <v>1.36628</v>
      </c>
      <c r="F415" s="42">
        <f t="shared" si="2"/>
        <v>0.001188069565</v>
      </c>
      <c r="G415" s="38"/>
      <c r="H415" s="38"/>
      <c r="I415" s="38"/>
      <c r="J415" s="38"/>
      <c r="K415" s="38"/>
      <c r="L415" s="38"/>
      <c r="M415" s="38"/>
      <c r="N415" s="38"/>
      <c r="O415" s="38"/>
    </row>
    <row r="416" hidden="1">
      <c r="A416" s="38"/>
      <c r="B416" s="38"/>
      <c r="C416" s="39" t="str">
        <f>IFERROR(__xludf.DUMMYFUNCTION("""COMPUTED_VALUE"""),"Rotkohl, angemacht")</f>
        <v>Rotkohl, angemacht</v>
      </c>
      <c r="D416" s="40">
        <f>SUMIFS(Rezepte!F:F,Rezepte!A:A,C416)</f>
        <v>23012</v>
      </c>
      <c r="E416" s="41">
        <f>SUMIFS(Rezepte!G:G,Rezepte!A:A,C416)</f>
        <v>50.55593262</v>
      </c>
      <c r="F416" s="42">
        <f t="shared" si="2"/>
        <v>0.002196937799</v>
      </c>
      <c r="G416" s="38"/>
      <c r="H416" s="38"/>
      <c r="I416" s="38"/>
      <c r="J416" s="38"/>
      <c r="K416" s="38"/>
      <c r="L416" s="38"/>
      <c r="M416" s="38"/>
      <c r="N416" s="38"/>
      <c r="O416" s="38"/>
    </row>
    <row r="417" hidden="1">
      <c r="A417" s="38"/>
      <c r="B417" s="38"/>
      <c r="C417" s="39" t="str">
        <f>IFERROR(__xludf.DUMMYFUNCTION("""COMPUTED_VALUE"""),"Rustic Fries")</f>
        <v>Rustic Fries</v>
      </c>
      <c r="D417" s="40">
        <f>SUMIFS(Rezepte!F:F,Rezepte!A:A,C417)</f>
        <v>250</v>
      </c>
      <c r="E417" s="41">
        <f>SUMIFS(Rezepte!G:G,Rezepte!A:A,C417)</f>
        <v>0.7775</v>
      </c>
      <c r="F417" s="42">
        <f t="shared" si="2"/>
        <v>0.00311</v>
      </c>
      <c r="G417" s="38"/>
      <c r="H417" s="38"/>
      <c r="I417" s="38"/>
      <c r="J417" s="38"/>
      <c r="K417" s="38"/>
      <c r="L417" s="38"/>
      <c r="M417" s="38"/>
      <c r="N417" s="38"/>
      <c r="O417" s="38"/>
    </row>
    <row r="418" hidden="1">
      <c r="A418" s="38"/>
      <c r="B418" s="38"/>
      <c r="C418" s="39" t="str">
        <f>IFERROR(__xludf.DUMMYFUNCTION("""COMPUTED_VALUE"""),"Salad Garnelen")</f>
        <v>Salad Garnelen</v>
      </c>
      <c r="D418" s="40">
        <f>SUMIFS(Rezepte!F:F,Rezepte!A:A,C418)</f>
        <v>462</v>
      </c>
      <c r="E418" s="41">
        <f>SUMIFS(Rezepte!G:G,Rezepte!A:A,C418)</f>
        <v>4.130201182</v>
      </c>
      <c r="F418" s="42">
        <f t="shared" si="2"/>
        <v>0.008939829399</v>
      </c>
      <c r="G418" s="38"/>
      <c r="H418" s="38"/>
      <c r="I418" s="38"/>
      <c r="J418" s="38"/>
      <c r="K418" s="38"/>
      <c r="L418" s="38"/>
      <c r="M418" s="38"/>
      <c r="N418" s="38"/>
      <c r="O418" s="38"/>
    </row>
    <row r="419" hidden="1">
      <c r="A419" s="38"/>
      <c r="B419" s="38"/>
      <c r="C419" s="39" t="str">
        <f>IFERROR(__xludf.DUMMYFUNCTION("""COMPUTED_VALUE"""),"Salad Hähnchen")</f>
        <v>Salad Hähnchen</v>
      </c>
      <c r="D419" s="40">
        <f>SUMIFS(Rezepte!F:F,Rezepte!A:A,C419)</f>
        <v>437</v>
      </c>
      <c r="E419" s="41">
        <f>SUMIFS(Rezepte!G:G,Rezepte!A:A,C419)</f>
        <v>3.539611225</v>
      </c>
      <c r="F419" s="42">
        <f t="shared" si="2"/>
        <v>0.008099796853</v>
      </c>
      <c r="G419" s="38"/>
      <c r="H419" s="38"/>
      <c r="I419" s="38"/>
      <c r="J419" s="38"/>
      <c r="K419" s="38"/>
      <c r="L419" s="38"/>
      <c r="M419" s="38"/>
      <c r="N419" s="38"/>
      <c r="O419" s="38"/>
    </row>
    <row r="420" hidden="1">
      <c r="A420" s="38"/>
      <c r="B420" s="38"/>
      <c r="C420" s="39" t="str">
        <f>IFERROR(__xludf.DUMMYFUNCTION("""COMPUTED_VALUE"""),"Salad Lachs")</f>
        <v>Salad Lachs</v>
      </c>
      <c r="D420" s="40">
        <f>SUMIFS(Rezepte!F:F,Rezepte!A:A,C420)</f>
        <v>332</v>
      </c>
      <c r="E420" s="41">
        <f>SUMIFS(Rezepte!G:G,Rezepte!A:A,C420)</f>
        <v>3.982356435</v>
      </c>
      <c r="F420" s="42">
        <f t="shared" si="2"/>
        <v>0.0119950495</v>
      </c>
      <c r="G420" s="38"/>
      <c r="H420" s="38"/>
      <c r="I420" s="38"/>
      <c r="J420" s="38"/>
      <c r="K420" s="38"/>
      <c r="L420" s="38"/>
      <c r="M420" s="38"/>
      <c r="N420" s="38"/>
      <c r="O420" s="38"/>
    </row>
    <row r="421" hidden="1">
      <c r="A421" s="38"/>
      <c r="B421" s="38"/>
      <c r="C421" s="39" t="str">
        <f>IFERROR(__xludf.DUMMYFUNCTION("""COMPUTED_VALUE"""),"Salad Ziegenkäse")</f>
        <v>Salad Ziegenkäse</v>
      </c>
      <c r="D421" s="40">
        <f>SUMIFS(Rezepte!F:F,Rezepte!A:A,C421)</f>
        <v>447</v>
      </c>
      <c r="E421" s="41">
        <f>SUMIFS(Rezepte!G:G,Rezepte!A:A,C421)</f>
        <v>4.128355</v>
      </c>
      <c r="F421" s="42">
        <f t="shared" si="2"/>
        <v>0.009235693511</v>
      </c>
      <c r="G421" s="38"/>
      <c r="H421" s="38"/>
      <c r="I421" s="38"/>
      <c r="J421" s="38"/>
      <c r="K421" s="38"/>
      <c r="L421" s="38"/>
      <c r="M421" s="38"/>
      <c r="N421" s="38"/>
      <c r="O421" s="38"/>
    </row>
    <row r="422" hidden="1">
      <c r="A422" s="38"/>
      <c r="B422" s="38"/>
      <c r="C422" s="39" t="str">
        <f>IFERROR(__xludf.DUMMYFUNCTION("""COMPUTED_VALUE"""),"Sauce BBQ")</f>
        <v>Sauce BBQ</v>
      </c>
      <c r="D422" s="40">
        <f>SUMIFS(Rezepte!F:F,Rezepte!A:A,C422)</f>
        <v>50</v>
      </c>
      <c r="E422" s="41">
        <f>SUMIFS(Rezepte!G:G,Rezepte!A:A,C422)</f>
        <v>0.3725003714</v>
      </c>
      <c r="F422" s="42">
        <f t="shared" si="2"/>
        <v>0.007450007428</v>
      </c>
      <c r="G422" s="38"/>
      <c r="H422" s="38"/>
      <c r="I422" s="38"/>
      <c r="J422" s="38"/>
      <c r="K422" s="38"/>
      <c r="L422" s="38"/>
      <c r="M422" s="38"/>
      <c r="N422" s="38"/>
      <c r="O422" s="38"/>
    </row>
    <row r="423" hidden="1">
      <c r="A423" s="38"/>
      <c r="B423" s="38"/>
      <c r="C423" s="39" t="str">
        <f>IFERROR(__xludf.DUMMYFUNCTION("""COMPUTED_VALUE"""),"Sauce Guacamole")</f>
        <v>Sauce Guacamole</v>
      </c>
      <c r="D423" s="40">
        <f>SUMIFS(Rezepte!F:F,Rezepte!A:A,C423)</f>
        <v>50</v>
      </c>
      <c r="E423" s="41">
        <f>SUMIFS(Rezepte!G:G,Rezepte!A:A,C423)</f>
        <v>0.3739865938</v>
      </c>
      <c r="F423" s="42">
        <f t="shared" si="2"/>
        <v>0.007479731877</v>
      </c>
      <c r="G423" s="38"/>
      <c r="H423" s="38"/>
      <c r="I423" s="38"/>
      <c r="J423" s="38"/>
      <c r="K423" s="38"/>
      <c r="L423" s="38"/>
      <c r="M423" s="38"/>
      <c r="N423" s="38"/>
      <c r="O423" s="38"/>
    </row>
    <row r="424" hidden="1">
      <c r="A424" s="38"/>
      <c r="B424" s="38"/>
      <c r="C424" s="39" t="str">
        <f>IFERROR(__xludf.DUMMYFUNCTION("""COMPUTED_VALUE"""),"Sauce House Sauce")</f>
        <v>Sauce House Sauce</v>
      </c>
      <c r="D424" s="40">
        <f>SUMIFS(Rezepte!F:F,Rezepte!A:A,C424)</f>
        <v>50</v>
      </c>
      <c r="E424" s="41">
        <f>SUMIFS(Rezepte!G:G,Rezepte!A:A,C424)</f>
        <v>0.1561015088</v>
      </c>
      <c r="F424" s="42">
        <f t="shared" si="2"/>
        <v>0.003122030175</v>
      </c>
      <c r="G424" s="38"/>
      <c r="H424" s="38"/>
      <c r="I424" s="38"/>
      <c r="J424" s="38"/>
      <c r="K424" s="38"/>
      <c r="L424" s="38"/>
      <c r="M424" s="38"/>
      <c r="N424" s="38"/>
      <c r="O424" s="38"/>
    </row>
    <row r="425" hidden="1">
      <c r="A425" s="38"/>
      <c r="B425" s="38"/>
      <c r="C425" s="39" t="str">
        <f>IFERROR(__xludf.DUMMYFUNCTION("""COMPUTED_VALUE"""),"Sauce Käse Sauce")</f>
        <v>Sauce Käse Sauce</v>
      </c>
      <c r="D425" s="40">
        <f>SUMIFS(Rezepte!F:F,Rezepte!A:A,C425)</f>
        <v>50</v>
      </c>
      <c r="E425" s="41">
        <f>SUMIFS(Rezepte!G:G,Rezepte!A:A,C425)</f>
        <v>0.3676228483</v>
      </c>
      <c r="F425" s="42">
        <f t="shared" si="2"/>
        <v>0.007352456966</v>
      </c>
      <c r="G425" s="38"/>
      <c r="H425" s="38"/>
      <c r="I425" s="38"/>
      <c r="J425" s="38"/>
      <c r="K425" s="38"/>
      <c r="L425" s="38"/>
      <c r="M425" s="38"/>
      <c r="N425" s="38"/>
      <c r="O425" s="38"/>
    </row>
    <row r="426" hidden="1">
      <c r="A426" s="38"/>
      <c r="B426" s="38"/>
      <c r="C426" s="39" t="str">
        <f>IFERROR(__xludf.DUMMYFUNCTION("""COMPUTED_VALUE"""),"Sauce Ketchup")</f>
        <v>Sauce Ketchup</v>
      </c>
      <c r="D426" s="40">
        <f>SUMIFS(Rezepte!F:F,Rezepte!A:A,C426)</f>
        <v>50</v>
      </c>
      <c r="E426" s="41">
        <f>SUMIFS(Rezepte!G:G,Rezepte!A:A,C426)</f>
        <v>0.1425</v>
      </c>
      <c r="F426" s="42">
        <f t="shared" si="2"/>
        <v>0.00285</v>
      </c>
      <c r="G426" s="38"/>
      <c r="H426" s="38"/>
      <c r="I426" s="38"/>
      <c r="J426" s="38"/>
      <c r="K426" s="38"/>
      <c r="L426" s="38"/>
      <c r="M426" s="38"/>
      <c r="N426" s="38"/>
      <c r="O426" s="38"/>
    </row>
    <row r="427" hidden="1">
      <c r="A427" s="38"/>
      <c r="B427" s="38"/>
      <c r="C427" s="39" t="str">
        <f>IFERROR(__xludf.DUMMYFUNCTION("""COMPUTED_VALUE"""),"Sauce Mayo")</f>
        <v>Sauce Mayo</v>
      </c>
      <c r="D427" s="40">
        <f>SUMIFS(Rezepte!F:F,Rezepte!A:A,C427)</f>
        <v>50</v>
      </c>
      <c r="E427" s="41">
        <f>SUMIFS(Rezepte!G:G,Rezepte!A:A,C427)</f>
        <v>0.1419438529</v>
      </c>
      <c r="F427" s="42">
        <f t="shared" si="2"/>
        <v>0.002838877057</v>
      </c>
      <c r="G427" s="38"/>
      <c r="H427" s="38"/>
      <c r="I427" s="38"/>
      <c r="J427" s="38"/>
      <c r="K427" s="38"/>
      <c r="L427" s="38"/>
      <c r="M427" s="38"/>
      <c r="N427" s="38"/>
      <c r="O427" s="38"/>
    </row>
    <row r="428" hidden="1">
      <c r="A428" s="38"/>
      <c r="B428" s="38"/>
      <c r="C428" s="39" t="str">
        <f>IFERROR(__xludf.DUMMYFUNCTION("""COMPUTED_VALUE"""),"Sauce Petersilien Aioli")</f>
        <v>Sauce Petersilien Aioli</v>
      </c>
      <c r="D428" s="40">
        <f>SUMIFS(Rezepte!F:F,Rezepte!A:A,C428)</f>
        <v>50</v>
      </c>
      <c r="E428" s="41">
        <f>SUMIFS(Rezepte!G:G,Rezepte!A:A,C428)</f>
        <v>0.1581710551</v>
      </c>
      <c r="F428" s="42">
        <f t="shared" si="2"/>
        <v>0.003163421102</v>
      </c>
      <c r="G428" s="38"/>
      <c r="H428" s="38"/>
      <c r="I428" s="38"/>
      <c r="J428" s="38"/>
      <c r="K428" s="38"/>
      <c r="L428" s="38"/>
      <c r="M428" s="38"/>
      <c r="N428" s="38"/>
      <c r="O428" s="38"/>
    </row>
    <row r="429" hidden="1">
      <c r="A429" s="38"/>
      <c r="B429" s="38"/>
      <c r="C429" s="39" t="str">
        <f>IFERROR(__xludf.DUMMYFUNCTION("""COMPUTED_VALUE"""),"Sauce Smokey Mayo")</f>
        <v>Sauce Smokey Mayo</v>
      </c>
      <c r="D429" s="40">
        <f>SUMIFS(Rezepte!F:F,Rezepte!A:A,C429)</f>
        <v>50</v>
      </c>
      <c r="E429" s="41">
        <f>SUMIFS(Rezepte!G:G,Rezepte!A:A,C429)</f>
        <v>0.2747234014</v>
      </c>
      <c r="F429" s="42">
        <f t="shared" si="2"/>
        <v>0.005494468027</v>
      </c>
      <c r="G429" s="38"/>
      <c r="H429" s="38"/>
      <c r="I429" s="38"/>
      <c r="J429" s="38"/>
      <c r="K429" s="38"/>
      <c r="L429" s="38"/>
      <c r="M429" s="38"/>
      <c r="N429" s="38"/>
      <c r="O429" s="38"/>
    </row>
    <row r="430" hidden="1">
      <c r="A430" s="38"/>
      <c r="B430" s="38"/>
      <c r="C430" s="39" t="str">
        <f>IFERROR(__xludf.DUMMYFUNCTION("""COMPUTED_VALUE"""),"Sauce Sour Creme")</f>
        <v>Sauce Sour Creme</v>
      </c>
      <c r="D430" s="40">
        <f>SUMIFS(Rezepte!F:F,Rezepte!A:A,C430)</f>
        <v>50</v>
      </c>
      <c r="E430" s="41">
        <f>SUMIFS(Rezepte!G:G,Rezepte!A:A,C430)</f>
        <v>0.1943697865</v>
      </c>
      <c r="F430" s="42">
        <f t="shared" si="2"/>
        <v>0.003887395731</v>
      </c>
      <c r="G430" s="38"/>
      <c r="H430" s="38"/>
      <c r="I430" s="38"/>
      <c r="J430" s="38"/>
      <c r="K430" s="38"/>
      <c r="L430" s="38"/>
      <c r="M430" s="38"/>
      <c r="N430" s="38"/>
      <c r="O430" s="38"/>
    </row>
    <row r="431" hidden="1">
      <c r="A431" s="38"/>
      <c r="B431" s="38"/>
      <c r="C431" s="39" t="str">
        <f>IFERROR(__xludf.DUMMYFUNCTION("""COMPUTED_VALUE"""),"Sauce Spicysauce")</f>
        <v>Sauce Spicysauce</v>
      </c>
      <c r="D431" s="40">
        <f>SUMIFS(Rezepte!F:F,Rezepte!A:A,C431)</f>
        <v>50</v>
      </c>
      <c r="E431" s="41">
        <f>SUMIFS(Rezepte!G:G,Rezepte!A:A,C431)</f>
        <v>0.1797493964</v>
      </c>
      <c r="F431" s="42">
        <f t="shared" si="2"/>
        <v>0.003594987927</v>
      </c>
      <c r="G431" s="38"/>
      <c r="H431" s="38"/>
      <c r="I431" s="38"/>
      <c r="J431" s="38"/>
      <c r="K431" s="38"/>
      <c r="L431" s="38"/>
      <c r="M431" s="38"/>
      <c r="N431" s="38"/>
      <c r="O431" s="38"/>
    </row>
    <row r="432" hidden="1">
      <c r="A432" s="38"/>
      <c r="B432" s="38"/>
      <c r="C432" s="39" t="str">
        <f>IFERROR(__xludf.DUMMYFUNCTION("""COMPUTED_VALUE"""),"Sauce Sweet &amp; Sour")</f>
        <v>Sauce Sweet &amp; Sour</v>
      </c>
      <c r="D432" s="40">
        <f>SUMIFS(Rezepte!F:F,Rezepte!A:A,C432)</f>
        <v>50</v>
      </c>
      <c r="E432" s="41">
        <f>SUMIFS(Rezepte!G:G,Rezepte!A:A,C432)</f>
        <v>0.1067942175</v>
      </c>
      <c r="F432" s="42">
        <f t="shared" si="2"/>
        <v>0.00213588435</v>
      </c>
      <c r="G432" s="38"/>
      <c r="H432" s="38"/>
      <c r="I432" s="38"/>
      <c r="J432" s="38"/>
      <c r="K432" s="38"/>
      <c r="L432" s="38"/>
      <c r="M432" s="38"/>
      <c r="N432" s="38"/>
      <c r="O432" s="38"/>
    </row>
    <row r="433" hidden="1">
      <c r="A433" s="38"/>
      <c r="B433" s="38"/>
      <c r="C433" s="39" t="str">
        <f>IFERROR(__xludf.DUMMYFUNCTION("""COMPUTED_VALUE"""),"Sauce Sweet &amp; Sour Mayo")</f>
        <v>Sauce Sweet &amp; Sour Mayo</v>
      </c>
      <c r="D433" s="40">
        <f>SUMIFS(Rezepte!F:F,Rezepte!A:A,C433)</f>
        <v>50</v>
      </c>
      <c r="E433" s="41">
        <f>SUMIFS(Rezepte!G:G,Rezepte!A:A,C433)</f>
        <v>0.1372187618</v>
      </c>
      <c r="F433" s="42">
        <f t="shared" si="2"/>
        <v>0.002744375236</v>
      </c>
      <c r="G433" s="38"/>
      <c r="H433" s="38"/>
      <c r="I433" s="38"/>
      <c r="J433" s="38"/>
      <c r="K433" s="38"/>
      <c r="L433" s="38"/>
      <c r="M433" s="38"/>
      <c r="N433" s="38"/>
      <c r="O433" s="38"/>
    </row>
    <row r="434" hidden="1">
      <c r="A434" s="38"/>
      <c r="B434" s="38"/>
      <c r="C434" s="39" t="str">
        <f>IFERROR(__xludf.DUMMYFUNCTION("""COMPUTED_VALUE"""),"Sauce Teriyaki Mayo")</f>
        <v>Sauce Teriyaki Mayo</v>
      </c>
      <c r="D434" s="40">
        <f>SUMIFS(Rezepte!F:F,Rezepte!A:A,C434)</f>
        <v>50</v>
      </c>
      <c r="E434" s="41">
        <f>SUMIFS(Rezepte!G:G,Rezepte!A:A,C434)</f>
        <v>0.1526727108</v>
      </c>
      <c r="F434" s="42">
        <f t="shared" si="2"/>
        <v>0.003053454216</v>
      </c>
      <c r="G434" s="38"/>
      <c r="H434" s="38"/>
      <c r="I434" s="38"/>
      <c r="J434" s="38"/>
      <c r="K434" s="38"/>
      <c r="L434" s="38"/>
      <c r="M434" s="38"/>
      <c r="N434" s="38"/>
      <c r="O434" s="38"/>
    </row>
    <row r="435" hidden="1">
      <c r="A435" s="38"/>
      <c r="B435" s="38"/>
      <c r="C435" s="39" t="str">
        <f>IFERROR(__xludf.DUMMYFUNCTION("""COMPUTED_VALUE"""),"Sauce Trüffel Mayo")</f>
        <v>Sauce Trüffel Mayo</v>
      </c>
      <c r="D435" s="40">
        <f>SUMIFS(Rezepte!F:F,Rezepte!A:A,C435)</f>
        <v>50</v>
      </c>
      <c r="E435" s="41">
        <f>SUMIFS(Rezepte!G:G,Rezepte!A:A,C435)</f>
        <v>0.2618020389</v>
      </c>
      <c r="F435" s="42">
        <f t="shared" si="2"/>
        <v>0.005236040778</v>
      </c>
      <c r="G435" s="38"/>
      <c r="H435" s="38"/>
      <c r="I435" s="38"/>
      <c r="J435" s="38"/>
      <c r="K435" s="38"/>
      <c r="L435" s="38"/>
      <c r="M435" s="38"/>
      <c r="N435" s="38"/>
      <c r="O435" s="38"/>
    </row>
    <row r="436" hidden="1">
      <c r="A436" s="38"/>
      <c r="B436" s="38"/>
      <c r="C436" s="39" t="str">
        <f>IFERROR(__xludf.DUMMYFUNCTION("""COMPUTED_VALUE"""),"Sauce Zwiebel Mayo")</f>
        <v>Sauce Zwiebel Mayo</v>
      </c>
      <c r="D436" s="40">
        <f>SUMIFS(Rezepte!F:F,Rezepte!A:A,C436)</f>
        <v>50</v>
      </c>
      <c r="E436" s="41">
        <f>SUMIFS(Rezepte!G:G,Rezepte!A:A,C436)</f>
        <v>0.1782986093</v>
      </c>
      <c r="F436" s="42">
        <f t="shared" si="2"/>
        <v>0.003565972186</v>
      </c>
      <c r="G436" s="38"/>
      <c r="H436" s="38"/>
      <c r="I436" s="38"/>
      <c r="J436" s="38"/>
      <c r="K436" s="38"/>
      <c r="L436" s="38"/>
      <c r="M436" s="38"/>
      <c r="N436" s="38"/>
      <c r="O436" s="38"/>
    </row>
    <row r="437" hidden="1">
      <c r="A437" s="38"/>
      <c r="B437" s="38"/>
      <c r="C437" s="39" t="str">
        <f>IFERROR(__xludf.DUMMYFUNCTION("""COMPUTED_VALUE"""),"Schlagsahne")</f>
        <v>Schlagsahne</v>
      </c>
      <c r="D437" s="40">
        <f>SUMIFS(Rezepte!F:F,Rezepte!A:A,C437)</f>
        <v>1002</v>
      </c>
      <c r="E437" s="41">
        <f>SUMIFS(Rezepte!G:G,Rezepte!A:A,C437)</f>
        <v>6.064166667</v>
      </c>
      <c r="F437" s="42">
        <f t="shared" si="2"/>
        <v>0.006052062542</v>
      </c>
      <c r="G437" s="38"/>
      <c r="H437" s="38"/>
      <c r="I437" s="38"/>
      <c r="J437" s="38"/>
      <c r="K437" s="38"/>
      <c r="L437" s="38"/>
      <c r="M437" s="38"/>
      <c r="N437" s="38"/>
      <c r="O437" s="38"/>
    </row>
    <row r="438" hidden="1">
      <c r="A438" s="38"/>
      <c r="B438" s="38"/>
      <c r="C438" s="39" t="str">
        <f>IFERROR(__xludf.DUMMYFUNCTION("""COMPUTED_VALUE"""),"Schmelzzwiebeln")</f>
        <v>Schmelzzwiebeln</v>
      </c>
      <c r="D438" s="40">
        <f>SUMIFS(Rezepte!F:F,Rezepte!A:A,C438)</f>
        <v>11110</v>
      </c>
      <c r="E438" s="41">
        <f>SUMIFS(Rezepte!G:G,Rezepte!A:A,C438)</f>
        <v>32.7094</v>
      </c>
      <c r="F438" s="42">
        <f t="shared" si="2"/>
        <v>0.002944140414</v>
      </c>
      <c r="G438" s="38"/>
      <c r="H438" s="38"/>
      <c r="I438" s="38"/>
      <c r="J438" s="38"/>
      <c r="K438" s="38"/>
      <c r="L438" s="38"/>
      <c r="M438" s="38"/>
      <c r="N438" s="38"/>
      <c r="O438" s="38"/>
    </row>
    <row r="439" hidden="1">
      <c r="A439" s="38"/>
      <c r="B439" s="38"/>
      <c r="C439" s="39" t="str">
        <f>IFERROR(__xludf.DUMMYFUNCTION("""COMPUTED_VALUE"""),"Schokoladensauce")</f>
        <v>Schokoladensauce</v>
      </c>
      <c r="D439" s="40">
        <f>SUMIFS(Rezepte!F:F,Rezepte!A:A,C439)</f>
        <v>775</v>
      </c>
      <c r="E439" s="41">
        <f>SUMIFS(Rezepte!G:G,Rezepte!A:A,C439)</f>
        <v>5.211</v>
      </c>
      <c r="F439" s="42">
        <f t="shared" si="2"/>
        <v>0.006723870968</v>
      </c>
      <c r="G439" s="38"/>
      <c r="H439" s="38"/>
      <c r="I439" s="38"/>
      <c r="J439" s="38"/>
      <c r="K439" s="38"/>
      <c r="L439" s="38"/>
      <c r="M439" s="38"/>
      <c r="N439" s="38"/>
      <c r="O439" s="38"/>
    </row>
    <row r="440" hidden="1">
      <c r="A440" s="38"/>
      <c r="B440" s="38"/>
      <c r="C440" s="39" t="str">
        <f>IFERROR(__xludf.DUMMYFUNCTION("""COMPUTED_VALUE"""),"Schülermenü Cheeseburger")</f>
        <v>Schülermenü Cheeseburger</v>
      </c>
      <c r="D440" s="40">
        <f>SUMIFS(Rezepte!F:F,Rezepte!A:A,C440)</f>
        <v>750</v>
      </c>
      <c r="E440" s="41">
        <f>SUMIFS(Rezepte!G:G,Rezepte!A:A,C440)</f>
        <v>3.633592854</v>
      </c>
      <c r="F440" s="42">
        <f t="shared" si="2"/>
        <v>0.004844790472</v>
      </c>
      <c r="G440" s="38"/>
      <c r="H440" s="38"/>
      <c r="I440" s="38"/>
      <c r="J440" s="38"/>
      <c r="K440" s="38"/>
      <c r="L440" s="38"/>
      <c r="M440" s="38"/>
      <c r="N440" s="38"/>
      <c r="O440" s="38"/>
    </row>
    <row r="441" hidden="1">
      <c r="A441" s="38"/>
      <c r="B441" s="38"/>
      <c r="C441" s="39" t="str">
        <f>IFERROR(__xludf.DUMMYFUNCTION("""COMPUTED_VALUE"""),"Schülermenü Nuggets")</f>
        <v>Schülermenü Nuggets</v>
      </c>
      <c r="D441" s="40">
        <f>SUMIFS(Rezepte!F:F,Rezepte!A:A,C441)</f>
        <v>535</v>
      </c>
      <c r="E441" s="41">
        <f>SUMIFS(Rezepte!G:G,Rezepte!A:A,C441)</f>
        <v>2.180456872</v>
      </c>
      <c r="F441" s="42">
        <f t="shared" si="2"/>
        <v>0.004075620322</v>
      </c>
      <c r="G441" s="38"/>
      <c r="H441" s="38"/>
      <c r="I441" s="38"/>
      <c r="J441" s="38"/>
      <c r="K441" s="38"/>
      <c r="L441" s="38"/>
      <c r="M441" s="38"/>
      <c r="N441" s="38"/>
      <c r="O441" s="38"/>
    </row>
    <row r="442" hidden="1">
      <c r="A442" s="38"/>
      <c r="B442" s="38"/>
      <c r="C442" s="39" t="str">
        <f>IFERROR(__xludf.DUMMYFUNCTION("""COMPUTED_VALUE"""),"Schweinerippchen (zubereitet)")</f>
        <v>Schweinerippchen (zubereitet)</v>
      </c>
      <c r="D442" s="40">
        <f>SUMIFS(Rezepte!F:F,Rezepte!A:A,C442)</f>
        <v>23200</v>
      </c>
      <c r="E442" s="41">
        <f>SUMIFS(Rezepte!G:G,Rezepte!A:A,C442)</f>
        <v>181.077037</v>
      </c>
      <c r="F442" s="42">
        <f t="shared" si="2"/>
        <v>0.0078050447</v>
      </c>
      <c r="G442" s="38"/>
      <c r="H442" s="38"/>
      <c r="I442" s="38"/>
      <c r="J442" s="38"/>
      <c r="K442" s="38"/>
      <c r="L442" s="38"/>
      <c r="M442" s="38"/>
      <c r="N442" s="38"/>
      <c r="O442" s="38"/>
    </row>
    <row r="443" hidden="1">
      <c r="A443" s="38"/>
      <c r="B443" s="38"/>
      <c r="C443" s="39" t="str">
        <f>IFERROR(__xludf.DUMMYFUNCTION("""COMPUTED_VALUE"""),"Sesam Mayo")</f>
        <v>Sesam Mayo</v>
      </c>
      <c r="D443" s="40">
        <f>SUMIFS(Rezepte!F:F,Rezepte!A:A,C443)</f>
        <v>713</v>
      </c>
      <c r="E443" s="41">
        <f>SUMIFS(Rezepte!G:G,Rezepte!A:A,C443)</f>
        <v>2.240606399</v>
      </c>
      <c r="F443" s="42">
        <f t="shared" si="2"/>
        <v>0.003142505468</v>
      </c>
      <c r="G443" s="38"/>
      <c r="H443" s="38"/>
      <c r="I443" s="38"/>
      <c r="J443" s="38"/>
      <c r="K443" s="38"/>
      <c r="L443" s="38"/>
      <c r="M443" s="38"/>
      <c r="N443" s="38"/>
      <c r="O443" s="38"/>
    </row>
    <row r="444" hidden="1">
      <c r="A444" s="38"/>
      <c r="B444" s="38"/>
      <c r="C444" s="39" t="str">
        <f>IFERROR(__xludf.DUMMYFUNCTION("""COMPUTED_VALUE"""),"Shotshake Softeis Vanille")</f>
        <v>Shotshake Softeis Vanille</v>
      </c>
      <c r="D444" s="40">
        <f>SUMIFS(Rezepte!F:F,Rezepte!A:A,C444)</f>
        <v>448</v>
      </c>
      <c r="E444" s="41">
        <f>SUMIFS(Rezepte!G:G,Rezepte!A:A,C444)</f>
        <v>1.522167857</v>
      </c>
      <c r="F444" s="42">
        <f t="shared" si="2"/>
        <v>0.00339769611</v>
      </c>
      <c r="G444" s="38"/>
      <c r="H444" s="38"/>
      <c r="I444" s="38"/>
      <c r="J444" s="38"/>
      <c r="K444" s="38"/>
      <c r="L444" s="38"/>
      <c r="M444" s="38"/>
      <c r="N444" s="38"/>
      <c r="O444" s="38"/>
    </row>
    <row r="445" hidden="1">
      <c r="A445" s="38"/>
      <c r="B445" s="38"/>
      <c r="C445" s="39" t="str">
        <f>IFERROR(__xludf.DUMMYFUNCTION("""COMPUTED_VALUE"""),"Smoked Jalapenos Mayo")</f>
        <v>Smoked Jalapenos Mayo</v>
      </c>
      <c r="D445" s="40">
        <f>SUMIFS(Rezepte!F:F,Rezepte!A:A,C445)</f>
        <v>1018</v>
      </c>
      <c r="E445" s="41">
        <f>SUMIFS(Rezepte!G:G,Rezepte!A:A,C445)</f>
        <v>2.941677057</v>
      </c>
      <c r="F445" s="42">
        <f t="shared" si="2"/>
        <v>0.002889663121</v>
      </c>
      <c r="G445" s="38"/>
      <c r="H445" s="38"/>
      <c r="I445" s="38"/>
      <c r="J445" s="38"/>
      <c r="K445" s="38"/>
      <c r="L445" s="38"/>
      <c r="M445" s="38"/>
      <c r="N445" s="38"/>
      <c r="O445" s="38"/>
    </row>
    <row r="446" hidden="1">
      <c r="A446" s="38"/>
      <c r="B446" s="38"/>
      <c r="C446" s="39" t="str">
        <f>IFERROR(__xludf.DUMMYFUNCTION("""COMPUTED_VALUE"""),"Smokey Mayo")</f>
        <v>Smokey Mayo</v>
      </c>
      <c r="D446" s="40">
        <f>SUMIFS(Rezepte!F:F,Rezepte!A:A,C446)</f>
        <v>5983</v>
      </c>
      <c r="E446" s="41">
        <f>SUMIFS(Rezepte!G:G,Rezepte!A:A,C446)</f>
        <v>32.87340221</v>
      </c>
      <c r="F446" s="42">
        <f t="shared" si="2"/>
        <v>0.005494468027</v>
      </c>
      <c r="G446" s="38"/>
      <c r="H446" s="38"/>
      <c r="I446" s="38"/>
      <c r="J446" s="38"/>
      <c r="K446" s="38"/>
      <c r="L446" s="38"/>
      <c r="M446" s="38"/>
      <c r="N446" s="38"/>
      <c r="O446" s="38"/>
    </row>
    <row r="447" hidden="1">
      <c r="A447" s="38"/>
      <c r="B447" s="38"/>
      <c r="C447" s="39" t="str">
        <f>IFERROR(__xludf.DUMMYFUNCTION("""COMPUTED_VALUE"""),"Smokey Ribs")</f>
        <v>Smokey Ribs</v>
      </c>
      <c r="D447" s="40">
        <f>SUMIFS(Rezepte!F:F,Rezepte!A:A,C447)</f>
        <v>1065</v>
      </c>
      <c r="E447" s="41">
        <f>SUMIFS(Rezepte!G:G,Rezepte!A:A,C447)</f>
        <v>6.440459469</v>
      </c>
      <c r="F447" s="42">
        <f t="shared" si="2"/>
        <v>0.006047379783</v>
      </c>
      <c r="G447" s="38"/>
      <c r="H447" s="38"/>
      <c r="I447" s="38"/>
      <c r="J447" s="38"/>
      <c r="K447" s="38"/>
      <c r="L447" s="38"/>
      <c r="M447" s="38"/>
      <c r="N447" s="38"/>
      <c r="O447" s="38"/>
    </row>
    <row r="448" hidden="1">
      <c r="A448" s="38"/>
      <c r="B448" s="38"/>
      <c r="C448" s="39" t="str">
        <f>IFERROR(__xludf.DUMMYFUNCTION("""COMPUTED_VALUE"""),"Softeis Topping Cookie Streusel")</f>
        <v>Softeis Topping Cookie Streusel</v>
      </c>
      <c r="D448" s="40">
        <f>SUMIFS(Rezepte!F:F,Rezepte!A:A,C448)</f>
        <v>20</v>
      </c>
      <c r="E448" s="41">
        <f>SUMIFS(Rezepte!G:G,Rezepte!A:A,C448)</f>
        <v>0.26</v>
      </c>
      <c r="F448" s="42">
        <f t="shared" si="2"/>
        <v>0.013</v>
      </c>
      <c r="G448" s="38"/>
      <c r="H448" s="38"/>
      <c r="I448" s="38"/>
      <c r="J448" s="38"/>
      <c r="K448" s="38"/>
      <c r="L448" s="38"/>
      <c r="M448" s="38"/>
      <c r="N448" s="38"/>
      <c r="O448" s="38"/>
    </row>
    <row r="449" hidden="1">
      <c r="A449" s="38"/>
      <c r="B449" s="38"/>
      <c r="C449" s="39" t="str">
        <f>IFERROR(__xludf.DUMMYFUNCTION("""COMPUTED_VALUE"""),"Softeis Topping Erdbeeren")</f>
        <v>Softeis Topping Erdbeeren</v>
      </c>
      <c r="D449" s="40">
        <f>SUMIFS(Rezepte!F:F,Rezepte!A:A,C449)</f>
        <v>45</v>
      </c>
      <c r="E449" s="41">
        <f>SUMIFS(Rezepte!G:G,Rezepte!A:A,C449)</f>
        <v>0.36</v>
      </c>
      <c r="F449" s="42">
        <f t="shared" si="2"/>
        <v>0.008</v>
      </c>
      <c r="G449" s="38"/>
      <c r="H449" s="38"/>
      <c r="I449" s="38"/>
      <c r="J449" s="38"/>
      <c r="K449" s="38"/>
      <c r="L449" s="38"/>
      <c r="M449" s="38"/>
      <c r="N449" s="38"/>
      <c r="O449" s="38"/>
    </row>
    <row r="450" hidden="1">
      <c r="A450" s="38"/>
      <c r="B450" s="38"/>
      <c r="C450" s="39" t="str">
        <f>IFERROR(__xludf.DUMMYFUNCTION("""COMPUTED_VALUE"""),"Softeis Topping Erdnüsse")</f>
        <v>Softeis Topping Erdnüsse</v>
      </c>
      <c r="D450" s="40">
        <f>SUMIFS(Rezepte!F:F,Rezepte!A:A,C450)</f>
        <v>20</v>
      </c>
      <c r="E450" s="41">
        <f>SUMIFS(Rezepte!G:G,Rezepte!A:A,C450)</f>
        <v>0.0798</v>
      </c>
      <c r="F450" s="42">
        <f t="shared" si="2"/>
        <v>0.00399</v>
      </c>
      <c r="G450" s="38"/>
      <c r="H450" s="38"/>
      <c r="I450" s="38"/>
      <c r="J450" s="38"/>
      <c r="K450" s="38"/>
      <c r="L450" s="38"/>
      <c r="M450" s="38"/>
      <c r="N450" s="38"/>
      <c r="O450" s="38"/>
    </row>
    <row r="451" hidden="1">
      <c r="A451" s="38"/>
      <c r="B451" s="38"/>
      <c r="C451" s="39" t="str">
        <f>IFERROR(__xludf.DUMMYFUNCTION("""COMPUTED_VALUE"""),"Softeis Topping Fruchtgummi")</f>
        <v>Softeis Topping Fruchtgummi</v>
      </c>
      <c r="D451" s="40">
        <f>SUMIFS(Rezepte!F:F,Rezepte!A:A,C451)</f>
        <v>20</v>
      </c>
      <c r="E451" s="41">
        <f>SUMIFS(Rezepte!G:G,Rezepte!A:A,C451)</f>
        <v>0.08319327731</v>
      </c>
      <c r="F451" s="42">
        <f t="shared" si="2"/>
        <v>0.004159663866</v>
      </c>
      <c r="G451" s="38"/>
      <c r="H451" s="38"/>
      <c r="I451" s="38"/>
      <c r="J451" s="38"/>
      <c r="K451" s="38"/>
      <c r="L451" s="38"/>
      <c r="M451" s="38"/>
      <c r="N451" s="38"/>
      <c r="O451" s="38"/>
    </row>
    <row r="452" hidden="1">
      <c r="A452" s="38"/>
      <c r="B452" s="38"/>
      <c r="C452" s="39" t="str">
        <f>IFERROR(__xludf.DUMMYFUNCTION("""COMPUTED_VALUE"""),"Softeis Topping Giotto")</f>
        <v>Softeis Topping Giotto</v>
      </c>
      <c r="D452" s="40">
        <f>SUMIFS(Rezepte!F:F,Rezepte!A:A,C452)</f>
        <v>20</v>
      </c>
      <c r="E452" s="41">
        <f>SUMIFS(Rezepte!G:G,Rezepte!A:A,C452)</f>
        <v>0.2144578313</v>
      </c>
      <c r="F452" s="42">
        <f t="shared" si="2"/>
        <v>0.01072289157</v>
      </c>
      <c r="G452" s="38"/>
      <c r="H452" s="38"/>
      <c r="I452" s="38"/>
      <c r="J452" s="38"/>
      <c r="K452" s="38"/>
      <c r="L452" s="38"/>
      <c r="M452" s="38"/>
      <c r="N452" s="38"/>
      <c r="O452" s="38"/>
    </row>
    <row r="453" hidden="1">
      <c r="A453" s="38"/>
      <c r="B453" s="38"/>
      <c r="C453" s="39" t="str">
        <f>IFERROR(__xludf.DUMMYFUNCTION("""COMPUTED_VALUE"""),"Softeis Topping Haselnuss-Krokant")</f>
        <v>Softeis Topping Haselnuss-Krokant</v>
      </c>
      <c r="D453" s="40">
        <f>SUMIFS(Rezepte!F:F,Rezepte!A:A,C453)</f>
        <v>20</v>
      </c>
      <c r="E453" s="41">
        <f>SUMIFS(Rezepte!G:G,Rezepte!A:A,C453)</f>
        <v>1.218</v>
      </c>
      <c r="F453" s="42">
        <f t="shared" si="2"/>
        <v>0.0609</v>
      </c>
      <c r="G453" s="38"/>
      <c r="H453" s="38"/>
      <c r="I453" s="38"/>
      <c r="J453" s="38"/>
      <c r="K453" s="38"/>
      <c r="L453" s="38"/>
      <c r="M453" s="38"/>
      <c r="N453" s="38"/>
      <c r="O453" s="38"/>
    </row>
    <row r="454" hidden="1">
      <c r="A454" s="38"/>
      <c r="B454" s="38"/>
      <c r="C454" s="39" t="str">
        <f>IFERROR(__xludf.DUMMYFUNCTION("""COMPUTED_VALUE"""),"Softeis Topping Heidelbeeren")</f>
        <v>Softeis Topping Heidelbeeren</v>
      </c>
      <c r="D454" s="40">
        <f>SUMIFS(Rezepte!F:F,Rezepte!A:A,C454)</f>
        <v>20</v>
      </c>
      <c r="E454" s="41">
        <f>SUMIFS(Rezepte!G:G,Rezepte!A:A,C454)</f>
        <v>0.4688</v>
      </c>
      <c r="F454" s="42">
        <f t="shared" si="2"/>
        <v>0.02344</v>
      </c>
      <c r="G454" s="38"/>
      <c r="H454" s="38"/>
      <c r="I454" s="38"/>
      <c r="J454" s="38"/>
      <c r="K454" s="38"/>
      <c r="L454" s="38"/>
      <c r="M454" s="38"/>
      <c r="N454" s="38"/>
      <c r="O454" s="38"/>
    </row>
    <row r="455" hidden="1">
      <c r="A455" s="38"/>
      <c r="B455" s="38"/>
      <c r="C455" s="39" t="str">
        <f>IFERROR(__xludf.DUMMYFUNCTION("""COMPUTED_VALUE"""),"Softeis Topping Himbeeren")</f>
        <v>Softeis Topping Himbeeren</v>
      </c>
      <c r="D455" s="40">
        <f>SUMIFS(Rezepte!F:F,Rezepte!A:A,C455)</f>
        <v>30</v>
      </c>
      <c r="E455" s="41">
        <f>SUMIFS(Rezepte!G:G,Rezepte!A:A,C455)</f>
        <v>0.48</v>
      </c>
      <c r="F455" s="42">
        <f t="shared" si="2"/>
        <v>0.016</v>
      </c>
      <c r="G455" s="38"/>
      <c r="H455" s="38"/>
      <c r="I455" s="38"/>
      <c r="J455" s="38"/>
      <c r="K455" s="38"/>
      <c r="L455" s="38"/>
      <c r="M455" s="38"/>
      <c r="N455" s="38"/>
      <c r="O455" s="38"/>
    </row>
    <row r="456" hidden="1">
      <c r="A456" s="38"/>
      <c r="B456" s="38"/>
      <c r="C456" s="39" t="str">
        <f>IFERROR(__xludf.DUMMYFUNCTION("""COMPUTED_VALUE"""),"Softeis Topping Kitkat")</f>
        <v>Softeis Topping Kitkat</v>
      </c>
      <c r="D456" s="40">
        <f>SUMIFS(Rezepte!F:F,Rezepte!A:A,C456)</f>
        <v>20</v>
      </c>
      <c r="E456" s="41">
        <f>SUMIFS(Rezepte!G:G,Rezepte!A:A,C456)</f>
        <v>0.2670658683</v>
      </c>
      <c r="F456" s="42">
        <f t="shared" si="2"/>
        <v>0.01335329341</v>
      </c>
      <c r="G456" s="38"/>
      <c r="H456" s="38"/>
      <c r="I456" s="38"/>
      <c r="J456" s="38"/>
      <c r="K456" s="38"/>
      <c r="L456" s="38"/>
      <c r="M456" s="38"/>
      <c r="N456" s="38"/>
      <c r="O456" s="38"/>
    </row>
    <row r="457" hidden="1">
      <c r="A457" s="38"/>
      <c r="B457" s="38"/>
      <c r="C457" s="39" t="str">
        <f>IFERROR(__xludf.DUMMYFUNCTION("""COMPUTED_VALUE"""),"Softeis Topping Marshmallows")</f>
        <v>Softeis Topping Marshmallows</v>
      </c>
      <c r="D457" s="40">
        <f>SUMIFS(Rezepte!F:F,Rezepte!A:A,C457)</f>
        <v>10</v>
      </c>
      <c r="E457" s="41">
        <f>SUMIFS(Rezepte!G:G,Rezepte!A:A,C457)</f>
        <v>0.128</v>
      </c>
      <c r="F457" s="42">
        <f t="shared" si="2"/>
        <v>0.0128</v>
      </c>
      <c r="G457" s="38"/>
      <c r="H457" s="38"/>
      <c r="I457" s="38"/>
      <c r="J457" s="38"/>
      <c r="K457" s="38"/>
      <c r="L457" s="38"/>
      <c r="M457" s="38"/>
      <c r="N457" s="38"/>
      <c r="O457" s="38"/>
    </row>
    <row r="458" hidden="1">
      <c r="A458" s="38"/>
      <c r="B458" s="38"/>
      <c r="C458" s="39" t="str">
        <f>IFERROR(__xludf.DUMMYFUNCTION("""COMPUTED_VALUE"""),"Softeis Topping Oreo")</f>
        <v>Softeis Topping Oreo</v>
      </c>
      <c r="D458" s="40">
        <f>SUMIFS(Rezepte!F:F,Rezepte!A:A,C458)</f>
        <v>20</v>
      </c>
      <c r="E458" s="41">
        <f>SUMIFS(Rezepte!G:G,Rezepte!A:A,C458)</f>
        <v>0.2204545455</v>
      </c>
      <c r="F458" s="42">
        <f t="shared" si="2"/>
        <v>0.01102272727</v>
      </c>
      <c r="G458" s="38"/>
      <c r="H458" s="38"/>
      <c r="I458" s="38"/>
      <c r="J458" s="38"/>
      <c r="K458" s="38"/>
      <c r="L458" s="38"/>
      <c r="M458" s="38"/>
      <c r="N458" s="38"/>
      <c r="O458" s="38"/>
    </row>
    <row r="459" hidden="1">
      <c r="A459" s="38"/>
      <c r="B459" s="38"/>
      <c r="C459" s="39" t="str">
        <f>IFERROR(__xludf.DUMMYFUNCTION("""COMPUTED_VALUE"""),"Softeis Topping Schokolinsen")</f>
        <v>Softeis Topping Schokolinsen</v>
      </c>
      <c r="D459" s="40">
        <f>SUMIFS(Rezepte!F:F,Rezepte!A:A,C459)</f>
        <v>20</v>
      </c>
      <c r="E459" s="41">
        <f>SUMIFS(Rezepte!G:G,Rezepte!A:A,C459)</f>
        <v>0.1853333333</v>
      </c>
      <c r="F459" s="42">
        <f t="shared" si="2"/>
        <v>0.009266666667</v>
      </c>
      <c r="G459" s="38"/>
      <c r="H459" s="38"/>
      <c r="I459" s="38"/>
      <c r="J459" s="38"/>
      <c r="K459" s="38"/>
      <c r="L459" s="38"/>
      <c r="M459" s="38"/>
      <c r="N459" s="38"/>
      <c r="O459" s="38"/>
    </row>
    <row r="460" hidden="1">
      <c r="A460" s="38"/>
      <c r="B460" s="38"/>
      <c r="C460" s="39" t="str">
        <f>IFERROR(__xludf.DUMMYFUNCTION("""COMPUTED_VALUE"""),"Softeis Topping Toffee Stückchen")</f>
        <v>Softeis Topping Toffee Stückchen</v>
      </c>
      <c r="D460" s="40">
        <f>SUMIFS(Rezepte!F:F,Rezepte!A:A,C460)</f>
        <v>20</v>
      </c>
      <c r="E460" s="41">
        <f>SUMIFS(Rezepte!G:G,Rezepte!A:A,C460)</f>
        <v>0.277</v>
      </c>
      <c r="F460" s="42">
        <f t="shared" si="2"/>
        <v>0.01385</v>
      </c>
      <c r="G460" s="38"/>
      <c r="H460" s="38"/>
      <c r="I460" s="38"/>
      <c r="J460" s="38"/>
      <c r="K460" s="38"/>
      <c r="L460" s="38"/>
      <c r="M460" s="38"/>
      <c r="N460" s="38"/>
      <c r="O460" s="38"/>
    </row>
    <row r="461" hidden="1">
      <c r="A461" s="38"/>
      <c r="B461" s="38"/>
      <c r="C461" s="39" t="str">
        <f>IFERROR(__xludf.DUMMYFUNCTION("""COMPUTED_VALUE"""),"Softeis Topping Walnüsse")</f>
        <v>Softeis Topping Walnüsse</v>
      </c>
      <c r="D461" s="40">
        <f>SUMIFS(Rezepte!F:F,Rezepte!A:A,C461)</f>
        <v>20</v>
      </c>
      <c r="E461" s="41">
        <f>SUMIFS(Rezepte!G:G,Rezepte!A:A,C461)</f>
        <v>0.1018</v>
      </c>
      <c r="F461" s="42">
        <f t="shared" si="2"/>
        <v>0.00509</v>
      </c>
      <c r="G461" s="38"/>
      <c r="H461" s="38"/>
      <c r="I461" s="38"/>
      <c r="J461" s="38"/>
      <c r="K461" s="38"/>
      <c r="L461" s="38"/>
      <c r="M461" s="38"/>
      <c r="N461" s="38"/>
      <c r="O461" s="38"/>
    </row>
    <row r="462" hidden="1">
      <c r="A462" s="38"/>
      <c r="B462" s="38"/>
      <c r="C462" s="39" t="str">
        <f>IFERROR(__xludf.DUMMYFUNCTION("""COMPUTED_VALUE"""),"Softeis Vanille")</f>
        <v>Softeis Vanille</v>
      </c>
      <c r="D462" s="40">
        <f>SUMIFS(Rezepte!F:F,Rezepte!A:A,C462)</f>
        <v>4000</v>
      </c>
      <c r="E462" s="41">
        <f>SUMIFS(Rezepte!G:G,Rezepte!A:A,C462)</f>
        <v>9.47</v>
      </c>
      <c r="F462" s="42">
        <f t="shared" si="2"/>
        <v>0.0023675</v>
      </c>
      <c r="G462" s="38"/>
      <c r="H462" s="38"/>
      <c r="I462" s="38"/>
      <c r="J462" s="38"/>
      <c r="K462" s="38"/>
      <c r="L462" s="38"/>
      <c r="M462" s="38"/>
      <c r="N462" s="38"/>
      <c r="O462" s="38"/>
    </row>
    <row r="463" hidden="1">
      <c r="A463" s="38"/>
      <c r="B463" s="38"/>
      <c r="C463" s="39" t="str">
        <f>IFERROR(__xludf.DUMMYFUNCTION("""COMPUTED_VALUE"""),"Softeis Vanille in der Eiswaffel")</f>
        <v>Softeis Vanille in der Eiswaffel</v>
      </c>
      <c r="D463" s="40">
        <f>SUMIFS(Rezepte!F:F,Rezepte!A:A,C463)</f>
        <v>141</v>
      </c>
      <c r="E463" s="41">
        <f>SUMIFS(Rezepte!G:G,Rezepte!A:A,C463)</f>
        <v>0.38725</v>
      </c>
      <c r="F463" s="42">
        <f t="shared" si="2"/>
        <v>0.002746453901</v>
      </c>
      <c r="G463" s="38"/>
      <c r="H463" s="38"/>
      <c r="I463" s="38"/>
      <c r="J463" s="38"/>
      <c r="K463" s="38"/>
      <c r="L463" s="38"/>
      <c r="M463" s="38"/>
      <c r="N463" s="38"/>
      <c r="O463" s="38"/>
    </row>
    <row r="464" hidden="1">
      <c r="A464" s="38"/>
      <c r="B464" s="38"/>
      <c r="C464" s="39" t="str">
        <f>IFERROR(__xludf.DUMMYFUNCTION("""COMPUTED_VALUE"""),"Softeis Vanille in der Eiswaffel groß")</f>
        <v>Softeis Vanille in der Eiswaffel groß</v>
      </c>
      <c r="D464" s="40">
        <f>SUMIFS(Rezepte!F:F,Rezepte!A:A,C464)</f>
        <v>241</v>
      </c>
      <c r="E464" s="41">
        <f>SUMIFS(Rezepte!G:G,Rezepte!A:A,C464)</f>
        <v>0.7672104453</v>
      </c>
      <c r="F464" s="42">
        <f t="shared" si="2"/>
        <v>0.003183445831</v>
      </c>
      <c r="G464" s="38"/>
      <c r="H464" s="38"/>
      <c r="I464" s="38"/>
      <c r="J464" s="38"/>
      <c r="K464" s="38"/>
      <c r="L464" s="38"/>
      <c r="M464" s="38"/>
      <c r="N464" s="38"/>
      <c r="O464" s="38"/>
    </row>
    <row r="465" hidden="1">
      <c r="A465" s="38"/>
      <c r="B465" s="38"/>
      <c r="C465" s="39" t="str">
        <f>IFERROR(__xludf.DUMMYFUNCTION("""COMPUTED_VALUE"""),"Sourcream")</f>
        <v>Sourcream</v>
      </c>
      <c r="D465" s="40">
        <f>SUMIFS(Rezepte!F:F,Rezepte!A:A,C465)</f>
        <v>3465</v>
      </c>
      <c r="E465" s="41">
        <f>SUMIFS(Rezepte!G:G,Rezepte!A:A,C465)</f>
        <v>13.46982621</v>
      </c>
      <c r="F465" s="42">
        <f t="shared" si="2"/>
        <v>0.003887395731</v>
      </c>
      <c r="G465" s="38"/>
      <c r="H465" s="38"/>
      <c r="I465" s="38"/>
      <c r="J465" s="38"/>
      <c r="K465" s="38"/>
      <c r="L465" s="38"/>
      <c r="M465" s="38"/>
      <c r="N465" s="38"/>
      <c r="O465" s="38"/>
    </row>
    <row r="466" hidden="1">
      <c r="A466" s="38"/>
      <c r="B466" s="38"/>
      <c r="C466" s="39" t="str">
        <f>IFERROR(__xludf.DUMMYFUNCTION("""COMPUTED_VALUE"""),"Spicy Asia Sauce")</f>
        <v>Spicy Asia Sauce</v>
      </c>
      <c r="D466" s="40">
        <f>SUMIFS(Rezepte!F:F,Rezepte!A:A,C466)</f>
        <v>3980</v>
      </c>
      <c r="E466" s="41">
        <f>SUMIFS(Rezepte!G:G,Rezepte!A:A,C466)</f>
        <v>11.23435858</v>
      </c>
      <c r="F466" s="42">
        <f t="shared" si="2"/>
        <v>0.002822703161</v>
      </c>
      <c r="G466" s="38"/>
      <c r="H466" s="38"/>
      <c r="I466" s="38"/>
      <c r="J466" s="38"/>
      <c r="K466" s="38"/>
      <c r="L466" s="38"/>
      <c r="M466" s="38"/>
      <c r="N466" s="38"/>
      <c r="O466" s="38"/>
    </row>
    <row r="467" hidden="1">
      <c r="A467" s="38"/>
      <c r="B467" s="38"/>
      <c r="C467" s="39" t="str">
        <f>IFERROR(__xludf.DUMMYFUNCTION("""COMPUTED_VALUE"""),"Spicysauce")</f>
        <v>Spicysauce</v>
      </c>
      <c r="D467" s="40">
        <f>SUMIFS(Rezepte!F:F,Rezepte!A:A,C467)</f>
        <v>2990</v>
      </c>
      <c r="E467" s="41">
        <f>SUMIFS(Rezepte!G:G,Rezepte!A:A,C467)</f>
        <v>10.7490139</v>
      </c>
      <c r="F467" s="42">
        <f t="shared" si="2"/>
        <v>0.003594987927</v>
      </c>
      <c r="G467" s="38"/>
      <c r="H467" s="38"/>
      <c r="I467" s="38"/>
      <c r="J467" s="38"/>
      <c r="K467" s="38"/>
      <c r="L467" s="38"/>
      <c r="M467" s="38"/>
      <c r="N467" s="38"/>
      <c r="O467" s="38"/>
    </row>
    <row r="468" hidden="1">
      <c r="A468" s="38"/>
      <c r="B468" s="38"/>
      <c r="C468" s="39" t="str">
        <f>IFERROR(__xludf.DUMMYFUNCTION("""COMPUTED_VALUE"""),"Surf N`Turf Burger ")</f>
        <v>Surf N`Turf Burger </v>
      </c>
      <c r="D468" s="40">
        <f>SUMIFS(Rezepte!F:F,Rezepte!A:A,C468)</f>
        <v>440</v>
      </c>
      <c r="E468" s="41">
        <f>SUMIFS(Rezepte!G:G,Rezepte!A:A,C468)</f>
        <v>3.385457388</v>
      </c>
      <c r="F468" s="42">
        <f t="shared" si="2"/>
        <v>0.007694221336</v>
      </c>
      <c r="G468" s="38"/>
      <c r="H468" s="38"/>
      <c r="I468" s="38"/>
      <c r="J468" s="38"/>
      <c r="K468" s="38"/>
      <c r="L468" s="38"/>
      <c r="M468" s="38"/>
      <c r="N468" s="38"/>
      <c r="O468" s="38"/>
    </row>
    <row r="469" hidden="1">
      <c r="A469" s="38"/>
      <c r="B469" s="38"/>
      <c r="C469" s="39" t="str">
        <f>IFERROR(__xludf.DUMMYFUNCTION("""COMPUTED_VALUE"""),"Süßsauer Mayo")</f>
        <v>Süßsauer Mayo</v>
      </c>
      <c r="D469" s="40">
        <f>SUMIFS(Rezepte!F:F,Rezepte!A:A,C469)</f>
        <v>6755</v>
      </c>
      <c r="E469" s="41">
        <f>SUMIFS(Rezepte!G:G,Rezepte!A:A,C469)</f>
        <v>18.53825472</v>
      </c>
      <c r="F469" s="42">
        <f t="shared" si="2"/>
        <v>0.002744375236</v>
      </c>
      <c r="G469" s="38"/>
      <c r="H469" s="38"/>
      <c r="I469" s="38"/>
      <c r="J469" s="38"/>
      <c r="K469" s="38"/>
      <c r="L469" s="38"/>
      <c r="M469" s="38"/>
      <c r="N469" s="38"/>
      <c r="O469" s="38"/>
    </row>
    <row r="470" hidden="1">
      <c r="A470" s="38"/>
      <c r="B470" s="38"/>
      <c r="C470" s="39" t="str">
        <f>IFERROR(__xludf.DUMMYFUNCTION("""COMPUTED_VALUE"""),"Süßsauer Sauce")</f>
        <v>Süßsauer Sauce</v>
      </c>
      <c r="D470" s="40">
        <f>SUMIFS(Rezepte!F:F,Rezepte!A:A,C470)</f>
        <v>9925</v>
      </c>
      <c r="E470" s="41">
        <f>SUMIFS(Rezepte!G:G,Rezepte!A:A,C470)</f>
        <v>21.19865217</v>
      </c>
      <c r="F470" s="42">
        <f t="shared" si="2"/>
        <v>0.00213588435</v>
      </c>
      <c r="G470" s="38"/>
      <c r="H470" s="38"/>
      <c r="I470" s="38"/>
      <c r="J470" s="38"/>
      <c r="K470" s="38"/>
      <c r="L470" s="38"/>
      <c r="M470" s="38"/>
      <c r="N470" s="38"/>
      <c r="O470" s="38"/>
    </row>
    <row r="471" hidden="1">
      <c r="A471" s="38"/>
      <c r="B471" s="38"/>
      <c r="C471" s="39" t="str">
        <f>IFERROR(__xludf.DUMMYFUNCTION("""COMPUTED_VALUE"""),"Sweet pork")</f>
        <v>Sweet pork</v>
      </c>
      <c r="D471" s="40">
        <f>SUMIFS(Rezepte!F:F,Rezepte!A:A,C471)</f>
        <v>625</v>
      </c>
      <c r="E471" s="41">
        <f>SUMIFS(Rezepte!G:G,Rezepte!A:A,C471)</f>
        <v>4.192012322</v>
      </c>
      <c r="F471" s="42">
        <f t="shared" si="2"/>
        <v>0.006707219716</v>
      </c>
      <c r="G471" s="38"/>
      <c r="H471" s="38"/>
      <c r="I471" s="38"/>
      <c r="J471" s="38"/>
      <c r="K471" s="38"/>
      <c r="L471" s="38"/>
      <c r="M471" s="38"/>
      <c r="N471" s="38"/>
      <c r="O471" s="38"/>
    </row>
    <row r="472" hidden="1">
      <c r="A472" s="38"/>
      <c r="B472" s="38"/>
      <c r="C472" s="39" t="str">
        <f>IFERROR(__xludf.DUMMYFUNCTION("""COMPUTED_VALUE"""),"Sweet Potatos Fries")</f>
        <v>Sweet Potatos Fries</v>
      </c>
      <c r="D472" s="40">
        <f>SUMIFS(Rezepte!F:F,Rezepte!A:A,C472)</f>
        <v>250</v>
      </c>
      <c r="E472" s="41">
        <f>SUMIFS(Rezepte!G:G,Rezepte!A:A,C472)</f>
        <v>1.3725</v>
      </c>
      <c r="F472" s="42">
        <f t="shared" si="2"/>
        <v>0.00549</v>
      </c>
      <c r="G472" s="38"/>
      <c r="H472" s="38"/>
      <c r="I472" s="38"/>
      <c r="J472" s="38"/>
      <c r="K472" s="38"/>
      <c r="L472" s="38"/>
      <c r="M472" s="38"/>
      <c r="N472" s="38"/>
      <c r="O472" s="38"/>
    </row>
    <row r="473" hidden="1">
      <c r="A473" s="38"/>
      <c r="B473" s="38"/>
      <c r="C473" s="39" t="str">
        <f>IFERROR(__xludf.DUMMYFUNCTION("""COMPUTED_VALUE"""),"Tahini Koriander Dressing")</f>
        <v>Tahini Koriander Dressing</v>
      </c>
      <c r="D473" s="40">
        <f>SUMIFS(Rezepte!F:F,Rezepte!A:A,C473)</f>
        <v>1760</v>
      </c>
      <c r="E473" s="41">
        <f>SUMIFS(Rezepte!G:G,Rezepte!A:A,C473)</f>
        <v>18.22701333</v>
      </c>
      <c r="F473" s="42">
        <f t="shared" si="2"/>
        <v>0.01035625758</v>
      </c>
      <c r="G473" s="38"/>
      <c r="H473" s="38"/>
      <c r="I473" s="38"/>
      <c r="J473" s="38"/>
      <c r="K473" s="38"/>
      <c r="L473" s="38"/>
      <c r="M473" s="38"/>
      <c r="N473" s="38"/>
      <c r="O473" s="38"/>
    </row>
    <row r="474" hidden="1">
      <c r="A474" s="38"/>
      <c r="B474" s="38"/>
      <c r="C474" s="39" t="str">
        <f>IFERROR(__xludf.DUMMYFUNCTION("""COMPUTED_VALUE"""),"Teriyaki Chicken Burger ")</f>
        <v>Teriyaki Chicken Burger </v>
      </c>
      <c r="D474" s="40">
        <f>SUMIFS(Rezepte!F:F,Rezepte!A:A,C474)</f>
        <v>400</v>
      </c>
      <c r="E474" s="41">
        <f>SUMIFS(Rezepte!G:G,Rezepte!A:A,C474)</f>
        <v>2.228483153</v>
      </c>
      <c r="F474" s="42">
        <f t="shared" si="2"/>
        <v>0.005571207882</v>
      </c>
      <c r="G474" s="38"/>
      <c r="H474" s="38"/>
      <c r="I474" s="38"/>
      <c r="J474" s="38"/>
      <c r="K474" s="38"/>
      <c r="L474" s="38"/>
      <c r="M474" s="38"/>
      <c r="N474" s="38"/>
      <c r="O474" s="38"/>
    </row>
    <row r="475" hidden="1">
      <c r="A475" s="38"/>
      <c r="B475" s="38"/>
      <c r="C475" s="39" t="str">
        <f>IFERROR(__xludf.DUMMYFUNCTION("""COMPUTED_VALUE"""),"Teriyaki Mayo")</f>
        <v>Teriyaki Mayo</v>
      </c>
      <c r="D475" s="40">
        <f>SUMIFS(Rezepte!F:F,Rezepte!A:A,C475)</f>
        <v>11030</v>
      </c>
      <c r="E475" s="41">
        <f>SUMIFS(Rezepte!G:G,Rezepte!A:A,C475)</f>
        <v>33.6796</v>
      </c>
      <c r="F475" s="42">
        <f t="shared" si="2"/>
        <v>0.003053454216</v>
      </c>
      <c r="G475" s="38"/>
      <c r="H475" s="38"/>
      <c r="I475" s="38"/>
      <c r="J475" s="38"/>
      <c r="K475" s="38"/>
      <c r="L475" s="38"/>
      <c r="M475" s="38"/>
      <c r="N475" s="38"/>
      <c r="O475" s="38"/>
    </row>
    <row r="476" hidden="1">
      <c r="A476" s="38"/>
      <c r="B476" s="38"/>
      <c r="C476" s="39" t="str">
        <f>IFERROR(__xludf.DUMMYFUNCTION("""COMPUTED_VALUE"""),"Teriyakisauce")</f>
        <v>Teriyakisauce</v>
      </c>
      <c r="D476" s="40">
        <f>SUMIFS(Rezepte!F:F,Rezepte!A:A,C476)</f>
        <v>2000</v>
      </c>
      <c r="E476" s="41">
        <f>SUMIFS(Rezepte!G:G,Rezepte!A:A,C476)</f>
        <v>12.44</v>
      </c>
      <c r="F476" s="42">
        <f t="shared" si="2"/>
        <v>0.00622</v>
      </c>
      <c r="G476" s="38"/>
      <c r="H476" s="38"/>
      <c r="I476" s="38"/>
      <c r="J476" s="38"/>
      <c r="K476" s="38"/>
      <c r="L476" s="38"/>
      <c r="M476" s="38"/>
      <c r="N476" s="38"/>
      <c r="O476" s="38"/>
    </row>
    <row r="477" hidden="1">
      <c r="A477" s="38"/>
      <c r="B477" s="38"/>
      <c r="C477" s="39" t="str">
        <f>IFERROR(__xludf.DUMMYFUNCTION("""COMPUTED_VALUE"""),"The Beef Rib Burger")</f>
        <v>The Beef Rib Burger</v>
      </c>
      <c r="D477" s="40">
        <f>SUMIFS(Rezepte!F:F,Rezepte!A:A,C477)</f>
        <v>515</v>
      </c>
      <c r="E477" s="41">
        <f>SUMIFS(Rezepte!G:G,Rezepte!A:A,C477)</f>
        <v>3.653773107</v>
      </c>
      <c r="F477" s="42">
        <f t="shared" si="2"/>
        <v>0.007094705062</v>
      </c>
      <c r="G477" s="38"/>
      <c r="H477" s="38"/>
      <c r="I477" s="38"/>
      <c r="J477" s="38"/>
      <c r="K477" s="38"/>
      <c r="L477" s="38"/>
      <c r="M477" s="38"/>
      <c r="N477" s="38"/>
      <c r="O477" s="38"/>
    </row>
    <row r="478" hidden="1">
      <c r="A478" s="38"/>
      <c r="B478" s="38"/>
      <c r="C478" s="39" t="str">
        <f>IFERROR(__xludf.DUMMYFUNCTION("""COMPUTED_VALUE"""),"Toffee Sauce")</f>
        <v>Toffee Sauce</v>
      </c>
      <c r="D478" s="40">
        <f>SUMIFS(Rezepte!F:F,Rezepte!A:A,C478)</f>
        <v>1750</v>
      </c>
      <c r="E478" s="41">
        <f>SUMIFS(Rezepte!G:G,Rezepte!A:A,C478)</f>
        <v>6.95</v>
      </c>
      <c r="F478" s="42">
        <f t="shared" si="2"/>
        <v>0.003971428571</v>
      </c>
      <c r="G478" s="38"/>
      <c r="H478" s="38"/>
      <c r="I478" s="38"/>
      <c r="J478" s="38"/>
      <c r="K478" s="38"/>
      <c r="L478" s="38"/>
      <c r="M478" s="38"/>
      <c r="N478" s="38"/>
      <c r="O478" s="38"/>
    </row>
    <row r="479" hidden="1">
      <c r="A479" s="38"/>
      <c r="B479" s="38"/>
      <c r="C479" s="39" t="str">
        <f>IFERROR(__xludf.DUMMYFUNCTION("""COMPUTED_VALUE"""),"Tomatenmarmelade Chili-Koreander")</f>
        <v>Tomatenmarmelade Chili-Koreander</v>
      </c>
      <c r="D479" s="40">
        <f>SUMIFS(Rezepte!F:F,Rezepte!A:A,C479)</f>
        <v>3541</v>
      </c>
      <c r="E479" s="41">
        <f>SUMIFS(Rezepte!G:G,Rezepte!A:A,C479)</f>
        <v>8.820947368</v>
      </c>
      <c r="F479" s="42">
        <f t="shared" si="2"/>
        <v>0.002491089344</v>
      </c>
      <c r="G479" s="38"/>
      <c r="H479" s="38"/>
      <c r="I479" s="38"/>
      <c r="J479" s="38"/>
      <c r="K479" s="38"/>
      <c r="L479" s="38"/>
      <c r="M479" s="38"/>
      <c r="N479" s="38"/>
      <c r="O479" s="38"/>
    </row>
    <row r="480" hidden="1">
      <c r="A480" s="38"/>
      <c r="B480" s="38"/>
      <c r="C480" s="39" t="str">
        <f>IFERROR(__xludf.DUMMYFUNCTION("""COMPUTED_VALUE"""),"Topping Bacon")</f>
        <v>Topping Bacon</v>
      </c>
      <c r="D480" s="40">
        <f>SUMIFS(Rezepte!F:F,Rezepte!A:A,C480)</f>
        <v>35</v>
      </c>
      <c r="E480" s="41">
        <f>SUMIFS(Rezepte!G:G,Rezepte!A:A,C480)</f>
        <v>0.3899</v>
      </c>
      <c r="F480" s="42">
        <f t="shared" si="2"/>
        <v>0.01114</v>
      </c>
      <c r="G480" s="38"/>
      <c r="H480" s="38"/>
      <c r="I480" s="38"/>
      <c r="J480" s="38"/>
      <c r="K480" s="38"/>
      <c r="L480" s="38"/>
      <c r="M480" s="38"/>
      <c r="N480" s="38"/>
      <c r="O480" s="38"/>
    </row>
    <row r="481" hidden="1">
      <c r="A481" s="38"/>
      <c r="B481" s="38"/>
      <c r="C481" s="39" t="str">
        <f>IFERROR(__xludf.DUMMYFUNCTION("""COMPUTED_VALUE"""),"Topping Blauschimmelkäse")</f>
        <v>Topping Blauschimmelkäse</v>
      </c>
      <c r="D481" s="40">
        <f>SUMIFS(Rezepte!F:F,Rezepte!A:A,C481)</f>
        <v>40</v>
      </c>
      <c r="E481" s="41">
        <f>SUMIFS(Rezepte!G:G,Rezepte!A:A,C481)</f>
        <v>0.7824</v>
      </c>
      <c r="F481" s="42">
        <f t="shared" si="2"/>
        <v>0.01956</v>
      </c>
      <c r="G481" s="38"/>
      <c r="H481" s="38"/>
      <c r="I481" s="38"/>
      <c r="J481" s="38"/>
      <c r="K481" s="38"/>
      <c r="L481" s="38"/>
      <c r="M481" s="38"/>
      <c r="N481" s="38"/>
      <c r="O481" s="38"/>
    </row>
    <row r="482" hidden="1">
      <c r="A482" s="38"/>
      <c r="B482" s="38"/>
      <c r="C482" s="39" t="str">
        <f>IFERROR(__xludf.DUMMYFUNCTION("""COMPUTED_VALUE"""),"Topping Champignons")</f>
        <v>Topping Champignons</v>
      </c>
      <c r="D482" s="40">
        <f>SUMIFS(Rezepte!F:F,Rezepte!A:A,C482)</f>
        <v>80</v>
      </c>
      <c r="E482" s="41">
        <f>SUMIFS(Rezepte!G:G,Rezepte!A:A,C482)</f>
        <v>0.42096</v>
      </c>
      <c r="F482" s="42">
        <f t="shared" si="2"/>
        <v>0.005262</v>
      </c>
      <c r="G482" s="38"/>
      <c r="H482" s="38"/>
      <c r="I482" s="38"/>
      <c r="J482" s="38"/>
      <c r="K482" s="38"/>
      <c r="L482" s="38"/>
      <c r="M482" s="38"/>
      <c r="N482" s="38"/>
      <c r="O482" s="38"/>
    </row>
    <row r="483" hidden="1">
      <c r="A483" s="38"/>
      <c r="B483" s="38"/>
      <c r="C483" s="39" t="str">
        <f>IFERROR(__xludf.DUMMYFUNCTION("""COMPUTED_VALUE"""),"Topping Cheddar")</f>
        <v>Topping Cheddar</v>
      </c>
      <c r="D483" s="40">
        <f>SUMIFS(Rezepte!F:F,Rezepte!A:A,C483)</f>
        <v>20</v>
      </c>
      <c r="E483" s="41">
        <f>SUMIFS(Rezepte!G:G,Rezepte!A:A,C483)</f>
        <v>0.2278</v>
      </c>
      <c r="F483" s="42">
        <f t="shared" si="2"/>
        <v>0.01139</v>
      </c>
      <c r="G483" s="38"/>
      <c r="H483" s="38"/>
      <c r="I483" s="38"/>
      <c r="J483" s="38"/>
      <c r="K483" s="38"/>
      <c r="L483" s="38"/>
      <c r="M483" s="38"/>
      <c r="N483" s="38"/>
      <c r="O483" s="38"/>
    </row>
    <row r="484" hidden="1">
      <c r="A484" s="38"/>
      <c r="B484" s="38"/>
      <c r="C484" s="39" t="str">
        <f>IFERROR(__xludf.DUMMYFUNCTION("""COMPUTED_VALUE"""),"Topping Eisbergsalat")</f>
        <v>Topping Eisbergsalat</v>
      </c>
      <c r="D484" s="40">
        <f>SUMIFS(Rezepte!F:F,Rezepte!A:A,C484)</f>
        <v>20</v>
      </c>
      <c r="E484" s="41">
        <f>SUMIFS(Rezepte!G:G,Rezepte!A:A,C484)</f>
        <v>0.1278</v>
      </c>
      <c r="F484" s="42">
        <f t="shared" si="2"/>
        <v>0.00639</v>
      </c>
      <c r="G484" s="38"/>
      <c r="H484" s="38"/>
      <c r="I484" s="38"/>
      <c r="J484" s="38"/>
      <c r="K484" s="38"/>
      <c r="L484" s="38"/>
      <c r="M484" s="38"/>
      <c r="N484" s="38"/>
      <c r="O484" s="38"/>
    </row>
    <row r="485" hidden="1">
      <c r="A485" s="38"/>
      <c r="B485" s="38"/>
      <c r="C485" s="39" t="str">
        <f>IFERROR(__xludf.DUMMYFUNCTION("""COMPUTED_VALUE"""),"Topping Garnelen")</f>
        <v>Topping Garnelen</v>
      </c>
      <c r="D485" s="40">
        <f>SUMIFS(Rezepte!F:F,Rezepte!A:A,C485)</f>
        <v>70</v>
      </c>
      <c r="E485" s="41">
        <f>SUMIFS(Rezepte!G:G,Rezepte!A:A,C485)</f>
        <v>0.6866641985</v>
      </c>
      <c r="F485" s="42">
        <f t="shared" si="2"/>
        <v>0.00980948855</v>
      </c>
      <c r="G485" s="38"/>
      <c r="H485" s="38"/>
      <c r="I485" s="38"/>
      <c r="J485" s="38"/>
      <c r="K485" s="38"/>
      <c r="L485" s="38"/>
      <c r="M485" s="38"/>
      <c r="N485" s="38"/>
      <c r="O485" s="38"/>
    </row>
    <row r="486" hidden="1">
      <c r="A486" s="38"/>
      <c r="B486" s="38"/>
      <c r="C486" s="39" t="str">
        <f>IFERROR(__xludf.DUMMYFUNCTION("""COMPUTED_VALUE"""),"Topping Gewürzgurken")</f>
        <v>Topping Gewürzgurken</v>
      </c>
      <c r="D486" s="40">
        <f>SUMIFS(Rezepte!F:F,Rezepte!A:A,C486)</f>
        <v>20</v>
      </c>
      <c r="E486" s="41">
        <f>SUMIFS(Rezepte!G:G,Rezepte!A:A,C486)</f>
        <v>0.04160714286</v>
      </c>
      <c r="F486" s="42">
        <f t="shared" si="2"/>
        <v>0.002080357143</v>
      </c>
      <c r="G486" s="38"/>
      <c r="H486" s="38"/>
      <c r="I486" s="38"/>
      <c r="J486" s="38"/>
      <c r="K486" s="38"/>
      <c r="L486" s="38"/>
      <c r="M486" s="38"/>
      <c r="N486" s="38"/>
      <c r="O486" s="38"/>
    </row>
    <row r="487" hidden="1">
      <c r="A487" s="38"/>
      <c r="B487" s="38"/>
      <c r="C487" s="39" t="str">
        <f>IFERROR(__xludf.DUMMYFUNCTION("""COMPUTED_VALUE"""),"Topping Jalapenos")</f>
        <v>Topping Jalapenos</v>
      </c>
      <c r="D487" s="40">
        <f>SUMIFS(Rezepte!F:F,Rezepte!A:A,C487)</f>
        <v>20</v>
      </c>
      <c r="E487" s="41">
        <f>SUMIFS(Rezepte!G:G,Rezepte!A:A,C487)</f>
        <v>0.08282352941</v>
      </c>
      <c r="F487" s="42">
        <f t="shared" si="2"/>
        <v>0.004141176471</v>
      </c>
      <c r="G487" s="38"/>
      <c r="H487" s="38"/>
      <c r="I487" s="38"/>
      <c r="J487" s="38"/>
      <c r="K487" s="38"/>
      <c r="L487" s="38"/>
      <c r="M487" s="38"/>
      <c r="N487" s="38"/>
      <c r="O487" s="38"/>
    </row>
    <row r="488" hidden="1">
      <c r="A488" s="38"/>
      <c r="B488" s="38"/>
      <c r="C488" s="39" t="str">
        <f>IFERROR(__xludf.DUMMYFUNCTION("""COMPUTED_VALUE"""),"Topping Makkaroni")</f>
        <v>Topping Makkaroni</v>
      </c>
      <c r="D488" s="40">
        <f>SUMIFS(Rezepte!F:F,Rezepte!A:A,C488)</f>
        <v>120</v>
      </c>
      <c r="E488" s="41">
        <f>SUMIFS(Rezepte!G:G,Rezepte!A:A,C488)</f>
        <v>0.680909902</v>
      </c>
      <c r="F488" s="42">
        <f t="shared" si="2"/>
        <v>0.005674249183</v>
      </c>
      <c r="G488" s="38"/>
      <c r="H488" s="38"/>
      <c r="I488" s="38"/>
      <c r="J488" s="38"/>
      <c r="K488" s="38"/>
      <c r="L488" s="38"/>
      <c r="M488" s="38"/>
      <c r="N488" s="38"/>
      <c r="O488" s="38"/>
    </row>
    <row r="489" hidden="1">
      <c r="A489" s="38"/>
      <c r="B489" s="38"/>
      <c r="C489" s="39" t="str">
        <f>IFERROR(__xludf.DUMMYFUNCTION("""COMPUTED_VALUE"""),"Topping Paprika Marmelade")</f>
        <v>Topping Paprika Marmelade</v>
      </c>
      <c r="D489" s="40">
        <f>SUMIFS(Rezepte!F:F,Rezepte!A:A,C489)</f>
        <v>15</v>
      </c>
      <c r="E489" s="41">
        <f>SUMIFS(Rezepte!G:G,Rezepte!A:A,C489)</f>
        <v>0.06709401316</v>
      </c>
      <c r="F489" s="42">
        <f t="shared" si="2"/>
        <v>0.004472934211</v>
      </c>
      <c r="G489" s="38"/>
      <c r="H489" s="38"/>
      <c r="I489" s="38"/>
      <c r="J489" s="38"/>
      <c r="K489" s="38"/>
      <c r="L489" s="38"/>
      <c r="M489" s="38"/>
      <c r="N489" s="38"/>
      <c r="O489" s="38"/>
    </row>
    <row r="490" hidden="1">
      <c r="A490" s="38"/>
      <c r="B490" s="38"/>
      <c r="C490" s="39" t="str">
        <f>IFERROR(__xludf.DUMMYFUNCTION("""COMPUTED_VALUE"""),"Topping Pflaumenmus")</f>
        <v>Topping Pflaumenmus</v>
      </c>
      <c r="D490" s="40">
        <f>SUMIFS(Rezepte!F:F,Rezepte!A:A,C490)</f>
        <v>15</v>
      </c>
      <c r="E490" s="41">
        <f>SUMIFS(Rezepte!G:G,Rezepte!A:A,C490)</f>
        <v>0.067</v>
      </c>
      <c r="F490" s="42">
        <f t="shared" si="2"/>
        <v>0.004466666667</v>
      </c>
      <c r="G490" s="38"/>
      <c r="H490" s="38"/>
      <c r="I490" s="38"/>
      <c r="J490" s="38"/>
      <c r="K490" s="38"/>
      <c r="L490" s="38"/>
      <c r="M490" s="38"/>
      <c r="N490" s="38"/>
      <c r="O490" s="38"/>
    </row>
    <row r="491" hidden="1">
      <c r="A491" s="38"/>
      <c r="B491" s="38"/>
      <c r="C491" s="39" t="str">
        <f>IFERROR(__xludf.DUMMYFUNCTION("""COMPUTED_VALUE"""),"Topping Raclette")</f>
        <v>Topping Raclette</v>
      </c>
      <c r="D491" s="40">
        <f>SUMIFS(Rezepte!F:F,Rezepte!A:A,C491)</f>
        <v>50</v>
      </c>
      <c r="E491" s="41">
        <f>SUMIFS(Rezepte!G:G,Rezepte!A:A,C491)</f>
        <v>0.66125</v>
      </c>
      <c r="F491" s="42">
        <f t="shared" si="2"/>
        <v>0.013225</v>
      </c>
      <c r="G491" s="38"/>
      <c r="H491" s="38"/>
      <c r="I491" s="38"/>
      <c r="J491" s="38"/>
      <c r="K491" s="38"/>
      <c r="L491" s="38"/>
      <c r="M491" s="38"/>
      <c r="N491" s="38"/>
      <c r="O491" s="38"/>
    </row>
    <row r="492" hidden="1">
      <c r="A492" s="38"/>
      <c r="B492" s="38"/>
      <c r="C492" s="39" t="str">
        <f>IFERROR(__xludf.DUMMYFUNCTION("""COMPUTED_VALUE"""),"Topping Röstzwiebeln")</f>
        <v>Topping Röstzwiebeln</v>
      </c>
      <c r="D492" s="40">
        <f>SUMIFS(Rezepte!F:F,Rezepte!A:A,C492)</f>
        <v>20</v>
      </c>
      <c r="E492" s="41">
        <f>SUMIFS(Rezepte!G:G,Rezepte!A:A,C492)</f>
        <v>0.02176983607</v>
      </c>
      <c r="F492" s="42">
        <f t="shared" si="2"/>
        <v>0.001088491803</v>
      </c>
      <c r="G492" s="38"/>
      <c r="H492" s="38"/>
      <c r="I492" s="38"/>
      <c r="J492" s="38"/>
      <c r="K492" s="38"/>
      <c r="L492" s="38"/>
      <c r="M492" s="38"/>
      <c r="N492" s="38"/>
      <c r="O492" s="38"/>
    </row>
    <row r="493" hidden="1">
      <c r="A493" s="38"/>
      <c r="B493" s="38"/>
      <c r="C493" s="39" t="str">
        <f>IFERROR(__xludf.DUMMYFUNCTION("""COMPUTED_VALUE"""),"Topping Scamorza")</f>
        <v>Topping Scamorza</v>
      </c>
      <c r="D493" s="40">
        <f>SUMIFS(Rezepte!F:F,Rezepte!A:A,C493)</f>
        <v>50</v>
      </c>
      <c r="E493" s="41">
        <f>SUMIFS(Rezepte!G:G,Rezepte!A:A,C493)</f>
        <v>0.5533333333</v>
      </c>
      <c r="F493" s="42">
        <f t="shared" si="2"/>
        <v>0.01106666667</v>
      </c>
      <c r="G493" s="38"/>
      <c r="H493" s="38"/>
      <c r="I493" s="38"/>
      <c r="J493" s="38"/>
      <c r="K493" s="38"/>
      <c r="L493" s="38"/>
      <c r="M493" s="38"/>
      <c r="N493" s="38"/>
      <c r="O493" s="38"/>
    </row>
    <row r="494" hidden="1">
      <c r="A494" s="38"/>
      <c r="B494" s="38"/>
      <c r="C494" s="39" t="str">
        <f>IFERROR(__xludf.DUMMYFUNCTION("""COMPUTED_VALUE"""),"Topping SChmelzzwiebeln")</f>
        <v>Topping SChmelzzwiebeln</v>
      </c>
      <c r="D494" s="40">
        <f>SUMIFS(Rezepte!F:F,Rezepte!A:A,C494)</f>
        <v>20</v>
      </c>
      <c r="E494" s="41">
        <f>SUMIFS(Rezepte!G:G,Rezepte!A:A,C494)</f>
        <v>0.05888280828</v>
      </c>
      <c r="F494" s="42">
        <f t="shared" si="2"/>
        <v>0.002944140414</v>
      </c>
      <c r="G494" s="38"/>
      <c r="H494" s="38"/>
      <c r="I494" s="38"/>
      <c r="J494" s="38"/>
      <c r="K494" s="38"/>
      <c r="L494" s="38"/>
      <c r="M494" s="38"/>
      <c r="N494" s="38"/>
      <c r="O494" s="38"/>
    </row>
    <row r="495" hidden="1">
      <c r="A495" s="38"/>
      <c r="B495" s="38"/>
      <c r="C495" s="39" t="str">
        <f>IFERROR(__xludf.DUMMYFUNCTION("""COMPUTED_VALUE"""),"Topping Tomante")</f>
        <v>Topping Tomante</v>
      </c>
      <c r="D495" s="40">
        <f>SUMIFS(Rezepte!F:F,Rezepte!A:A,C495)</f>
        <v>60</v>
      </c>
      <c r="E495" s="41">
        <f>SUMIFS(Rezepte!G:G,Rezepte!A:A,C495)</f>
        <v>0.16578</v>
      </c>
      <c r="F495" s="42">
        <f t="shared" si="2"/>
        <v>0.002763</v>
      </c>
      <c r="G495" s="38"/>
      <c r="H495" s="38"/>
      <c r="I495" s="38"/>
      <c r="J495" s="38"/>
      <c r="K495" s="38"/>
      <c r="L495" s="38"/>
      <c r="M495" s="38"/>
      <c r="N495" s="38"/>
      <c r="O495" s="38"/>
    </row>
    <row r="496" hidden="1">
      <c r="A496" s="38"/>
      <c r="B496" s="38"/>
      <c r="C496" s="39" t="str">
        <f>IFERROR(__xludf.DUMMYFUNCTION("""COMPUTED_VALUE"""),"Topping Ziegenkäse")</f>
        <v>Topping Ziegenkäse</v>
      </c>
      <c r="D496" s="40">
        <f>SUMIFS(Rezepte!F:F,Rezepte!A:A,C496)</f>
        <v>90</v>
      </c>
      <c r="E496" s="41">
        <f>SUMIFS(Rezepte!G:G,Rezepte!A:A,C496)</f>
        <v>1.2654</v>
      </c>
      <c r="F496" s="42">
        <f t="shared" si="2"/>
        <v>0.01406</v>
      </c>
      <c r="G496" s="38"/>
      <c r="H496" s="38"/>
      <c r="I496" s="38"/>
      <c r="J496" s="38"/>
      <c r="K496" s="38"/>
      <c r="L496" s="38"/>
      <c r="M496" s="38"/>
      <c r="N496" s="38"/>
      <c r="O496" s="38"/>
    </row>
    <row r="497" hidden="1">
      <c r="A497" s="38"/>
      <c r="B497" s="38"/>
      <c r="C497" s="39" t="str">
        <f>IFERROR(__xludf.DUMMYFUNCTION("""COMPUTED_VALUE"""),"Tortilla Bacon")</f>
        <v>Tortilla Bacon</v>
      </c>
      <c r="D497" s="40">
        <f>SUMIFS(Rezepte!F:F,Rezepte!A:A,C497)</f>
        <v>4566</v>
      </c>
      <c r="E497" s="41">
        <f>SUMIFS(Rezepte!G:G,Rezepte!A:A,C497)</f>
        <v>11.035744</v>
      </c>
      <c r="F497" s="42">
        <f t="shared" si="2"/>
        <v>0.002416939115</v>
      </c>
      <c r="G497" s="38"/>
      <c r="H497" s="38"/>
      <c r="I497" s="38"/>
      <c r="J497" s="38"/>
      <c r="K497" s="38"/>
      <c r="L497" s="38"/>
      <c r="M497" s="38"/>
      <c r="N497" s="38"/>
      <c r="O497" s="38"/>
    </row>
    <row r="498" hidden="1">
      <c r="A498" s="38"/>
      <c r="B498" s="38"/>
      <c r="C498" s="39" t="str">
        <f>IFERROR(__xludf.DUMMYFUNCTION("""COMPUTED_VALUE"""),"Tortilla Bacon Portion")</f>
        <v>Tortilla Bacon Portion</v>
      </c>
      <c r="D498" s="40">
        <f>SUMIFS(Rezepte!F:F,Rezepte!A:A,C498)</f>
        <v>250</v>
      </c>
      <c r="E498" s="41">
        <f>SUMIFS(Rezepte!G:G,Rezepte!A:A,C498)</f>
        <v>0.6042347788</v>
      </c>
      <c r="F498" s="42">
        <f t="shared" si="2"/>
        <v>0.002416939115</v>
      </c>
      <c r="G498" s="38"/>
      <c r="H498" s="38"/>
      <c r="I498" s="38"/>
      <c r="J498" s="38"/>
      <c r="K498" s="38"/>
      <c r="L498" s="38"/>
      <c r="M498" s="38"/>
      <c r="N498" s="38"/>
      <c r="O498" s="38"/>
    </row>
    <row r="499" hidden="1">
      <c r="A499" s="38"/>
      <c r="B499" s="38"/>
      <c r="C499" s="39" t="str">
        <f>IFERROR(__xludf.DUMMYFUNCTION("""COMPUTED_VALUE"""),"Trüffel Mayo")</f>
        <v>Trüffel Mayo</v>
      </c>
      <c r="D499" s="40">
        <f>SUMIFS(Rezepte!F:F,Rezepte!A:A,C499)</f>
        <v>5395</v>
      </c>
      <c r="E499" s="41">
        <f>SUMIFS(Rezepte!G:G,Rezepte!A:A,C499)</f>
        <v>28.24844</v>
      </c>
      <c r="F499" s="42">
        <f t="shared" si="2"/>
        <v>0.005236040778</v>
      </c>
      <c r="G499" s="38"/>
      <c r="H499" s="38"/>
      <c r="I499" s="38"/>
      <c r="J499" s="38"/>
      <c r="K499" s="38"/>
      <c r="L499" s="38"/>
      <c r="M499" s="38"/>
      <c r="N499" s="38"/>
      <c r="O499" s="38"/>
    </row>
    <row r="500" hidden="1">
      <c r="A500" s="38"/>
      <c r="B500" s="38"/>
      <c r="C500" s="39" t="str">
        <f>IFERROR(__xludf.DUMMYFUNCTION("""COMPUTED_VALUE"""),"Vegan Bowl 2021")</f>
        <v>Vegan Bowl 2021</v>
      </c>
      <c r="D500" s="40">
        <f>SUMIFS(Rezepte!F:F,Rezepte!A:A,C500)</f>
        <v>490</v>
      </c>
      <c r="E500" s="41">
        <f>SUMIFS(Rezepte!G:G,Rezepte!A:A,C500)</f>
        <v>1.931025025</v>
      </c>
      <c r="F500" s="42">
        <f t="shared" si="2"/>
        <v>0.003940867399</v>
      </c>
      <c r="G500" s="38"/>
      <c r="H500" s="38"/>
      <c r="I500" s="38"/>
      <c r="J500" s="38"/>
      <c r="K500" s="38"/>
      <c r="L500" s="38"/>
      <c r="M500" s="38"/>
      <c r="N500" s="38"/>
      <c r="O500" s="38"/>
    </row>
    <row r="501" hidden="1">
      <c r="A501" s="38"/>
      <c r="B501" s="38"/>
      <c r="C501" s="39" t="str">
        <f>IFERROR(__xludf.DUMMYFUNCTION("""COMPUTED_VALUE"""),"Vegan Bowl Auberginen")</f>
        <v>Vegan Bowl Auberginen</v>
      </c>
      <c r="D501" s="40">
        <f>SUMIFS(Rezepte!F:F,Rezepte!A:A,C501)</f>
        <v>1110</v>
      </c>
      <c r="E501" s="41">
        <f>SUMIFS(Rezepte!G:G,Rezepte!A:A,C501)</f>
        <v>3.85768</v>
      </c>
      <c r="F501" s="42">
        <f t="shared" si="2"/>
        <v>0.003475387387</v>
      </c>
      <c r="G501" s="38"/>
      <c r="H501" s="38"/>
      <c r="I501" s="38"/>
      <c r="J501" s="38"/>
      <c r="K501" s="38"/>
      <c r="L501" s="38"/>
      <c r="M501" s="38"/>
      <c r="N501" s="38"/>
      <c r="O501" s="38"/>
    </row>
    <row r="502" hidden="1">
      <c r="A502" s="38"/>
      <c r="B502" s="38"/>
      <c r="C502" s="39" t="str">
        <f>IFERROR(__xludf.DUMMYFUNCTION("""COMPUTED_VALUE"""),"Vegan Bowl Bulgur")</f>
        <v>Vegan Bowl Bulgur</v>
      </c>
      <c r="D502" s="40">
        <f>SUMIFS(Rezepte!F:F,Rezepte!A:A,C502)</f>
        <v>4170</v>
      </c>
      <c r="E502" s="41">
        <f>SUMIFS(Rezepte!G:G,Rezepte!A:A,C502)</f>
        <v>8.94952</v>
      </c>
      <c r="F502" s="42">
        <f t="shared" si="2"/>
        <v>0.002146167866</v>
      </c>
      <c r="G502" s="38"/>
      <c r="H502" s="38"/>
      <c r="I502" s="38"/>
      <c r="J502" s="38"/>
      <c r="K502" s="38"/>
      <c r="L502" s="38"/>
      <c r="M502" s="38"/>
      <c r="N502" s="38"/>
      <c r="O502" s="38"/>
    </row>
    <row r="503" hidden="1">
      <c r="A503" s="38"/>
      <c r="B503" s="38"/>
      <c r="C503" s="39" t="str">
        <f>IFERROR(__xludf.DUMMYFUNCTION("""COMPUTED_VALUE"""),"Vegan Bowl kichererbsen")</f>
        <v>Vegan Bowl kichererbsen</v>
      </c>
      <c r="D503" s="40">
        <f>SUMIFS(Rezepte!F:F,Rezepte!A:A,C503)</f>
        <v>1112</v>
      </c>
      <c r="E503" s="41">
        <f>SUMIFS(Rezepte!G:G,Rezepte!A:A,C503)</f>
        <v>6.459713333</v>
      </c>
      <c r="F503" s="42">
        <f t="shared" si="2"/>
        <v>0.005809094724</v>
      </c>
      <c r="G503" s="38"/>
      <c r="H503" s="38"/>
      <c r="I503" s="38"/>
      <c r="J503" s="38"/>
      <c r="K503" s="38"/>
      <c r="L503" s="38"/>
      <c r="M503" s="38"/>
      <c r="N503" s="38"/>
      <c r="O503" s="38"/>
    </row>
    <row r="504" hidden="1">
      <c r="A504" s="38"/>
      <c r="B504" s="38"/>
      <c r="C504" s="39" t="str">
        <f>IFERROR(__xludf.DUMMYFUNCTION("""COMPUTED_VALUE"""),"Vegan Bowl Okraschoten ")</f>
        <v>Vegan Bowl Okraschoten </v>
      </c>
      <c r="D504" s="40">
        <f>SUMIFS(Rezepte!F:F,Rezepte!A:A,C504)</f>
        <v>1108</v>
      </c>
      <c r="E504" s="41">
        <f>SUMIFS(Rezepte!G:G,Rezepte!A:A,C504)</f>
        <v>3.80126</v>
      </c>
      <c r="F504" s="42">
        <f t="shared" si="2"/>
        <v>0.003430740072</v>
      </c>
      <c r="G504" s="38"/>
      <c r="H504" s="38"/>
      <c r="I504" s="38"/>
      <c r="J504" s="38"/>
      <c r="K504" s="38"/>
      <c r="L504" s="38"/>
      <c r="M504" s="38"/>
      <c r="N504" s="38"/>
      <c r="O504" s="38"/>
    </row>
    <row r="505" hidden="1">
      <c r="A505" s="38"/>
      <c r="B505" s="38"/>
      <c r="C505" s="39" t="str">
        <f>IFERROR(__xludf.DUMMYFUNCTION("""COMPUTED_VALUE"""),"Vegan Bowl Paprika rot")</f>
        <v>Vegan Bowl Paprika rot</v>
      </c>
      <c r="D505" s="40">
        <f>SUMIFS(Rezepte!F:F,Rezepte!A:A,C505)</f>
        <v>1105</v>
      </c>
      <c r="E505" s="41">
        <f>SUMIFS(Rezepte!G:G,Rezepte!A:A,C505)</f>
        <v>8.50784</v>
      </c>
      <c r="F505" s="42">
        <f t="shared" si="2"/>
        <v>0.007699402715</v>
      </c>
      <c r="G505" s="38"/>
      <c r="H505" s="38"/>
      <c r="I505" s="38"/>
      <c r="J505" s="38"/>
      <c r="K505" s="38"/>
      <c r="L505" s="38"/>
      <c r="M505" s="38"/>
      <c r="N505" s="38"/>
      <c r="O505" s="38"/>
    </row>
    <row r="506" hidden="1">
      <c r="A506" s="38"/>
      <c r="B506" s="38"/>
      <c r="C506" s="39" t="str">
        <f>IFERROR(__xludf.DUMMYFUNCTION("""COMPUTED_VALUE"""),"Vegan Bowl Rotkohl")</f>
        <v>Vegan Bowl Rotkohl</v>
      </c>
      <c r="D506" s="40">
        <f>SUMIFS(Rezepte!F:F,Rezepte!A:A,C506)</f>
        <v>1325</v>
      </c>
      <c r="E506" s="41">
        <f>SUMIFS(Rezepte!G:G,Rezepte!A:A,C506)</f>
        <v>1.6022</v>
      </c>
      <c r="F506" s="42">
        <f t="shared" si="2"/>
        <v>0.001209207547</v>
      </c>
      <c r="G506" s="38"/>
      <c r="H506" s="38"/>
      <c r="I506" s="38"/>
      <c r="J506" s="38"/>
      <c r="K506" s="38"/>
      <c r="L506" s="38"/>
      <c r="M506" s="38"/>
      <c r="N506" s="38"/>
      <c r="O506" s="38"/>
    </row>
    <row r="507" hidden="1">
      <c r="A507" s="38"/>
      <c r="B507" s="38"/>
      <c r="C507" s="39" t="str">
        <f>IFERROR(__xludf.DUMMYFUNCTION("""COMPUTED_VALUE"""),"Vegan Burger ")</f>
        <v>Vegan Burger </v>
      </c>
      <c r="D507" s="40">
        <f>SUMIFS(Rezepte!F:F,Rezepte!A:A,C507)</f>
        <v>425</v>
      </c>
      <c r="E507" s="41">
        <f>SUMIFS(Rezepte!G:G,Rezepte!A:A,C507)</f>
        <v>2.528706256</v>
      </c>
      <c r="F507" s="42">
        <f t="shared" si="2"/>
        <v>0.005949897072</v>
      </c>
      <c r="G507" s="38"/>
      <c r="H507" s="38"/>
      <c r="I507" s="38"/>
      <c r="J507" s="38"/>
      <c r="K507" s="38"/>
      <c r="L507" s="38"/>
      <c r="M507" s="38"/>
      <c r="N507" s="38"/>
      <c r="O507" s="38"/>
    </row>
    <row r="508" hidden="1">
      <c r="A508" s="38"/>
      <c r="B508" s="38"/>
      <c r="C508" s="39" t="str">
        <f>IFERROR(__xludf.DUMMYFUNCTION("""COMPUTED_VALUE"""),"Waffelteig")</f>
        <v>Waffelteig</v>
      </c>
      <c r="D508" s="40">
        <f>SUMIFS(Rezepte!F:F,Rezepte!A:A,C508)</f>
        <v>3455</v>
      </c>
      <c r="E508" s="41">
        <f>SUMIFS(Rezepte!G:G,Rezepte!A:A,C508)</f>
        <v>13.4628</v>
      </c>
      <c r="F508" s="42">
        <f t="shared" si="2"/>
        <v>0.003896613603</v>
      </c>
      <c r="G508" s="38"/>
      <c r="H508" s="38"/>
      <c r="I508" s="38"/>
      <c r="J508" s="38"/>
      <c r="K508" s="38"/>
      <c r="L508" s="38"/>
      <c r="M508" s="38"/>
      <c r="N508" s="38"/>
      <c r="O508" s="38"/>
    </row>
    <row r="509" hidden="1">
      <c r="A509" s="38"/>
      <c r="B509" s="38"/>
      <c r="C509" s="39" t="str">
        <f>IFERROR(__xludf.DUMMYFUNCTION("""COMPUTED_VALUE"""),"Walnussdressing")</f>
        <v>Walnussdressing</v>
      </c>
      <c r="D509" s="40">
        <f>SUMIFS(Rezepte!F:F,Rezepte!A:A,C509)</f>
        <v>3020</v>
      </c>
      <c r="E509" s="41">
        <f>SUMIFS(Rezepte!G:G,Rezepte!A:A,C509)</f>
        <v>9.26486</v>
      </c>
      <c r="F509" s="42">
        <f t="shared" si="2"/>
        <v>0.003067834437</v>
      </c>
      <c r="G509" s="38"/>
      <c r="H509" s="38"/>
      <c r="I509" s="38"/>
      <c r="J509" s="38"/>
      <c r="K509" s="38"/>
      <c r="L509" s="38"/>
      <c r="M509" s="38"/>
      <c r="N509" s="38"/>
      <c r="O509" s="38"/>
    </row>
    <row r="510" hidden="1">
      <c r="A510" s="38"/>
      <c r="B510" s="38"/>
      <c r="C510" s="39" t="str">
        <f>IFERROR(__xludf.DUMMYFUNCTION("""COMPUTED_VALUE"""),"Weiße Schokoladensauce")</f>
        <v>Weiße Schokoladensauce</v>
      </c>
      <c r="D510" s="40">
        <f>SUMIFS(Rezepte!F:F,Rezepte!A:A,C510)</f>
        <v>5000</v>
      </c>
      <c r="E510" s="41">
        <f>SUMIFS(Rezepte!G:G,Rezepte!A:A,C510)</f>
        <v>58.05</v>
      </c>
      <c r="F510" s="42">
        <f t="shared" si="2"/>
        <v>0.01161</v>
      </c>
      <c r="G510" s="38"/>
      <c r="H510" s="38"/>
      <c r="I510" s="38"/>
      <c r="J510" s="38"/>
      <c r="K510" s="38"/>
      <c r="L510" s="38"/>
      <c r="M510" s="38"/>
      <c r="N510" s="38"/>
      <c r="O510" s="38"/>
    </row>
    <row r="511" hidden="1">
      <c r="A511" s="38"/>
      <c r="B511" s="38"/>
      <c r="C511" s="39" t="str">
        <f>IFERROR(__xludf.DUMMYFUNCTION("""COMPUTED_VALUE"""),"Wild Boar Burger")</f>
        <v>Wild Boar Burger</v>
      </c>
      <c r="D511" s="40">
        <f>SUMIFS(Rezepte!F:F,Rezepte!A:A,C511)</f>
        <v>521</v>
      </c>
      <c r="E511" s="41">
        <f>SUMIFS(Rezepte!G:G,Rezepte!A:A,C511)</f>
        <v>4.236118949</v>
      </c>
      <c r="F511" s="42">
        <f t="shared" si="2"/>
        <v>0.008130746544</v>
      </c>
      <c r="G511" s="38"/>
      <c r="H511" s="38"/>
      <c r="I511" s="38"/>
      <c r="J511" s="38"/>
      <c r="K511" s="38"/>
      <c r="L511" s="38"/>
      <c r="M511" s="38"/>
      <c r="N511" s="38"/>
      <c r="O511" s="38"/>
    </row>
    <row r="512" hidden="1">
      <c r="A512" s="38"/>
      <c r="B512" s="38"/>
      <c r="C512" s="39" t="str">
        <f>IFERROR(__xludf.DUMMYFUNCTION("""COMPUTED_VALUE"""),"Wildfleischpatty")</f>
        <v>Wildfleischpatty</v>
      </c>
      <c r="D512" s="40">
        <f>SUMIFS(Rezepte!F:F,Rezepte!A:A,C512)</f>
        <v>2000</v>
      </c>
      <c r="E512" s="41">
        <f>SUMIFS(Rezepte!G:G,Rezepte!A:A,C512)</f>
        <v>20.6</v>
      </c>
      <c r="F512" s="42">
        <f t="shared" si="2"/>
        <v>0.0103</v>
      </c>
      <c r="G512" s="38"/>
      <c r="H512" s="38"/>
      <c r="I512" s="38"/>
      <c r="J512" s="38"/>
      <c r="K512" s="38"/>
      <c r="L512" s="38"/>
      <c r="M512" s="38"/>
      <c r="N512" s="38"/>
      <c r="O512" s="38"/>
    </row>
    <row r="513" hidden="1">
      <c r="A513" s="38"/>
      <c r="B513" s="38"/>
      <c r="C513" s="39" t="str">
        <f>IFERROR(__xludf.DUMMYFUNCTION("""COMPUTED_VALUE"""),"Wings")</f>
        <v>Wings</v>
      </c>
      <c r="D513" s="40">
        <f>SUMIFS(Rezepte!F:F,Rezepte!A:A,C513)</f>
        <v>36000</v>
      </c>
      <c r="E513" s="41">
        <f>SUMIFS(Rezepte!G:G,Rezepte!A:A,C513)</f>
        <v>182.147</v>
      </c>
      <c r="F513" s="42">
        <f t="shared" si="2"/>
        <v>0.005059638889</v>
      </c>
      <c r="G513" s="38"/>
      <c r="H513" s="38"/>
      <c r="I513" s="38"/>
      <c r="J513" s="38"/>
      <c r="K513" s="38"/>
      <c r="L513" s="38"/>
      <c r="M513" s="38"/>
      <c r="N513" s="38"/>
      <c r="O513" s="38"/>
    </row>
    <row r="514" hidden="1">
      <c r="A514" s="38"/>
      <c r="B514" s="38"/>
      <c r="C514" s="39" t="str">
        <f>IFERROR(__xludf.DUMMYFUNCTION("""COMPUTED_VALUE"""),"Ziegenkäse Erdbeer Salat")</f>
        <v>Ziegenkäse Erdbeer Salat</v>
      </c>
      <c r="D514" s="40">
        <f>SUMIFS(Rezepte!F:F,Rezepte!A:A,C514)</f>
        <v>360</v>
      </c>
      <c r="E514" s="41">
        <f>SUMIFS(Rezepte!G:G,Rezepte!A:A,C514)</f>
        <v>3.97516219</v>
      </c>
      <c r="F514" s="42">
        <f t="shared" si="2"/>
        <v>0.01104211719</v>
      </c>
      <c r="G514" s="38"/>
      <c r="H514" s="38"/>
      <c r="I514" s="38"/>
      <c r="J514" s="38"/>
      <c r="K514" s="38"/>
      <c r="L514" s="38"/>
      <c r="M514" s="38"/>
      <c r="N514" s="38"/>
      <c r="O514" s="38"/>
    </row>
    <row r="515" hidden="1">
      <c r="A515" s="38"/>
      <c r="B515" s="38"/>
      <c r="C515" s="39" t="str">
        <f>IFERROR(__xludf.DUMMYFUNCTION("""COMPUTED_VALUE"""),"Ziegenkäse kugeln")</f>
        <v>Ziegenkäse kugeln</v>
      </c>
      <c r="D515" s="40">
        <f>SUMIFS(Rezepte!F:F,Rezepte!A:A,C515)</f>
        <v>55</v>
      </c>
      <c r="E515" s="41">
        <f>SUMIFS(Rezepte!G:G,Rezepte!A:A,C515)</f>
        <v>0.6836</v>
      </c>
      <c r="F515" s="42">
        <f t="shared" si="2"/>
        <v>0.01242909091</v>
      </c>
      <c r="G515" s="38"/>
      <c r="H515" s="38"/>
      <c r="I515" s="38"/>
      <c r="J515" s="38"/>
      <c r="K515" s="38"/>
      <c r="L515" s="38"/>
      <c r="M515" s="38"/>
      <c r="N515" s="38"/>
      <c r="O515" s="38"/>
    </row>
    <row r="516" hidden="1">
      <c r="A516" s="38"/>
      <c r="B516" s="38"/>
      <c r="C516" s="39" t="str">
        <f>IFERROR(__xludf.DUMMYFUNCTION("""COMPUTED_VALUE"""),"Zitronen-Limonade")</f>
        <v>Zitronen-Limonade</v>
      </c>
      <c r="D516" s="40">
        <f>SUMIFS(Rezepte!F:F,Rezepte!A:A,C516)</f>
        <v>13100</v>
      </c>
      <c r="E516" s="41">
        <f>SUMIFS(Rezepte!G:G,Rezepte!A:A,C516)</f>
        <v>27.6408</v>
      </c>
      <c r="F516" s="42">
        <f t="shared" si="2"/>
        <v>0.002109984733</v>
      </c>
      <c r="G516" s="38"/>
      <c r="H516" s="38"/>
      <c r="I516" s="38"/>
      <c r="J516" s="38"/>
      <c r="K516" s="38"/>
      <c r="L516" s="38"/>
      <c r="M516" s="38"/>
      <c r="N516" s="38"/>
      <c r="O516" s="38"/>
    </row>
    <row r="517" hidden="1">
      <c r="A517" s="38"/>
      <c r="B517" s="38"/>
      <c r="C517" s="39" t="str">
        <f>IFERROR(__xludf.DUMMYFUNCTION("""COMPUTED_VALUE"""),"zwiebel blaubeermarmelade")</f>
        <v>zwiebel blaubeermarmelade</v>
      </c>
      <c r="D517" s="40">
        <f>SUMIFS(Rezepte!F:F,Rezepte!A:A,C517)</f>
        <v>4100</v>
      </c>
      <c r="E517" s="41">
        <f>SUMIFS(Rezepte!G:G,Rezepte!A:A,C517)</f>
        <v>17.60827027</v>
      </c>
      <c r="F517" s="42">
        <f t="shared" si="2"/>
        <v>0.004294700066</v>
      </c>
      <c r="G517" s="38"/>
      <c r="H517" s="38"/>
      <c r="I517" s="38"/>
      <c r="J517" s="38"/>
      <c r="K517" s="38"/>
      <c r="L517" s="38"/>
      <c r="M517" s="38"/>
      <c r="N517" s="38"/>
      <c r="O517" s="38"/>
    </row>
    <row r="518" hidden="1">
      <c r="A518" s="38"/>
      <c r="B518" s="38"/>
      <c r="C518" s="39" t="str">
        <f>IFERROR(__xludf.DUMMYFUNCTION("""COMPUTED_VALUE"""),"Zwiebelmayo")</f>
        <v>Zwiebelmayo</v>
      </c>
      <c r="D518" s="40">
        <f>SUMIFS(Rezepte!F:F,Rezepte!A:A,C518)</f>
        <v>5745</v>
      </c>
      <c r="E518" s="41">
        <f>SUMIFS(Rezepte!G:G,Rezepte!A:A,C518)</f>
        <v>20.48651021</v>
      </c>
      <c r="F518" s="42">
        <f t="shared" si="2"/>
        <v>0.003565972186</v>
      </c>
      <c r="G518" s="38"/>
      <c r="H518" s="38"/>
      <c r="I518" s="38"/>
      <c r="J518" s="38"/>
      <c r="K518" s="38"/>
      <c r="L518" s="38"/>
      <c r="M518" s="38"/>
      <c r="N518" s="38"/>
      <c r="O518" s="38"/>
    </row>
    <row r="519" hidden="1">
      <c r="A519" s="38"/>
      <c r="B519" s="38"/>
      <c r="C519" s="39"/>
      <c r="D519" s="40">
        <f>SUMIFS(Rezepte!F:F,Rezepte!A:A,C519)</f>
        <v>0</v>
      </c>
      <c r="E519" s="41">
        <f>SUMIFS(Rezepte!G:G,Rezepte!A:A,C519)</f>
        <v>0</v>
      </c>
      <c r="F519" s="42" t="str">
        <f t="shared" si="2"/>
        <v>#DIV/0!</v>
      </c>
      <c r="G519" s="38"/>
      <c r="H519" s="38"/>
      <c r="I519" s="38"/>
      <c r="J519" s="38"/>
      <c r="K519" s="38"/>
      <c r="L519" s="38"/>
      <c r="M519" s="38"/>
      <c r="N519" s="38"/>
      <c r="O519" s="38"/>
    </row>
    <row r="520" hidden="1">
      <c r="A520" s="38"/>
      <c r="B520" s="38"/>
      <c r="C520" s="39"/>
      <c r="D520" s="40">
        <f>SUMIFS(Rezepte!F:F,Rezepte!A:A,C520)</f>
        <v>0</v>
      </c>
      <c r="E520" s="41">
        <f>SUMIFS(Rezepte!G:G,Rezepte!A:A,C520)</f>
        <v>0</v>
      </c>
      <c r="F520" s="42" t="str">
        <f t="shared" si="2"/>
        <v>#DIV/0!</v>
      </c>
      <c r="G520" s="38"/>
      <c r="H520" s="38"/>
      <c r="I520" s="38"/>
      <c r="J520" s="38"/>
      <c r="K520" s="38"/>
      <c r="L520" s="38"/>
      <c r="M520" s="38"/>
      <c r="N520" s="38"/>
      <c r="O520" s="38"/>
    </row>
    <row r="521" hidden="1">
      <c r="A521" s="38"/>
      <c r="B521" s="38"/>
      <c r="C521" s="39"/>
      <c r="D521" s="40">
        <f>SUMIFS(Rezepte!F:F,Rezepte!A:A,C521)</f>
        <v>0</v>
      </c>
      <c r="E521" s="41">
        <f>SUMIFS(Rezepte!G:G,Rezepte!A:A,C521)</f>
        <v>0</v>
      </c>
      <c r="F521" s="42" t="str">
        <f t="shared" si="2"/>
        <v>#DIV/0!</v>
      </c>
      <c r="G521" s="38"/>
      <c r="H521" s="38"/>
      <c r="I521" s="38"/>
      <c r="J521" s="38"/>
      <c r="K521" s="38"/>
      <c r="L521" s="38"/>
      <c r="M521" s="38"/>
      <c r="N521" s="38"/>
      <c r="O521" s="38"/>
    </row>
    <row r="522" hidden="1">
      <c r="A522" s="38"/>
      <c r="B522" s="38"/>
      <c r="C522" s="39"/>
      <c r="D522" s="40">
        <f>SUMIFS(Rezepte!F:F,Rezepte!A:A,C522)</f>
        <v>0</v>
      </c>
      <c r="E522" s="41">
        <f>SUMIFS(Rezepte!G:G,Rezepte!A:A,C522)</f>
        <v>0</v>
      </c>
      <c r="F522" s="42" t="str">
        <f t="shared" si="2"/>
        <v>#DIV/0!</v>
      </c>
      <c r="G522" s="38"/>
      <c r="H522" s="38"/>
      <c r="I522" s="38"/>
      <c r="J522" s="38"/>
      <c r="K522" s="38"/>
      <c r="L522" s="38"/>
      <c r="M522" s="38"/>
      <c r="N522" s="38"/>
      <c r="O522" s="38"/>
    </row>
    <row r="523" hidden="1">
      <c r="A523" s="38"/>
      <c r="B523" s="38"/>
      <c r="C523" s="39"/>
      <c r="D523" s="40">
        <f>SUMIFS(Rezepte!F:F,Rezepte!A:A,C523)</f>
        <v>0</v>
      </c>
      <c r="E523" s="41">
        <f>SUMIFS(Rezepte!G:G,Rezepte!A:A,C523)</f>
        <v>0</v>
      </c>
      <c r="F523" s="42" t="str">
        <f t="shared" si="2"/>
        <v>#DIV/0!</v>
      </c>
      <c r="G523" s="38"/>
      <c r="H523" s="38"/>
      <c r="I523" s="38"/>
      <c r="J523" s="38"/>
      <c r="K523" s="38"/>
      <c r="L523" s="38"/>
      <c r="M523" s="38"/>
      <c r="N523" s="38"/>
      <c r="O523" s="38"/>
    </row>
    <row r="524" hidden="1">
      <c r="A524" s="38"/>
      <c r="B524" s="38"/>
      <c r="C524" s="39"/>
      <c r="D524" s="40">
        <f>SUMIFS(Rezepte!F:F,Rezepte!A:A,C524)</f>
        <v>0</v>
      </c>
      <c r="E524" s="41">
        <f>SUMIFS(Rezepte!G:G,Rezepte!A:A,C524)</f>
        <v>0</v>
      </c>
      <c r="F524" s="42" t="str">
        <f t="shared" si="2"/>
        <v>#DIV/0!</v>
      </c>
      <c r="G524" s="38"/>
      <c r="H524" s="38"/>
      <c r="I524" s="38"/>
      <c r="J524" s="38"/>
      <c r="K524" s="38"/>
      <c r="L524" s="38"/>
      <c r="M524" s="38"/>
      <c r="N524" s="38"/>
      <c r="O524" s="38"/>
    </row>
    <row r="525" hidden="1">
      <c r="A525" s="38"/>
      <c r="B525" s="38"/>
      <c r="C525" s="39"/>
      <c r="D525" s="40">
        <f>SUMIFS(Rezepte!F:F,Rezepte!A:A,C525)</f>
        <v>0</v>
      </c>
      <c r="E525" s="41">
        <f>SUMIFS(Rezepte!G:G,Rezepte!A:A,C525)</f>
        <v>0</v>
      </c>
      <c r="F525" s="42" t="str">
        <f t="shared" si="2"/>
        <v>#DIV/0!</v>
      </c>
      <c r="G525" s="38"/>
      <c r="H525" s="38"/>
      <c r="I525" s="38"/>
      <c r="J525" s="38"/>
      <c r="K525" s="38"/>
      <c r="L525" s="38"/>
      <c r="M525" s="38"/>
      <c r="N525" s="38"/>
      <c r="O525" s="38"/>
    </row>
    <row r="526" hidden="1">
      <c r="A526" s="38"/>
      <c r="B526" s="38"/>
      <c r="C526" s="39"/>
      <c r="D526" s="40">
        <f>SUMIFS(Rezepte!F:F,Rezepte!A:A,C526)</f>
        <v>0</v>
      </c>
      <c r="E526" s="41">
        <f>SUMIFS(Rezepte!G:G,Rezepte!A:A,C526)</f>
        <v>0</v>
      </c>
      <c r="F526" s="42" t="str">
        <f t="shared" si="2"/>
        <v>#DIV/0!</v>
      </c>
      <c r="G526" s="38"/>
      <c r="H526" s="38"/>
      <c r="I526" s="38"/>
      <c r="J526" s="38"/>
      <c r="K526" s="38"/>
      <c r="L526" s="38"/>
      <c r="M526" s="38"/>
      <c r="N526" s="38"/>
      <c r="O526" s="38"/>
    </row>
    <row r="527" hidden="1">
      <c r="A527" s="38"/>
      <c r="B527" s="38"/>
      <c r="C527" s="39"/>
      <c r="D527" s="40">
        <f>SUMIFS(Rezepte!F:F,Rezepte!A:A,C527)</f>
        <v>0</v>
      </c>
      <c r="E527" s="41">
        <f>SUMIFS(Rezepte!G:G,Rezepte!A:A,C527)</f>
        <v>0</v>
      </c>
      <c r="F527" s="42" t="str">
        <f t="shared" si="2"/>
        <v>#DIV/0!</v>
      </c>
      <c r="G527" s="38"/>
      <c r="H527" s="38"/>
      <c r="I527" s="38"/>
      <c r="J527" s="38"/>
      <c r="K527" s="38"/>
      <c r="L527" s="38"/>
      <c r="M527" s="38"/>
      <c r="N527" s="38"/>
      <c r="O527" s="38"/>
    </row>
    <row r="528" hidden="1">
      <c r="A528" s="38"/>
      <c r="B528" s="38"/>
      <c r="C528" s="39"/>
      <c r="D528" s="40">
        <f>SUMIFS(Rezepte!F:F,Rezepte!A:A,C528)</f>
        <v>0</v>
      </c>
      <c r="E528" s="41">
        <f>SUMIFS(Rezepte!G:G,Rezepte!A:A,C528)</f>
        <v>0</v>
      </c>
      <c r="F528" s="42" t="str">
        <f t="shared" si="2"/>
        <v>#DIV/0!</v>
      </c>
      <c r="G528" s="38"/>
      <c r="H528" s="38"/>
      <c r="I528" s="38"/>
      <c r="J528" s="38"/>
      <c r="K528" s="38"/>
      <c r="L528" s="38"/>
      <c r="M528" s="38"/>
      <c r="N528" s="38"/>
      <c r="O528" s="38"/>
    </row>
    <row r="529" hidden="1">
      <c r="A529" s="38"/>
      <c r="B529" s="38"/>
      <c r="C529" s="39"/>
      <c r="D529" s="40">
        <f>SUMIFS(Rezepte!F:F,Rezepte!A:A,C529)</f>
        <v>0</v>
      </c>
      <c r="E529" s="41">
        <f>SUMIFS(Rezepte!G:G,Rezepte!A:A,C529)</f>
        <v>0</v>
      </c>
      <c r="F529" s="42" t="str">
        <f t="shared" si="2"/>
        <v>#DIV/0!</v>
      </c>
      <c r="G529" s="38"/>
      <c r="H529" s="38"/>
      <c r="I529" s="38"/>
      <c r="J529" s="38"/>
      <c r="K529" s="38"/>
      <c r="L529" s="38"/>
      <c r="M529" s="38"/>
      <c r="N529" s="38"/>
      <c r="O529" s="38"/>
    </row>
    <row r="530" hidden="1">
      <c r="A530" s="38"/>
      <c r="B530" s="38"/>
      <c r="C530" s="39"/>
      <c r="D530" s="40">
        <f>SUMIFS(Rezepte!F:F,Rezepte!A:A,C530)</f>
        <v>0</v>
      </c>
      <c r="E530" s="41">
        <f>SUMIFS(Rezepte!G:G,Rezepte!A:A,C530)</f>
        <v>0</v>
      </c>
      <c r="F530" s="42" t="str">
        <f t="shared" si="2"/>
        <v>#DIV/0!</v>
      </c>
      <c r="G530" s="38"/>
      <c r="H530" s="38"/>
      <c r="I530" s="38"/>
      <c r="J530" s="38"/>
      <c r="K530" s="38"/>
      <c r="L530" s="38"/>
      <c r="M530" s="38"/>
      <c r="N530" s="38"/>
      <c r="O530" s="38"/>
    </row>
    <row r="531" hidden="1">
      <c r="A531" s="38"/>
      <c r="B531" s="38"/>
      <c r="C531" s="39"/>
      <c r="D531" s="40">
        <f>SUMIFS(Rezepte!F:F,Rezepte!A:A,C531)</f>
        <v>0</v>
      </c>
      <c r="E531" s="41">
        <f>SUMIFS(Rezepte!G:G,Rezepte!A:A,C531)</f>
        <v>0</v>
      </c>
      <c r="F531" s="42" t="str">
        <f t="shared" si="2"/>
        <v>#DIV/0!</v>
      </c>
      <c r="G531" s="38"/>
      <c r="H531" s="38"/>
      <c r="I531" s="38"/>
      <c r="J531" s="38"/>
      <c r="K531" s="38"/>
      <c r="L531" s="38"/>
      <c r="M531" s="38"/>
      <c r="N531" s="38"/>
      <c r="O531" s="38"/>
    </row>
    <row r="532" hidden="1">
      <c r="A532" s="38"/>
      <c r="B532" s="38"/>
      <c r="C532" s="39"/>
      <c r="D532" s="40">
        <f>SUMIFS(Rezepte!F:F,Rezepte!A:A,C532)</f>
        <v>0</v>
      </c>
      <c r="E532" s="41">
        <f>SUMIFS(Rezepte!G:G,Rezepte!A:A,C532)</f>
        <v>0</v>
      </c>
      <c r="F532" s="42" t="str">
        <f t="shared" si="2"/>
        <v>#DIV/0!</v>
      </c>
      <c r="G532" s="38"/>
      <c r="H532" s="38"/>
      <c r="I532" s="38"/>
      <c r="J532" s="38"/>
      <c r="K532" s="38"/>
      <c r="L532" s="38"/>
      <c r="M532" s="38"/>
      <c r="N532" s="38"/>
      <c r="O532" s="38"/>
    </row>
    <row r="533" hidden="1">
      <c r="A533" s="38"/>
      <c r="B533" s="38"/>
      <c r="C533" s="39"/>
      <c r="D533" s="40">
        <f>SUMIFS(Rezepte!F:F,Rezepte!A:A,C533)</f>
        <v>0</v>
      </c>
      <c r="E533" s="41">
        <f>SUMIFS(Rezepte!G:G,Rezepte!A:A,C533)</f>
        <v>0</v>
      </c>
      <c r="F533" s="42" t="str">
        <f t="shared" si="2"/>
        <v>#DIV/0!</v>
      </c>
      <c r="G533" s="38"/>
      <c r="H533" s="38"/>
      <c r="I533" s="38"/>
      <c r="J533" s="38"/>
      <c r="K533" s="38"/>
      <c r="L533" s="38"/>
      <c r="M533" s="38"/>
      <c r="N533" s="38"/>
      <c r="O533" s="38"/>
    </row>
    <row r="534" hidden="1">
      <c r="A534" s="38"/>
      <c r="B534" s="38"/>
      <c r="C534" s="39"/>
      <c r="D534" s="40">
        <f>SUMIFS(Rezepte!F:F,Rezepte!A:A,C534)</f>
        <v>0</v>
      </c>
      <c r="E534" s="41">
        <f>SUMIFS(Rezepte!G:G,Rezepte!A:A,C534)</f>
        <v>0</v>
      </c>
      <c r="F534" s="42" t="str">
        <f t="shared" si="2"/>
        <v>#DIV/0!</v>
      </c>
      <c r="G534" s="38"/>
      <c r="H534" s="38"/>
      <c r="I534" s="38"/>
      <c r="J534" s="38"/>
      <c r="K534" s="38"/>
      <c r="L534" s="38"/>
      <c r="M534" s="38"/>
      <c r="N534" s="38"/>
      <c r="O534" s="38"/>
    </row>
    <row r="535" hidden="1">
      <c r="A535" s="38"/>
      <c r="B535" s="38"/>
      <c r="C535" s="39"/>
      <c r="D535" s="40">
        <f>SUMIFS(Rezepte!F:F,Rezepte!A:A,C535)</f>
        <v>0</v>
      </c>
      <c r="E535" s="41">
        <f>SUMIFS(Rezepte!G:G,Rezepte!A:A,C535)</f>
        <v>0</v>
      </c>
      <c r="F535" s="42" t="str">
        <f t="shared" si="2"/>
        <v>#DIV/0!</v>
      </c>
      <c r="G535" s="38"/>
      <c r="H535" s="38"/>
      <c r="I535" s="38"/>
      <c r="J535" s="38"/>
      <c r="K535" s="38"/>
      <c r="L535" s="38"/>
      <c r="M535" s="38"/>
      <c r="N535" s="38"/>
      <c r="O535" s="38"/>
    </row>
    <row r="536" hidden="1">
      <c r="A536" s="38"/>
      <c r="B536" s="38"/>
      <c r="C536" s="39"/>
      <c r="D536" s="40">
        <f>SUMIFS(Rezepte!F:F,Rezepte!A:A,C536)</f>
        <v>0</v>
      </c>
      <c r="E536" s="41">
        <f>SUMIFS(Rezepte!G:G,Rezepte!A:A,C536)</f>
        <v>0</v>
      </c>
      <c r="F536" s="42" t="str">
        <f t="shared" si="2"/>
        <v>#DIV/0!</v>
      </c>
      <c r="G536" s="38"/>
      <c r="H536" s="38"/>
      <c r="I536" s="38"/>
      <c r="J536" s="38"/>
      <c r="K536" s="38"/>
      <c r="L536" s="38"/>
      <c r="M536" s="38"/>
      <c r="N536" s="38"/>
      <c r="O536" s="38"/>
    </row>
    <row r="537" hidden="1">
      <c r="A537" s="38"/>
      <c r="B537" s="38"/>
      <c r="C537" s="39"/>
      <c r="D537" s="40">
        <f>SUMIFS(Rezepte!F:F,Rezepte!A:A,C537)</f>
        <v>0</v>
      </c>
      <c r="E537" s="41">
        <f>SUMIFS(Rezepte!G:G,Rezepte!A:A,C537)</f>
        <v>0</v>
      </c>
      <c r="F537" s="42" t="str">
        <f t="shared" si="2"/>
        <v>#DIV/0!</v>
      </c>
      <c r="G537" s="38"/>
      <c r="H537" s="38"/>
      <c r="I537" s="38"/>
      <c r="J537" s="38"/>
      <c r="K537" s="38"/>
      <c r="L537" s="38"/>
      <c r="M537" s="38"/>
      <c r="N537" s="38"/>
      <c r="O537" s="38"/>
    </row>
    <row r="538" hidden="1">
      <c r="A538" s="38"/>
      <c r="B538" s="38"/>
      <c r="C538" s="39"/>
      <c r="D538" s="40">
        <f>SUMIFS(Rezepte!F:F,Rezepte!A:A,C538)</f>
        <v>0</v>
      </c>
      <c r="E538" s="41">
        <f>SUMIFS(Rezepte!G:G,Rezepte!A:A,C538)</f>
        <v>0</v>
      </c>
      <c r="F538" s="42" t="str">
        <f t="shared" si="2"/>
        <v>#DIV/0!</v>
      </c>
      <c r="G538" s="38"/>
      <c r="H538" s="38"/>
      <c r="I538" s="38"/>
      <c r="J538" s="38"/>
      <c r="K538" s="38"/>
      <c r="L538" s="38"/>
      <c r="M538" s="38"/>
      <c r="N538" s="38"/>
      <c r="O538" s="38"/>
    </row>
    <row r="539" hidden="1">
      <c r="A539" s="38"/>
      <c r="B539" s="38"/>
      <c r="C539" s="39"/>
      <c r="D539" s="40">
        <f>SUMIFS(Rezepte!F:F,Rezepte!A:A,C539)</f>
        <v>0</v>
      </c>
      <c r="E539" s="41">
        <f>SUMIFS(Rezepte!G:G,Rezepte!A:A,C539)</f>
        <v>0</v>
      </c>
      <c r="F539" s="42" t="str">
        <f t="shared" si="2"/>
        <v>#DIV/0!</v>
      </c>
      <c r="G539" s="38"/>
      <c r="H539" s="38"/>
      <c r="I539" s="38"/>
      <c r="J539" s="38"/>
      <c r="K539" s="38"/>
      <c r="L539" s="38"/>
      <c r="M539" s="38"/>
      <c r="N539" s="38"/>
      <c r="O539" s="38"/>
    </row>
    <row r="540" hidden="1">
      <c r="A540" s="38"/>
      <c r="B540" s="38"/>
      <c r="C540" s="39"/>
      <c r="D540" s="40">
        <f>SUMIFS(Rezepte!F:F,Rezepte!A:A,C540)</f>
        <v>0</v>
      </c>
      <c r="E540" s="41">
        <f>SUMIFS(Rezepte!G:G,Rezepte!A:A,C540)</f>
        <v>0</v>
      </c>
      <c r="F540" s="42" t="str">
        <f t="shared" si="2"/>
        <v>#DIV/0!</v>
      </c>
      <c r="G540" s="38"/>
      <c r="H540" s="38"/>
      <c r="I540" s="38"/>
      <c r="J540" s="38"/>
      <c r="K540" s="38"/>
      <c r="L540" s="38"/>
      <c r="M540" s="38"/>
      <c r="N540" s="38"/>
      <c r="O540" s="38"/>
    </row>
    <row r="541" hidden="1">
      <c r="A541" s="38"/>
      <c r="B541" s="38"/>
      <c r="C541" s="39"/>
      <c r="D541" s="40">
        <f>SUMIFS(Rezepte!F:F,Rezepte!A:A,C541)</f>
        <v>0</v>
      </c>
      <c r="E541" s="41">
        <f>SUMIFS(Rezepte!G:G,Rezepte!A:A,C541)</f>
        <v>0</v>
      </c>
      <c r="F541" s="42" t="str">
        <f t="shared" si="2"/>
        <v>#DIV/0!</v>
      </c>
      <c r="G541" s="38"/>
      <c r="H541" s="38"/>
      <c r="I541" s="38"/>
      <c r="J541" s="38"/>
      <c r="K541" s="38"/>
      <c r="L541" s="38"/>
      <c r="M541" s="38"/>
      <c r="N541" s="38"/>
      <c r="O541" s="38"/>
    </row>
    <row r="542" hidden="1">
      <c r="A542" s="38"/>
      <c r="B542" s="38"/>
      <c r="C542" s="39"/>
      <c r="D542" s="40">
        <f>SUMIFS(Rezepte!F:F,Rezepte!A:A,C542)</f>
        <v>0</v>
      </c>
      <c r="E542" s="41">
        <f>SUMIFS(Rezepte!G:G,Rezepte!A:A,C542)</f>
        <v>0</v>
      </c>
      <c r="F542" s="42" t="str">
        <f t="shared" si="2"/>
        <v>#DIV/0!</v>
      </c>
      <c r="G542" s="38"/>
      <c r="H542" s="38"/>
      <c r="I542" s="38"/>
      <c r="J542" s="38"/>
      <c r="K542" s="38"/>
      <c r="L542" s="38"/>
      <c r="M542" s="38"/>
      <c r="N542" s="38"/>
      <c r="O542" s="38"/>
    </row>
    <row r="543" hidden="1">
      <c r="A543" s="38"/>
      <c r="B543" s="38"/>
      <c r="C543" s="39"/>
      <c r="D543" s="40">
        <f>SUMIFS(Rezepte!F:F,Rezepte!A:A,C543)</f>
        <v>0</v>
      </c>
      <c r="E543" s="41">
        <f>SUMIFS(Rezepte!G:G,Rezepte!A:A,C543)</f>
        <v>0</v>
      </c>
      <c r="F543" s="42" t="str">
        <f t="shared" si="2"/>
        <v>#DIV/0!</v>
      </c>
      <c r="G543" s="38"/>
      <c r="H543" s="38"/>
      <c r="I543" s="38"/>
      <c r="J543" s="38"/>
      <c r="K543" s="38"/>
      <c r="L543" s="38"/>
      <c r="M543" s="38"/>
      <c r="N543" s="38"/>
      <c r="O543" s="38"/>
    </row>
    <row r="544" hidden="1">
      <c r="A544" s="38"/>
      <c r="B544" s="38"/>
      <c r="C544" s="39"/>
      <c r="D544" s="40">
        <f>SUMIFS(Rezepte!F:F,Rezepte!A:A,C544)</f>
        <v>0</v>
      </c>
      <c r="E544" s="41">
        <f>SUMIFS(Rezepte!G:G,Rezepte!A:A,C544)</f>
        <v>0</v>
      </c>
      <c r="F544" s="42" t="str">
        <f t="shared" si="2"/>
        <v>#DIV/0!</v>
      </c>
      <c r="G544" s="38"/>
      <c r="H544" s="38"/>
      <c r="I544" s="38"/>
      <c r="J544" s="38"/>
      <c r="K544" s="38"/>
      <c r="L544" s="38"/>
      <c r="M544" s="38"/>
      <c r="N544" s="38"/>
      <c r="O544" s="38"/>
    </row>
    <row r="545" hidden="1">
      <c r="A545" s="38"/>
      <c r="B545" s="38"/>
      <c r="C545" s="39"/>
      <c r="D545" s="40">
        <f>SUMIFS(Rezepte!F:F,Rezepte!A:A,C545)</f>
        <v>0</v>
      </c>
      <c r="E545" s="41">
        <f>SUMIFS(Rezepte!G:G,Rezepte!A:A,C545)</f>
        <v>0</v>
      </c>
      <c r="F545" s="42" t="str">
        <f t="shared" si="2"/>
        <v>#DIV/0!</v>
      </c>
      <c r="G545" s="38"/>
      <c r="H545" s="38"/>
      <c r="I545" s="38"/>
      <c r="J545" s="38"/>
      <c r="K545" s="38"/>
      <c r="L545" s="38"/>
      <c r="M545" s="38"/>
      <c r="N545" s="38"/>
      <c r="O545" s="38"/>
    </row>
    <row r="546" hidden="1">
      <c r="A546" s="38"/>
      <c r="B546" s="38"/>
      <c r="C546" s="39"/>
      <c r="D546" s="40">
        <f>SUMIFS(Rezepte!F:F,Rezepte!A:A,C546)</f>
        <v>0</v>
      </c>
      <c r="E546" s="41">
        <f>SUMIFS(Rezepte!G:G,Rezepte!A:A,C546)</f>
        <v>0</v>
      </c>
      <c r="F546" s="42" t="str">
        <f t="shared" si="2"/>
        <v>#DIV/0!</v>
      </c>
      <c r="G546" s="38"/>
      <c r="H546" s="38"/>
      <c r="I546" s="38"/>
      <c r="J546" s="38"/>
      <c r="K546" s="38"/>
      <c r="L546" s="38"/>
      <c r="M546" s="38"/>
      <c r="N546" s="38"/>
      <c r="O546" s="38"/>
    </row>
    <row r="547" hidden="1">
      <c r="A547" s="38"/>
      <c r="B547" s="38"/>
      <c r="C547" s="39"/>
      <c r="D547" s="40">
        <f>SUMIFS(Rezepte!F:F,Rezepte!A:A,C547)</f>
        <v>0</v>
      </c>
      <c r="E547" s="41">
        <f>SUMIFS(Rezepte!G:G,Rezepte!A:A,C547)</f>
        <v>0</v>
      </c>
      <c r="F547" s="42" t="str">
        <f t="shared" si="2"/>
        <v>#DIV/0!</v>
      </c>
      <c r="G547" s="38"/>
      <c r="H547" s="38"/>
      <c r="I547" s="38"/>
      <c r="J547" s="38"/>
      <c r="K547" s="38"/>
      <c r="L547" s="38"/>
      <c r="M547" s="38"/>
      <c r="N547" s="38"/>
      <c r="O547" s="38"/>
    </row>
    <row r="548" hidden="1">
      <c r="A548" s="38"/>
      <c r="B548" s="38"/>
      <c r="C548" s="39"/>
      <c r="D548" s="40">
        <f>SUMIFS(Rezepte!F:F,Rezepte!A:A,C548)</f>
        <v>0</v>
      </c>
      <c r="E548" s="41">
        <f>SUMIFS(Rezepte!G:G,Rezepte!A:A,C548)</f>
        <v>0</v>
      </c>
      <c r="F548" s="42" t="str">
        <f t="shared" si="2"/>
        <v>#DIV/0!</v>
      </c>
      <c r="G548" s="38"/>
      <c r="H548" s="38"/>
      <c r="I548" s="38"/>
      <c r="J548" s="38"/>
      <c r="K548" s="38"/>
      <c r="L548" s="38"/>
      <c r="M548" s="38"/>
      <c r="N548" s="38"/>
      <c r="O548" s="38"/>
    </row>
    <row r="549" hidden="1">
      <c r="A549" s="38"/>
      <c r="B549" s="38"/>
      <c r="C549" s="39"/>
      <c r="D549" s="40">
        <f>SUMIFS(Rezepte!F:F,Rezepte!A:A,C549)</f>
        <v>0</v>
      </c>
      <c r="E549" s="41">
        <f>SUMIFS(Rezepte!G:G,Rezepte!A:A,C549)</f>
        <v>0</v>
      </c>
      <c r="F549" s="42" t="str">
        <f t="shared" si="2"/>
        <v>#DIV/0!</v>
      </c>
      <c r="G549" s="38"/>
      <c r="H549" s="38"/>
      <c r="I549" s="38"/>
      <c r="J549" s="38"/>
      <c r="K549" s="38"/>
      <c r="L549" s="38"/>
      <c r="M549" s="38"/>
      <c r="N549" s="38"/>
      <c r="O549" s="38"/>
    </row>
    <row r="550" hidden="1">
      <c r="A550" s="38"/>
      <c r="B550" s="38"/>
      <c r="C550" s="39"/>
      <c r="D550" s="40">
        <f>SUMIFS(Rezepte!F:F,Rezepte!A:A,C550)</f>
        <v>0</v>
      </c>
      <c r="E550" s="41">
        <f>SUMIFS(Rezepte!G:G,Rezepte!A:A,C550)</f>
        <v>0</v>
      </c>
      <c r="F550" s="42" t="str">
        <f t="shared" si="2"/>
        <v>#DIV/0!</v>
      </c>
      <c r="G550" s="38"/>
      <c r="H550" s="38"/>
      <c r="I550" s="38"/>
      <c r="J550" s="38"/>
      <c r="K550" s="38"/>
      <c r="L550" s="38"/>
      <c r="M550" s="38"/>
      <c r="N550" s="38"/>
      <c r="O550" s="38"/>
    </row>
    <row r="551" hidden="1">
      <c r="A551" s="38"/>
      <c r="B551" s="38"/>
      <c r="C551" s="39"/>
      <c r="D551" s="40">
        <f>SUMIFS(Rezepte!F:F,Rezepte!A:A,C551)</f>
        <v>0</v>
      </c>
      <c r="E551" s="41">
        <f>SUMIFS(Rezepte!G:G,Rezepte!A:A,C551)</f>
        <v>0</v>
      </c>
      <c r="F551" s="42" t="str">
        <f t="shared" si="2"/>
        <v>#DIV/0!</v>
      </c>
      <c r="G551" s="38"/>
      <c r="H551" s="38"/>
      <c r="I551" s="38"/>
      <c r="J551" s="38"/>
      <c r="K551" s="38"/>
      <c r="L551" s="38"/>
      <c r="M551" s="38"/>
      <c r="N551" s="38"/>
      <c r="O551" s="38"/>
    </row>
    <row r="552" hidden="1">
      <c r="A552" s="38"/>
      <c r="B552" s="38"/>
      <c r="C552" s="39"/>
      <c r="D552" s="40">
        <f>SUMIFS(Rezepte!F:F,Rezepte!A:A,C552)</f>
        <v>0</v>
      </c>
      <c r="E552" s="41">
        <f>SUMIFS(Rezepte!G:G,Rezepte!A:A,C552)</f>
        <v>0</v>
      </c>
      <c r="F552" s="42" t="str">
        <f t="shared" si="2"/>
        <v>#DIV/0!</v>
      </c>
      <c r="G552" s="38"/>
      <c r="H552" s="38"/>
      <c r="I552" s="38"/>
      <c r="J552" s="38"/>
      <c r="K552" s="38"/>
      <c r="L552" s="38"/>
      <c r="M552" s="38"/>
      <c r="N552" s="38"/>
      <c r="O552" s="38"/>
    </row>
    <row r="553" hidden="1">
      <c r="A553" s="38"/>
      <c r="B553" s="38"/>
      <c r="C553" s="39"/>
      <c r="D553" s="40">
        <f>SUMIFS(Rezepte!F:F,Rezepte!A:A,C553)</f>
        <v>0</v>
      </c>
      <c r="E553" s="41">
        <f>SUMIFS(Rezepte!G:G,Rezepte!A:A,C553)</f>
        <v>0</v>
      </c>
      <c r="F553" s="42" t="str">
        <f t="shared" si="2"/>
        <v>#DIV/0!</v>
      </c>
      <c r="G553" s="38"/>
      <c r="H553" s="38"/>
      <c r="I553" s="38"/>
      <c r="J553" s="38"/>
      <c r="K553" s="38"/>
      <c r="L553" s="38"/>
      <c r="M553" s="38"/>
      <c r="N553" s="38"/>
      <c r="O553" s="38"/>
    </row>
    <row r="554" hidden="1">
      <c r="A554" s="38"/>
      <c r="B554" s="38"/>
      <c r="C554" s="39"/>
      <c r="D554" s="40">
        <f>SUMIFS(Rezepte!F:F,Rezepte!A:A,C554)</f>
        <v>0</v>
      </c>
      <c r="E554" s="41">
        <f>SUMIFS(Rezepte!G:G,Rezepte!A:A,C554)</f>
        <v>0</v>
      </c>
      <c r="F554" s="42" t="str">
        <f t="shared" si="2"/>
        <v>#DIV/0!</v>
      </c>
      <c r="G554" s="38"/>
      <c r="H554" s="38"/>
      <c r="I554" s="38"/>
      <c r="J554" s="38"/>
      <c r="K554" s="38"/>
      <c r="L554" s="38"/>
      <c r="M554" s="38"/>
      <c r="N554" s="38"/>
      <c r="O554" s="38"/>
    </row>
    <row r="555" hidden="1">
      <c r="A555" s="38"/>
      <c r="B555" s="38"/>
      <c r="C555" s="39"/>
      <c r="D555" s="40">
        <f>SUMIFS(Rezepte!F:F,Rezepte!A:A,C555)</f>
        <v>0</v>
      </c>
      <c r="E555" s="41">
        <f>SUMIFS(Rezepte!G:G,Rezepte!A:A,C555)</f>
        <v>0</v>
      </c>
      <c r="F555" s="42" t="str">
        <f t="shared" si="2"/>
        <v>#DIV/0!</v>
      </c>
      <c r="G555" s="38"/>
      <c r="H555" s="38"/>
      <c r="I555" s="38"/>
      <c r="J555" s="38"/>
      <c r="K555" s="38"/>
      <c r="L555" s="38"/>
      <c r="M555" s="38"/>
      <c r="N555" s="38"/>
      <c r="O555" s="38"/>
    </row>
    <row r="556" hidden="1">
      <c r="A556" s="38"/>
      <c r="B556" s="38"/>
      <c r="C556" s="39"/>
      <c r="D556" s="40">
        <f>SUMIFS(Rezepte!F:F,Rezepte!A:A,C556)</f>
        <v>0</v>
      </c>
      <c r="E556" s="41">
        <f>SUMIFS(Rezepte!G:G,Rezepte!A:A,C556)</f>
        <v>0</v>
      </c>
      <c r="F556" s="42" t="str">
        <f t="shared" si="2"/>
        <v>#DIV/0!</v>
      </c>
      <c r="G556" s="38"/>
      <c r="H556" s="38"/>
      <c r="I556" s="38"/>
      <c r="J556" s="38"/>
      <c r="K556" s="38"/>
      <c r="L556" s="38"/>
      <c r="M556" s="38"/>
      <c r="N556" s="38"/>
      <c r="O556" s="38"/>
    </row>
    <row r="557" hidden="1">
      <c r="A557" s="38"/>
      <c r="B557" s="38"/>
      <c r="C557" s="39"/>
      <c r="D557" s="40">
        <f>SUMIFS(Rezepte!F:F,Rezepte!A:A,C557)</f>
        <v>0</v>
      </c>
      <c r="E557" s="41">
        <f>SUMIFS(Rezepte!G:G,Rezepte!A:A,C557)</f>
        <v>0</v>
      </c>
      <c r="F557" s="42" t="str">
        <f t="shared" si="2"/>
        <v>#DIV/0!</v>
      </c>
      <c r="G557" s="38"/>
      <c r="H557" s="38"/>
      <c r="I557" s="38"/>
      <c r="J557" s="38"/>
      <c r="K557" s="38"/>
      <c r="L557" s="38"/>
      <c r="M557" s="38"/>
      <c r="N557" s="38"/>
      <c r="O557" s="38"/>
    </row>
    <row r="558" hidden="1">
      <c r="A558" s="38"/>
      <c r="B558" s="38"/>
      <c r="C558" s="39"/>
      <c r="D558" s="40">
        <f>SUMIFS(Rezepte!F:F,Rezepte!A:A,C558)</f>
        <v>0</v>
      </c>
      <c r="E558" s="41">
        <f>SUMIFS(Rezepte!G:G,Rezepte!A:A,C558)</f>
        <v>0</v>
      </c>
      <c r="F558" s="42" t="str">
        <f t="shared" si="2"/>
        <v>#DIV/0!</v>
      </c>
      <c r="G558" s="38"/>
      <c r="H558" s="38"/>
      <c r="I558" s="38"/>
      <c r="J558" s="38"/>
      <c r="K558" s="38"/>
      <c r="L558" s="38"/>
      <c r="M558" s="38"/>
      <c r="N558" s="38"/>
      <c r="O558" s="38"/>
    </row>
    <row r="559" hidden="1">
      <c r="A559" s="38"/>
      <c r="B559" s="38"/>
      <c r="C559" s="39"/>
      <c r="D559" s="40">
        <f>SUMIFS(Rezepte!F:F,Rezepte!A:A,C559)</f>
        <v>0</v>
      </c>
      <c r="E559" s="41">
        <f>SUMIFS(Rezepte!G:G,Rezepte!A:A,C559)</f>
        <v>0</v>
      </c>
      <c r="F559" s="42" t="str">
        <f t="shared" si="2"/>
        <v>#DIV/0!</v>
      </c>
      <c r="G559" s="38"/>
      <c r="H559" s="38"/>
      <c r="I559" s="38"/>
      <c r="J559" s="38"/>
      <c r="K559" s="38"/>
      <c r="L559" s="38"/>
      <c r="M559" s="38"/>
      <c r="N559" s="38"/>
      <c r="O559" s="38"/>
    </row>
    <row r="560" hidden="1">
      <c r="A560" s="38"/>
      <c r="B560" s="38"/>
      <c r="C560" s="39"/>
      <c r="D560" s="40">
        <f>SUMIFS(Rezepte!F:F,Rezepte!A:A,C560)</f>
        <v>0</v>
      </c>
      <c r="E560" s="41">
        <f>SUMIFS(Rezepte!G:G,Rezepte!A:A,C560)</f>
        <v>0</v>
      </c>
      <c r="F560" s="42" t="str">
        <f t="shared" si="2"/>
        <v>#DIV/0!</v>
      </c>
      <c r="G560" s="38"/>
      <c r="H560" s="38"/>
      <c r="I560" s="38"/>
      <c r="J560" s="38"/>
      <c r="K560" s="38"/>
      <c r="L560" s="38"/>
      <c r="M560" s="38"/>
      <c r="N560" s="38"/>
      <c r="O560" s="38"/>
    </row>
    <row r="561" hidden="1">
      <c r="A561" s="38"/>
      <c r="B561" s="38"/>
      <c r="C561" s="39"/>
      <c r="D561" s="40">
        <f>SUMIFS(Rezepte!F:F,Rezepte!A:A,C561)</f>
        <v>0</v>
      </c>
      <c r="E561" s="41">
        <f>SUMIFS(Rezepte!G:G,Rezepte!A:A,C561)</f>
        <v>0</v>
      </c>
      <c r="F561" s="42" t="str">
        <f t="shared" si="2"/>
        <v>#DIV/0!</v>
      </c>
      <c r="G561" s="38"/>
      <c r="H561" s="38"/>
      <c r="I561" s="38"/>
      <c r="J561" s="38"/>
      <c r="K561" s="38"/>
      <c r="L561" s="38"/>
      <c r="M561" s="38"/>
      <c r="N561" s="38"/>
      <c r="O561" s="38"/>
    </row>
    <row r="562" hidden="1">
      <c r="A562" s="38"/>
      <c r="B562" s="38"/>
      <c r="C562" s="39"/>
      <c r="D562" s="40">
        <f>SUMIFS(Rezepte!F:F,Rezepte!A:A,C562)</f>
        <v>0</v>
      </c>
      <c r="E562" s="41">
        <f>SUMIFS(Rezepte!G:G,Rezepte!A:A,C562)</f>
        <v>0</v>
      </c>
      <c r="F562" s="42" t="str">
        <f t="shared" si="2"/>
        <v>#DIV/0!</v>
      </c>
      <c r="G562" s="38"/>
      <c r="H562" s="38"/>
      <c r="I562" s="38"/>
      <c r="J562" s="38"/>
      <c r="K562" s="38"/>
      <c r="L562" s="38"/>
      <c r="M562" s="38"/>
      <c r="N562" s="38"/>
      <c r="O562" s="38"/>
    </row>
    <row r="563" hidden="1">
      <c r="A563" s="38"/>
      <c r="B563" s="38"/>
      <c r="C563" s="39"/>
      <c r="D563" s="40">
        <f>SUMIFS(Rezepte!F:F,Rezepte!A:A,C563)</f>
        <v>0</v>
      </c>
      <c r="E563" s="41">
        <f>SUMIFS(Rezepte!G:G,Rezepte!A:A,C563)</f>
        <v>0</v>
      </c>
      <c r="F563" s="42" t="str">
        <f t="shared" si="2"/>
        <v>#DIV/0!</v>
      </c>
      <c r="G563" s="38"/>
      <c r="H563" s="38"/>
      <c r="I563" s="38"/>
      <c r="J563" s="38"/>
      <c r="K563" s="38"/>
      <c r="L563" s="38"/>
      <c r="M563" s="38"/>
      <c r="N563" s="38"/>
      <c r="O563" s="38"/>
    </row>
    <row r="564" hidden="1">
      <c r="A564" s="38"/>
      <c r="B564" s="38"/>
      <c r="C564" s="39"/>
      <c r="D564" s="40">
        <f>SUMIFS(Rezepte!F:F,Rezepte!A:A,C564)</f>
        <v>0</v>
      </c>
      <c r="E564" s="41">
        <f>SUMIFS(Rezepte!G:G,Rezepte!A:A,C564)</f>
        <v>0</v>
      </c>
      <c r="F564" s="42" t="str">
        <f t="shared" si="2"/>
        <v>#DIV/0!</v>
      </c>
      <c r="G564" s="38"/>
      <c r="H564" s="38"/>
      <c r="I564" s="38"/>
      <c r="J564" s="38"/>
      <c r="K564" s="38"/>
      <c r="L564" s="38"/>
      <c r="M564" s="38"/>
      <c r="N564" s="38"/>
      <c r="O564" s="38"/>
    </row>
    <row r="565" hidden="1">
      <c r="A565" s="38"/>
      <c r="B565" s="38"/>
      <c r="C565" s="39"/>
      <c r="D565" s="40">
        <f>SUMIFS(Rezepte!F:F,Rezepte!A:A,C565)</f>
        <v>0</v>
      </c>
      <c r="E565" s="41">
        <f>SUMIFS(Rezepte!G:G,Rezepte!A:A,C565)</f>
        <v>0</v>
      </c>
      <c r="F565" s="42" t="str">
        <f t="shared" si="2"/>
        <v>#DIV/0!</v>
      </c>
      <c r="G565" s="38"/>
      <c r="H565" s="38"/>
      <c r="I565" s="38"/>
      <c r="J565" s="38"/>
      <c r="K565" s="38"/>
      <c r="L565" s="38"/>
      <c r="M565" s="38"/>
      <c r="N565" s="38"/>
      <c r="O565" s="38"/>
    </row>
    <row r="566" hidden="1">
      <c r="A566" s="38"/>
      <c r="B566" s="38"/>
      <c r="C566" s="39"/>
      <c r="D566" s="40">
        <f>SUMIFS(Rezepte!F:F,Rezepte!A:A,C566)</f>
        <v>0</v>
      </c>
      <c r="E566" s="41">
        <f>SUMIFS(Rezepte!G:G,Rezepte!A:A,C566)</f>
        <v>0</v>
      </c>
      <c r="F566" s="42" t="str">
        <f t="shared" si="2"/>
        <v>#DIV/0!</v>
      </c>
      <c r="G566" s="38"/>
      <c r="H566" s="38"/>
      <c r="I566" s="38"/>
      <c r="J566" s="38"/>
      <c r="K566" s="38"/>
      <c r="L566" s="38"/>
      <c r="M566" s="38"/>
      <c r="N566" s="38"/>
      <c r="O566" s="38"/>
    </row>
    <row r="567" hidden="1">
      <c r="A567" s="38"/>
      <c r="B567" s="38"/>
      <c r="C567" s="39"/>
      <c r="D567" s="40">
        <f>SUMIFS(Rezepte!F:F,Rezepte!A:A,C567)</f>
        <v>0</v>
      </c>
      <c r="E567" s="41">
        <f>SUMIFS(Rezepte!G:G,Rezepte!A:A,C567)</f>
        <v>0</v>
      </c>
      <c r="F567" s="42" t="str">
        <f t="shared" si="2"/>
        <v>#DIV/0!</v>
      </c>
      <c r="G567" s="38"/>
      <c r="H567" s="38"/>
      <c r="I567" s="38"/>
      <c r="J567" s="38"/>
      <c r="K567" s="38"/>
      <c r="L567" s="38"/>
      <c r="M567" s="38"/>
      <c r="N567" s="38"/>
      <c r="O567" s="38"/>
    </row>
    <row r="568" hidden="1">
      <c r="A568" s="38"/>
      <c r="B568" s="38"/>
      <c r="C568" s="39"/>
      <c r="D568" s="40">
        <f>SUMIFS(Rezepte!F:F,Rezepte!A:A,C568)</f>
        <v>0</v>
      </c>
      <c r="E568" s="41">
        <f>SUMIFS(Rezepte!G:G,Rezepte!A:A,C568)</f>
        <v>0</v>
      </c>
      <c r="F568" s="42" t="str">
        <f t="shared" si="2"/>
        <v>#DIV/0!</v>
      </c>
      <c r="G568" s="38"/>
      <c r="H568" s="38"/>
      <c r="I568" s="38"/>
      <c r="J568" s="38"/>
      <c r="K568" s="38"/>
      <c r="L568" s="38"/>
      <c r="M568" s="38"/>
      <c r="N568" s="38"/>
      <c r="O568" s="38"/>
    </row>
    <row r="569" hidden="1">
      <c r="A569" s="38"/>
      <c r="B569" s="38"/>
      <c r="C569" s="39"/>
      <c r="D569" s="40">
        <f>SUMIFS(Rezepte!F:F,Rezepte!A:A,C569)</f>
        <v>0</v>
      </c>
      <c r="E569" s="41">
        <f>SUMIFS(Rezepte!G:G,Rezepte!A:A,C569)</f>
        <v>0</v>
      </c>
      <c r="F569" s="42" t="str">
        <f t="shared" si="2"/>
        <v>#DIV/0!</v>
      </c>
      <c r="G569" s="38"/>
      <c r="H569" s="38"/>
      <c r="I569" s="38"/>
      <c r="J569" s="38"/>
      <c r="K569" s="38"/>
      <c r="L569" s="38"/>
      <c r="M569" s="38"/>
      <c r="N569" s="38"/>
      <c r="O569" s="38"/>
    </row>
    <row r="570" hidden="1">
      <c r="A570" s="38"/>
      <c r="B570" s="38"/>
      <c r="C570" s="39"/>
      <c r="D570" s="40">
        <f>SUMIFS(Rezepte!F:F,Rezepte!A:A,C570)</f>
        <v>0</v>
      </c>
      <c r="E570" s="41">
        <f>SUMIFS(Rezepte!G:G,Rezepte!A:A,C570)</f>
        <v>0</v>
      </c>
      <c r="F570" s="42" t="str">
        <f t="shared" si="2"/>
        <v>#DIV/0!</v>
      </c>
      <c r="G570" s="38"/>
      <c r="H570" s="38"/>
      <c r="I570" s="38"/>
      <c r="J570" s="38"/>
      <c r="K570" s="38"/>
      <c r="L570" s="38"/>
      <c r="M570" s="38"/>
      <c r="N570" s="38"/>
      <c r="O570" s="38"/>
    </row>
    <row r="571" hidden="1">
      <c r="A571" s="38"/>
      <c r="B571" s="38"/>
      <c r="C571" s="39"/>
      <c r="D571" s="40">
        <f>SUMIFS(Rezepte!F:F,Rezepte!A:A,C571)</f>
        <v>0</v>
      </c>
      <c r="E571" s="41">
        <f>SUMIFS(Rezepte!G:G,Rezepte!A:A,C571)</f>
        <v>0</v>
      </c>
      <c r="F571" s="42" t="str">
        <f t="shared" si="2"/>
        <v>#DIV/0!</v>
      </c>
      <c r="G571" s="38"/>
      <c r="H571" s="38"/>
      <c r="I571" s="38"/>
      <c r="J571" s="38"/>
      <c r="K571" s="38"/>
      <c r="L571" s="38"/>
      <c r="M571" s="38"/>
      <c r="N571" s="38"/>
      <c r="O571" s="38"/>
    </row>
    <row r="572" hidden="1">
      <c r="A572" s="38"/>
      <c r="B572" s="38"/>
      <c r="C572" s="39"/>
      <c r="D572" s="40">
        <f>SUMIFS(Rezepte!F:F,Rezepte!A:A,C572)</f>
        <v>0</v>
      </c>
      <c r="E572" s="41">
        <f>SUMIFS(Rezepte!G:G,Rezepte!A:A,C572)</f>
        <v>0</v>
      </c>
      <c r="F572" s="42" t="str">
        <f t="shared" si="2"/>
        <v>#DIV/0!</v>
      </c>
      <c r="G572" s="38"/>
      <c r="H572" s="38"/>
      <c r="I572" s="38"/>
      <c r="J572" s="38"/>
      <c r="K572" s="38"/>
      <c r="L572" s="38"/>
      <c r="M572" s="38"/>
      <c r="N572" s="38"/>
      <c r="O572" s="38"/>
    </row>
    <row r="573" hidden="1">
      <c r="A573" s="38"/>
      <c r="B573" s="38"/>
      <c r="C573" s="39"/>
      <c r="D573" s="40">
        <f>SUMIFS(Rezepte!F:F,Rezepte!A:A,C573)</f>
        <v>0</v>
      </c>
      <c r="E573" s="41">
        <f>SUMIFS(Rezepte!G:G,Rezepte!A:A,C573)</f>
        <v>0</v>
      </c>
      <c r="F573" s="42" t="str">
        <f t="shared" si="2"/>
        <v>#DIV/0!</v>
      </c>
      <c r="G573" s="38"/>
      <c r="H573" s="38"/>
      <c r="I573" s="38"/>
      <c r="J573" s="38"/>
      <c r="K573" s="38"/>
      <c r="L573" s="38"/>
      <c r="M573" s="38"/>
      <c r="N573" s="38"/>
      <c r="O573" s="38"/>
    </row>
    <row r="574" hidden="1">
      <c r="A574" s="38"/>
      <c r="B574" s="38"/>
      <c r="C574" s="39"/>
      <c r="D574" s="40">
        <f>SUMIFS(Rezepte!F:F,Rezepte!A:A,C574)</f>
        <v>0</v>
      </c>
      <c r="E574" s="41">
        <f>SUMIFS(Rezepte!G:G,Rezepte!A:A,C574)</f>
        <v>0</v>
      </c>
      <c r="F574" s="42" t="str">
        <f t="shared" si="2"/>
        <v>#DIV/0!</v>
      </c>
      <c r="G574" s="38"/>
      <c r="H574" s="38"/>
      <c r="I574" s="38"/>
      <c r="J574" s="38"/>
      <c r="K574" s="38"/>
      <c r="L574" s="38"/>
      <c r="M574" s="38"/>
      <c r="N574" s="38"/>
      <c r="O574" s="38"/>
    </row>
    <row r="575" hidden="1">
      <c r="A575" s="38"/>
      <c r="B575" s="38"/>
      <c r="C575" s="39"/>
      <c r="D575" s="40">
        <f>SUMIFS(Rezepte!F:F,Rezepte!A:A,C575)</f>
        <v>0</v>
      </c>
      <c r="E575" s="41">
        <f>SUMIFS(Rezepte!G:G,Rezepte!A:A,C575)</f>
        <v>0</v>
      </c>
      <c r="F575" s="42" t="str">
        <f t="shared" si="2"/>
        <v>#DIV/0!</v>
      </c>
      <c r="G575" s="38"/>
      <c r="H575" s="38"/>
      <c r="I575" s="38"/>
      <c r="J575" s="38"/>
      <c r="K575" s="38"/>
      <c r="L575" s="38"/>
      <c r="M575" s="38"/>
      <c r="N575" s="38"/>
      <c r="O575" s="38"/>
    </row>
    <row r="576" hidden="1">
      <c r="A576" s="38"/>
      <c r="B576" s="38"/>
      <c r="C576" s="39"/>
      <c r="D576" s="40">
        <f>SUMIFS(Rezepte!F:F,Rezepte!A:A,C576)</f>
        <v>0</v>
      </c>
      <c r="E576" s="41">
        <f>SUMIFS(Rezepte!G:G,Rezepte!A:A,C576)</f>
        <v>0</v>
      </c>
      <c r="F576" s="42" t="str">
        <f t="shared" si="2"/>
        <v>#DIV/0!</v>
      </c>
      <c r="G576" s="38"/>
      <c r="H576" s="38"/>
      <c r="I576" s="38"/>
      <c r="J576" s="38"/>
      <c r="K576" s="38"/>
      <c r="L576" s="38"/>
      <c r="M576" s="38"/>
      <c r="N576" s="38"/>
      <c r="O576" s="38"/>
    </row>
    <row r="577" hidden="1">
      <c r="A577" s="38"/>
      <c r="B577" s="38"/>
      <c r="C577" s="39"/>
      <c r="D577" s="40">
        <f>SUMIFS(Rezepte!F:F,Rezepte!A:A,C577)</f>
        <v>0</v>
      </c>
      <c r="E577" s="41">
        <f>SUMIFS(Rezepte!G:G,Rezepte!A:A,C577)</f>
        <v>0</v>
      </c>
      <c r="F577" s="42" t="str">
        <f t="shared" si="2"/>
        <v>#DIV/0!</v>
      </c>
      <c r="G577" s="38"/>
      <c r="H577" s="38"/>
      <c r="I577" s="38"/>
      <c r="J577" s="38"/>
      <c r="K577" s="38"/>
      <c r="L577" s="38"/>
      <c r="M577" s="38"/>
      <c r="N577" s="38"/>
      <c r="O577" s="38"/>
    </row>
    <row r="578" hidden="1">
      <c r="A578" s="38"/>
      <c r="B578" s="38"/>
      <c r="C578" s="39"/>
      <c r="D578" s="40">
        <f>SUMIFS(Rezepte!F:F,Rezepte!A:A,C578)</f>
        <v>0</v>
      </c>
      <c r="E578" s="41">
        <f>SUMIFS(Rezepte!G:G,Rezepte!A:A,C578)</f>
        <v>0</v>
      </c>
      <c r="F578" s="42" t="str">
        <f t="shared" si="2"/>
        <v>#DIV/0!</v>
      </c>
      <c r="G578" s="38"/>
      <c r="H578" s="38"/>
      <c r="I578" s="38"/>
      <c r="J578" s="38"/>
      <c r="K578" s="38"/>
      <c r="L578" s="38"/>
      <c r="M578" s="38"/>
      <c r="N578" s="38"/>
      <c r="O578" s="38"/>
    </row>
    <row r="579" hidden="1">
      <c r="A579" s="38"/>
      <c r="B579" s="38"/>
      <c r="C579" s="39"/>
      <c r="D579" s="40">
        <f>SUMIFS(Rezepte!F:F,Rezepte!A:A,C579)</f>
        <v>0</v>
      </c>
      <c r="E579" s="41">
        <f>SUMIFS(Rezepte!G:G,Rezepte!A:A,C579)</f>
        <v>0</v>
      </c>
      <c r="F579" s="42" t="str">
        <f t="shared" si="2"/>
        <v>#DIV/0!</v>
      </c>
      <c r="G579" s="38"/>
      <c r="H579" s="38"/>
      <c r="I579" s="38"/>
      <c r="J579" s="38"/>
      <c r="K579" s="38"/>
      <c r="L579" s="38"/>
      <c r="M579" s="38"/>
      <c r="N579" s="38"/>
      <c r="O579" s="38"/>
    </row>
    <row r="580" hidden="1">
      <c r="A580" s="38"/>
      <c r="B580" s="38"/>
      <c r="C580" s="39"/>
      <c r="D580" s="40">
        <f>SUMIFS(Rezepte!F:F,Rezepte!A:A,C580)</f>
        <v>0</v>
      </c>
      <c r="E580" s="41">
        <f>SUMIFS(Rezepte!G:G,Rezepte!A:A,C580)</f>
        <v>0</v>
      </c>
      <c r="F580" s="42" t="str">
        <f t="shared" si="2"/>
        <v>#DIV/0!</v>
      </c>
      <c r="G580" s="38"/>
      <c r="H580" s="38"/>
      <c r="I580" s="38"/>
      <c r="J580" s="38"/>
      <c r="K580" s="38"/>
      <c r="L580" s="38"/>
      <c r="M580" s="38"/>
      <c r="N580" s="38"/>
      <c r="O580" s="38"/>
    </row>
    <row r="581" hidden="1">
      <c r="A581" s="38"/>
      <c r="B581" s="38"/>
      <c r="C581" s="39"/>
      <c r="D581" s="40">
        <f>SUMIFS(Rezepte!F:F,Rezepte!A:A,C581)</f>
        <v>0</v>
      </c>
      <c r="E581" s="41">
        <f>SUMIFS(Rezepte!G:G,Rezepte!A:A,C581)</f>
        <v>0</v>
      </c>
      <c r="F581" s="42" t="str">
        <f t="shared" si="2"/>
        <v>#DIV/0!</v>
      </c>
      <c r="G581" s="38"/>
      <c r="H581" s="38"/>
      <c r="I581" s="38"/>
      <c r="J581" s="38"/>
      <c r="K581" s="38"/>
      <c r="L581" s="38"/>
      <c r="M581" s="38"/>
      <c r="N581" s="38"/>
      <c r="O581" s="38"/>
    </row>
    <row r="582" hidden="1">
      <c r="A582" s="38"/>
      <c r="B582" s="38"/>
      <c r="C582" s="39"/>
      <c r="D582" s="40">
        <f>SUMIFS(Rezepte!F:F,Rezepte!A:A,C582)</f>
        <v>0</v>
      </c>
      <c r="E582" s="41">
        <f>SUMIFS(Rezepte!G:G,Rezepte!A:A,C582)</f>
        <v>0</v>
      </c>
      <c r="F582" s="42" t="str">
        <f t="shared" si="2"/>
        <v>#DIV/0!</v>
      </c>
      <c r="G582" s="38"/>
      <c r="H582" s="38"/>
      <c r="I582" s="38"/>
      <c r="J582" s="38"/>
      <c r="K582" s="38"/>
      <c r="L582" s="38"/>
      <c r="M582" s="38"/>
      <c r="N582" s="38"/>
      <c r="O582" s="38"/>
    </row>
    <row r="583" hidden="1">
      <c r="A583" s="38"/>
      <c r="B583" s="38"/>
      <c r="C583" s="39"/>
      <c r="D583" s="40">
        <f>SUMIFS(Rezepte!F:F,Rezepte!A:A,C583)</f>
        <v>0</v>
      </c>
      <c r="E583" s="41">
        <f>SUMIFS(Rezepte!G:G,Rezepte!A:A,C583)</f>
        <v>0</v>
      </c>
      <c r="F583" s="42" t="str">
        <f t="shared" si="2"/>
        <v>#DIV/0!</v>
      </c>
      <c r="G583" s="38"/>
      <c r="H583" s="38"/>
      <c r="I583" s="38"/>
      <c r="J583" s="38"/>
      <c r="K583" s="38"/>
      <c r="L583" s="38"/>
      <c r="M583" s="38"/>
      <c r="N583" s="38"/>
      <c r="O583" s="38"/>
    </row>
    <row r="584" hidden="1">
      <c r="A584" s="38"/>
      <c r="B584" s="38"/>
      <c r="C584" s="39"/>
      <c r="D584" s="40">
        <f>SUMIFS(Rezepte!F:F,Rezepte!A:A,C584)</f>
        <v>0</v>
      </c>
      <c r="E584" s="41">
        <f>SUMIFS(Rezepte!G:G,Rezepte!A:A,C584)</f>
        <v>0</v>
      </c>
      <c r="F584" s="42" t="str">
        <f t="shared" si="2"/>
        <v>#DIV/0!</v>
      </c>
      <c r="G584" s="38"/>
      <c r="H584" s="38"/>
      <c r="I584" s="38"/>
      <c r="J584" s="38"/>
      <c r="K584" s="38"/>
      <c r="L584" s="38"/>
      <c r="M584" s="38"/>
      <c r="N584" s="38"/>
      <c r="O584" s="38"/>
    </row>
    <row r="585" hidden="1">
      <c r="A585" s="38"/>
      <c r="B585" s="38"/>
      <c r="C585" s="39"/>
      <c r="D585" s="40">
        <f>SUMIFS(Rezepte!F:F,Rezepte!A:A,C585)</f>
        <v>0</v>
      </c>
      <c r="E585" s="41">
        <f>SUMIFS(Rezepte!G:G,Rezepte!A:A,C585)</f>
        <v>0</v>
      </c>
      <c r="F585" s="42" t="str">
        <f t="shared" si="2"/>
        <v>#DIV/0!</v>
      </c>
      <c r="G585" s="38"/>
      <c r="H585" s="38"/>
      <c r="I585" s="38"/>
      <c r="J585" s="38"/>
      <c r="K585" s="38"/>
      <c r="L585" s="38"/>
      <c r="M585" s="38"/>
      <c r="N585" s="38"/>
      <c r="O585" s="38"/>
    </row>
    <row r="586" hidden="1">
      <c r="A586" s="38"/>
      <c r="B586" s="38"/>
      <c r="C586" s="39"/>
      <c r="D586" s="40">
        <f>SUMIFS(Rezepte!F:F,Rezepte!A:A,C586)</f>
        <v>0</v>
      </c>
      <c r="E586" s="41">
        <f>SUMIFS(Rezepte!G:G,Rezepte!A:A,C586)</f>
        <v>0</v>
      </c>
      <c r="F586" s="42" t="str">
        <f t="shared" si="2"/>
        <v>#DIV/0!</v>
      </c>
      <c r="G586" s="38"/>
      <c r="H586" s="38"/>
      <c r="I586" s="38"/>
      <c r="J586" s="38"/>
      <c r="K586" s="38"/>
      <c r="L586" s="38"/>
      <c r="M586" s="38"/>
      <c r="N586" s="38"/>
      <c r="O586" s="38"/>
    </row>
    <row r="587" hidden="1">
      <c r="A587" s="38"/>
      <c r="B587" s="38"/>
      <c r="C587" s="39"/>
      <c r="D587" s="40">
        <f>SUMIFS(Rezepte!F:F,Rezepte!A:A,C587)</f>
        <v>0</v>
      </c>
      <c r="E587" s="41">
        <f>SUMIFS(Rezepte!G:G,Rezepte!A:A,C587)</f>
        <v>0</v>
      </c>
      <c r="F587" s="42" t="str">
        <f t="shared" si="2"/>
        <v>#DIV/0!</v>
      </c>
      <c r="G587" s="38"/>
      <c r="H587" s="38"/>
      <c r="I587" s="38"/>
      <c r="J587" s="38"/>
      <c r="K587" s="38"/>
      <c r="L587" s="38"/>
      <c r="M587" s="38"/>
      <c r="N587" s="38"/>
      <c r="O587" s="38"/>
    </row>
    <row r="588" hidden="1">
      <c r="A588" s="38"/>
      <c r="B588" s="38"/>
      <c r="C588" s="39"/>
      <c r="D588" s="40">
        <f>SUMIFS(Rezepte!F:F,Rezepte!A:A,C588)</f>
        <v>0</v>
      </c>
      <c r="E588" s="41">
        <f>SUMIFS(Rezepte!G:G,Rezepte!A:A,C588)</f>
        <v>0</v>
      </c>
      <c r="F588" s="42" t="str">
        <f t="shared" si="2"/>
        <v>#DIV/0!</v>
      </c>
      <c r="G588" s="38"/>
      <c r="H588" s="38"/>
      <c r="I588" s="38"/>
      <c r="J588" s="38"/>
      <c r="K588" s="38"/>
      <c r="L588" s="38"/>
      <c r="M588" s="38"/>
      <c r="N588" s="38"/>
      <c r="O588" s="38"/>
    </row>
    <row r="589" hidden="1">
      <c r="A589" s="38"/>
      <c r="B589" s="38"/>
      <c r="C589" s="39"/>
      <c r="D589" s="40">
        <f>SUMIFS(Rezepte!F:F,Rezepte!A:A,C589)</f>
        <v>0</v>
      </c>
      <c r="E589" s="41">
        <f>SUMIFS(Rezepte!G:G,Rezepte!A:A,C589)</f>
        <v>0</v>
      </c>
      <c r="F589" s="42" t="str">
        <f t="shared" si="2"/>
        <v>#DIV/0!</v>
      </c>
      <c r="G589" s="38"/>
      <c r="H589" s="38"/>
      <c r="I589" s="38"/>
      <c r="J589" s="38"/>
      <c r="K589" s="38"/>
      <c r="L589" s="38"/>
      <c r="M589" s="38"/>
      <c r="N589" s="38"/>
      <c r="O589" s="38"/>
    </row>
    <row r="590" hidden="1">
      <c r="A590" s="38"/>
      <c r="B590" s="38"/>
      <c r="C590" s="39"/>
      <c r="D590" s="40">
        <f>SUMIFS(Rezepte!F:F,Rezepte!A:A,C590)</f>
        <v>0</v>
      </c>
      <c r="E590" s="41">
        <f>SUMIFS(Rezepte!G:G,Rezepte!A:A,C590)</f>
        <v>0</v>
      </c>
      <c r="F590" s="42" t="str">
        <f t="shared" si="2"/>
        <v>#DIV/0!</v>
      </c>
      <c r="G590" s="38"/>
      <c r="H590" s="38"/>
      <c r="I590" s="38"/>
      <c r="J590" s="38"/>
      <c r="K590" s="38"/>
      <c r="L590" s="38"/>
      <c r="M590" s="38"/>
      <c r="N590" s="38"/>
      <c r="O590" s="38"/>
    </row>
    <row r="591" hidden="1">
      <c r="A591" s="38"/>
      <c r="B591" s="38"/>
      <c r="C591" s="39"/>
      <c r="D591" s="40">
        <f>SUMIFS(Rezepte!F:F,Rezepte!A:A,C591)</f>
        <v>0</v>
      </c>
      <c r="E591" s="41">
        <f>SUMIFS(Rezepte!G:G,Rezepte!A:A,C591)</f>
        <v>0</v>
      </c>
      <c r="F591" s="42" t="str">
        <f t="shared" si="2"/>
        <v>#DIV/0!</v>
      </c>
      <c r="G591" s="38"/>
      <c r="H591" s="38"/>
      <c r="I591" s="38"/>
      <c r="J591" s="38"/>
      <c r="K591" s="38"/>
      <c r="L591" s="38"/>
      <c r="M591" s="38"/>
      <c r="N591" s="38"/>
      <c r="O591" s="38"/>
    </row>
    <row r="592" hidden="1">
      <c r="A592" s="38"/>
      <c r="B592" s="38"/>
      <c r="C592" s="39"/>
      <c r="D592" s="40">
        <f>SUMIFS(Rezepte!F:F,Rezepte!A:A,C592)</f>
        <v>0</v>
      </c>
      <c r="E592" s="41">
        <f>SUMIFS(Rezepte!G:G,Rezepte!A:A,C592)</f>
        <v>0</v>
      </c>
      <c r="F592" s="42" t="str">
        <f t="shared" si="2"/>
        <v>#DIV/0!</v>
      </c>
      <c r="G592" s="38"/>
      <c r="H592" s="38"/>
      <c r="I592" s="38"/>
      <c r="J592" s="38"/>
      <c r="K592" s="38"/>
      <c r="L592" s="38"/>
      <c r="M592" s="38"/>
      <c r="N592" s="38"/>
      <c r="O592" s="38"/>
    </row>
    <row r="593" hidden="1">
      <c r="A593" s="38"/>
      <c r="B593" s="38"/>
      <c r="C593" s="39"/>
      <c r="D593" s="40">
        <f>SUMIFS(Rezepte!F:F,Rezepte!A:A,C593)</f>
        <v>0</v>
      </c>
      <c r="E593" s="41">
        <f>SUMIFS(Rezepte!G:G,Rezepte!A:A,C593)</f>
        <v>0</v>
      </c>
      <c r="F593" s="42" t="str">
        <f t="shared" si="2"/>
        <v>#DIV/0!</v>
      </c>
      <c r="G593" s="38"/>
      <c r="H593" s="38"/>
      <c r="I593" s="38"/>
      <c r="J593" s="38"/>
      <c r="K593" s="38"/>
      <c r="L593" s="38"/>
      <c r="M593" s="38"/>
      <c r="N593" s="38"/>
      <c r="O593" s="38"/>
    </row>
    <row r="594" hidden="1">
      <c r="A594" s="38"/>
      <c r="B594" s="38"/>
      <c r="C594" s="39"/>
      <c r="D594" s="40">
        <f>SUMIFS(Rezepte!F:F,Rezepte!A:A,C594)</f>
        <v>0</v>
      </c>
      <c r="E594" s="41">
        <f>SUMIFS(Rezepte!G:G,Rezepte!A:A,C594)</f>
        <v>0</v>
      </c>
      <c r="F594" s="42" t="str">
        <f t="shared" si="2"/>
        <v>#DIV/0!</v>
      </c>
      <c r="G594" s="38"/>
      <c r="H594" s="38"/>
      <c r="I594" s="38"/>
      <c r="J594" s="38"/>
      <c r="K594" s="38"/>
      <c r="L594" s="38"/>
      <c r="M594" s="38"/>
      <c r="N594" s="38"/>
      <c r="O594" s="38"/>
    </row>
    <row r="595" hidden="1">
      <c r="A595" s="38"/>
      <c r="B595" s="38"/>
      <c r="C595" s="39"/>
      <c r="D595" s="40">
        <f>SUMIFS(Rezepte!F:F,Rezepte!A:A,C595)</f>
        <v>0</v>
      </c>
      <c r="E595" s="41">
        <f>SUMIFS(Rezepte!G:G,Rezepte!A:A,C595)</f>
        <v>0</v>
      </c>
      <c r="F595" s="42" t="str">
        <f t="shared" si="2"/>
        <v>#DIV/0!</v>
      </c>
      <c r="G595" s="38"/>
      <c r="H595" s="38"/>
      <c r="I595" s="38"/>
      <c r="J595" s="38"/>
      <c r="K595" s="38"/>
      <c r="L595" s="38"/>
      <c r="M595" s="38"/>
      <c r="N595" s="38"/>
      <c r="O595" s="38"/>
    </row>
    <row r="596" hidden="1">
      <c r="A596" s="38"/>
      <c r="B596" s="38"/>
      <c r="C596" s="39"/>
      <c r="D596" s="40">
        <f>SUMIFS(Rezepte!F:F,Rezepte!A:A,C596)</f>
        <v>0</v>
      </c>
      <c r="E596" s="41">
        <f>SUMIFS(Rezepte!G:G,Rezepte!A:A,C596)</f>
        <v>0</v>
      </c>
      <c r="F596" s="42" t="str">
        <f t="shared" si="2"/>
        <v>#DIV/0!</v>
      </c>
      <c r="G596" s="38"/>
      <c r="H596" s="38"/>
      <c r="I596" s="38"/>
      <c r="J596" s="38"/>
      <c r="K596" s="38"/>
      <c r="L596" s="38"/>
      <c r="M596" s="38"/>
      <c r="N596" s="38"/>
      <c r="O596" s="38"/>
    </row>
    <row r="597" hidden="1">
      <c r="A597" s="38"/>
      <c r="B597" s="38"/>
      <c r="C597" s="39"/>
      <c r="D597" s="40">
        <f>SUMIFS(Rezepte!F:F,Rezepte!A:A,C597)</f>
        <v>0</v>
      </c>
      <c r="E597" s="41">
        <f>SUMIFS(Rezepte!G:G,Rezepte!A:A,C597)</f>
        <v>0</v>
      </c>
      <c r="F597" s="42" t="str">
        <f t="shared" si="2"/>
        <v>#DIV/0!</v>
      </c>
      <c r="G597" s="38"/>
      <c r="H597" s="38"/>
      <c r="I597" s="38"/>
      <c r="J597" s="38"/>
      <c r="K597" s="38"/>
      <c r="L597" s="38"/>
      <c r="M597" s="38"/>
      <c r="N597" s="38"/>
      <c r="O597" s="38"/>
    </row>
    <row r="598" hidden="1">
      <c r="A598" s="38"/>
      <c r="B598" s="38"/>
      <c r="C598" s="39"/>
      <c r="D598" s="40">
        <f>SUMIFS(Rezepte!F:F,Rezepte!A:A,C598)</f>
        <v>0</v>
      </c>
      <c r="E598" s="41">
        <f>SUMIFS(Rezepte!G:G,Rezepte!A:A,C598)</f>
        <v>0</v>
      </c>
      <c r="F598" s="42" t="str">
        <f t="shared" si="2"/>
        <v>#DIV/0!</v>
      </c>
      <c r="G598" s="38"/>
      <c r="H598" s="38"/>
      <c r="I598" s="38"/>
      <c r="J598" s="38"/>
      <c r="K598" s="38"/>
      <c r="L598" s="38"/>
      <c r="M598" s="38"/>
      <c r="N598" s="38"/>
      <c r="O598" s="38"/>
    </row>
    <row r="599" hidden="1">
      <c r="A599" s="38"/>
      <c r="B599" s="38"/>
      <c r="C599" s="39"/>
      <c r="D599" s="40">
        <f>SUMIFS(Rezepte!F:F,Rezepte!A:A,C599)</f>
        <v>0</v>
      </c>
      <c r="E599" s="41">
        <f>SUMIFS(Rezepte!G:G,Rezepte!A:A,C599)</f>
        <v>0</v>
      </c>
      <c r="F599" s="42" t="str">
        <f t="shared" si="2"/>
        <v>#DIV/0!</v>
      </c>
      <c r="G599" s="38"/>
      <c r="H599" s="38"/>
      <c r="I599" s="38"/>
      <c r="J599" s="38"/>
      <c r="K599" s="38"/>
      <c r="L599" s="38"/>
      <c r="M599" s="38"/>
      <c r="N599" s="38"/>
      <c r="O599" s="38"/>
    </row>
    <row r="600" hidden="1">
      <c r="A600" s="38"/>
      <c r="B600" s="38"/>
      <c r="C600" s="39"/>
      <c r="D600" s="40">
        <f>SUMIFS(Rezepte!F:F,Rezepte!A:A,C600)</f>
        <v>0</v>
      </c>
      <c r="E600" s="41">
        <f>SUMIFS(Rezepte!G:G,Rezepte!A:A,C600)</f>
        <v>0</v>
      </c>
      <c r="F600" s="42" t="str">
        <f t="shared" si="2"/>
        <v>#DIV/0!</v>
      </c>
      <c r="G600" s="38"/>
      <c r="H600" s="38"/>
      <c r="I600" s="38"/>
      <c r="J600" s="38"/>
      <c r="K600" s="38"/>
      <c r="L600" s="38"/>
      <c r="M600" s="38"/>
      <c r="N600" s="38"/>
      <c r="O600" s="38"/>
    </row>
    <row r="601" hidden="1">
      <c r="A601" s="38"/>
      <c r="B601" s="38"/>
      <c r="C601" s="39"/>
      <c r="D601" s="40">
        <f>SUMIFS(Rezepte!F:F,Rezepte!A:A,C601)</f>
        <v>0</v>
      </c>
      <c r="E601" s="41">
        <f>SUMIFS(Rezepte!G:G,Rezepte!A:A,C601)</f>
        <v>0</v>
      </c>
      <c r="F601" s="42" t="str">
        <f t="shared" si="2"/>
        <v>#DIV/0!</v>
      </c>
      <c r="G601" s="38"/>
      <c r="H601" s="38"/>
      <c r="I601" s="38"/>
      <c r="J601" s="38"/>
      <c r="K601" s="38"/>
      <c r="L601" s="38"/>
      <c r="M601" s="38"/>
      <c r="N601" s="38"/>
      <c r="O601" s="38"/>
    </row>
    <row r="602" hidden="1">
      <c r="A602" s="38"/>
      <c r="B602" s="38"/>
      <c r="C602" s="39"/>
      <c r="D602" s="40">
        <f>SUMIFS(Rezepte!F:F,Rezepte!A:A,C602)</f>
        <v>0</v>
      </c>
      <c r="E602" s="41">
        <f>SUMIFS(Rezepte!G:G,Rezepte!A:A,C602)</f>
        <v>0</v>
      </c>
      <c r="F602" s="42" t="str">
        <f t="shared" si="2"/>
        <v>#DIV/0!</v>
      </c>
      <c r="G602" s="38"/>
      <c r="H602" s="38"/>
      <c r="I602" s="38"/>
      <c r="J602" s="38"/>
      <c r="K602" s="38"/>
      <c r="L602" s="38"/>
      <c r="M602" s="38"/>
      <c r="N602" s="38"/>
      <c r="O602" s="38"/>
    </row>
    <row r="603" hidden="1">
      <c r="A603" s="38"/>
      <c r="B603" s="38"/>
      <c r="C603" s="39"/>
      <c r="D603" s="40">
        <f>SUMIFS(Rezepte!F:F,Rezepte!A:A,C603)</f>
        <v>0</v>
      </c>
      <c r="E603" s="41">
        <f>SUMIFS(Rezepte!G:G,Rezepte!A:A,C603)</f>
        <v>0</v>
      </c>
      <c r="F603" s="42" t="str">
        <f t="shared" si="2"/>
        <v>#DIV/0!</v>
      </c>
      <c r="G603" s="38"/>
      <c r="H603" s="38"/>
      <c r="I603" s="38"/>
      <c r="J603" s="38"/>
      <c r="K603" s="38"/>
      <c r="L603" s="38"/>
      <c r="M603" s="38"/>
      <c r="N603" s="38"/>
      <c r="O603" s="38"/>
    </row>
    <row r="604" hidden="1">
      <c r="A604" s="38"/>
      <c r="B604" s="38"/>
      <c r="C604" s="39"/>
      <c r="D604" s="40">
        <f>SUMIFS(Rezepte!F:F,Rezepte!A:A,C604)</f>
        <v>0</v>
      </c>
      <c r="E604" s="41">
        <f>SUMIFS(Rezepte!G:G,Rezepte!A:A,C604)</f>
        <v>0</v>
      </c>
      <c r="F604" s="42" t="str">
        <f t="shared" si="2"/>
        <v>#DIV/0!</v>
      </c>
      <c r="G604" s="38"/>
      <c r="H604" s="38"/>
      <c r="I604" s="38"/>
      <c r="J604" s="38"/>
      <c r="K604" s="38"/>
      <c r="L604" s="38"/>
      <c r="M604" s="38"/>
      <c r="N604" s="38"/>
      <c r="O604" s="38"/>
    </row>
    <row r="605" hidden="1">
      <c r="A605" s="38"/>
      <c r="B605" s="38"/>
      <c r="C605" s="39"/>
      <c r="D605" s="40">
        <f>SUMIFS(Rezepte!F:F,Rezepte!A:A,C605)</f>
        <v>0</v>
      </c>
      <c r="E605" s="41">
        <f>SUMIFS(Rezepte!G:G,Rezepte!A:A,C605)</f>
        <v>0</v>
      </c>
      <c r="F605" s="42" t="str">
        <f t="shared" si="2"/>
        <v>#DIV/0!</v>
      </c>
      <c r="G605" s="38"/>
      <c r="H605" s="38"/>
      <c r="I605" s="38"/>
      <c r="J605" s="38"/>
      <c r="K605" s="38"/>
      <c r="L605" s="38"/>
      <c r="M605" s="38"/>
      <c r="N605" s="38"/>
      <c r="O605" s="38"/>
    </row>
    <row r="606" hidden="1">
      <c r="A606" s="38"/>
      <c r="B606" s="38"/>
      <c r="C606" s="39"/>
      <c r="D606" s="40">
        <f>SUMIFS(Rezepte!F:F,Rezepte!A:A,C606)</f>
        <v>0</v>
      </c>
      <c r="E606" s="41">
        <f>SUMIFS(Rezepte!G:G,Rezepte!A:A,C606)</f>
        <v>0</v>
      </c>
      <c r="F606" s="42" t="str">
        <f t="shared" si="2"/>
        <v>#DIV/0!</v>
      </c>
      <c r="G606" s="38"/>
      <c r="H606" s="38"/>
      <c r="I606" s="38"/>
      <c r="J606" s="38"/>
      <c r="K606" s="38"/>
      <c r="L606" s="38"/>
      <c r="M606" s="38"/>
      <c r="N606" s="38"/>
      <c r="O606" s="38"/>
    </row>
    <row r="607" hidden="1">
      <c r="A607" s="38"/>
      <c r="B607" s="38"/>
      <c r="C607" s="39"/>
      <c r="D607" s="40">
        <f>SUMIFS(Rezepte!F:F,Rezepte!A:A,C607)</f>
        <v>0</v>
      </c>
      <c r="E607" s="41">
        <f>SUMIFS(Rezepte!G:G,Rezepte!A:A,C607)</f>
        <v>0</v>
      </c>
      <c r="F607" s="42" t="str">
        <f t="shared" si="2"/>
        <v>#DIV/0!</v>
      </c>
      <c r="G607" s="38"/>
      <c r="H607" s="38"/>
      <c r="I607" s="38"/>
      <c r="J607" s="38"/>
      <c r="K607" s="38"/>
      <c r="L607" s="38"/>
      <c r="M607" s="38"/>
      <c r="N607" s="38"/>
      <c r="O607" s="38"/>
    </row>
    <row r="608" hidden="1">
      <c r="A608" s="38"/>
      <c r="B608" s="38"/>
      <c r="C608" s="39"/>
      <c r="D608" s="40">
        <f>SUMIFS(Rezepte!F:F,Rezepte!A:A,C608)</f>
        <v>0</v>
      </c>
      <c r="E608" s="41">
        <f>SUMIFS(Rezepte!G:G,Rezepte!A:A,C608)</f>
        <v>0</v>
      </c>
      <c r="F608" s="42" t="str">
        <f t="shared" si="2"/>
        <v>#DIV/0!</v>
      </c>
      <c r="G608" s="38"/>
      <c r="H608" s="38"/>
      <c r="I608" s="38"/>
      <c r="J608" s="38"/>
      <c r="K608" s="38"/>
      <c r="L608" s="38"/>
      <c r="M608" s="38"/>
      <c r="N608" s="38"/>
      <c r="O608" s="38"/>
    </row>
    <row r="609" hidden="1">
      <c r="A609" s="38"/>
      <c r="B609" s="38"/>
      <c r="C609" s="39"/>
      <c r="D609" s="40">
        <f>SUMIFS(Rezepte!F:F,Rezepte!A:A,C609)</f>
        <v>0</v>
      </c>
      <c r="E609" s="41">
        <f>SUMIFS(Rezepte!G:G,Rezepte!A:A,C609)</f>
        <v>0</v>
      </c>
      <c r="F609" s="42" t="str">
        <f t="shared" si="2"/>
        <v>#DIV/0!</v>
      </c>
      <c r="G609" s="38"/>
      <c r="H609" s="38"/>
      <c r="I609" s="38"/>
      <c r="J609" s="38"/>
      <c r="K609" s="38"/>
      <c r="L609" s="38"/>
      <c r="M609" s="38"/>
      <c r="N609" s="38"/>
      <c r="O609" s="38"/>
    </row>
    <row r="610" hidden="1">
      <c r="A610" s="38"/>
      <c r="B610" s="38"/>
      <c r="C610" s="39"/>
      <c r="D610" s="40">
        <f>SUMIFS(Rezepte!F:F,Rezepte!A:A,C610)</f>
        <v>0</v>
      </c>
      <c r="E610" s="41">
        <f>SUMIFS(Rezepte!G:G,Rezepte!A:A,C610)</f>
        <v>0</v>
      </c>
      <c r="F610" s="42" t="str">
        <f t="shared" si="2"/>
        <v>#DIV/0!</v>
      </c>
      <c r="G610" s="38"/>
      <c r="H610" s="38"/>
      <c r="I610" s="38"/>
      <c r="J610" s="38"/>
      <c r="K610" s="38"/>
      <c r="L610" s="38"/>
      <c r="M610" s="38"/>
      <c r="N610" s="38"/>
      <c r="O610" s="38"/>
    </row>
    <row r="611" hidden="1">
      <c r="A611" s="38"/>
      <c r="B611" s="38"/>
      <c r="C611" s="39"/>
      <c r="D611" s="40">
        <f>SUMIFS(Rezepte!F:F,Rezepte!A:A,C611)</f>
        <v>0</v>
      </c>
      <c r="E611" s="41">
        <f>SUMIFS(Rezepte!G:G,Rezepte!A:A,C611)</f>
        <v>0</v>
      </c>
      <c r="F611" s="42" t="str">
        <f t="shared" si="2"/>
        <v>#DIV/0!</v>
      </c>
      <c r="G611" s="38"/>
      <c r="H611" s="38"/>
      <c r="I611" s="38"/>
      <c r="J611" s="38"/>
      <c r="K611" s="38"/>
      <c r="L611" s="38"/>
      <c r="M611" s="38"/>
      <c r="N611" s="38"/>
      <c r="O611" s="38"/>
    </row>
    <row r="612" hidden="1">
      <c r="A612" s="38"/>
      <c r="B612" s="38"/>
      <c r="C612" s="39"/>
      <c r="D612" s="40">
        <f>SUMIFS(Rezepte!F:F,Rezepte!A:A,C612)</f>
        <v>0</v>
      </c>
      <c r="E612" s="41">
        <f>SUMIFS(Rezepte!G:G,Rezepte!A:A,C612)</f>
        <v>0</v>
      </c>
      <c r="F612" s="42" t="str">
        <f t="shared" si="2"/>
        <v>#DIV/0!</v>
      </c>
      <c r="G612" s="38"/>
      <c r="H612" s="38"/>
      <c r="I612" s="38"/>
      <c r="J612" s="38"/>
      <c r="K612" s="38"/>
      <c r="L612" s="38"/>
      <c r="M612" s="38"/>
      <c r="N612" s="38"/>
      <c r="O612" s="38"/>
    </row>
    <row r="613" hidden="1">
      <c r="A613" s="38"/>
      <c r="B613" s="38"/>
      <c r="C613" s="39"/>
      <c r="D613" s="40">
        <f>SUMIFS(Rezepte!F:F,Rezepte!A:A,C613)</f>
        <v>0</v>
      </c>
      <c r="E613" s="41">
        <f>SUMIFS(Rezepte!G:G,Rezepte!A:A,C613)</f>
        <v>0</v>
      </c>
      <c r="F613" s="42" t="str">
        <f t="shared" si="2"/>
        <v>#DIV/0!</v>
      </c>
      <c r="G613" s="38"/>
      <c r="H613" s="38"/>
      <c r="I613" s="38"/>
      <c r="J613" s="38"/>
      <c r="K613" s="38"/>
      <c r="L613" s="38"/>
      <c r="M613" s="38"/>
      <c r="N613" s="38"/>
      <c r="O613" s="38"/>
    </row>
    <row r="614" hidden="1">
      <c r="A614" s="38"/>
      <c r="B614" s="38"/>
      <c r="C614" s="39"/>
      <c r="D614" s="40">
        <f>SUMIFS(Rezepte!F:F,Rezepte!A:A,C614)</f>
        <v>0</v>
      </c>
      <c r="E614" s="41">
        <f>SUMIFS(Rezepte!G:G,Rezepte!A:A,C614)</f>
        <v>0</v>
      </c>
      <c r="F614" s="42" t="str">
        <f t="shared" si="2"/>
        <v>#DIV/0!</v>
      </c>
      <c r="G614" s="38"/>
      <c r="H614" s="38"/>
      <c r="I614" s="38"/>
      <c r="J614" s="38"/>
      <c r="K614" s="38"/>
      <c r="L614" s="38"/>
      <c r="M614" s="38"/>
      <c r="N614" s="38"/>
      <c r="O614" s="38"/>
    </row>
    <row r="615" hidden="1">
      <c r="A615" s="38"/>
      <c r="B615" s="38"/>
      <c r="C615" s="39"/>
      <c r="D615" s="40">
        <f>SUMIFS(Rezepte!F:F,Rezepte!A:A,C615)</f>
        <v>0</v>
      </c>
      <c r="E615" s="41">
        <f>SUMIFS(Rezepte!G:G,Rezepte!A:A,C615)</f>
        <v>0</v>
      </c>
      <c r="F615" s="42" t="str">
        <f t="shared" si="2"/>
        <v>#DIV/0!</v>
      </c>
      <c r="G615" s="38"/>
      <c r="H615" s="38"/>
      <c r="I615" s="38"/>
      <c r="J615" s="38"/>
      <c r="K615" s="38"/>
      <c r="L615" s="38"/>
      <c r="M615" s="38"/>
      <c r="N615" s="38"/>
      <c r="O615" s="38"/>
    </row>
    <row r="616" hidden="1">
      <c r="A616" s="38"/>
      <c r="B616" s="38"/>
      <c r="C616" s="39"/>
      <c r="D616" s="40">
        <f>SUMIFS(Rezepte!F:F,Rezepte!A:A,C616)</f>
        <v>0</v>
      </c>
      <c r="E616" s="41">
        <f>SUMIFS(Rezepte!G:G,Rezepte!A:A,C616)</f>
        <v>0</v>
      </c>
      <c r="F616" s="42" t="str">
        <f t="shared" si="2"/>
        <v>#DIV/0!</v>
      </c>
      <c r="G616" s="38"/>
      <c r="H616" s="38"/>
      <c r="I616" s="38"/>
      <c r="J616" s="38"/>
      <c r="K616" s="38"/>
      <c r="L616" s="38"/>
      <c r="M616" s="38"/>
      <c r="N616" s="38"/>
      <c r="O616" s="38"/>
    </row>
    <row r="617" hidden="1">
      <c r="A617" s="38"/>
      <c r="B617" s="38"/>
      <c r="C617" s="39"/>
      <c r="D617" s="40">
        <f>SUMIFS(Rezepte!F:F,Rezepte!A:A,C617)</f>
        <v>0</v>
      </c>
      <c r="E617" s="41">
        <f>SUMIFS(Rezepte!G:G,Rezepte!A:A,C617)</f>
        <v>0</v>
      </c>
      <c r="F617" s="42" t="str">
        <f t="shared" si="2"/>
        <v>#DIV/0!</v>
      </c>
      <c r="G617" s="38"/>
      <c r="H617" s="38"/>
      <c r="I617" s="38"/>
      <c r="J617" s="38"/>
      <c r="K617" s="38"/>
      <c r="L617" s="38"/>
      <c r="M617" s="38"/>
      <c r="N617" s="38"/>
      <c r="O617" s="38"/>
    </row>
    <row r="618" hidden="1">
      <c r="A618" s="38"/>
      <c r="B618" s="38"/>
      <c r="C618" s="39"/>
      <c r="D618" s="40">
        <f>SUMIFS(Rezepte!F:F,Rezepte!A:A,C618)</f>
        <v>0</v>
      </c>
      <c r="E618" s="41">
        <f>SUMIFS(Rezepte!G:G,Rezepte!A:A,C618)</f>
        <v>0</v>
      </c>
      <c r="F618" s="42" t="str">
        <f t="shared" si="2"/>
        <v>#DIV/0!</v>
      </c>
      <c r="G618" s="38"/>
      <c r="H618" s="38"/>
      <c r="I618" s="38"/>
      <c r="J618" s="38"/>
      <c r="K618" s="38"/>
      <c r="L618" s="38"/>
      <c r="M618" s="38"/>
      <c r="N618" s="38"/>
      <c r="O618" s="38"/>
    </row>
    <row r="619" hidden="1">
      <c r="A619" s="38"/>
      <c r="B619" s="38"/>
      <c r="C619" s="39"/>
      <c r="D619" s="40">
        <f>SUMIFS(Rezepte!F:F,Rezepte!A:A,C619)</f>
        <v>0</v>
      </c>
      <c r="E619" s="41">
        <f>SUMIFS(Rezepte!G:G,Rezepte!A:A,C619)</f>
        <v>0</v>
      </c>
      <c r="F619" s="42" t="str">
        <f t="shared" si="2"/>
        <v>#DIV/0!</v>
      </c>
      <c r="G619" s="38"/>
      <c r="H619" s="38"/>
      <c r="I619" s="38"/>
      <c r="J619" s="38"/>
      <c r="K619" s="38"/>
      <c r="L619" s="38"/>
      <c r="M619" s="38"/>
      <c r="N619" s="38"/>
      <c r="O619" s="38"/>
    </row>
    <row r="620" hidden="1">
      <c r="A620" s="38"/>
      <c r="B620" s="38"/>
      <c r="C620" s="39"/>
      <c r="D620" s="40">
        <f>SUMIFS(Rezepte!F:F,Rezepte!A:A,C620)</f>
        <v>0</v>
      </c>
      <c r="E620" s="41">
        <f>SUMIFS(Rezepte!G:G,Rezepte!A:A,C620)</f>
        <v>0</v>
      </c>
      <c r="F620" s="42" t="str">
        <f t="shared" si="2"/>
        <v>#DIV/0!</v>
      </c>
      <c r="G620" s="38"/>
      <c r="H620" s="38"/>
      <c r="I620" s="38"/>
      <c r="J620" s="38"/>
      <c r="K620" s="38"/>
      <c r="L620" s="38"/>
      <c r="M620" s="38"/>
      <c r="N620" s="38"/>
      <c r="O620" s="38"/>
    </row>
    <row r="621" hidden="1">
      <c r="A621" s="38"/>
      <c r="B621" s="38"/>
      <c r="C621" s="39"/>
      <c r="D621" s="40">
        <f>SUMIFS(Rezepte!F:F,Rezepte!A:A,C621)</f>
        <v>0</v>
      </c>
      <c r="E621" s="41">
        <f>SUMIFS(Rezepte!G:G,Rezepte!A:A,C621)</f>
        <v>0</v>
      </c>
      <c r="F621" s="42" t="str">
        <f t="shared" si="2"/>
        <v>#DIV/0!</v>
      </c>
      <c r="G621" s="38"/>
      <c r="H621" s="38"/>
      <c r="I621" s="38"/>
      <c r="J621" s="38"/>
      <c r="K621" s="38"/>
      <c r="L621" s="38"/>
      <c r="M621" s="38"/>
      <c r="N621" s="38"/>
      <c r="O621" s="38"/>
    </row>
    <row r="622" hidden="1">
      <c r="A622" s="38"/>
      <c r="B622" s="38"/>
      <c r="C622" s="39"/>
      <c r="D622" s="40">
        <f>SUMIFS(Rezepte!F:F,Rezepte!A:A,C622)</f>
        <v>0</v>
      </c>
      <c r="E622" s="41">
        <f>SUMIFS(Rezepte!G:G,Rezepte!A:A,C622)</f>
        <v>0</v>
      </c>
      <c r="F622" s="42" t="str">
        <f t="shared" si="2"/>
        <v>#DIV/0!</v>
      </c>
      <c r="G622" s="38"/>
      <c r="H622" s="38"/>
      <c r="I622" s="38"/>
      <c r="J622" s="38"/>
      <c r="K622" s="38"/>
      <c r="L622" s="38"/>
      <c r="M622" s="38"/>
      <c r="N622" s="38"/>
      <c r="O622" s="38"/>
    </row>
    <row r="623" hidden="1">
      <c r="A623" s="38"/>
      <c r="B623" s="38"/>
      <c r="C623" s="39"/>
      <c r="D623" s="40">
        <f>SUMIFS(Rezepte!F:F,Rezepte!A:A,C623)</f>
        <v>0</v>
      </c>
      <c r="E623" s="41">
        <f>SUMIFS(Rezepte!G:G,Rezepte!A:A,C623)</f>
        <v>0</v>
      </c>
      <c r="F623" s="42" t="str">
        <f t="shared" si="2"/>
        <v>#DIV/0!</v>
      </c>
      <c r="G623" s="38"/>
      <c r="H623" s="38"/>
      <c r="I623" s="38"/>
      <c r="J623" s="38"/>
      <c r="K623" s="38"/>
      <c r="L623" s="38"/>
      <c r="M623" s="38"/>
      <c r="N623" s="38"/>
      <c r="O623" s="38"/>
    </row>
    <row r="624" hidden="1">
      <c r="A624" s="38"/>
      <c r="B624" s="38"/>
      <c r="C624" s="39"/>
      <c r="D624" s="40">
        <f>SUMIFS(Rezepte!F:F,Rezepte!A:A,C624)</f>
        <v>0</v>
      </c>
      <c r="E624" s="41">
        <f>SUMIFS(Rezepte!G:G,Rezepte!A:A,C624)</f>
        <v>0</v>
      </c>
      <c r="F624" s="42" t="str">
        <f t="shared" si="2"/>
        <v>#DIV/0!</v>
      </c>
      <c r="G624" s="38"/>
      <c r="H624" s="38"/>
      <c r="I624" s="38"/>
      <c r="J624" s="38"/>
      <c r="K624" s="38"/>
      <c r="L624" s="38"/>
      <c r="M624" s="38"/>
      <c r="N624" s="38"/>
      <c r="O624" s="38"/>
    </row>
    <row r="625" hidden="1">
      <c r="A625" s="38"/>
      <c r="B625" s="38"/>
      <c r="C625" s="39"/>
      <c r="D625" s="40">
        <f>SUMIFS(Rezepte!F:F,Rezepte!A:A,C625)</f>
        <v>0</v>
      </c>
      <c r="E625" s="41">
        <f>SUMIFS(Rezepte!G:G,Rezepte!A:A,C625)</f>
        <v>0</v>
      </c>
      <c r="F625" s="42" t="str">
        <f t="shared" si="2"/>
        <v>#DIV/0!</v>
      </c>
      <c r="G625" s="38"/>
      <c r="H625" s="38"/>
      <c r="I625" s="38"/>
      <c r="J625" s="38"/>
      <c r="K625" s="38"/>
      <c r="L625" s="38"/>
      <c r="M625" s="38"/>
      <c r="N625" s="38"/>
      <c r="O625" s="38"/>
    </row>
    <row r="626" hidden="1">
      <c r="A626" s="38"/>
      <c r="B626" s="38"/>
      <c r="C626" s="39"/>
      <c r="D626" s="40">
        <f>SUMIFS(Rezepte!F:F,Rezepte!A:A,C626)</f>
        <v>0</v>
      </c>
      <c r="E626" s="41">
        <f>SUMIFS(Rezepte!G:G,Rezepte!A:A,C626)</f>
        <v>0</v>
      </c>
      <c r="F626" s="42" t="str">
        <f t="shared" si="2"/>
        <v>#DIV/0!</v>
      </c>
      <c r="G626" s="38"/>
      <c r="H626" s="38"/>
      <c r="I626" s="38"/>
      <c r="J626" s="38"/>
      <c r="K626" s="38"/>
      <c r="L626" s="38"/>
      <c r="M626" s="38"/>
      <c r="N626" s="38"/>
      <c r="O626" s="38"/>
    </row>
    <row r="627" hidden="1">
      <c r="A627" s="38"/>
      <c r="B627" s="38"/>
      <c r="C627" s="39"/>
      <c r="D627" s="40">
        <f>SUMIFS(Rezepte!F:F,Rezepte!A:A,C627)</f>
        <v>0</v>
      </c>
      <c r="E627" s="41">
        <f>SUMIFS(Rezepte!G:G,Rezepte!A:A,C627)</f>
        <v>0</v>
      </c>
      <c r="F627" s="42" t="str">
        <f t="shared" si="2"/>
        <v>#DIV/0!</v>
      </c>
      <c r="G627" s="38"/>
      <c r="H627" s="38"/>
      <c r="I627" s="38"/>
      <c r="J627" s="38"/>
      <c r="K627" s="38"/>
      <c r="L627" s="38"/>
      <c r="M627" s="38"/>
      <c r="N627" s="38"/>
      <c r="O627" s="38"/>
    </row>
    <row r="628" hidden="1">
      <c r="A628" s="38"/>
      <c r="B628" s="38"/>
      <c r="C628" s="39"/>
      <c r="D628" s="40">
        <f>SUMIFS(Rezepte!F:F,Rezepte!A:A,C628)</f>
        <v>0</v>
      </c>
      <c r="E628" s="41">
        <f>SUMIFS(Rezepte!G:G,Rezepte!A:A,C628)</f>
        <v>0</v>
      </c>
      <c r="F628" s="42" t="str">
        <f t="shared" si="2"/>
        <v>#DIV/0!</v>
      </c>
      <c r="G628" s="38"/>
      <c r="H628" s="38"/>
      <c r="I628" s="38"/>
      <c r="J628" s="38"/>
      <c r="K628" s="38"/>
      <c r="L628" s="38"/>
      <c r="M628" s="38"/>
      <c r="N628" s="38"/>
      <c r="O628" s="38"/>
    </row>
    <row r="629" hidden="1">
      <c r="A629" s="38"/>
      <c r="B629" s="38"/>
      <c r="C629" s="39"/>
      <c r="D629" s="40">
        <f>SUMIFS(Rezepte!F:F,Rezepte!A:A,C629)</f>
        <v>0</v>
      </c>
      <c r="E629" s="41">
        <f>SUMIFS(Rezepte!G:G,Rezepte!A:A,C629)</f>
        <v>0</v>
      </c>
      <c r="F629" s="42" t="str">
        <f t="shared" si="2"/>
        <v>#DIV/0!</v>
      </c>
      <c r="G629" s="38"/>
      <c r="H629" s="38"/>
      <c r="I629" s="38"/>
      <c r="J629" s="38"/>
      <c r="K629" s="38"/>
      <c r="L629" s="38"/>
      <c r="M629" s="38"/>
      <c r="N629" s="38"/>
      <c r="O629" s="38"/>
    </row>
    <row r="630" hidden="1">
      <c r="A630" s="38"/>
      <c r="B630" s="38"/>
      <c r="C630" s="39"/>
      <c r="D630" s="40">
        <f>SUMIFS(Rezepte!F:F,Rezepte!A:A,C630)</f>
        <v>0</v>
      </c>
      <c r="E630" s="41">
        <f>SUMIFS(Rezepte!G:G,Rezepte!A:A,C630)</f>
        <v>0</v>
      </c>
      <c r="F630" s="42" t="str">
        <f t="shared" si="2"/>
        <v>#DIV/0!</v>
      </c>
      <c r="G630" s="38"/>
      <c r="H630" s="38"/>
      <c r="I630" s="38"/>
      <c r="J630" s="38"/>
      <c r="K630" s="38"/>
      <c r="L630" s="38"/>
      <c r="M630" s="38"/>
      <c r="N630" s="38"/>
      <c r="O630" s="38"/>
    </row>
    <row r="631" hidden="1">
      <c r="A631" s="38"/>
      <c r="B631" s="38"/>
      <c r="C631" s="39"/>
      <c r="D631" s="40">
        <f>SUMIFS(Rezepte!F:F,Rezepte!A:A,C631)</f>
        <v>0</v>
      </c>
      <c r="E631" s="41">
        <f>SUMIFS(Rezepte!G:G,Rezepte!A:A,C631)</f>
        <v>0</v>
      </c>
      <c r="F631" s="42" t="str">
        <f t="shared" si="2"/>
        <v>#DIV/0!</v>
      </c>
      <c r="G631" s="38"/>
      <c r="H631" s="38"/>
      <c r="I631" s="38"/>
      <c r="J631" s="38"/>
      <c r="K631" s="38"/>
      <c r="L631" s="38"/>
      <c r="M631" s="38"/>
      <c r="N631" s="38"/>
      <c r="O631" s="38"/>
    </row>
    <row r="632" hidden="1">
      <c r="A632" s="38"/>
      <c r="B632" s="38"/>
      <c r="C632" s="39"/>
      <c r="D632" s="40">
        <f>SUMIFS(Rezepte!F:F,Rezepte!A:A,C632)</f>
        <v>0</v>
      </c>
      <c r="E632" s="41">
        <f>SUMIFS(Rezepte!G:G,Rezepte!A:A,C632)</f>
        <v>0</v>
      </c>
      <c r="F632" s="42" t="str">
        <f t="shared" si="2"/>
        <v>#DIV/0!</v>
      </c>
      <c r="G632" s="38"/>
      <c r="H632" s="38"/>
      <c r="I632" s="38"/>
      <c r="J632" s="38"/>
      <c r="K632" s="38"/>
      <c r="L632" s="38"/>
      <c r="M632" s="38"/>
      <c r="N632" s="38"/>
      <c r="O632" s="38"/>
    </row>
    <row r="633" hidden="1">
      <c r="A633" s="38"/>
      <c r="B633" s="38"/>
      <c r="C633" s="39"/>
      <c r="D633" s="40">
        <f>SUMIFS(Rezepte!F:F,Rezepte!A:A,C633)</f>
        <v>0</v>
      </c>
      <c r="E633" s="41">
        <f>SUMIFS(Rezepte!G:G,Rezepte!A:A,C633)</f>
        <v>0</v>
      </c>
      <c r="F633" s="42" t="str">
        <f t="shared" si="2"/>
        <v>#DIV/0!</v>
      </c>
      <c r="G633" s="38"/>
      <c r="H633" s="38"/>
      <c r="I633" s="38"/>
      <c r="J633" s="38"/>
      <c r="K633" s="38"/>
      <c r="L633" s="38"/>
      <c r="M633" s="38"/>
      <c r="N633" s="38"/>
      <c r="O633" s="38"/>
    </row>
    <row r="634" hidden="1">
      <c r="A634" s="38"/>
      <c r="B634" s="38"/>
      <c r="C634" s="39"/>
      <c r="D634" s="40">
        <f>SUMIFS(Rezepte!F:F,Rezepte!A:A,C634)</f>
        <v>0</v>
      </c>
      <c r="E634" s="41">
        <f>SUMIFS(Rezepte!G:G,Rezepte!A:A,C634)</f>
        <v>0</v>
      </c>
      <c r="F634" s="42" t="str">
        <f t="shared" si="2"/>
        <v>#DIV/0!</v>
      </c>
      <c r="G634" s="38"/>
      <c r="H634" s="38"/>
      <c r="I634" s="38"/>
      <c r="J634" s="38"/>
      <c r="K634" s="38"/>
      <c r="L634" s="38"/>
      <c r="M634" s="38"/>
      <c r="N634" s="38"/>
      <c r="O634" s="38"/>
    </row>
    <row r="635" hidden="1">
      <c r="A635" s="38"/>
      <c r="B635" s="38"/>
      <c r="C635" s="39"/>
      <c r="D635" s="40">
        <f>SUMIFS(Rezepte!F:F,Rezepte!A:A,C635)</f>
        <v>0</v>
      </c>
      <c r="E635" s="41">
        <f>SUMIFS(Rezepte!G:G,Rezepte!A:A,C635)</f>
        <v>0</v>
      </c>
      <c r="F635" s="42" t="str">
        <f t="shared" si="2"/>
        <v>#DIV/0!</v>
      </c>
      <c r="G635" s="38"/>
      <c r="H635" s="38"/>
      <c r="I635" s="38"/>
      <c r="J635" s="38"/>
      <c r="K635" s="38"/>
      <c r="L635" s="38"/>
      <c r="M635" s="38"/>
      <c r="N635" s="38"/>
      <c r="O635" s="38"/>
    </row>
    <row r="636" hidden="1">
      <c r="A636" s="38"/>
      <c r="B636" s="38"/>
      <c r="C636" s="39"/>
      <c r="D636" s="40">
        <f>SUMIFS(Rezepte!F:F,Rezepte!A:A,C636)</f>
        <v>0</v>
      </c>
      <c r="E636" s="41">
        <f>SUMIFS(Rezepte!G:G,Rezepte!A:A,C636)</f>
        <v>0</v>
      </c>
      <c r="F636" s="42" t="str">
        <f t="shared" si="2"/>
        <v>#DIV/0!</v>
      </c>
      <c r="G636" s="38"/>
      <c r="H636" s="38"/>
      <c r="I636" s="38"/>
      <c r="J636" s="38"/>
      <c r="K636" s="38"/>
      <c r="L636" s="38"/>
      <c r="M636" s="38"/>
      <c r="N636" s="38"/>
      <c r="O636" s="38"/>
    </row>
    <row r="637" hidden="1">
      <c r="A637" s="38"/>
      <c r="B637" s="38"/>
      <c r="C637" s="39"/>
      <c r="D637" s="40">
        <f>SUMIFS(Rezepte!F:F,Rezepte!A:A,C637)</f>
        <v>0</v>
      </c>
      <c r="E637" s="41">
        <f>SUMIFS(Rezepte!G:G,Rezepte!A:A,C637)</f>
        <v>0</v>
      </c>
      <c r="F637" s="42" t="str">
        <f t="shared" si="2"/>
        <v>#DIV/0!</v>
      </c>
      <c r="G637" s="38"/>
      <c r="H637" s="38"/>
      <c r="I637" s="38"/>
      <c r="J637" s="38"/>
      <c r="K637" s="38"/>
      <c r="L637" s="38"/>
      <c r="M637" s="38"/>
      <c r="N637" s="38"/>
      <c r="O637" s="38"/>
    </row>
    <row r="638" hidden="1">
      <c r="A638" s="38"/>
      <c r="B638" s="38"/>
      <c r="C638" s="39"/>
      <c r="D638" s="40">
        <f>SUMIFS(Rezepte!F:F,Rezepte!A:A,C638)</f>
        <v>0</v>
      </c>
      <c r="E638" s="41">
        <f>SUMIFS(Rezepte!G:G,Rezepte!A:A,C638)</f>
        <v>0</v>
      </c>
      <c r="F638" s="42" t="str">
        <f t="shared" si="2"/>
        <v>#DIV/0!</v>
      </c>
      <c r="G638" s="38"/>
      <c r="H638" s="38"/>
      <c r="I638" s="38"/>
      <c r="J638" s="38"/>
      <c r="K638" s="38"/>
      <c r="L638" s="38"/>
      <c r="M638" s="38"/>
      <c r="N638" s="38"/>
      <c r="O638" s="38"/>
    </row>
    <row r="639" hidden="1">
      <c r="A639" s="38"/>
      <c r="B639" s="38"/>
      <c r="C639" s="39"/>
      <c r="D639" s="40">
        <f>SUMIFS(Rezepte!F:F,Rezepte!A:A,C639)</f>
        <v>0</v>
      </c>
      <c r="E639" s="41">
        <f>SUMIFS(Rezepte!G:G,Rezepte!A:A,C639)</f>
        <v>0</v>
      </c>
      <c r="F639" s="42" t="str">
        <f t="shared" si="2"/>
        <v>#DIV/0!</v>
      </c>
      <c r="G639" s="38"/>
      <c r="H639" s="38"/>
      <c r="I639" s="38"/>
      <c r="J639" s="38"/>
      <c r="K639" s="38"/>
      <c r="L639" s="38"/>
      <c r="M639" s="38"/>
      <c r="N639" s="38"/>
      <c r="O639" s="38"/>
    </row>
    <row r="640" hidden="1">
      <c r="A640" s="38"/>
      <c r="B640" s="38"/>
      <c r="C640" s="39"/>
      <c r="D640" s="40">
        <f>SUMIFS(Rezepte!F:F,Rezepte!A:A,C640)</f>
        <v>0</v>
      </c>
      <c r="E640" s="41">
        <f>SUMIFS(Rezepte!G:G,Rezepte!A:A,C640)</f>
        <v>0</v>
      </c>
      <c r="F640" s="42" t="str">
        <f t="shared" si="2"/>
        <v>#DIV/0!</v>
      </c>
      <c r="G640" s="38"/>
      <c r="H640" s="38"/>
      <c r="I640" s="38"/>
      <c r="J640" s="38"/>
      <c r="K640" s="38"/>
      <c r="L640" s="38"/>
      <c r="M640" s="38"/>
      <c r="N640" s="38"/>
      <c r="O640" s="38"/>
    </row>
    <row r="641" hidden="1">
      <c r="A641" s="38"/>
      <c r="B641" s="38"/>
      <c r="C641" s="39"/>
      <c r="D641" s="40">
        <f>SUMIFS(Rezepte!F:F,Rezepte!A:A,C641)</f>
        <v>0</v>
      </c>
      <c r="E641" s="41">
        <f>SUMIFS(Rezepte!G:G,Rezepte!A:A,C641)</f>
        <v>0</v>
      </c>
      <c r="F641" s="42" t="str">
        <f t="shared" si="2"/>
        <v>#DIV/0!</v>
      </c>
      <c r="G641" s="38"/>
      <c r="H641" s="38"/>
      <c r="I641" s="38"/>
      <c r="J641" s="38"/>
      <c r="K641" s="38"/>
      <c r="L641" s="38"/>
      <c r="M641" s="38"/>
      <c r="N641" s="38"/>
      <c r="O641" s="38"/>
    </row>
    <row r="642" hidden="1">
      <c r="A642" s="38"/>
      <c r="B642" s="38"/>
      <c r="C642" s="39"/>
      <c r="D642" s="40">
        <f>SUMIFS(Rezepte!F:F,Rezepte!A:A,C642)</f>
        <v>0</v>
      </c>
      <c r="E642" s="41">
        <f>SUMIFS(Rezepte!G:G,Rezepte!A:A,C642)</f>
        <v>0</v>
      </c>
      <c r="F642" s="42" t="str">
        <f t="shared" si="2"/>
        <v>#DIV/0!</v>
      </c>
      <c r="G642" s="38"/>
      <c r="H642" s="38"/>
      <c r="I642" s="38"/>
      <c r="J642" s="38"/>
      <c r="K642" s="38"/>
      <c r="L642" s="38"/>
      <c r="M642" s="38"/>
      <c r="N642" s="38"/>
      <c r="O642" s="38"/>
    </row>
    <row r="643" hidden="1">
      <c r="A643" s="38"/>
      <c r="B643" s="38"/>
      <c r="C643" s="39"/>
      <c r="D643" s="40">
        <f>SUMIFS(Rezepte!F:F,Rezepte!A:A,C643)</f>
        <v>0</v>
      </c>
      <c r="E643" s="41">
        <f>SUMIFS(Rezepte!G:G,Rezepte!A:A,C643)</f>
        <v>0</v>
      </c>
      <c r="F643" s="42" t="str">
        <f t="shared" si="2"/>
        <v>#DIV/0!</v>
      </c>
      <c r="G643" s="38"/>
      <c r="H643" s="38"/>
      <c r="I643" s="38"/>
      <c r="J643" s="38"/>
      <c r="K643" s="38"/>
      <c r="L643" s="38"/>
      <c r="M643" s="38"/>
      <c r="N643" s="38"/>
      <c r="O643" s="38"/>
    </row>
    <row r="644" hidden="1">
      <c r="A644" s="38"/>
      <c r="B644" s="38"/>
      <c r="C644" s="39"/>
      <c r="D644" s="40">
        <f>SUMIFS(Rezepte!F:F,Rezepte!A:A,C644)</f>
        <v>0</v>
      </c>
      <c r="E644" s="41">
        <f>SUMIFS(Rezepte!G:G,Rezepte!A:A,C644)</f>
        <v>0</v>
      </c>
      <c r="F644" s="42" t="str">
        <f t="shared" si="2"/>
        <v>#DIV/0!</v>
      </c>
      <c r="G644" s="38"/>
      <c r="H644" s="38"/>
      <c r="I644" s="38"/>
      <c r="J644" s="38"/>
      <c r="K644" s="38"/>
      <c r="L644" s="38"/>
      <c r="M644" s="38"/>
      <c r="N644" s="38"/>
      <c r="O644" s="38"/>
    </row>
    <row r="645" hidden="1">
      <c r="A645" s="38"/>
      <c r="B645" s="38"/>
      <c r="C645" s="39"/>
      <c r="D645" s="40">
        <f>SUMIFS(Rezepte!F:F,Rezepte!A:A,C645)</f>
        <v>0</v>
      </c>
      <c r="E645" s="41">
        <f>SUMIFS(Rezepte!G:G,Rezepte!A:A,C645)</f>
        <v>0</v>
      </c>
      <c r="F645" s="42" t="str">
        <f t="shared" si="2"/>
        <v>#DIV/0!</v>
      </c>
      <c r="G645" s="38"/>
      <c r="H645" s="38"/>
      <c r="I645" s="38"/>
      <c r="J645" s="38"/>
      <c r="K645" s="38"/>
      <c r="L645" s="38"/>
      <c r="M645" s="38"/>
      <c r="N645" s="38"/>
      <c r="O645" s="38"/>
    </row>
    <row r="646" hidden="1">
      <c r="A646" s="38"/>
      <c r="B646" s="38"/>
      <c r="C646" s="39"/>
      <c r="D646" s="40">
        <f>SUMIFS(Rezepte!F:F,Rezepte!A:A,C646)</f>
        <v>0</v>
      </c>
      <c r="E646" s="41">
        <f>SUMIFS(Rezepte!G:G,Rezepte!A:A,C646)</f>
        <v>0</v>
      </c>
      <c r="F646" s="42" t="str">
        <f t="shared" si="2"/>
        <v>#DIV/0!</v>
      </c>
      <c r="G646" s="38"/>
      <c r="H646" s="38"/>
      <c r="I646" s="38"/>
      <c r="J646" s="38"/>
      <c r="K646" s="38"/>
      <c r="L646" s="38"/>
      <c r="M646" s="38"/>
      <c r="N646" s="38"/>
      <c r="O646" s="38"/>
    </row>
    <row r="647" hidden="1">
      <c r="A647" s="38"/>
      <c r="B647" s="38"/>
      <c r="C647" s="39"/>
      <c r="D647" s="40">
        <f>SUMIFS(Rezepte!F:F,Rezepte!A:A,C647)</f>
        <v>0</v>
      </c>
      <c r="E647" s="41">
        <f>SUMIFS(Rezepte!G:G,Rezepte!A:A,C647)</f>
        <v>0</v>
      </c>
      <c r="F647" s="42" t="str">
        <f t="shared" si="2"/>
        <v>#DIV/0!</v>
      </c>
      <c r="G647" s="38"/>
      <c r="H647" s="38"/>
      <c r="I647" s="38"/>
      <c r="J647" s="38"/>
      <c r="K647" s="38"/>
      <c r="L647" s="38"/>
      <c r="M647" s="38"/>
      <c r="N647" s="38"/>
      <c r="O647" s="38"/>
    </row>
    <row r="648" hidden="1">
      <c r="A648" s="38"/>
      <c r="B648" s="38"/>
      <c r="C648" s="39"/>
      <c r="D648" s="40">
        <f>SUMIFS(Rezepte!F:F,Rezepte!A:A,C648)</f>
        <v>0</v>
      </c>
      <c r="E648" s="41">
        <f>SUMIFS(Rezepte!G:G,Rezepte!A:A,C648)</f>
        <v>0</v>
      </c>
      <c r="F648" s="42" t="str">
        <f t="shared" si="2"/>
        <v>#DIV/0!</v>
      </c>
      <c r="G648" s="38"/>
      <c r="H648" s="38"/>
      <c r="I648" s="38"/>
      <c r="J648" s="38"/>
      <c r="K648" s="38"/>
      <c r="L648" s="38"/>
      <c r="M648" s="38"/>
      <c r="N648" s="38"/>
      <c r="O648" s="38"/>
    </row>
    <row r="649" hidden="1">
      <c r="A649" s="38"/>
      <c r="B649" s="38"/>
      <c r="C649" s="39"/>
      <c r="D649" s="40">
        <f>SUMIFS(Rezepte!F:F,Rezepte!A:A,C649)</f>
        <v>0</v>
      </c>
      <c r="E649" s="41">
        <f>SUMIFS(Rezepte!G:G,Rezepte!A:A,C649)</f>
        <v>0</v>
      </c>
      <c r="F649" s="42" t="str">
        <f t="shared" si="2"/>
        <v>#DIV/0!</v>
      </c>
      <c r="G649" s="38"/>
      <c r="H649" s="38"/>
      <c r="I649" s="38"/>
      <c r="J649" s="38"/>
      <c r="K649" s="38"/>
      <c r="L649" s="38"/>
      <c r="M649" s="38"/>
      <c r="N649" s="38"/>
      <c r="O649" s="38"/>
    </row>
    <row r="650" hidden="1">
      <c r="A650" s="38"/>
      <c r="B650" s="38"/>
      <c r="C650" s="39"/>
      <c r="D650" s="40">
        <f>SUMIFS(Rezepte!F:F,Rezepte!A:A,C650)</f>
        <v>0</v>
      </c>
      <c r="E650" s="41">
        <f>SUMIFS(Rezepte!G:G,Rezepte!A:A,C650)</f>
        <v>0</v>
      </c>
      <c r="F650" s="42" t="str">
        <f t="shared" si="2"/>
        <v>#DIV/0!</v>
      </c>
      <c r="G650" s="38"/>
      <c r="H650" s="38"/>
      <c r="I650" s="38"/>
      <c r="J650" s="38"/>
      <c r="K650" s="38"/>
      <c r="L650" s="38"/>
      <c r="M650" s="38"/>
      <c r="N650" s="38"/>
      <c r="O650" s="38"/>
    </row>
    <row r="651" hidden="1">
      <c r="A651" s="38"/>
      <c r="B651" s="38"/>
      <c r="C651" s="39"/>
      <c r="D651" s="40">
        <f>SUMIFS(Rezepte!F:F,Rezepte!A:A,C651)</f>
        <v>0</v>
      </c>
      <c r="E651" s="41">
        <f>SUMIFS(Rezepte!G:G,Rezepte!A:A,C651)</f>
        <v>0</v>
      </c>
      <c r="F651" s="42" t="str">
        <f t="shared" si="2"/>
        <v>#DIV/0!</v>
      </c>
      <c r="G651" s="38"/>
      <c r="H651" s="38"/>
      <c r="I651" s="38"/>
      <c r="J651" s="38"/>
      <c r="K651" s="38"/>
      <c r="L651" s="38"/>
      <c r="M651" s="38"/>
      <c r="N651" s="38"/>
      <c r="O651" s="38"/>
    </row>
    <row r="652" hidden="1">
      <c r="A652" s="38"/>
      <c r="B652" s="38"/>
      <c r="C652" s="39"/>
      <c r="D652" s="40">
        <f>SUMIFS(Rezepte!F:F,Rezepte!A:A,C652)</f>
        <v>0</v>
      </c>
      <c r="E652" s="41">
        <f>SUMIFS(Rezepte!G:G,Rezepte!A:A,C652)</f>
        <v>0</v>
      </c>
      <c r="F652" s="42" t="str">
        <f t="shared" si="2"/>
        <v>#DIV/0!</v>
      </c>
      <c r="G652" s="38"/>
      <c r="H652" s="38"/>
      <c r="I652" s="38"/>
      <c r="J652" s="38"/>
      <c r="K652" s="38"/>
      <c r="L652" s="38"/>
      <c r="M652" s="38"/>
      <c r="N652" s="38"/>
      <c r="O652" s="38"/>
    </row>
    <row r="653" hidden="1">
      <c r="A653" s="38"/>
      <c r="B653" s="38"/>
      <c r="C653" s="39"/>
      <c r="D653" s="40">
        <f>SUMIFS(Rezepte!F:F,Rezepte!A:A,C653)</f>
        <v>0</v>
      </c>
      <c r="E653" s="41">
        <f>SUMIFS(Rezepte!G:G,Rezepte!A:A,C653)</f>
        <v>0</v>
      </c>
      <c r="F653" s="42" t="str">
        <f t="shared" si="2"/>
        <v>#DIV/0!</v>
      </c>
      <c r="G653" s="38"/>
      <c r="H653" s="38"/>
      <c r="I653" s="38"/>
      <c r="J653" s="38"/>
      <c r="K653" s="38"/>
      <c r="L653" s="38"/>
      <c r="M653" s="38"/>
      <c r="N653" s="38"/>
      <c r="O653" s="38"/>
    </row>
    <row r="654" hidden="1">
      <c r="A654" s="38"/>
      <c r="B654" s="38"/>
      <c r="C654" s="39"/>
      <c r="D654" s="40">
        <f>SUMIFS(Rezepte!F:F,Rezepte!A:A,C654)</f>
        <v>0</v>
      </c>
      <c r="E654" s="41">
        <f>SUMIFS(Rezepte!G:G,Rezepte!A:A,C654)</f>
        <v>0</v>
      </c>
      <c r="F654" s="42" t="str">
        <f t="shared" si="2"/>
        <v>#DIV/0!</v>
      </c>
      <c r="G654" s="38"/>
      <c r="H654" s="38"/>
      <c r="I654" s="38"/>
      <c r="J654" s="38"/>
      <c r="K654" s="38"/>
      <c r="L654" s="38"/>
      <c r="M654" s="38"/>
      <c r="N654" s="38"/>
      <c r="O654" s="38"/>
    </row>
    <row r="655" hidden="1">
      <c r="A655" s="38"/>
      <c r="B655" s="38"/>
      <c r="C655" s="39"/>
      <c r="D655" s="40">
        <f>SUMIFS(Rezepte!F:F,Rezepte!A:A,C655)</f>
        <v>0</v>
      </c>
      <c r="E655" s="41">
        <f>SUMIFS(Rezepte!G:G,Rezepte!A:A,C655)</f>
        <v>0</v>
      </c>
      <c r="F655" s="42" t="str">
        <f t="shared" si="2"/>
        <v>#DIV/0!</v>
      </c>
      <c r="G655" s="38"/>
      <c r="H655" s="38"/>
      <c r="I655" s="38"/>
      <c r="J655" s="38"/>
      <c r="K655" s="38"/>
      <c r="L655" s="38"/>
      <c r="M655" s="38"/>
      <c r="N655" s="38"/>
      <c r="O655" s="38"/>
    </row>
    <row r="656" hidden="1">
      <c r="A656" s="38"/>
      <c r="B656" s="38"/>
      <c r="C656" s="39"/>
      <c r="D656" s="40">
        <f>SUMIFS(Rezepte!F:F,Rezepte!A:A,C656)</f>
        <v>0</v>
      </c>
      <c r="E656" s="41">
        <f>SUMIFS(Rezepte!G:G,Rezepte!A:A,C656)</f>
        <v>0</v>
      </c>
      <c r="F656" s="42" t="str">
        <f t="shared" si="2"/>
        <v>#DIV/0!</v>
      </c>
      <c r="G656" s="38"/>
      <c r="H656" s="38"/>
      <c r="I656" s="38"/>
      <c r="J656" s="38"/>
      <c r="K656" s="38"/>
      <c r="L656" s="38"/>
      <c r="M656" s="38"/>
      <c r="N656" s="38"/>
      <c r="O656" s="38"/>
    </row>
    <row r="657" hidden="1">
      <c r="A657" s="38"/>
      <c r="B657" s="38"/>
      <c r="C657" s="39"/>
      <c r="D657" s="40">
        <f>SUMIFS(Rezepte!F:F,Rezepte!A:A,C657)</f>
        <v>0</v>
      </c>
      <c r="E657" s="41">
        <f>SUMIFS(Rezepte!G:G,Rezepte!A:A,C657)</f>
        <v>0</v>
      </c>
      <c r="F657" s="42" t="str">
        <f t="shared" si="2"/>
        <v>#DIV/0!</v>
      </c>
      <c r="G657" s="38"/>
      <c r="H657" s="38"/>
      <c r="I657" s="38"/>
      <c r="J657" s="38"/>
      <c r="K657" s="38"/>
      <c r="L657" s="38"/>
      <c r="M657" s="38"/>
      <c r="N657" s="38"/>
      <c r="O657" s="38"/>
    </row>
    <row r="658" hidden="1">
      <c r="A658" s="38"/>
      <c r="B658" s="38"/>
      <c r="C658" s="39"/>
      <c r="D658" s="40">
        <f>SUMIFS(Rezepte!F:F,Rezepte!A:A,C658)</f>
        <v>0</v>
      </c>
      <c r="E658" s="41">
        <f>SUMIFS(Rezepte!G:G,Rezepte!A:A,C658)</f>
        <v>0</v>
      </c>
      <c r="F658" s="42" t="str">
        <f t="shared" si="2"/>
        <v>#DIV/0!</v>
      </c>
      <c r="G658" s="38"/>
      <c r="H658" s="38"/>
      <c r="I658" s="38"/>
      <c r="J658" s="38"/>
      <c r="K658" s="38"/>
      <c r="L658" s="38"/>
      <c r="M658" s="38"/>
      <c r="N658" s="38"/>
      <c r="O658" s="38"/>
    </row>
    <row r="659" hidden="1">
      <c r="A659" s="38"/>
      <c r="B659" s="38"/>
      <c r="C659" s="39"/>
      <c r="D659" s="40">
        <f>SUMIFS(Rezepte!F:F,Rezepte!A:A,C659)</f>
        <v>0</v>
      </c>
      <c r="E659" s="41">
        <f>SUMIFS(Rezepte!G:G,Rezepte!A:A,C659)</f>
        <v>0</v>
      </c>
      <c r="F659" s="42" t="str">
        <f t="shared" si="2"/>
        <v>#DIV/0!</v>
      </c>
      <c r="G659" s="38"/>
      <c r="H659" s="38"/>
      <c r="I659" s="38"/>
      <c r="J659" s="38"/>
      <c r="K659" s="38"/>
      <c r="L659" s="38"/>
      <c r="M659" s="38"/>
      <c r="N659" s="38"/>
      <c r="O659" s="38"/>
    </row>
    <row r="660" hidden="1">
      <c r="A660" s="38"/>
      <c r="B660" s="38"/>
      <c r="C660" s="39"/>
      <c r="D660" s="40">
        <f>SUMIFS(Rezepte!F:F,Rezepte!A:A,C660)</f>
        <v>0</v>
      </c>
      <c r="E660" s="41">
        <f>SUMIFS(Rezepte!G:G,Rezepte!A:A,C660)</f>
        <v>0</v>
      </c>
      <c r="F660" s="42" t="str">
        <f t="shared" si="2"/>
        <v>#DIV/0!</v>
      </c>
      <c r="G660" s="38"/>
      <c r="H660" s="38"/>
      <c r="I660" s="38"/>
      <c r="J660" s="38"/>
      <c r="K660" s="38"/>
      <c r="L660" s="38"/>
      <c r="M660" s="38"/>
      <c r="N660" s="38"/>
      <c r="O660" s="38"/>
    </row>
    <row r="661" hidden="1">
      <c r="A661" s="38"/>
      <c r="B661" s="38"/>
      <c r="C661" s="39"/>
      <c r="D661" s="40">
        <f>SUMIFS(Rezepte!F:F,Rezepte!A:A,C661)</f>
        <v>0</v>
      </c>
      <c r="E661" s="41">
        <f>SUMIFS(Rezepte!G:G,Rezepte!A:A,C661)</f>
        <v>0</v>
      </c>
      <c r="F661" s="42" t="str">
        <f t="shared" si="2"/>
        <v>#DIV/0!</v>
      </c>
      <c r="G661" s="38"/>
      <c r="H661" s="38"/>
      <c r="I661" s="38"/>
      <c r="J661" s="38"/>
      <c r="K661" s="38"/>
      <c r="L661" s="38"/>
      <c r="M661" s="38"/>
      <c r="N661" s="38"/>
      <c r="O661" s="38"/>
    </row>
    <row r="662" hidden="1">
      <c r="A662" s="38"/>
      <c r="B662" s="38"/>
      <c r="C662" s="39"/>
      <c r="D662" s="40">
        <f>SUMIFS(Rezepte!F:F,Rezepte!A:A,C662)</f>
        <v>0</v>
      </c>
      <c r="E662" s="41">
        <f>SUMIFS(Rezepte!G:G,Rezepte!A:A,C662)</f>
        <v>0</v>
      </c>
      <c r="F662" s="42" t="str">
        <f t="shared" si="2"/>
        <v>#DIV/0!</v>
      </c>
      <c r="G662" s="38"/>
      <c r="H662" s="38"/>
      <c r="I662" s="38"/>
      <c r="J662" s="38"/>
      <c r="K662" s="38"/>
      <c r="L662" s="38"/>
      <c r="M662" s="38"/>
      <c r="N662" s="38"/>
      <c r="O662" s="38"/>
    </row>
    <row r="663" hidden="1">
      <c r="A663" s="38"/>
      <c r="B663" s="38"/>
      <c r="C663" s="39"/>
      <c r="D663" s="40">
        <f>SUMIFS(Rezepte!F:F,Rezepte!A:A,C663)</f>
        <v>0</v>
      </c>
      <c r="E663" s="41">
        <f>SUMIFS(Rezepte!G:G,Rezepte!A:A,C663)</f>
        <v>0</v>
      </c>
      <c r="F663" s="42" t="str">
        <f t="shared" si="2"/>
        <v>#DIV/0!</v>
      </c>
      <c r="G663" s="38"/>
      <c r="H663" s="38"/>
      <c r="I663" s="38"/>
      <c r="J663" s="38"/>
      <c r="K663" s="38"/>
      <c r="L663" s="38"/>
      <c r="M663" s="38"/>
      <c r="N663" s="38"/>
      <c r="O663" s="38"/>
    </row>
    <row r="664" hidden="1">
      <c r="A664" s="38"/>
      <c r="B664" s="38"/>
      <c r="C664" s="39"/>
      <c r="D664" s="40">
        <f>SUMIFS(Rezepte!F:F,Rezepte!A:A,C664)</f>
        <v>0</v>
      </c>
      <c r="E664" s="41">
        <f>SUMIFS(Rezepte!G:G,Rezepte!A:A,C664)</f>
        <v>0</v>
      </c>
      <c r="F664" s="42" t="str">
        <f t="shared" si="2"/>
        <v>#DIV/0!</v>
      </c>
      <c r="G664" s="38"/>
      <c r="H664" s="38"/>
      <c r="I664" s="38"/>
      <c r="J664" s="38"/>
      <c r="K664" s="38"/>
      <c r="L664" s="38"/>
      <c r="M664" s="38"/>
      <c r="N664" s="38"/>
      <c r="O664" s="38"/>
    </row>
    <row r="665" hidden="1">
      <c r="A665" s="38"/>
      <c r="B665" s="38"/>
      <c r="C665" s="39"/>
      <c r="D665" s="40">
        <f>SUMIFS(Rezepte!F:F,Rezepte!A:A,C665)</f>
        <v>0</v>
      </c>
      <c r="E665" s="41">
        <f>SUMIFS(Rezepte!G:G,Rezepte!A:A,C665)</f>
        <v>0</v>
      </c>
      <c r="F665" s="42" t="str">
        <f t="shared" si="2"/>
        <v>#DIV/0!</v>
      </c>
      <c r="G665" s="38"/>
      <c r="H665" s="38"/>
      <c r="I665" s="38"/>
      <c r="J665" s="38"/>
      <c r="K665" s="38"/>
      <c r="L665" s="38"/>
      <c r="M665" s="38"/>
      <c r="N665" s="38"/>
      <c r="O665" s="38"/>
    </row>
    <row r="666" hidden="1">
      <c r="A666" s="38"/>
      <c r="B666" s="38"/>
      <c r="C666" s="39"/>
      <c r="D666" s="40">
        <f>SUMIFS(Rezepte!F:F,Rezepte!A:A,C666)</f>
        <v>0</v>
      </c>
      <c r="E666" s="41">
        <f>SUMIFS(Rezepte!G:G,Rezepte!A:A,C666)</f>
        <v>0</v>
      </c>
      <c r="F666" s="42" t="str">
        <f t="shared" si="2"/>
        <v>#DIV/0!</v>
      </c>
      <c r="G666" s="38"/>
      <c r="H666" s="38"/>
      <c r="I666" s="38"/>
      <c r="J666" s="38"/>
      <c r="K666" s="38"/>
      <c r="L666" s="38"/>
      <c r="M666" s="38"/>
      <c r="N666" s="38"/>
      <c r="O666" s="38"/>
    </row>
    <row r="667" hidden="1">
      <c r="A667" s="38"/>
      <c r="B667" s="38"/>
      <c r="C667" s="39"/>
      <c r="D667" s="40">
        <f>SUMIFS(Rezepte!F:F,Rezepte!A:A,C667)</f>
        <v>0</v>
      </c>
      <c r="E667" s="41">
        <f>SUMIFS(Rezepte!G:G,Rezepte!A:A,C667)</f>
        <v>0</v>
      </c>
      <c r="F667" s="42" t="str">
        <f t="shared" si="2"/>
        <v>#DIV/0!</v>
      </c>
      <c r="G667" s="38"/>
      <c r="H667" s="38"/>
      <c r="I667" s="38"/>
      <c r="J667" s="38"/>
      <c r="K667" s="38"/>
      <c r="L667" s="38"/>
      <c r="M667" s="38"/>
      <c r="N667" s="38"/>
      <c r="O667" s="38"/>
    </row>
    <row r="668" hidden="1">
      <c r="A668" s="38"/>
      <c r="B668" s="38"/>
      <c r="C668" s="39"/>
      <c r="D668" s="40">
        <f>SUMIFS(Rezepte!F:F,Rezepte!A:A,C668)</f>
        <v>0</v>
      </c>
      <c r="E668" s="41">
        <f>SUMIFS(Rezepte!G:G,Rezepte!A:A,C668)</f>
        <v>0</v>
      </c>
      <c r="F668" s="42" t="str">
        <f t="shared" si="2"/>
        <v>#DIV/0!</v>
      </c>
      <c r="G668" s="38"/>
      <c r="H668" s="38"/>
      <c r="I668" s="38"/>
      <c r="J668" s="38"/>
      <c r="K668" s="38"/>
      <c r="L668" s="38"/>
      <c r="M668" s="38"/>
      <c r="N668" s="38"/>
      <c r="O668" s="38"/>
    </row>
    <row r="669" hidden="1">
      <c r="A669" s="38"/>
      <c r="B669" s="38"/>
      <c r="C669" s="39"/>
      <c r="D669" s="40">
        <f>SUMIFS(Rezepte!F:F,Rezepte!A:A,C669)</f>
        <v>0</v>
      </c>
      <c r="E669" s="41">
        <f>SUMIFS(Rezepte!G:G,Rezepte!A:A,C669)</f>
        <v>0</v>
      </c>
      <c r="F669" s="42" t="str">
        <f t="shared" si="2"/>
        <v>#DIV/0!</v>
      </c>
      <c r="G669" s="38"/>
      <c r="H669" s="38"/>
      <c r="I669" s="38"/>
      <c r="J669" s="38"/>
      <c r="K669" s="38"/>
      <c r="L669" s="38"/>
      <c r="M669" s="38"/>
      <c r="N669" s="38"/>
      <c r="O669" s="38"/>
    </row>
    <row r="670" hidden="1">
      <c r="A670" s="38"/>
      <c r="B670" s="38"/>
      <c r="C670" s="39"/>
      <c r="D670" s="40">
        <f>SUMIFS(Rezepte!F:F,Rezepte!A:A,C670)</f>
        <v>0</v>
      </c>
      <c r="E670" s="41">
        <f>SUMIFS(Rezepte!G:G,Rezepte!A:A,C670)</f>
        <v>0</v>
      </c>
      <c r="F670" s="42" t="str">
        <f t="shared" si="2"/>
        <v>#DIV/0!</v>
      </c>
      <c r="G670" s="38"/>
      <c r="H670" s="38"/>
      <c r="I670" s="38"/>
      <c r="J670" s="38"/>
      <c r="K670" s="38"/>
      <c r="L670" s="38"/>
      <c r="M670" s="38"/>
      <c r="N670" s="38"/>
      <c r="O670" s="38"/>
    </row>
    <row r="671" hidden="1">
      <c r="A671" s="38"/>
      <c r="B671" s="38"/>
      <c r="C671" s="39"/>
      <c r="D671" s="40">
        <f>SUMIFS(Rezepte!F:F,Rezepte!A:A,C671)</f>
        <v>0</v>
      </c>
      <c r="E671" s="41">
        <f>SUMIFS(Rezepte!G:G,Rezepte!A:A,C671)</f>
        <v>0</v>
      </c>
      <c r="F671" s="42" t="str">
        <f t="shared" si="2"/>
        <v>#DIV/0!</v>
      </c>
      <c r="G671" s="38"/>
      <c r="H671" s="38"/>
      <c r="I671" s="38"/>
      <c r="J671" s="38"/>
      <c r="K671" s="38"/>
      <c r="L671" s="38"/>
      <c r="M671" s="38"/>
      <c r="N671" s="38"/>
      <c r="O671" s="38"/>
    </row>
    <row r="672" hidden="1">
      <c r="A672" s="38"/>
      <c r="B672" s="38"/>
      <c r="C672" s="39"/>
      <c r="D672" s="40">
        <f>SUMIFS(Rezepte!F:F,Rezepte!A:A,C672)</f>
        <v>0</v>
      </c>
      <c r="E672" s="41">
        <f>SUMIFS(Rezepte!G:G,Rezepte!A:A,C672)</f>
        <v>0</v>
      </c>
      <c r="F672" s="42" t="str">
        <f t="shared" si="2"/>
        <v>#DIV/0!</v>
      </c>
      <c r="G672" s="38"/>
      <c r="H672" s="38"/>
      <c r="I672" s="38"/>
      <c r="J672" s="38"/>
      <c r="K672" s="38"/>
      <c r="L672" s="38"/>
      <c r="M672" s="38"/>
      <c r="N672" s="38"/>
      <c r="O672" s="38"/>
    </row>
    <row r="673" hidden="1">
      <c r="A673" s="38"/>
      <c r="B673" s="38"/>
      <c r="C673" s="39"/>
      <c r="D673" s="40">
        <f>SUMIFS(Rezepte!F:F,Rezepte!A:A,C673)</f>
        <v>0</v>
      </c>
      <c r="E673" s="41">
        <f>SUMIFS(Rezepte!G:G,Rezepte!A:A,C673)</f>
        <v>0</v>
      </c>
      <c r="F673" s="42" t="str">
        <f t="shared" si="2"/>
        <v>#DIV/0!</v>
      </c>
      <c r="G673" s="38"/>
      <c r="H673" s="38"/>
      <c r="I673" s="38"/>
      <c r="J673" s="38"/>
      <c r="K673" s="38"/>
      <c r="L673" s="38"/>
      <c r="M673" s="38"/>
      <c r="N673" s="38"/>
      <c r="O673" s="38"/>
    </row>
    <row r="674" hidden="1">
      <c r="A674" s="38"/>
      <c r="B674" s="38"/>
      <c r="C674" s="39"/>
      <c r="D674" s="40">
        <f>SUMIFS(Rezepte!F:F,Rezepte!A:A,C674)</f>
        <v>0</v>
      </c>
      <c r="E674" s="41">
        <f>SUMIFS(Rezepte!G:G,Rezepte!A:A,C674)</f>
        <v>0</v>
      </c>
      <c r="F674" s="42" t="str">
        <f t="shared" si="2"/>
        <v>#DIV/0!</v>
      </c>
      <c r="G674" s="38"/>
      <c r="H674" s="38"/>
      <c r="I674" s="38"/>
      <c r="J674" s="38"/>
      <c r="K674" s="38"/>
      <c r="L674" s="38"/>
      <c r="M674" s="38"/>
      <c r="N674" s="38"/>
      <c r="O674" s="38"/>
    </row>
    <row r="675" hidden="1">
      <c r="A675" s="38"/>
      <c r="B675" s="38"/>
      <c r="C675" s="39"/>
      <c r="D675" s="40">
        <f>SUMIFS(Rezepte!F:F,Rezepte!A:A,C675)</f>
        <v>0</v>
      </c>
      <c r="E675" s="41">
        <f>SUMIFS(Rezepte!G:G,Rezepte!A:A,C675)</f>
        <v>0</v>
      </c>
      <c r="F675" s="42" t="str">
        <f t="shared" si="2"/>
        <v>#DIV/0!</v>
      </c>
      <c r="G675" s="38"/>
      <c r="H675" s="38"/>
      <c r="I675" s="38"/>
      <c r="J675" s="38"/>
      <c r="K675" s="38"/>
      <c r="L675" s="38"/>
      <c r="M675" s="38"/>
      <c r="N675" s="38"/>
      <c r="O675" s="38"/>
    </row>
    <row r="676" hidden="1">
      <c r="A676" s="38"/>
      <c r="B676" s="38"/>
      <c r="C676" s="39"/>
      <c r="D676" s="40">
        <f>SUMIFS(Rezepte!F:F,Rezepte!A:A,C676)</f>
        <v>0</v>
      </c>
      <c r="E676" s="41">
        <f>SUMIFS(Rezepte!G:G,Rezepte!A:A,C676)</f>
        <v>0</v>
      </c>
      <c r="F676" s="42" t="str">
        <f t="shared" si="2"/>
        <v>#DIV/0!</v>
      </c>
      <c r="G676" s="38"/>
      <c r="H676" s="38"/>
      <c r="I676" s="38"/>
      <c r="J676" s="38"/>
      <c r="K676" s="38"/>
      <c r="L676" s="38"/>
      <c r="M676" s="38"/>
      <c r="N676" s="38"/>
      <c r="O676" s="38"/>
    </row>
    <row r="677" hidden="1">
      <c r="A677" s="38"/>
      <c r="B677" s="38"/>
      <c r="C677" s="39"/>
      <c r="D677" s="40">
        <f>SUMIFS(Rezepte!F:F,Rezepte!A:A,C677)</f>
        <v>0</v>
      </c>
      <c r="E677" s="41">
        <f>SUMIFS(Rezepte!G:G,Rezepte!A:A,C677)</f>
        <v>0</v>
      </c>
      <c r="F677" s="42" t="str">
        <f t="shared" si="2"/>
        <v>#DIV/0!</v>
      </c>
      <c r="G677" s="38"/>
      <c r="H677" s="38"/>
      <c r="I677" s="38"/>
      <c r="J677" s="38"/>
      <c r="K677" s="38"/>
      <c r="L677" s="38"/>
      <c r="M677" s="38"/>
      <c r="N677" s="38"/>
      <c r="O677" s="38"/>
    </row>
    <row r="678" hidden="1">
      <c r="A678" s="38"/>
      <c r="B678" s="38"/>
      <c r="C678" s="39"/>
      <c r="D678" s="40">
        <f>SUMIFS(Rezepte!F:F,Rezepte!A:A,C678)</f>
        <v>0</v>
      </c>
      <c r="E678" s="41">
        <f>SUMIFS(Rezepte!G:G,Rezepte!A:A,C678)</f>
        <v>0</v>
      </c>
      <c r="F678" s="42" t="str">
        <f t="shared" si="2"/>
        <v>#DIV/0!</v>
      </c>
      <c r="G678" s="38"/>
      <c r="H678" s="38"/>
      <c r="I678" s="38"/>
      <c r="J678" s="38"/>
      <c r="K678" s="38"/>
      <c r="L678" s="38"/>
      <c r="M678" s="38"/>
      <c r="N678" s="38"/>
      <c r="O678" s="38"/>
    </row>
    <row r="679" hidden="1">
      <c r="A679" s="38"/>
      <c r="B679" s="38"/>
      <c r="C679" s="39"/>
      <c r="D679" s="40">
        <f>SUMIFS(Rezepte!F:F,Rezepte!A:A,C679)</f>
        <v>0</v>
      </c>
      <c r="E679" s="41">
        <f>SUMIFS(Rezepte!G:G,Rezepte!A:A,C679)</f>
        <v>0</v>
      </c>
      <c r="F679" s="42" t="str">
        <f t="shared" si="2"/>
        <v>#DIV/0!</v>
      </c>
      <c r="G679" s="38"/>
      <c r="H679" s="38"/>
      <c r="I679" s="38"/>
      <c r="J679" s="38"/>
      <c r="K679" s="38"/>
      <c r="L679" s="38"/>
      <c r="M679" s="38"/>
      <c r="N679" s="38"/>
      <c r="O679" s="38"/>
    </row>
    <row r="680" hidden="1">
      <c r="A680" s="38"/>
      <c r="B680" s="38"/>
      <c r="C680" s="39"/>
      <c r="D680" s="40">
        <f>SUMIFS(Rezepte!F:F,Rezepte!A:A,C680)</f>
        <v>0</v>
      </c>
      <c r="E680" s="41">
        <f>SUMIFS(Rezepte!G:G,Rezepte!A:A,C680)</f>
        <v>0</v>
      </c>
      <c r="F680" s="42" t="str">
        <f t="shared" si="2"/>
        <v>#DIV/0!</v>
      </c>
      <c r="G680" s="38"/>
      <c r="H680" s="38"/>
      <c r="I680" s="38"/>
      <c r="J680" s="38"/>
      <c r="K680" s="38"/>
      <c r="L680" s="38"/>
      <c r="M680" s="38"/>
      <c r="N680" s="38"/>
      <c r="O680" s="38"/>
    </row>
    <row r="681" hidden="1">
      <c r="A681" s="38"/>
      <c r="B681" s="38"/>
      <c r="C681" s="39"/>
      <c r="D681" s="40">
        <f>SUMIFS(Rezepte!F:F,Rezepte!A:A,C681)</f>
        <v>0</v>
      </c>
      <c r="E681" s="41">
        <f>SUMIFS(Rezepte!G:G,Rezepte!A:A,C681)</f>
        <v>0</v>
      </c>
      <c r="F681" s="42" t="str">
        <f t="shared" si="2"/>
        <v>#DIV/0!</v>
      </c>
      <c r="G681" s="38"/>
      <c r="H681" s="38"/>
      <c r="I681" s="38"/>
      <c r="J681" s="38"/>
      <c r="K681" s="38"/>
      <c r="L681" s="38"/>
      <c r="M681" s="38"/>
      <c r="N681" s="38"/>
      <c r="O681" s="38"/>
    </row>
    <row r="682" hidden="1">
      <c r="A682" s="38"/>
      <c r="B682" s="38"/>
      <c r="C682" s="39"/>
      <c r="D682" s="40">
        <f>SUMIFS(Rezepte!F:F,Rezepte!A:A,C682)</f>
        <v>0</v>
      </c>
      <c r="E682" s="41">
        <f>SUMIFS(Rezepte!G:G,Rezepte!A:A,C682)</f>
        <v>0</v>
      </c>
      <c r="F682" s="42" t="str">
        <f t="shared" si="2"/>
        <v>#DIV/0!</v>
      </c>
      <c r="G682" s="38"/>
      <c r="H682" s="38"/>
      <c r="I682" s="38"/>
      <c r="J682" s="38"/>
      <c r="K682" s="38"/>
      <c r="L682" s="38"/>
      <c r="M682" s="38"/>
      <c r="N682" s="38"/>
      <c r="O682" s="38"/>
    </row>
    <row r="683" hidden="1">
      <c r="A683" s="38"/>
      <c r="B683" s="38"/>
      <c r="C683" s="39"/>
      <c r="D683" s="40">
        <f>SUMIFS(Rezepte!F:F,Rezepte!A:A,C683)</f>
        <v>0</v>
      </c>
      <c r="E683" s="41">
        <f>SUMIFS(Rezepte!G:G,Rezepte!A:A,C683)</f>
        <v>0</v>
      </c>
      <c r="F683" s="42" t="str">
        <f t="shared" si="2"/>
        <v>#DIV/0!</v>
      </c>
      <c r="G683" s="38"/>
      <c r="H683" s="38"/>
      <c r="I683" s="38"/>
      <c r="J683" s="38"/>
      <c r="K683" s="38"/>
      <c r="L683" s="38"/>
      <c r="M683" s="38"/>
      <c r="N683" s="38"/>
      <c r="O683" s="38"/>
    </row>
    <row r="684" hidden="1">
      <c r="A684" s="38"/>
      <c r="B684" s="38"/>
      <c r="C684" s="39"/>
      <c r="D684" s="40">
        <f>SUMIFS(Rezepte!F:F,Rezepte!A:A,C684)</f>
        <v>0</v>
      </c>
      <c r="E684" s="41">
        <f>SUMIFS(Rezepte!G:G,Rezepte!A:A,C684)</f>
        <v>0</v>
      </c>
      <c r="F684" s="42" t="str">
        <f t="shared" si="2"/>
        <v>#DIV/0!</v>
      </c>
      <c r="G684" s="38"/>
      <c r="H684" s="38"/>
      <c r="I684" s="38"/>
      <c r="J684" s="38"/>
      <c r="K684" s="38"/>
      <c r="L684" s="38"/>
      <c r="M684" s="38"/>
      <c r="N684" s="38"/>
      <c r="O684" s="38"/>
    </row>
    <row r="685" hidden="1">
      <c r="A685" s="38"/>
      <c r="B685" s="38"/>
      <c r="C685" s="39"/>
      <c r="D685" s="40">
        <f>SUMIFS(Rezepte!F:F,Rezepte!A:A,C685)</f>
        <v>0</v>
      </c>
      <c r="E685" s="41">
        <f>SUMIFS(Rezepte!G:G,Rezepte!A:A,C685)</f>
        <v>0</v>
      </c>
      <c r="F685" s="42" t="str">
        <f t="shared" si="2"/>
        <v>#DIV/0!</v>
      </c>
      <c r="G685" s="38"/>
      <c r="H685" s="38"/>
      <c r="I685" s="38"/>
      <c r="J685" s="38"/>
      <c r="K685" s="38"/>
      <c r="L685" s="38"/>
      <c r="M685" s="38"/>
      <c r="N685" s="38"/>
      <c r="O685" s="38"/>
    </row>
    <row r="686" hidden="1">
      <c r="A686" s="38"/>
      <c r="B686" s="38"/>
      <c r="C686" s="39"/>
      <c r="D686" s="40">
        <f>SUMIFS(Rezepte!F:F,Rezepte!A:A,C686)</f>
        <v>0</v>
      </c>
      <c r="E686" s="41">
        <f>SUMIFS(Rezepte!G:G,Rezepte!A:A,C686)</f>
        <v>0</v>
      </c>
      <c r="F686" s="42" t="str">
        <f t="shared" si="2"/>
        <v>#DIV/0!</v>
      </c>
      <c r="G686" s="38"/>
      <c r="H686" s="38"/>
      <c r="I686" s="38"/>
      <c r="J686" s="38"/>
      <c r="K686" s="38"/>
      <c r="L686" s="38"/>
      <c r="M686" s="38"/>
      <c r="N686" s="38"/>
      <c r="O686" s="38"/>
    </row>
    <row r="687" hidden="1">
      <c r="A687" s="38"/>
      <c r="B687" s="38"/>
      <c r="C687" s="39"/>
      <c r="D687" s="40">
        <f>SUMIFS(Rezepte!F:F,Rezepte!A:A,C687)</f>
        <v>0</v>
      </c>
      <c r="E687" s="41">
        <f>SUMIFS(Rezepte!G:G,Rezepte!A:A,C687)</f>
        <v>0</v>
      </c>
      <c r="F687" s="42" t="str">
        <f t="shared" si="2"/>
        <v>#DIV/0!</v>
      </c>
      <c r="G687" s="38"/>
      <c r="H687" s="38"/>
      <c r="I687" s="38"/>
      <c r="J687" s="38"/>
      <c r="K687" s="38"/>
      <c r="L687" s="38"/>
      <c r="M687" s="38"/>
      <c r="N687" s="38"/>
      <c r="O687" s="38"/>
    </row>
    <row r="688" hidden="1">
      <c r="A688" s="38"/>
      <c r="B688" s="38"/>
      <c r="C688" s="39"/>
      <c r="D688" s="40">
        <f>SUMIFS(Rezepte!F:F,Rezepte!A:A,C688)</f>
        <v>0</v>
      </c>
      <c r="E688" s="41">
        <f>SUMIFS(Rezepte!G:G,Rezepte!A:A,C688)</f>
        <v>0</v>
      </c>
      <c r="F688" s="42" t="str">
        <f t="shared" si="2"/>
        <v>#DIV/0!</v>
      </c>
      <c r="G688" s="38"/>
      <c r="H688" s="38"/>
      <c r="I688" s="38"/>
      <c r="J688" s="38"/>
      <c r="K688" s="38"/>
      <c r="L688" s="38"/>
      <c r="M688" s="38"/>
      <c r="N688" s="38"/>
      <c r="O688" s="38"/>
    </row>
    <row r="689" hidden="1">
      <c r="A689" s="38"/>
      <c r="B689" s="38"/>
      <c r="C689" s="39"/>
      <c r="D689" s="40">
        <f>SUMIFS(Rezepte!F:F,Rezepte!A:A,C689)</f>
        <v>0</v>
      </c>
      <c r="E689" s="41">
        <f>SUMIFS(Rezepte!G:G,Rezepte!A:A,C689)</f>
        <v>0</v>
      </c>
      <c r="F689" s="42" t="str">
        <f t="shared" si="2"/>
        <v>#DIV/0!</v>
      </c>
      <c r="G689" s="38"/>
      <c r="H689" s="38"/>
      <c r="I689" s="38"/>
      <c r="J689" s="38"/>
      <c r="K689" s="38"/>
      <c r="L689" s="38"/>
      <c r="M689" s="38"/>
      <c r="N689" s="38"/>
      <c r="O689" s="38"/>
    </row>
    <row r="690" hidden="1">
      <c r="A690" s="38"/>
      <c r="B690" s="38"/>
      <c r="C690" s="39"/>
      <c r="D690" s="40">
        <f>SUMIFS(Rezepte!F:F,Rezepte!A:A,C690)</f>
        <v>0</v>
      </c>
      <c r="E690" s="41">
        <f>SUMIFS(Rezepte!G:G,Rezepte!A:A,C690)</f>
        <v>0</v>
      </c>
      <c r="F690" s="42" t="str">
        <f t="shared" si="2"/>
        <v>#DIV/0!</v>
      </c>
      <c r="G690" s="38"/>
      <c r="H690" s="38"/>
      <c r="I690" s="38"/>
      <c r="J690" s="38"/>
      <c r="K690" s="38"/>
      <c r="L690" s="38"/>
      <c r="M690" s="38"/>
      <c r="N690" s="38"/>
      <c r="O690" s="38"/>
    </row>
    <row r="691" hidden="1">
      <c r="A691" s="38"/>
      <c r="B691" s="38"/>
      <c r="C691" s="39"/>
      <c r="D691" s="40">
        <f>SUMIFS(Rezepte!F:F,Rezepte!A:A,C691)</f>
        <v>0</v>
      </c>
      <c r="E691" s="41">
        <f>SUMIFS(Rezepte!G:G,Rezepte!A:A,C691)</f>
        <v>0</v>
      </c>
      <c r="F691" s="42" t="str">
        <f t="shared" si="2"/>
        <v>#DIV/0!</v>
      </c>
      <c r="G691" s="38"/>
      <c r="H691" s="38"/>
      <c r="I691" s="38"/>
      <c r="J691" s="38"/>
      <c r="K691" s="38"/>
      <c r="L691" s="38"/>
      <c r="M691" s="38"/>
      <c r="N691" s="38"/>
      <c r="O691" s="38"/>
    </row>
    <row r="692" hidden="1">
      <c r="A692" s="38"/>
      <c r="B692" s="38"/>
      <c r="C692" s="39"/>
      <c r="D692" s="40">
        <f>SUMIFS(Rezepte!F:F,Rezepte!A:A,C692)</f>
        <v>0</v>
      </c>
      <c r="E692" s="41">
        <f>SUMIFS(Rezepte!G:G,Rezepte!A:A,C692)</f>
        <v>0</v>
      </c>
      <c r="F692" s="42" t="str">
        <f t="shared" si="2"/>
        <v>#DIV/0!</v>
      </c>
      <c r="G692" s="38"/>
      <c r="H692" s="38"/>
      <c r="I692" s="38"/>
      <c r="J692" s="38"/>
      <c r="K692" s="38"/>
      <c r="L692" s="38"/>
      <c r="M692" s="38"/>
      <c r="N692" s="38"/>
      <c r="O692" s="38"/>
    </row>
    <row r="693" hidden="1">
      <c r="A693" s="38"/>
      <c r="B693" s="38"/>
      <c r="C693" s="39"/>
      <c r="D693" s="40">
        <f>SUMIFS(Rezepte!F:F,Rezepte!A:A,C693)</f>
        <v>0</v>
      </c>
      <c r="E693" s="41">
        <f>SUMIFS(Rezepte!G:G,Rezepte!A:A,C693)</f>
        <v>0</v>
      </c>
      <c r="F693" s="42" t="str">
        <f t="shared" si="2"/>
        <v>#DIV/0!</v>
      </c>
      <c r="G693" s="38"/>
      <c r="H693" s="38"/>
      <c r="I693" s="38"/>
      <c r="J693" s="38"/>
      <c r="K693" s="38"/>
      <c r="L693" s="38"/>
      <c r="M693" s="38"/>
      <c r="N693" s="38"/>
      <c r="O693" s="38"/>
    </row>
    <row r="694" hidden="1">
      <c r="A694" s="38"/>
      <c r="B694" s="38"/>
      <c r="C694" s="39"/>
      <c r="D694" s="40">
        <f>SUMIFS(Rezepte!F:F,Rezepte!A:A,C694)</f>
        <v>0</v>
      </c>
      <c r="E694" s="41">
        <f>SUMIFS(Rezepte!G:G,Rezepte!A:A,C694)</f>
        <v>0</v>
      </c>
      <c r="F694" s="42" t="str">
        <f t="shared" si="2"/>
        <v>#DIV/0!</v>
      </c>
      <c r="G694" s="38"/>
      <c r="H694" s="38"/>
      <c r="I694" s="38"/>
      <c r="J694" s="38"/>
      <c r="K694" s="38"/>
      <c r="L694" s="38"/>
      <c r="M694" s="38"/>
      <c r="N694" s="38"/>
      <c r="O694" s="38"/>
    </row>
    <row r="695" hidden="1">
      <c r="A695" s="38"/>
      <c r="B695" s="38"/>
      <c r="C695" s="39"/>
      <c r="D695" s="40">
        <f>SUMIFS(Rezepte!F:F,Rezepte!A:A,C695)</f>
        <v>0</v>
      </c>
      <c r="E695" s="41">
        <f>SUMIFS(Rezepte!G:G,Rezepte!A:A,C695)</f>
        <v>0</v>
      </c>
      <c r="F695" s="42" t="str">
        <f t="shared" si="2"/>
        <v>#DIV/0!</v>
      </c>
      <c r="G695" s="38"/>
      <c r="H695" s="38"/>
      <c r="I695" s="38"/>
      <c r="J695" s="38"/>
      <c r="K695" s="38"/>
      <c r="L695" s="38"/>
      <c r="M695" s="38"/>
      <c r="N695" s="38"/>
      <c r="O695" s="38"/>
    </row>
    <row r="696" hidden="1">
      <c r="A696" s="38"/>
      <c r="B696" s="38"/>
      <c r="C696" s="39"/>
      <c r="D696" s="40">
        <f>SUMIFS(Rezepte!F:F,Rezepte!A:A,C696)</f>
        <v>0</v>
      </c>
      <c r="E696" s="41">
        <f>SUMIFS(Rezepte!G:G,Rezepte!A:A,C696)</f>
        <v>0</v>
      </c>
      <c r="F696" s="42" t="str">
        <f t="shared" si="2"/>
        <v>#DIV/0!</v>
      </c>
      <c r="G696" s="38"/>
      <c r="H696" s="38"/>
      <c r="I696" s="38"/>
      <c r="J696" s="38"/>
      <c r="K696" s="38"/>
      <c r="L696" s="38"/>
      <c r="M696" s="38"/>
      <c r="N696" s="38"/>
      <c r="O696" s="38"/>
    </row>
    <row r="697" hidden="1">
      <c r="A697" s="38"/>
      <c r="B697" s="38"/>
      <c r="C697" s="39"/>
      <c r="D697" s="40">
        <f>SUMIFS(Rezepte!F:F,Rezepte!A:A,C697)</f>
        <v>0</v>
      </c>
      <c r="E697" s="41">
        <f>SUMIFS(Rezepte!G:G,Rezepte!A:A,C697)</f>
        <v>0</v>
      </c>
      <c r="F697" s="42" t="str">
        <f t="shared" si="2"/>
        <v>#DIV/0!</v>
      </c>
      <c r="G697" s="38"/>
      <c r="H697" s="38"/>
      <c r="I697" s="38"/>
      <c r="J697" s="38"/>
      <c r="K697" s="38"/>
      <c r="L697" s="38"/>
      <c r="M697" s="38"/>
      <c r="N697" s="38"/>
      <c r="O697" s="38"/>
    </row>
    <row r="698" hidden="1">
      <c r="A698" s="38"/>
      <c r="B698" s="38"/>
      <c r="C698" s="39"/>
      <c r="D698" s="40">
        <f>SUMIFS(Rezepte!F:F,Rezepte!A:A,C698)</f>
        <v>0</v>
      </c>
      <c r="E698" s="41">
        <f>SUMIFS(Rezepte!G:G,Rezepte!A:A,C698)</f>
        <v>0</v>
      </c>
      <c r="F698" s="42" t="str">
        <f t="shared" si="2"/>
        <v>#DIV/0!</v>
      </c>
      <c r="G698" s="38"/>
      <c r="H698" s="38"/>
      <c r="I698" s="38"/>
      <c r="J698" s="38"/>
      <c r="K698" s="38"/>
      <c r="L698" s="38"/>
      <c r="M698" s="38"/>
      <c r="N698" s="38"/>
      <c r="O698" s="38"/>
    </row>
    <row r="699" hidden="1">
      <c r="A699" s="38"/>
      <c r="B699" s="38"/>
      <c r="C699" s="39"/>
      <c r="D699" s="40">
        <f>SUMIFS(Rezepte!F:F,Rezepte!A:A,C699)</f>
        <v>0</v>
      </c>
      <c r="E699" s="41">
        <f>SUMIFS(Rezepte!G:G,Rezepte!A:A,C699)</f>
        <v>0</v>
      </c>
      <c r="F699" s="42" t="str">
        <f t="shared" si="2"/>
        <v>#DIV/0!</v>
      </c>
      <c r="G699" s="38"/>
      <c r="H699" s="38"/>
      <c r="I699" s="38"/>
      <c r="J699" s="38"/>
      <c r="K699" s="38"/>
      <c r="L699" s="38"/>
      <c r="M699" s="38"/>
      <c r="N699" s="38"/>
      <c r="O699" s="38"/>
    </row>
    <row r="700" hidden="1">
      <c r="A700" s="38"/>
      <c r="B700" s="38"/>
      <c r="C700" s="39"/>
      <c r="D700" s="40">
        <f>SUMIFS(Rezepte!F:F,Rezepte!A:A,C700)</f>
        <v>0</v>
      </c>
      <c r="E700" s="41">
        <f>SUMIFS(Rezepte!G:G,Rezepte!A:A,C700)</f>
        <v>0</v>
      </c>
      <c r="F700" s="42" t="str">
        <f t="shared" si="2"/>
        <v>#DIV/0!</v>
      </c>
      <c r="G700" s="38"/>
      <c r="H700" s="38"/>
      <c r="I700" s="38"/>
      <c r="J700" s="38"/>
      <c r="K700" s="38"/>
      <c r="L700" s="38"/>
      <c r="M700" s="38"/>
      <c r="N700" s="38"/>
      <c r="O700" s="38"/>
    </row>
    <row r="701" hidden="1">
      <c r="A701" s="38"/>
      <c r="B701" s="38"/>
      <c r="C701" s="39"/>
      <c r="D701" s="40">
        <f>SUMIFS(Rezepte!F:F,Rezepte!A:A,C701)</f>
        <v>0</v>
      </c>
      <c r="E701" s="41">
        <f>SUMIFS(Rezepte!G:G,Rezepte!A:A,C701)</f>
        <v>0</v>
      </c>
      <c r="F701" s="42" t="str">
        <f t="shared" si="2"/>
        <v>#DIV/0!</v>
      </c>
      <c r="G701" s="38"/>
      <c r="H701" s="38"/>
      <c r="I701" s="38"/>
      <c r="J701" s="38"/>
      <c r="K701" s="38"/>
      <c r="L701" s="38"/>
      <c r="M701" s="38"/>
      <c r="N701" s="38"/>
      <c r="O701" s="38"/>
    </row>
    <row r="702" hidden="1">
      <c r="A702" s="38"/>
      <c r="B702" s="38"/>
      <c r="C702" s="39"/>
      <c r="D702" s="40">
        <f>SUMIFS(Rezepte!F:F,Rezepte!A:A,C702)</f>
        <v>0</v>
      </c>
      <c r="E702" s="41">
        <f>SUMIFS(Rezepte!G:G,Rezepte!A:A,C702)</f>
        <v>0</v>
      </c>
      <c r="F702" s="42" t="str">
        <f t="shared" si="2"/>
        <v>#DIV/0!</v>
      </c>
      <c r="G702" s="38"/>
      <c r="H702" s="38"/>
      <c r="I702" s="38"/>
      <c r="J702" s="38"/>
      <c r="K702" s="38"/>
      <c r="L702" s="38"/>
      <c r="M702" s="38"/>
      <c r="N702" s="38"/>
      <c r="O702" s="38"/>
    </row>
    <row r="703" hidden="1">
      <c r="A703" s="38"/>
      <c r="B703" s="38"/>
      <c r="C703" s="39"/>
      <c r="D703" s="40">
        <f>SUMIFS(Rezepte!F:F,Rezepte!A:A,C703)</f>
        <v>0</v>
      </c>
      <c r="E703" s="41">
        <f>SUMIFS(Rezepte!G:G,Rezepte!A:A,C703)</f>
        <v>0</v>
      </c>
      <c r="F703" s="42" t="str">
        <f t="shared" si="2"/>
        <v>#DIV/0!</v>
      </c>
      <c r="G703" s="38"/>
      <c r="H703" s="38"/>
      <c r="I703" s="38"/>
      <c r="J703" s="38"/>
      <c r="K703" s="38"/>
      <c r="L703" s="38"/>
      <c r="M703" s="38"/>
      <c r="N703" s="38"/>
      <c r="O703" s="38"/>
    </row>
    <row r="704" hidden="1">
      <c r="A704" s="38"/>
      <c r="B704" s="38"/>
      <c r="C704" s="39"/>
      <c r="D704" s="40">
        <f>SUMIFS(Rezepte!F:F,Rezepte!A:A,C704)</f>
        <v>0</v>
      </c>
      <c r="E704" s="41">
        <f>SUMIFS(Rezepte!G:G,Rezepte!A:A,C704)</f>
        <v>0</v>
      </c>
      <c r="F704" s="42" t="str">
        <f t="shared" si="2"/>
        <v>#DIV/0!</v>
      </c>
      <c r="G704" s="38"/>
      <c r="H704" s="38"/>
      <c r="I704" s="38"/>
      <c r="J704" s="38"/>
      <c r="K704" s="38"/>
      <c r="L704" s="38"/>
      <c r="M704" s="38"/>
      <c r="N704" s="38"/>
      <c r="O704" s="38"/>
    </row>
    <row r="705" hidden="1">
      <c r="A705" s="38"/>
      <c r="B705" s="38"/>
      <c r="C705" s="39"/>
      <c r="D705" s="40">
        <f>SUMIFS(Rezepte!F:F,Rezepte!A:A,C705)</f>
        <v>0</v>
      </c>
      <c r="E705" s="41">
        <f>SUMIFS(Rezepte!G:G,Rezepte!A:A,C705)</f>
        <v>0</v>
      </c>
      <c r="F705" s="42" t="str">
        <f t="shared" si="2"/>
        <v>#DIV/0!</v>
      </c>
      <c r="G705" s="38"/>
      <c r="H705" s="38"/>
      <c r="I705" s="38"/>
      <c r="J705" s="38"/>
      <c r="K705" s="38"/>
      <c r="L705" s="38"/>
      <c r="M705" s="38"/>
      <c r="N705" s="38"/>
      <c r="O705" s="38"/>
    </row>
    <row r="706" hidden="1">
      <c r="A706" s="38"/>
      <c r="B706" s="38"/>
      <c r="C706" s="39"/>
      <c r="D706" s="40">
        <f>SUMIFS(Rezepte!F:F,Rezepte!A:A,C706)</f>
        <v>0</v>
      </c>
      <c r="E706" s="41">
        <f>SUMIFS(Rezepte!G:G,Rezepte!A:A,C706)</f>
        <v>0</v>
      </c>
      <c r="F706" s="42" t="str">
        <f t="shared" si="2"/>
        <v>#DIV/0!</v>
      </c>
      <c r="G706" s="38"/>
      <c r="H706" s="38"/>
      <c r="I706" s="38"/>
      <c r="J706" s="38"/>
      <c r="K706" s="38"/>
      <c r="L706" s="38"/>
      <c r="M706" s="38"/>
      <c r="N706" s="38"/>
      <c r="O706" s="38"/>
    </row>
    <row r="707" hidden="1">
      <c r="A707" s="38"/>
      <c r="B707" s="38"/>
      <c r="C707" s="39"/>
      <c r="D707" s="40">
        <f>SUMIFS(Rezepte!F:F,Rezepte!A:A,C707)</f>
        <v>0</v>
      </c>
      <c r="E707" s="41">
        <f>SUMIFS(Rezepte!G:G,Rezepte!A:A,C707)</f>
        <v>0</v>
      </c>
      <c r="F707" s="42" t="str">
        <f t="shared" si="2"/>
        <v>#DIV/0!</v>
      </c>
      <c r="G707" s="38"/>
      <c r="H707" s="38"/>
      <c r="I707" s="38"/>
      <c r="J707" s="38"/>
      <c r="K707" s="38"/>
      <c r="L707" s="38"/>
      <c r="M707" s="38"/>
      <c r="N707" s="38"/>
      <c r="O707" s="38"/>
    </row>
    <row r="708" hidden="1">
      <c r="A708" s="38"/>
      <c r="B708" s="38"/>
      <c r="C708" s="39"/>
      <c r="D708" s="40">
        <f>SUMIFS(Rezepte!F:F,Rezepte!A:A,C708)</f>
        <v>0</v>
      </c>
      <c r="E708" s="41">
        <f>SUMIFS(Rezepte!G:G,Rezepte!A:A,C708)</f>
        <v>0</v>
      </c>
      <c r="F708" s="42" t="str">
        <f t="shared" si="2"/>
        <v>#DIV/0!</v>
      </c>
      <c r="G708" s="38"/>
      <c r="H708" s="38"/>
      <c r="I708" s="38"/>
      <c r="J708" s="38"/>
      <c r="K708" s="38"/>
      <c r="L708" s="38"/>
      <c r="M708" s="38"/>
      <c r="N708" s="38"/>
      <c r="O708" s="38"/>
    </row>
    <row r="709" hidden="1">
      <c r="A709" s="38"/>
      <c r="B709" s="38"/>
      <c r="C709" s="39"/>
      <c r="D709" s="40">
        <f>SUMIFS(Rezepte!F:F,Rezepte!A:A,C709)</f>
        <v>0</v>
      </c>
      <c r="E709" s="41">
        <f>SUMIFS(Rezepte!G:G,Rezepte!A:A,C709)</f>
        <v>0</v>
      </c>
      <c r="F709" s="42" t="str">
        <f t="shared" si="2"/>
        <v>#DIV/0!</v>
      </c>
      <c r="G709" s="38"/>
      <c r="H709" s="38"/>
      <c r="I709" s="38"/>
      <c r="J709" s="38"/>
      <c r="K709" s="38"/>
      <c r="L709" s="38"/>
      <c r="M709" s="38"/>
      <c r="N709" s="38"/>
      <c r="O709" s="38"/>
    </row>
    <row r="710" hidden="1">
      <c r="A710" s="38"/>
      <c r="B710" s="38"/>
      <c r="C710" s="39"/>
      <c r="D710" s="40">
        <f>SUMIFS(Rezepte!F:F,Rezepte!A:A,C710)</f>
        <v>0</v>
      </c>
      <c r="E710" s="41">
        <f>SUMIFS(Rezepte!G:G,Rezepte!A:A,C710)</f>
        <v>0</v>
      </c>
      <c r="F710" s="42" t="str">
        <f t="shared" si="2"/>
        <v>#DIV/0!</v>
      </c>
      <c r="G710" s="38"/>
      <c r="H710" s="38"/>
      <c r="I710" s="38"/>
      <c r="J710" s="38"/>
      <c r="K710" s="38"/>
      <c r="L710" s="38"/>
      <c r="M710" s="38"/>
      <c r="N710" s="38"/>
      <c r="O710" s="38"/>
    </row>
    <row r="711" hidden="1">
      <c r="A711" s="38"/>
      <c r="B711" s="38"/>
      <c r="C711" s="39"/>
      <c r="D711" s="40">
        <f>SUMIFS(Rezepte!F:F,Rezepte!A:A,C711)</f>
        <v>0</v>
      </c>
      <c r="E711" s="41">
        <f>SUMIFS(Rezepte!G:G,Rezepte!A:A,C711)</f>
        <v>0</v>
      </c>
      <c r="F711" s="42" t="str">
        <f t="shared" si="2"/>
        <v>#DIV/0!</v>
      </c>
      <c r="G711" s="38"/>
      <c r="H711" s="38"/>
      <c r="I711" s="38"/>
      <c r="J711" s="38"/>
      <c r="K711" s="38"/>
      <c r="L711" s="38"/>
      <c r="M711" s="38"/>
      <c r="N711" s="38"/>
      <c r="O711" s="38"/>
    </row>
    <row r="712" hidden="1">
      <c r="A712" s="38"/>
      <c r="B712" s="38"/>
      <c r="C712" s="39"/>
      <c r="D712" s="40">
        <f>SUMIFS(Rezepte!F:F,Rezepte!A:A,C712)</f>
        <v>0</v>
      </c>
      <c r="E712" s="41">
        <f>SUMIFS(Rezepte!G:G,Rezepte!A:A,C712)</f>
        <v>0</v>
      </c>
      <c r="F712" s="42" t="str">
        <f t="shared" si="2"/>
        <v>#DIV/0!</v>
      </c>
      <c r="G712" s="38"/>
      <c r="H712" s="38"/>
      <c r="I712" s="38"/>
      <c r="J712" s="38"/>
      <c r="K712" s="38"/>
      <c r="L712" s="38"/>
      <c r="M712" s="38"/>
      <c r="N712" s="38"/>
      <c r="O712" s="38"/>
    </row>
    <row r="713" hidden="1">
      <c r="A713" s="38"/>
      <c r="B713" s="38"/>
      <c r="C713" s="39"/>
      <c r="D713" s="40">
        <f>SUMIFS(Rezepte!F:F,Rezepte!A:A,C713)</f>
        <v>0</v>
      </c>
      <c r="E713" s="41">
        <f>SUMIFS(Rezepte!G:G,Rezepte!A:A,C713)</f>
        <v>0</v>
      </c>
      <c r="F713" s="42" t="str">
        <f t="shared" si="2"/>
        <v>#DIV/0!</v>
      </c>
      <c r="G713" s="38"/>
      <c r="H713" s="38"/>
      <c r="I713" s="38"/>
      <c r="J713" s="38"/>
      <c r="K713" s="38"/>
      <c r="L713" s="38"/>
      <c r="M713" s="38"/>
      <c r="N713" s="38"/>
      <c r="O713" s="38"/>
    </row>
    <row r="714" hidden="1">
      <c r="A714" s="38"/>
      <c r="B714" s="38"/>
      <c r="C714" s="39"/>
      <c r="D714" s="40">
        <f>SUMIFS(Rezepte!F:F,Rezepte!A:A,C714)</f>
        <v>0</v>
      </c>
      <c r="E714" s="41">
        <f>SUMIFS(Rezepte!G:G,Rezepte!A:A,C714)</f>
        <v>0</v>
      </c>
      <c r="F714" s="42" t="str">
        <f t="shared" si="2"/>
        <v>#DIV/0!</v>
      </c>
      <c r="G714" s="38"/>
      <c r="H714" s="38"/>
      <c r="I714" s="38"/>
      <c r="J714" s="38"/>
      <c r="K714" s="38"/>
      <c r="L714" s="38"/>
      <c r="M714" s="38"/>
      <c r="N714" s="38"/>
      <c r="O714" s="38"/>
    </row>
    <row r="715" hidden="1">
      <c r="A715" s="38"/>
      <c r="B715" s="38"/>
      <c r="C715" s="39"/>
      <c r="D715" s="40">
        <f>SUMIFS(Rezepte!F:F,Rezepte!A:A,C715)</f>
        <v>0</v>
      </c>
      <c r="E715" s="41">
        <f>SUMIFS(Rezepte!G:G,Rezepte!A:A,C715)</f>
        <v>0</v>
      </c>
      <c r="F715" s="42" t="str">
        <f t="shared" si="2"/>
        <v>#DIV/0!</v>
      </c>
      <c r="G715" s="38"/>
      <c r="H715" s="38"/>
      <c r="I715" s="38"/>
      <c r="J715" s="38"/>
      <c r="K715" s="38"/>
      <c r="L715" s="38"/>
      <c r="M715" s="38"/>
      <c r="N715" s="38"/>
      <c r="O715" s="38"/>
    </row>
    <row r="716" hidden="1">
      <c r="A716" s="38"/>
      <c r="B716" s="38"/>
      <c r="C716" s="39"/>
      <c r="D716" s="40">
        <f>SUMIFS(Rezepte!F:F,Rezepte!A:A,C716)</f>
        <v>0</v>
      </c>
      <c r="E716" s="41">
        <f>SUMIFS(Rezepte!G:G,Rezepte!A:A,C716)</f>
        <v>0</v>
      </c>
      <c r="F716" s="42" t="str">
        <f t="shared" si="2"/>
        <v>#DIV/0!</v>
      </c>
      <c r="G716" s="38"/>
      <c r="H716" s="38"/>
      <c r="I716" s="38"/>
      <c r="J716" s="38"/>
      <c r="K716" s="38"/>
      <c r="L716" s="38"/>
      <c r="M716" s="38"/>
      <c r="N716" s="38"/>
      <c r="O716" s="38"/>
    </row>
    <row r="717" hidden="1">
      <c r="A717" s="38"/>
      <c r="B717" s="38"/>
      <c r="C717" s="39"/>
      <c r="D717" s="40">
        <f>SUMIFS(Rezepte!F:F,Rezepte!A:A,C717)</f>
        <v>0</v>
      </c>
      <c r="E717" s="41">
        <f>SUMIFS(Rezepte!G:G,Rezepte!A:A,C717)</f>
        <v>0</v>
      </c>
      <c r="F717" s="42" t="str">
        <f t="shared" si="2"/>
        <v>#DIV/0!</v>
      </c>
      <c r="G717" s="38"/>
      <c r="H717" s="38"/>
      <c r="I717" s="38"/>
      <c r="J717" s="38"/>
      <c r="K717" s="38"/>
      <c r="L717" s="38"/>
      <c r="M717" s="38"/>
      <c r="N717" s="38"/>
      <c r="O717" s="38"/>
    </row>
    <row r="718" hidden="1">
      <c r="A718" s="38"/>
      <c r="B718" s="38"/>
      <c r="C718" s="39"/>
      <c r="D718" s="40">
        <f>SUMIFS(Rezepte!F:F,Rezepte!A:A,C718)</f>
        <v>0</v>
      </c>
      <c r="E718" s="41">
        <f>SUMIFS(Rezepte!G:G,Rezepte!A:A,C718)</f>
        <v>0</v>
      </c>
      <c r="F718" s="42" t="str">
        <f t="shared" si="2"/>
        <v>#DIV/0!</v>
      </c>
      <c r="G718" s="38"/>
      <c r="H718" s="38"/>
      <c r="I718" s="38"/>
      <c r="J718" s="38"/>
      <c r="K718" s="38"/>
      <c r="L718" s="38"/>
      <c r="M718" s="38"/>
      <c r="N718" s="38"/>
      <c r="O718" s="38"/>
    </row>
    <row r="719" hidden="1">
      <c r="A719" s="38"/>
      <c r="B719" s="38"/>
      <c r="C719" s="39"/>
      <c r="D719" s="40">
        <f>SUMIFS(Rezepte!F:F,Rezepte!A:A,C719)</f>
        <v>0</v>
      </c>
      <c r="E719" s="41">
        <f>SUMIFS(Rezepte!G:G,Rezepte!A:A,C719)</f>
        <v>0</v>
      </c>
      <c r="F719" s="42" t="str">
        <f t="shared" si="2"/>
        <v>#DIV/0!</v>
      </c>
      <c r="G719" s="38"/>
      <c r="H719" s="38"/>
      <c r="I719" s="38"/>
      <c r="J719" s="38"/>
      <c r="K719" s="38"/>
      <c r="L719" s="38"/>
      <c r="M719" s="38"/>
      <c r="N719" s="38"/>
      <c r="O719" s="38"/>
    </row>
    <row r="720" hidden="1">
      <c r="A720" s="38"/>
      <c r="B720" s="38"/>
      <c r="C720" s="39"/>
      <c r="D720" s="40">
        <f>SUMIFS(Rezepte!F:F,Rezepte!A:A,C720)</f>
        <v>0</v>
      </c>
      <c r="E720" s="41">
        <f>SUMIFS(Rezepte!G:G,Rezepte!A:A,C720)</f>
        <v>0</v>
      </c>
      <c r="F720" s="42" t="str">
        <f t="shared" si="2"/>
        <v>#DIV/0!</v>
      </c>
      <c r="G720" s="38"/>
      <c r="H720" s="38"/>
      <c r="I720" s="38"/>
      <c r="J720" s="38"/>
      <c r="K720" s="38"/>
      <c r="L720" s="38"/>
      <c r="M720" s="38"/>
      <c r="N720" s="38"/>
      <c r="O720" s="38"/>
    </row>
    <row r="721" hidden="1">
      <c r="A721" s="38"/>
      <c r="B721" s="38"/>
      <c r="C721" s="39"/>
      <c r="D721" s="40">
        <f>SUMIFS(Rezepte!F:F,Rezepte!A:A,C721)</f>
        <v>0</v>
      </c>
      <c r="E721" s="41">
        <f>SUMIFS(Rezepte!G:G,Rezepte!A:A,C721)</f>
        <v>0</v>
      </c>
      <c r="F721" s="42" t="str">
        <f t="shared" si="2"/>
        <v>#DIV/0!</v>
      </c>
      <c r="G721" s="38"/>
      <c r="H721" s="38"/>
      <c r="I721" s="38"/>
      <c r="J721" s="38"/>
      <c r="K721" s="38"/>
      <c r="L721" s="38"/>
      <c r="M721" s="38"/>
      <c r="N721" s="38"/>
      <c r="O721" s="38"/>
    </row>
    <row r="722" hidden="1">
      <c r="A722" s="38"/>
      <c r="B722" s="38"/>
      <c r="C722" s="39"/>
      <c r="D722" s="40">
        <f>SUMIFS(Rezepte!F:F,Rezepte!A:A,C722)</f>
        <v>0</v>
      </c>
      <c r="E722" s="41">
        <f>SUMIFS(Rezepte!G:G,Rezepte!A:A,C722)</f>
        <v>0</v>
      </c>
      <c r="F722" s="42" t="str">
        <f t="shared" si="2"/>
        <v>#DIV/0!</v>
      </c>
      <c r="G722" s="38"/>
      <c r="H722" s="38"/>
      <c r="I722" s="38"/>
      <c r="J722" s="38"/>
      <c r="K722" s="38"/>
      <c r="L722" s="38"/>
      <c r="M722" s="38"/>
      <c r="N722" s="38"/>
      <c r="O722" s="38"/>
    </row>
    <row r="723" hidden="1">
      <c r="A723" s="38"/>
      <c r="B723" s="38"/>
      <c r="C723" s="39"/>
      <c r="D723" s="40">
        <f>SUMIFS(Rezepte!F:F,Rezepte!A:A,C723)</f>
        <v>0</v>
      </c>
      <c r="E723" s="41">
        <f>SUMIFS(Rezepte!G:G,Rezepte!A:A,C723)</f>
        <v>0</v>
      </c>
      <c r="F723" s="42" t="str">
        <f t="shared" si="2"/>
        <v>#DIV/0!</v>
      </c>
      <c r="G723" s="38"/>
      <c r="H723" s="38"/>
      <c r="I723" s="38"/>
      <c r="J723" s="38"/>
      <c r="K723" s="38"/>
      <c r="L723" s="38"/>
      <c r="M723" s="38"/>
      <c r="N723" s="38"/>
      <c r="O723" s="38"/>
    </row>
    <row r="724" hidden="1">
      <c r="A724" s="38"/>
      <c r="B724" s="38"/>
      <c r="C724" s="39"/>
      <c r="D724" s="40">
        <f>SUMIFS(Rezepte!F:F,Rezepte!A:A,C724)</f>
        <v>0</v>
      </c>
      <c r="E724" s="41">
        <f>SUMIFS(Rezepte!G:G,Rezepte!A:A,C724)</f>
        <v>0</v>
      </c>
      <c r="F724" s="42" t="str">
        <f t="shared" si="2"/>
        <v>#DIV/0!</v>
      </c>
      <c r="G724" s="38"/>
      <c r="H724" s="38"/>
      <c r="I724" s="38"/>
      <c r="J724" s="38"/>
      <c r="K724" s="38"/>
      <c r="L724" s="38"/>
      <c r="M724" s="38"/>
      <c r="N724" s="38"/>
      <c r="O724" s="38"/>
    </row>
    <row r="725" hidden="1">
      <c r="A725" s="38"/>
      <c r="B725" s="38"/>
      <c r="C725" s="39"/>
      <c r="D725" s="40">
        <f>SUMIFS(Rezepte!F:F,Rezepte!A:A,C725)</f>
        <v>0</v>
      </c>
      <c r="E725" s="41">
        <f>SUMIFS(Rezepte!G:G,Rezepte!A:A,C725)</f>
        <v>0</v>
      </c>
      <c r="F725" s="42" t="str">
        <f t="shared" si="2"/>
        <v>#DIV/0!</v>
      </c>
      <c r="G725" s="38"/>
      <c r="H725" s="38"/>
      <c r="I725" s="38"/>
      <c r="J725" s="38"/>
      <c r="K725" s="38"/>
      <c r="L725" s="38"/>
      <c r="M725" s="38"/>
      <c r="N725" s="38"/>
      <c r="O725" s="38"/>
    </row>
    <row r="726" hidden="1">
      <c r="A726" s="38"/>
      <c r="B726" s="38"/>
      <c r="C726" s="39"/>
      <c r="D726" s="40">
        <f>SUMIFS(Rezepte!F:F,Rezepte!A:A,C726)</f>
        <v>0</v>
      </c>
      <c r="E726" s="41">
        <f>SUMIFS(Rezepte!G:G,Rezepte!A:A,C726)</f>
        <v>0</v>
      </c>
      <c r="F726" s="42" t="str">
        <f t="shared" si="2"/>
        <v>#DIV/0!</v>
      </c>
      <c r="G726" s="38"/>
      <c r="H726" s="38"/>
      <c r="I726" s="38"/>
      <c r="J726" s="38"/>
      <c r="K726" s="38"/>
      <c r="L726" s="38"/>
      <c r="M726" s="38"/>
      <c r="N726" s="38"/>
      <c r="O726" s="38"/>
    </row>
    <row r="727" hidden="1">
      <c r="A727" s="38"/>
      <c r="B727" s="38"/>
      <c r="C727" s="39"/>
      <c r="D727" s="40">
        <f>SUMIFS(Rezepte!F:F,Rezepte!A:A,C727)</f>
        <v>0</v>
      </c>
      <c r="E727" s="41">
        <f>SUMIFS(Rezepte!G:G,Rezepte!A:A,C727)</f>
        <v>0</v>
      </c>
      <c r="F727" s="42" t="str">
        <f t="shared" si="2"/>
        <v>#DIV/0!</v>
      </c>
      <c r="G727" s="38"/>
      <c r="H727" s="38"/>
      <c r="I727" s="38"/>
      <c r="J727" s="38"/>
      <c r="K727" s="38"/>
      <c r="L727" s="38"/>
      <c r="M727" s="38"/>
      <c r="N727" s="38"/>
      <c r="O727" s="38"/>
    </row>
    <row r="728" hidden="1">
      <c r="A728" s="38"/>
      <c r="B728" s="38"/>
      <c r="C728" s="39"/>
      <c r="D728" s="40">
        <f>SUMIFS(Rezepte!F:F,Rezepte!A:A,C728)</f>
        <v>0</v>
      </c>
      <c r="E728" s="41">
        <f>SUMIFS(Rezepte!G:G,Rezepte!A:A,C728)</f>
        <v>0</v>
      </c>
      <c r="F728" s="42" t="str">
        <f t="shared" si="2"/>
        <v>#DIV/0!</v>
      </c>
      <c r="G728" s="38"/>
      <c r="H728" s="38"/>
      <c r="I728" s="38"/>
      <c r="J728" s="38"/>
      <c r="K728" s="38"/>
      <c r="L728" s="38"/>
      <c r="M728" s="38"/>
      <c r="N728" s="38"/>
      <c r="O728" s="38"/>
    </row>
    <row r="729" hidden="1">
      <c r="A729" s="38"/>
      <c r="B729" s="38"/>
      <c r="C729" s="39"/>
      <c r="D729" s="40">
        <f>SUMIFS(Rezepte!F:F,Rezepte!A:A,C729)</f>
        <v>0</v>
      </c>
      <c r="E729" s="41">
        <f>SUMIFS(Rezepte!G:G,Rezepte!A:A,C729)</f>
        <v>0</v>
      </c>
      <c r="F729" s="42" t="str">
        <f t="shared" si="2"/>
        <v>#DIV/0!</v>
      </c>
      <c r="G729" s="38"/>
      <c r="H729" s="38"/>
      <c r="I729" s="38"/>
      <c r="J729" s="38"/>
      <c r="K729" s="38"/>
      <c r="L729" s="38"/>
      <c r="M729" s="38"/>
      <c r="N729" s="38"/>
      <c r="O729" s="38"/>
    </row>
    <row r="730" hidden="1">
      <c r="A730" s="38"/>
      <c r="B730" s="38"/>
      <c r="C730" s="39"/>
      <c r="D730" s="40">
        <f>SUMIFS(Rezepte!F:F,Rezepte!A:A,C730)</f>
        <v>0</v>
      </c>
      <c r="E730" s="41">
        <f>SUMIFS(Rezepte!G:G,Rezepte!A:A,C730)</f>
        <v>0</v>
      </c>
      <c r="F730" s="42" t="str">
        <f t="shared" si="2"/>
        <v>#DIV/0!</v>
      </c>
      <c r="G730" s="38"/>
      <c r="H730" s="38"/>
      <c r="I730" s="38"/>
      <c r="J730" s="38"/>
      <c r="K730" s="38"/>
      <c r="L730" s="38"/>
      <c r="M730" s="38"/>
      <c r="N730" s="38"/>
      <c r="O730" s="38"/>
    </row>
    <row r="731" hidden="1">
      <c r="A731" s="38"/>
      <c r="B731" s="38"/>
      <c r="C731" s="39"/>
      <c r="D731" s="40">
        <f>SUMIFS(Rezepte!F:F,Rezepte!A:A,C731)</f>
        <v>0</v>
      </c>
      <c r="E731" s="41">
        <f>SUMIFS(Rezepte!G:G,Rezepte!A:A,C731)</f>
        <v>0</v>
      </c>
      <c r="F731" s="42" t="str">
        <f t="shared" si="2"/>
        <v>#DIV/0!</v>
      </c>
      <c r="G731" s="38"/>
      <c r="H731" s="38"/>
      <c r="I731" s="38"/>
      <c r="J731" s="38"/>
      <c r="K731" s="38"/>
      <c r="L731" s="38"/>
      <c r="M731" s="38"/>
      <c r="N731" s="38"/>
      <c r="O731" s="38"/>
    </row>
    <row r="732" hidden="1">
      <c r="A732" s="38"/>
      <c r="B732" s="38"/>
      <c r="C732" s="39"/>
      <c r="D732" s="40">
        <f>SUMIFS(Rezepte!F:F,Rezepte!A:A,C732)</f>
        <v>0</v>
      </c>
      <c r="E732" s="41">
        <f>SUMIFS(Rezepte!G:G,Rezepte!A:A,C732)</f>
        <v>0</v>
      </c>
      <c r="F732" s="42" t="str">
        <f t="shared" si="2"/>
        <v>#DIV/0!</v>
      </c>
      <c r="G732" s="38"/>
      <c r="H732" s="38"/>
      <c r="I732" s="38"/>
      <c r="J732" s="38"/>
      <c r="K732" s="38"/>
      <c r="L732" s="38"/>
      <c r="M732" s="38"/>
      <c r="N732" s="38"/>
      <c r="O732" s="38"/>
    </row>
    <row r="733" hidden="1">
      <c r="A733" s="38"/>
      <c r="B733" s="38"/>
      <c r="C733" s="39"/>
      <c r="D733" s="40">
        <f>SUMIFS(Rezepte!F:F,Rezepte!A:A,C733)</f>
        <v>0</v>
      </c>
      <c r="E733" s="41">
        <f>SUMIFS(Rezepte!G:G,Rezepte!A:A,C733)</f>
        <v>0</v>
      </c>
      <c r="F733" s="42" t="str">
        <f t="shared" si="2"/>
        <v>#DIV/0!</v>
      </c>
      <c r="G733" s="38"/>
      <c r="H733" s="38"/>
      <c r="I733" s="38"/>
      <c r="J733" s="38"/>
      <c r="K733" s="38"/>
      <c r="L733" s="38"/>
      <c r="M733" s="38"/>
      <c r="N733" s="38"/>
      <c r="O733" s="38"/>
    </row>
    <row r="734" hidden="1">
      <c r="A734" s="38"/>
      <c r="B734" s="38"/>
      <c r="C734" s="39"/>
      <c r="D734" s="40">
        <f>SUMIFS(Rezepte!F:F,Rezepte!A:A,C734)</f>
        <v>0</v>
      </c>
      <c r="E734" s="41">
        <f>SUMIFS(Rezepte!G:G,Rezepte!A:A,C734)</f>
        <v>0</v>
      </c>
      <c r="F734" s="42" t="str">
        <f t="shared" si="2"/>
        <v>#DIV/0!</v>
      </c>
      <c r="G734" s="38"/>
      <c r="H734" s="38"/>
      <c r="I734" s="38"/>
      <c r="J734" s="38"/>
      <c r="K734" s="38"/>
      <c r="L734" s="38"/>
      <c r="M734" s="38"/>
      <c r="N734" s="38"/>
      <c r="O734" s="38"/>
    </row>
    <row r="735" hidden="1">
      <c r="A735" s="38"/>
      <c r="B735" s="38"/>
      <c r="C735" s="39"/>
      <c r="D735" s="40">
        <f>SUMIFS(Rezepte!F:F,Rezepte!A:A,C735)</f>
        <v>0</v>
      </c>
      <c r="E735" s="41">
        <f>SUMIFS(Rezepte!G:G,Rezepte!A:A,C735)</f>
        <v>0</v>
      </c>
      <c r="F735" s="42" t="str">
        <f t="shared" si="2"/>
        <v>#DIV/0!</v>
      </c>
      <c r="G735" s="38"/>
      <c r="H735" s="38"/>
      <c r="I735" s="38"/>
      <c r="J735" s="38"/>
      <c r="K735" s="38"/>
      <c r="L735" s="38"/>
      <c r="M735" s="38"/>
      <c r="N735" s="38"/>
      <c r="O735" s="38"/>
    </row>
    <row r="736" hidden="1">
      <c r="A736" s="38"/>
      <c r="B736" s="38"/>
      <c r="C736" s="39"/>
      <c r="D736" s="40">
        <f>SUMIFS(Rezepte!F:F,Rezepte!A:A,C736)</f>
        <v>0</v>
      </c>
      <c r="E736" s="41">
        <f>SUMIFS(Rezepte!G:G,Rezepte!A:A,C736)</f>
        <v>0</v>
      </c>
      <c r="F736" s="42" t="str">
        <f t="shared" si="2"/>
        <v>#DIV/0!</v>
      </c>
      <c r="G736" s="38"/>
      <c r="H736" s="38"/>
      <c r="I736" s="38"/>
      <c r="J736" s="38"/>
      <c r="K736" s="38"/>
      <c r="L736" s="38"/>
      <c r="M736" s="38"/>
      <c r="N736" s="38"/>
      <c r="O736" s="38"/>
    </row>
    <row r="737" hidden="1">
      <c r="A737" s="38"/>
      <c r="B737" s="38"/>
      <c r="C737" s="39"/>
      <c r="D737" s="40">
        <f>SUMIFS(Rezepte!F:F,Rezepte!A:A,C737)</f>
        <v>0</v>
      </c>
      <c r="E737" s="41">
        <f>SUMIFS(Rezepte!G:G,Rezepte!A:A,C737)</f>
        <v>0</v>
      </c>
      <c r="F737" s="42" t="str">
        <f t="shared" si="2"/>
        <v>#DIV/0!</v>
      </c>
      <c r="G737" s="38"/>
      <c r="H737" s="38"/>
      <c r="I737" s="38"/>
      <c r="J737" s="38"/>
      <c r="K737" s="38"/>
      <c r="L737" s="38"/>
      <c r="M737" s="38"/>
      <c r="N737" s="38"/>
      <c r="O737" s="38"/>
    </row>
    <row r="738" hidden="1">
      <c r="A738" s="38"/>
      <c r="B738" s="38"/>
      <c r="C738" s="39"/>
      <c r="D738" s="40">
        <f>SUMIFS(Rezepte!F:F,Rezepte!A:A,C738)</f>
        <v>0</v>
      </c>
      <c r="E738" s="41">
        <f>SUMIFS(Rezepte!G:G,Rezepte!A:A,C738)</f>
        <v>0</v>
      </c>
      <c r="F738" s="42" t="str">
        <f t="shared" si="2"/>
        <v>#DIV/0!</v>
      </c>
      <c r="G738" s="38"/>
      <c r="H738" s="38"/>
      <c r="I738" s="38"/>
      <c r="J738" s="38"/>
      <c r="K738" s="38"/>
      <c r="L738" s="38"/>
      <c r="M738" s="38"/>
      <c r="N738" s="38"/>
      <c r="O738" s="38"/>
    </row>
    <row r="739" hidden="1">
      <c r="A739" s="38"/>
      <c r="B739" s="38"/>
      <c r="C739" s="39"/>
      <c r="D739" s="40">
        <f>SUMIFS(Rezepte!F:F,Rezepte!A:A,C739)</f>
        <v>0</v>
      </c>
      <c r="E739" s="41">
        <f>SUMIFS(Rezepte!G:G,Rezepte!A:A,C739)</f>
        <v>0</v>
      </c>
      <c r="F739" s="42" t="str">
        <f t="shared" si="2"/>
        <v>#DIV/0!</v>
      </c>
      <c r="G739" s="38"/>
      <c r="H739" s="38"/>
      <c r="I739" s="38"/>
      <c r="J739" s="38"/>
      <c r="K739" s="38"/>
      <c r="L739" s="38"/>
      <c r="M739" s="38"/>
      <c r="N739" s="38"/>
      <c r="O739" s="38"/>
    </row>
    <row r="740" hidden="1">
      <c r="A740" s="38"/>
      <c r="B740" s="38"/>
      <c r="C740" s="39"/>
      <c r="D740" s="40">
        <f>SUMIFS(Rezepte!F:F,Rezepte!A:A,C740)</f>
        <v>0</v>
      </c>
      <c r="E740" s="41">
        <f>SUMIFS(Rezepte!G:G,Rezepte!A:A,C740)</f>
        <v>0</v>
      </c>
      <c r="F740" s="42" t="str">
        <f t="shared" si="2"/>
        <v>#DIV/0!</v>
      </c>
      <c r="G740" s="38"/>
      <c r="H740" s="38"/>
      <c r="I740" s="38"/>
      <c r="J740" s="38"/>
      <c r="K740" s="38"/>
      <c r="L740" s="38"/>
      <c r="M740" s="38"/>
      <c r="N740" s="38"/>
      <c r="O740" s="38"/>
    </row>
    <row r="741" hidden="1">
      <c r="A741" s="38"/>
      <c r="B741" s="38"/>
      <c r="C741" s="39"/>
      <c r="D741" s="40">
        <f>SUMIFS(Rezepte!F:F,Rezepte!A:A,C741)</f>
        <v>0</v>
      </c>
      <c r="E741" s="41">
        <f>SUMIFS(Rezepte!G:G,Rezepte!A:A,C741)</f>
        <v>0</v>
      </c>
      <c r="F741" s="42" t="str">
        <f t="shared" si="2"/>
        <v>#DIV/0!</v>
      </c>
      <c r="G741" s="38"/>
      <c r="H741" s="38"/>
      <c r="I741" s="38"/>
      <c r="J741" s="38"/>
      <c r="K741" s="38"/>
      <c r="L741" s="38"/>
      <c r="M741" s="38"/>
      <c r="N741" s="38"/>
      <c r="O741" s="38"/>
    </row>
    <row r="742" hidden="1">
      <c r="A742" s="38"/>
      <c r="B742" s="38"/>
      <c r="C742" s="39"/>
      <c r="D742" s="40">
        <f>SUMIFS(Rezepte!F:F,Rezepte!A:A,C742)</f>
        <v>0</v>
      </c>
      <c r="E742" s="41">
        <f>SUMIFS(Rezepte!G:G,Rezepte!A:A,C742)</f>
        <v>0</v>
      </c>
      <c r="F742" s="42" t="str">
        <f t="shared" si="2"/>
        <v>#DIV/0!</v>
      </c>
      <c r="G742" s="38"/>
      <c r="H742" s="38"/>
      <c r="I742" s="38"/>
      <c r="J742" s="38"/>
      <c r="K742" s="38"/>
      <c r="L742" s="38"/>
      <c r="M742" s="38"/>
      <c r="N742" s="38"/>
      <c r="O742" s="38"/>
    </row>
    <row r="743" hidden="1">
      <c r="A743" s="38"/>
      <c r="B743" s="38"/>
      <c r="C743" s="39"/>
      <c r="D743" s="40">
        <f>SUMIFS(Rezepte!F:F,Rezepte!A:A,C743)</f>
        <v>0</v>
      </c>
      <c r="E743" s="41">
        <f>SUMIFS(Rezepte!G:G,Rezepte!A:A,C743)</f>
        <v>0</v>
      </c>
      <c r="F743" s="42" t="str">
        <f t="shared" si="2"/>
        <v>#DIV/0!</v>
      </c>
      <c r="G743" s="38"/>
      <c r="H743" s="38"/>
      <c r="I743" s="38"/>
      <c r="J743" s="38"/>
      <c r="K743" s="38"/>
      <c r="L743" s="38"/>
      <c r="M743" s="38"/>
      <c r="N743" s="38"/>
      <c r="O743" s="38"/>
    </row>
    <row r="744" hidden="1">
      <c r="A744" s="38"/>
      <c r="B744" s="38"/>
      <c r="C744" s="39"/>
      <c r="D744" s="40">
        <f>SUMIFS(Rezepte!F:F,Rezepte!A:A,C744)</f>
        <v>0</v>
      </c>
      <c r="E744" s="41">
        <f>SUMIFS(Rezepte!G:G,Rezepte!A:A,C744)</f>
        <v>0</v>
      </c>
      <c r="F744" s="42" t="str">
        <f t="shared" si="2"/>
        <v>#DIV/0!</v>
      </c>
      <c r="G744" s="38"/>
      <c r="H744" s="38"/>
      <c r="I744" s="38"/>
      <c r="J744" s="38"/>
      <c r="K744" s="38"/>
      <c r="L744" s="38"/>
      <c r="M744" s="38"/>
      <c r="N744" s="38"/>
      <c r="O744" s="38"/>
    </row>
    <row r="745" hidden="1">
      <c r="A745" s="38"/>
      <c r="B745" s="38"/>
      <c r="C745" s="39"/>
      <c r="D745" s="40">
        <f>SUMIFS(Rezepte!F:F,Rezepte!A:A,C745)</f>
        <v>0</v>
      </c>
      <c r="E745" s="41">
        <f>SUMIFS(Rezepte!G:G,Rezepte!A:A,C745)</f>
        <v>0</v>
      </c>
      <c r="F745" s="42" t="str">
        <f t="shared" si="2"/>
        <v>#DIV/0!</v>
      </c>
      <c r="G745" s="38"/>
      <c r="H745" s="38"/>
      <c r="I745" s="38"/>
      <c r="J745" s="38"/>
      <c r="K745" s="38"/>
      <c r="L745" s="38"/>
      <c r="M745" s="38"/>
      <c r="N745" s="38"/>
      <c r="O745" s="38"/>
    </row>
    <row r="746" hidden="1">
      <c r="A746" s="38"/>
      <c r="B746" s="38"/>
      <c r="C746" s="39"/>
      <c r="D746" s="40">
        <f>SUMIFS(Rezepte!F:F,Rezepte!A:A,C746)</f>
        <v>0</v>
      </c>
      <c r="E746" s="41">
        <f>SUMIFS(Rezepte!G:G,Rezepte!A:A,C746)</f>
        <v>0</v>
      </c>
      <c r="F746" s="42" t="str">
        <f t="shared" si="2"/>
        <v>#DIV/0!</v>
      </c>
      <c r="G746" s="38"/>
      <c r="H746" s="38"/>
      <c r="I746" s="38"/>
      <c r="J746" s="38"/>
      <c r="K746" s="38"/>
      <c r="L746" s="38"/>
      <c r="M746" s="38"/>
      <c r="N746" s="38"/>
      <c r="O746" s="38"/>
    </row>
    <row r="747" hidden="1">
      <c r="A747" s="38"/>
      <c r="B747" s="38"/>
      <c r="C747" s="39"/>
      <c r="D747" s="40">
        <f>SUMIFS(Rezepte!F:F,Rezepte!A:A,C747)</f>
        <v>0</v>
      </c>
      <c r="E747" s="41">
        <f>SUMIFS(Rezepte!G:G,Rezepte!A:A,C747)</f>
        <v>0</v>
      </c>
      <c r="F747" s="42" t="str">
        <f t="shared" si="2"/>
        <v>#DIV/0!</v>
      </c>
      <c r="G747" s="38"/>
      <c r="H747" s="38"/>
      <c r="I747" s="38"/>
      <c r="J747" s="38"/>
      <c r="K747" s="38"/>
      <c r="L747" s="38"/>
      <c r="M747" s="38"/>
      <c r="N747" s="38"/>
      <c r="O747" s="38"/>
    </row>
    <row r="748" hidden="1">
      <c r="A748" s="38"/>
      <c r="B748" s="38"/>
      <c r="C748" s="39"/>
      <c r="D748" s="40">
        <f>SUMIFS(Rezepte!F:F,Rezepte!A:A,C748)</f>
        <v>0</v>
      </c>
      <c r="E748" s="41">
        <f>SUMIFS(Rezepte!G:G,Rezepte!A:A,C748)</f>
        <v>0</v>
      </c>
      <c r="F748" s="42" t="str">
        <f t="shared" si="2"/>
        <v>#DIV/0!</v>
      </c>
      <c r="G748" s="38"/>
      <c r="H748" s="38"/>
      <c r="I748" s="38"/>
      <c r="J748" s="38"/>
      <c r="K748" s="38"/>
      <c r="L748" s="38"/>
      <c r="M748" s="38"/>
      <c r="N748" s="38"/>
      <c r="O748" s="38"/>
    </row>
    <row r="749" hidden="1">
      <c r="A749" s="38"/>
      <c r="B749" s="38"/>
      <c r="C749" s="39"/>
      <c r="D749" s="40">
        <f>SUMIFS(Rezepte!F:F,Rezepte!A:A,C749)</f>
        <v>0</v>
      </c>
      <c r="E749" s="41">
        <f>SUMIFS(Rezepte!G:G,Rezepte!A:A,C749)</f>
        <v>0</v>
      </c>
      <c r="F749" s="42" t="str">
        <f t="shared" si="2"/>
        <v>#DIV/0!</v>
      </c>
      <c r="G749" s="38"/>
      <c r="H749" s="38"/>
      <c r="I749" s="38"/>
      <c r="J749" s="38"/>
      <c r="K749" s="38"/>
      <c r="L749" s="38"/>
      <c r="M749" s="38"/>
      <c r="N749" s="38"/>
      <c r="O749" s="38"/>
    </row>
    <row r="750" hidden="1">
      <c r="A750" s="38"/>
      <c r="B750" s="38"/>
      <c r="C750" s="39"/>
      <c r="D750" s="40">
        <f>SUMIFS(Rezepte!F:F,Rezepte!A:A,C750)</f>
        <v>0</v>
      </c>
      <c r="E750" s="41">
        <f>SUMIFS(Rezepte!G:G,Rezepte!A:A,C750)</f>
        <v>0</v>
      </c>
      <c r="F750" s="42" t="str">
        <f t="shared" si="2"/>
        <v>#DIV/0!</v>
      </c>
      <c r="G750" s="38"/>
      <c r="H750" s="38"/>
      <c r="I750" s="38"/>
      <c r="J750" s="38"/>
      <c r="K750" s="38"/>
      <c r="L750" s="38"/>
      <c r="M750" s="38"/>
      <c r="N750" s="38"/>
      <c r="O750" s="38"/>
    </row>
    <row r="751" hidden="1">
      <c r="A751" s="38"/>
      <c r="B751" s="38"/>
      <c r="C751" s="39"/>
      <c r="D751" s="40">
        <f>SUMIFS(Rezepte!F:F,Rezepte!A:A,C751)</f>
        <v>0</v>
      </c>
      <c r="E751" s="41">
        <f>SUMIFS(Rezepte!G:G,Rezepte!A:A,C751)</f>
        <v>0</v>
      </c>
      <c r="F751" s="42" t="str">
        <f t="shared" si="2"/>
        <v>#DIV/0!</v>
      </c>
      <c r="G751" s="38"/>
      <c r="H751" s="38"/>
      <c r="I751" s="38"/>
      <c r="J751" s="38"/>
      <c r="K751" s="38"/>
      <c r="L751" s="38"/>
      <c r="M751" s="38"/>
      <c r="N751" s="38"/>
      <c r="O751" s="38"/>
    </row>
    <row r="752" hidden="1">
      <c r="A752" s="38"/>
      <c r="B752" s="38"/>
      <c r="C752" s="39"/>
      <c r="D752" s="40">
        <f>SUMIFS(Rezepte!F:F,Rezepte!A:A,C752)</f>
        <v>0</v>
      </c>
      <c r="E752" s="41">
        <f>SUMIFS(Rezepte!G:G,Rezepte!A:A,C752)</f>
        <v>0</v>
      </c>
      <c r="F752" s="42" t="str">
        <f t="shared" si="2"/>
        <v>#DIV/0!</v>
      </c>
      <c r="G752" s="38"/>
      <c r="H752" s="38"/>
      <c r="I752" s="38"/>
      <c r="J752" s="38"/>
      <c r="K752" s="38"/>
      <c r="L752" s="38"/>
      <c r="M752" s="38"/>
      <c r="N752" s="38"/>
      <c r="O752" s="38"/>
    </row>
    <row r="753" hidden="1">
      <c r="A753" s="38"/>
      <c r="B753" s="38"/>
      <c r="C753" s="39"/>
      <c r="D753" s="40">
        <f>SUMIFS(Rezepte!F:F,Rezepte!A:A,C753)</f>
        <v>0</v>
      </c>
      <c r="E753" s="41">
        <f>SUMIFS(Rezepte!G:G,Rezepte!A:A,C753)</f>
        <v>0</v>
      </c>
      <c r="F753" s="42" t="str">
        <f t="shared" si="2"/>
        <v>#DIV/0!</v>
      </c>
      <c r="G753" s="38"/>
      <c r="H753" s="38"/>
      <c r="I753" s="38"/>
      <c r="J753" s="38"/>
      <c r="K753" s="38"/>
      <c r="L753" s="38"/>
      <c r="M753" s="38"/>
      <c r="N753" s="38"/>
      <c r="O753" s="38"/>
    </row>
    <row r="754" hidden="1">
      <c r="A754" s="38"/>
      <c r="B754" s="38"/>
      <c r="C754" s="39"/>
      <c r="D754" s="40">
        <f>SUMIFS(Rezepte!F:F,Rezepte!A:A,C754)</f>
        <v>0</v>
      </c>
      <c r="E754" s="41">
        <f>SUMIFS(Rezepte!G:G,Rezepte!A:A,C754)</f>
        <v>0</v>
      </c>
      <c r="F754" s="42" t="str">
        <f t="shared" si="2"/>
        <v>#DIV/0!</v>
      </c>
      <c r="G754" s="38"/>
      <c r="H754" s="38"/>
      <c r="I754" s="38"/>
      <c r="J754" s="38"/>
      <c r="K754" s="38"/>
      <c r="L754" s="38"/>
      <c r="M754" s="38"/>
      <c r="N754" s="38"/>
      <c r="O754" s="38"/>
    </row>
    <row r="755" hidden="1">
      <c r="A755" s="38"/>
      <c r="B755" s="38"/>
      <c r="C755" s="39"/>
      <c r="D755" s="40">
        <f>SUMIFS(Rezepte!F:F,Rezepte!A:A,C755)</f>
        <v>0</v>
      </c>
      <c r="E755" s="41">
        <f>SUMIFS(Rezepte!G:G,Rezepte!A:A,C755)</f>
        <v>0</v>
      </c>
      <c r="F755" s="42" t="str">
        <f t="shared" si="2"/>
        <v>#DIV/0!</v>
      </c>
      <c r="G755" s="38"/>
      <c r="H755" s="38"/>
      <c r="I755" s="38"/>
      <c r="J755" s="38"/>
      <c r="K755" s="38"/>
      <c r="L755" s="38"/>
      <c r="M755" s="38"/>
      <c r="N755" s="38"/>
      <c r="O755" s="38"/>
    </row>
    <row r="756" hidden="1">
      <c r="A756" s="38"/>
      <c r="B756" s="38"/>
      <c r="C756" s="39"/>
      <c r="D756" s="40">
        <f>SUMIFS(Rezepte!F:F,Rezepte!A:A,C756)</f>
        <v>0</v>
      </c>
      <c r="E756" s="41">
        <f>SUMIFS(Rezepte!G:G,Rezepte!A:A,C756)</f>
        <v>0</v>
      </c>
      <c r="F756" s="42" t="str">
        <f t="shared" si="2"/>
        <v>#DIV/0!</v>
      </c>
      <c r="G756" s="38"/>
      <c r="H756" s="38"/>
      <c r="I756" s="38"/>
      <c r="J756" s="38"/>
      <c r="K756" s="38"/>
      <c r="L756" s="38"/>
      <c r="M756" s="38"/>
      <c r="N756" s="38"/>
      <c r="O756" s="38"/>
    </row>
    <row r="757" hidden="1">
      <c r="A757" s="38"/>
      <c r="B757" s="38"/>
      <c r="C757" s="39"/>
      <c r="D757" s="40">
        <f>SUMIFS(Rezepte!F:F,Rezepte!A:A,C757)</f>
        <v>0</v>
      </c>
      <c r="E757" s="41">
        <f>SUMIFS(Rezepte!G:G,Rezepte!A:A,C757)</f>
        <v>0</v>
      </c>
      <c r="F757" s="42" t="str">
        <f t="shared" si="2"/>
        <v>#DIV/0!</v>
      </c>
      <c r="G757" s="38"/>
      <c r="H757" s="38"/>
      <c r="I757" s="38"/>
      <c r="J757" s="38"/>
      <c r="K757" s="38"/>
      <c r="L757" s="38"/>
      <c r="M757" s="38"/>
      <c r="N757" s="38"/>
      <c r="O757" s="38"/>
    </row>
    <row r="758" hidden="1">
      <c r="A758" s="38"/>
      <c r="B758" s="38"/>
      <c r="C758" s="39"/>
      <c r="D758" s="40">
        <f>SUMIFS(Rezepte!F:F,Rezepte!A:A,C758)</f>
        <v>0</v>
      </c>
      <c r="E758" s="41">
        <f>SUMIFS(Rezepte!G:G,Rezepte!A:A,C758)</f>
        <v>0</v>
      </c>
      <c r="F758" s="42" t="str">
        <f t="shared" si="2"/>
        <v>#DIV/0!</v>
      </c>
      <c r="G758" s="38"/>
      <c r="H758" s="38"/>
      <c r="I758" s="38"/>
      <c r="J758" s="38"/>
      <c r="K758" s="38"/>
      <c r="L758" s="38"/>
      <c r="M758" s="38"/>
      <c r="N758" s="38"/>
      <c r="O758" s="38"/>
    </row>
    <row r="759" hidden="1">
      <c r="A759" s="38"/>
      <c r="B759" s="38"/>
      <c r="C759" s="39"/>
      <c r="D759" s="40">
        <f>SUMIFS(Rezepte!F:F,Rezepte!A:A,C759)</f>
        <v>0</v>
      </c>
      <c r="E759" s="41">
        <f>SUMIFS(Rezepte!G:G,Rezepte!A:A,C759)</f>
        <v>0</v>
      </c>
      <c r="F759" s="42" t="str">
        <f t="shared" si="2"/>
        <v>#DIV/0!</v>
      </c>
      <c r="G759" s="38"/>
      <c r="H759" s="38"/>
      <c r="I759" s="38"/>
      <c r="J759" s="38"/>
      <c r="K759" s="38"/>
      <c r="L759" s="38"/>
      <c r="M759" s="38"/>
      <c r="N759" s="38"/>
      <c r="O759" s="38"/>
    </row>
    <row r="760" hidden="1">
      <c r="A760" s="38"/>
      <c r="B760" s="38"/>
      <c r="C760" s="39"/>
      <c r="D760" s="40">
        <f>SUMIFS(Rezepte!F:F,Rezepte!A:A,C760)</f>
        <v>0</v>
      </c>
      <c r="E760" s="41">
        <f>SUMIFS(Rezepte!G:G,Rezepte!A:A,C760)</f>
        <v>0</v>
      </c>
      <c r="F760" s="42" t="str">
        <f t="shared" si="2"/>
        <v>#DIV/0!</v>
      </c>
      <c r="G760" s="38"/>
      <c r="H760" s="38"/>
      <c r="I760" s="38"/>
      <c r="J760" s="38"/>
      <c r="K760" s="38"/>
      <c r="L760" s="38"/>
      <c r="M760" s="38"/>
      <c r="N760" s="38"/>
      <c r="O760" s="38"/>
    </row>
    <row r="761" hidden="1">
      <c r="A761" s="38"/>
      <c r="B761" s="38"/>
      <c r="C761" s="39"/>
      <c r="D761" s="40">
        <f>SUMIFS(Rezepte!F:F,Rezepte!A:A,C761)</f>
        <v>0</v>
      </c>
      <c r="E761" s="41">
        <f>SUMIFS(Rezepte!G:G,Rezepte!A:A,C761)</f>
        <v>0</v>
      </c>
      <c r="F761" s="42" t="str">
        <f t="shared" si="2"/>
        <v>#DIV/0!</v>
      </c>
      <c r="G761" s="38"/>
      <c r="H761" s="38"/>
      <c r="I761" s="38"/>
      <c r="J761" s="38"/>
      <c r="K761" s="38"/>
      <c r="L761" s="38"/>
      <c r="M761" s="38"/>
      <c r="N761" s="38"/>
      <c r="O761" s="38"/>
    </row>
    <row r="762" hidden="1">
      <c r="A762" s="38"/>
      <c r="B762" s="38"/>
      <c r="C762" s="39"/>
      <c r="D762" s="40">
        <f>SUMIFS(Rezepte!F:F,Rezepte!A:A,C762)</f>
        <v>0</v>
      </c>
      <c r="E762" s="41">
        <f>SUMIFS(Rezepte!G:G,Rezepte!A:A,C762)</f>
        <v>0</v>
      </c>
      <c r="F762" s="42" t="str">
        <f t="shared" si="2"/>
        <v>#DIV/0!</v>
      </c>
      <c r="G762" s="38"/>
      <c r="H762" s="38"/>
      <c r="I762" s="38"/>
      <c r="J762" s="38"/>
      <c r="K762" s="38"/>
      <c r="L762" s="38"/>
      <c r="M762" s="38"/>
      <c r="N762" s="38"/>
      <c r="O762" s="38"/>
    </row>
    <row r="763" hidden="1">
      <c r="A763" s="38"/>
      <c r="B763" s="38"/>
      <c r="C763" s="39"/>
      <c r="D763" s="40">
        <f>SUMIFS(Rezepte!F:F,Rezepte!A:A,C763)</f>
        <v>0</v>
      </c>
      <c r="E763" s="41">
        <f>SUMIFS(Rezepte!G:G,Rezepte!A:A,C763)</f>
        <v>0</v>
      </c>
      <c r="F763" s="42" t="str">
        <f t="shared" si="2"/>
        <v>#DIV/0!</v>
      </c>
      <c r="G763" s="38"/>
      <c r="H763" s="38"/>
      <c r="I763" s="38"/>
      <c r="J763" s="38"/>
      <c r="K763" s="38"/>
      <c r="L763" s="38"/>
      <c r="M763" s="38"/>
      <c r="N763" s="38"/>
      <c r="O763" s="38"/>
    </row>
    <row r="764" hidden="1">
      <c r="A764" s="38"/>
      <c r="B764" s="38"/>
      <c r="C764" s="39"/>
      <c r="D764" s="40">
        <f>SUMIFS(Rezepte!F:F,Rezepte!A:A,C764)</f>
        <v>0</v>
      </c>
      <c r="E764" s="41">
        <f>SUMIFS(Rezepte!G:G,Rezepte!A:A,C764)</f>
        <v>0</v>
      </c>
      <c r="F764" s="42" t="str">
        <f t="shared" si="2"/>
        <v>#DIV/0!</v>
      </c>
      <c r="G764" s="38"/>
      <c r="H764" s="38"/>
      <c r="I764" s="38"/>
      <c r="J764" s="38"/>
      <c r="K764" s="38"/>
      <c r="L764" s="38"/>
      <c r="M764" s="38"/>
      <c r="N764" s="38"/>
      <c r="O764" s="38"/>
    </row>
    <row r="765" hidden="1">
      <c r="A765" s="38"/>
      <c r="B765" s="38"/>
      <c r="C765" s="39"/>
      <c r="D765" s="40">
        <f>SUMIFS(Rezepte!F:F,Rezepte!A:A,C765)</f>
        <v>0</v>
      </c>
      <c r="E765" s="41">
        <f>SUMIFS(Rezepte!G:G,Rezepte!A:A,C765)</f>
        <v>0</v>
      </c>
      <c r="F765" s="42" t="str">
        <f t="shared" si="2"/>
        <v>#DIV/0!</v>
      </c>
      <c r="G765" s="38"/>
      <c r="H765" s="38"/>
      <c r="I765" s="38"/>
      <c r="J765" s="38"/>
      <c r="K765" s="38"/>
      <c r="L765" s="38"/>
      <c r="M765" s="38"/>
      <c r="N765" s="38"/>
      <c r="O765" s="38"/>
    </row>
    <row r="766" hidden="1">
      <c r="A766" s="38"/>
      <c r="B766" s="38"/>
      <c r="C766" s="39"/>
      <c r="D766" s="40">
        <f>SUMIFS(Rezepte!F:F,Rezepte!A:A,C766)</f>
        <v>0</v>
      </c>
      <c r="E766" s="41">
        <f>SUMIFS(Rezepte!G:G,Rezepte!A:A,C766)</f>
        <v>0</v>
      </c>
      <c r="F766" s="42" t="str">
        <f t="shared" si="2"/>
        <v>#DIV/0!</v>
      </c>
      <c r="G766" s="38"/>
      <c r="H766" s="38"/>
      <c r="I766" s="38"/>
      <c r="J766" s="38"/>
      <c r="K766" s="38"/>
      <c r="L766" s="38"/>
      <c r="M766" s="38"/>
      <c r="N766" s="38"/>
      <c r="O766" s="38"/>
    </row>
    <row r="767" hidden="1">
      <c r="A767" s="38"/>
      <c r="B767" s="38"/>
      <c r="C767" s="39"/>
      <c r="D767" s="40">
        <f>SUMIFS(Rezepte!F:F,Rezepte!A:A,C767)</f>
        <v>0</v>
      </c>
      <c r="E767" s="41">
        <f>SUMIFS(Rezepte!G:G,Rezepte!A:A,C767)</f>
        <v>0</v>
      </c>
      <c r="F767" s="42" t="str">
        <f t="shared" si="2"/>
        <v>#DIV/0!</v>
      </c>
      <c r="G767" s="38"/>
      <c r="H767" s="38"/>
      <c r="I767" s="38"/>
      <c r="J767" s="38"/>
      <c r="K767" s="38"/>
      <c r="L767" s="38"/>
      <c r="M767" s="38"/>
      <c r="N767" s="38"/>
      <c r="O767" s="38"/>
    </row>
    <row r="768" hidden="1">
      <c r="A768" s="38"/>
      <c r="B768" s="38"/>
      <c r="C768" s="39"/>
      <c r="D768" s="40">
        <f>SUMIFS(Rezepte!F:F,Rezepte!A:A,C768)</f>
        <v>0</v>
      </c>
      <c r="E768" s="41">
        <f>SUMIFS(Rezepte!G:G,Rezepte!A:A,C768)</f>
        <v>0</v>
      </c>
      <c r="F768" s="42" t="str">
        <f t="shared" si="2"/>
        <v>#DIV/0!</v>
      </c>
      <c r="G768" s="38"/>
      <c r="H768" s="38"/>
      <c r="I768" s="38"/>
      <c r="J768" s="38"/>
      <c r="K768" s="38"/>
      <c r="L768" s="38"/>
      <c r="M768" s="38"/>
      <c r="N768" s="38"/>
      <c r="O768" s="38"/>
    </row>
    <row r="769" hidden="1">
      <c r="A769" s="38"/>
      <c r="B769" s="38"/>
      <c r="C769" s="39"/>
      <c r="D769" s="40">
        <f>SUMIFS(Rezepte!F:F,Rezepte!A:A,C769)</f>
        <v>0</v>
      </c>
      <c r="E769" s="41">
        <f>SUMIFS(Rezepte!G:G,Rezepte!A:A,C769)</f>
        <v>0</v>
      </c>
      <c r="F769" s="42" t="str">
        <f t="shared" si="2"/>
        <v>#DIV/0!</v>
      </c>
      <c r="G769" s="38"/>
      <c r="H769" s="38"/>
      <c r="I769" s="38"/>
      <c r="J769" s="38"/>
      <c r="K769" s="38"/>
      <c r="L769" s="38"/>
      <c r="M769" s="38"/>
      <c r="N769" s="38"/>
      <c r="O769" s="38"/>
    </row>
    <row r="770" hidden="1">
      <c r="A770" s="38"/>
      <c r="B770" s="38"/>
      <c r="C770" s="39"/>
      <c r="D770" s="40">
        <f>SUMIFS(Rezepte!F:F,Rezepte!A:A,C770)</f>
        <v>0</v>
      </c>
      <c r="E770" s="41">
        <f>SUMIFS(Rezepte!G:G,Rezepte!A:A,C770)</f>
        <v>0</v>
      </c>
      <c r="F770" s="42" t="str">
        <f t="shared" si="2"/>
        <v>#DIV/0!</v>
      </c>
      <c r="G770" s="38"/>
      <c r="H770" s="38"/>
      <c r="I770" s="38"/>
      <c r="J770" s="38"/>
      <c r="K770" s="38"/>
      <c r="L770" s="38"/>
      <c r="M770" s="38"/>
      <c r="N770" s="38"/>
      <c r="O770" s="38"/>
    </row>
    <row r="771" hidden="1">
      <c r="A771" s="38"/>
      <c r="B771" s="38"/>
      <c r="C771" s="39"/>
      <c r="D771" s="40">
        <f>SUMIFS(Rezepte!F:F,Rezepte!A:A,C771)</f>
        <v>0</v>
      </c>
      <c r="E771" s="41">
        <f>SUMIFS(Rezepte!G:G,Rezepte!A:A,C771)</f>
        <v>0</v>
      </c>
      <c r="F771" s="42" t="str">
        <f t="shared" si="2"/>
        <v>#DIV/0!</v>
      </c>
      <c r="G771" s="38"/>
      <c r="H771" s="38"/>
      <c r="I771" s="38"/>
      <c r="J771" s="38"/>
      <c r="K771" s="38"/>
      <c r="L771" s="38"/>
      <c r="M771" s="38"/>
      <c r="N771" s="38"/>
      <c r="O771" s="38"/>
    </row>
    <row r="772" hidden="1">
      <c r="A772" s="38"/>
      <c r="B772" s="38"/>
      <c r="C772" s="39"/>
      <c r="D772" s="40">
        <f>SUMIFS(Rezepte!F:F,Rezepte!A:A,C772)</f>
        <v>0</v>
      </c>
      <c r="E772" s="41">
        <f>SUMIFS(Rezepte!G:G,Rezepte!A:A,C772)</f>
        <v>0</v>
      </c>
      <c r="F772" s="42" t="str">
        <f t="shared" si="2"/>
        <v>#DIV/0!</v>
      </c>
      <c r="G772" s="38"/>
      <c r="H772" s="38"/>
      <c r="I772" s="38"/>
      <c r="J772" s="38"/>
      <c r="K772" s="38"/>
      <c r="L772" s="38"/>
      <c r="M772" s="38"/>
      <c r="N772" s="38"/>
      <c r="O772" s="38"/>
    </row>
    <row r="773" hidden="1">
      <c r="A773" s="38"/>
      <c r="B773" s="38"/>
      <c r="C773" s="39"/>
      <c r="D773" s="40">
        <f>SUMIFS(Rezepte!F:F,Rezepte!A:A,C773)</f>
        <v>0</v>
      </c>
      <c r="E773" s="41">
        <f>SUMIFS(Rezepte!G:G,Rezepte!A:A,C773)</f>
        <v>0</v>
      </c>
      <c r="F773" s="42" t="str">
        <f t="shared" si="2"/>
        <v>#DIV/0!</v>
      </c>
      <c r="G773" s="38"/>
      <c r="H773" s="38"/>
      <c r="I773" s="38"/>
      <c r="J773" s="38"/>
      <c r="K773" s="38"/>
      <c r="L773" s="38"/>
      <c r="M773" s="38"/>
      <c r="N773" s="38"/>
      <c r="O773" s="38"/>
    </row>
    <row r="774" hidden="1">
      <c r="A774" s="38"/>
      <c r="B774" s="38"/>
      <c r="C774" s="39"/>
      <c r="D774" s="40">
        <f>SUMIFS(Rezepte!F:F,Rezepte!A:A,C774)</f>
        <v>0</v>
      </c>
      <c r="E774" s="41">
        <f>SUMIFS(Rezepte!G:G,Rezepte!A:A,C774)</f>
        <v>0</v>
      </c>
      <c r="F774" s="42" t="str">
        <f t="shared" si="2"/>
        <v>#DIV/0!</v>
      </c>
      <c r="G774" s="38"/>
      <c r="H774" s="38"/>
      <c r="I774" s="38"/>
      <c r="J774" s="38"/>
      <c r="K774" s="38"/>
      <c r="L774" s="38"/>
      <c r="M774" s="38"/>
      <c r="N774" s="38"/>
      <c r="O774" s="38"/>
    </row>
    <row r="775" hidden="1">
      <c r="A775" s="38"/>
      <c r="B775" s="38"/>
      <c r="C775" s="39"/>
      <c r="D775" s="40">
        <f>SUMIFS(Rezepte!F:F,Rezepte!A:A,C775)</f>
        <v>0</v>
      </c>
      <c r="E775" s="41">
        <f>SUMIFS(Rezepte!G:G,Rezepte!A:A,C775)</f>
        <v>0</v>
      </c>
      <c r="F775" s="42" t="str">
        <f t="shared" si="2"/>
        <v>#DIV/0!</v>
      </c>
      <c r="G775" s="38"/>
      <c r="H775" s="38"/>
      <c r="I775" s="38"/>
      <c r="J775" s="38"/>
      <c r="K775" s="38"/>
      <c r="L775" s="38"/>
      <c r="M775" s="38"/>
      <c r="N775" s="38"/>
      <c r="O775" s="38"/>
    </row>
    <row r="776" hidden="1">
      <c r="A776" s="38"/>
      <c r="B776" s="38"/>
      <c r="C776" s="39"/>
      <c r="D776" s="40">
        <f>SUMIFS(Rezepte!F:F,Rezepte!A:A,C776)</f>
        <v>0</v>
      </c>
      <c r="E776" s="41">
        <f>SUMIFS(Rezepte!G:G,Rezepte!A:A,C776)</f>
        <v>0</v>
      </c>
      <c r="F776" s="42" t="str">
        <f t="shared" si="2"/>
        <v>#DIV/0!</v>
      </c>
      <c r="G776" s="38"/>
      <c r="H776" s="38"/>
      <c r="I776" s="38"/>
      <c r="J776" s="38"/>
      <c r="K776" s="38"/>
      <c r="L776" s="38"/>
      <c r="M776" s="38"/>
      <c r="N776" s="38"/>
      <c r="O776" s="38"/>
    </row>
    <row r="777" hidden="1">
      <c r="A777" s="38"/>
      <c r="B777" s="38"/>
      <c r="C777" s="39"/>
      <c r="D777" s="40">
        <f>SUMIFS(Rezepte!F:F,Rezepte!A:A,C777)</f>
        <v>0</v>
      </c>
      <c r="E777" s="41">
        <f>SUMIFS(Rezepte!G:G,Rezepte!A:A,C777)</f>
        <v>0</v>
      </c>
      <c r="F777" s="42" t="str">
        <f t="shared" si="2"/>
        <v>#DIV/0!</v>
      </c>
      <c r="G777" s="38"/>
      <c r="H777" s="38"/>
      <c r="I777" s="38"/>
      <c r="J777" s="38"/>
      <c r="K777" s="38"/>
      <c r="L777" s="38"/>
      <c r="M777" s="38"/>
      <c r="N777" s="38"/>
      <c r="O777" s="38"/>
    </row>
    <row r="778" hidden="1">
      <c r="A778" s="38"/>
      <c r="B778" s="38"/>
      <c r="C778" s="39"/>
      <c r="D778" s="40">
        <f>SUMIFS(Rezepte!F:F,Rezepte!A:A,C778)</f>
        <v>0</v>
      </c>
      <c r="E778" s="41">
        <f>SUMIFS(Rezepte!G:G,Rezepte!A:A,C778)</f>
        <v>0</v>
      </c>
      <c r="F778" s="42" t="str">
        <f t="shared" si="2"/>
        <v>#DIV/0!</v>
      </c>
      <c r="G778" s="38"/>
      <c r="H778" s="38"/>
      <c r="I778" s="38"/>
      <c r="J778" s="38"/>
      <c r="K778" s="38"/>
      <c r="L778" s="38"/>
      <c r="M778" s="38"/>
      <c r="N778" s="38"/>
      <c r="O778" s="38"/>
    </row>
    <row r="779" hidden="1">
      <c r="A779" s="38"/>
      <c r="B779" s="38"/>
      <c r="C779" s="39"/>
      <c r="D779" s="40">
        <f>SUMIFS(Rezepte!F:F,Rezepte!A:A,C779)</f>
        <v>0</v>
      </c>
      <c r="E779" s="41">
        <f>SUMIFS(Rezepte!G:G,Rezepte!A:A,C779)</f>
        <v>0</v>
      </c>
      <c r="F779" s="42" t="str">
        <f t="shared" si="2"/>
        <v>#DIV/0!</v>
      </c>
      <c r="G779" s="38"/>
      <c r="H779" s="38"/>
      <c r="I779" s="38"/>
      <c r="J779" s="38"/>
      <c r="K779" s="38"/>
      <c r="L779" s="38"/>
      <c r="M779" s="38"/>
      <c r="N779" s="38"/>
      <c r="O779" s="38"/>
    </row>
    <row r="780" hidden="1">
      <c r="A780" s="38"/>
      <c r="B780" s="38"/>
      <c r="C780" s="39"/>
      <c r="D780" s="40">
        <f>SUMIFS(Rezepte!F:F,Rezepte!A:A,C780)</f>
        <v>0</v>
      </c>
      <c r="E780" s="41">
        <f>SUMIFS(Rezepte!G:G,Rezepte!A:A,C780)</f>
        <v>0</v>
      </c>
      <c r="F780" s="42" t="str">
        <f t="shared" si="2"/>
        <v>#DIV/0!</v>
      </c>
      <c r="G780" s="38"/>
      <c r="H780" s="38"/>
      <c r="I780" s="38"/>
      <c r="J780" s="38"/>
      <c r="K780" s="38"/>
      <c r="L780" s="38"/>
      <c r="M780" s="38"/>
      <c r="N780" s="38"/>
      <c r="O780" s="38"/>
    </row>
    <row r="781" hidden="1">
      <c r="A781" s="38"/>
      <c r="B781" s="38"/>
      <c r="C781" s="39"/>
      <c r="D781" s="40">
        <f>SUMIFS(Rezepte!F:F,Rezepte!A:A,C781)</f>
        <v>0</v>
      </c>
      <c r="E781" s="41">
        <f>SUMIFS(Rezepte!G:G,Rezepte!A:A,C781)</f>
        <v>0</v>
      </c>
      <c r="F781" s="42" t="str">
        <f t="shared" si="2"/>
        <v>#DIV/0!</v>
      </c>
      <c r="G781" s="38"/>
      <c r="H781" s="38"/>
      <c r="I781" s="38"/>
      <c r="J781" s="38"/>
      <c r="K781" s="38"/>
      <c r="L781" s="38"/>
      <c r="M781" s="38"/>
      <c r="N781" s="38"/>
      <c r="O781" s="38"/>
    </row>
    <row r="782" hidden="1">
      <c r="A782" s="38"/>
      <c r="B782" s="38"/>
      <c r="C782" s="39"/>
      <c r="D782" s="40">
        <f>SUMIFS(Rezepte!F:F,Rezepte!A:A,C782)</f>
        <v>0</v>
      </c>
      <c r="E782" s="41">
        <f>SUMIFS(Rezepte!G:G,Rezepte!A:A,C782)</f>
        <v>0</v>
      </c>
      <c r="F782" s="42" t="str">
        <f t="shared" si="2"/>
        <v>#DIV/0!</v>
      </c>
      <c r="G782" s="38"/>
      <c r="H782" s="38"/>
      <c r="I782" s="38"/>
      <c r="J782" s="38"/>
      <c r="K782" s="38"/>
      <c r="L782" s="38"/>
      <c r="M782" s="38"/>
      <c r="N782" s="38"/>
      <c r="O782" s="38"/>
    </row>
    <row r="783" hidden="1">
      <c r="A783" s="38"/>
      <c r="B783" s="38"/>
      <c r="C783" s="39"/>
      <c r="D783" s="40">
        <f>SUMIFS(Rezepte!F:F,Rezepte!A:A,C783)</f>
        <v>0</v>
      </c>
      <c r="E783" s="41">
        <f>SUMIFS(Rezepte!G:G,Rezepte!A:A,C783)</f>
        <v>0</v>
      </c>
      <c r="F783" s="42" t="str">
        <f t="shared" si="2"/>
        <v>#DIV/0!</v>
      </c>
      <c r="G783" s="38"/>
      <c r="H783" s="38"/>
      <c r="I783" s="38"/>
      <c r="J783" s="38"/>
      <c r="K783" s="38"/>
      <c r="L783" s="38"/>
      <c r="M783" s="38"/>
      <c r="N783" s="38"/>
      <c r="O783" s="38"/>
    </row>
    <row r="784" hidden="1">
      <c r="A784" s="38"/>
      <c r="B784" s="38"/>
      <c r="C784" s="39"/>
      <c r="D784" s="40">
        <f>SUMIFS(Rezepte!F:F,Rezepte!A:A,C784)</f>
        <v>0</v>
      </c>
      <c r="E784" s="41">
        <f>SUMIFS(Rezepte!G:G,Rezepte!A:A,C784)</f>
        <v>0</v>
      </c>
      <c r="F784" s="42" t="str">
        <f t="shared" si="2"/>
        <v>#DIV/0!</v>
      </c>
      <c r="G784" s="38"/>
      <c r="H784" s="38"/>
      <c r="I784" s="38"/>
      <c r="J784" s="38"/>
      <c r="K784" s="38"/>
      <c r="L784" s="38"/>
      <c r="M784" s="38"/>
      <c r="N784" s="38"/>
      <c r="O784" s="38"/>
    </row>
    <row r="785" hidden="1">
      <c r="A785" s="38"/>
      <c r="B785" s="38"/>
      <c r="C785" s="39"/>
      <c r="D785" s="40">
        <f>SUMIFS(Rezepte!F:F,Rezepte!A:A,C785)</f>
        <v>0</v>
      </c>
      <c r="E785" s="41">
        <f>SUMIFS(Rezepte!G:G,Rezepte!A:A,C785)</f>
        <v>0</v>
      </c>
      <c r="F785" s="42" t="str">
        <f t="shared" si="2"/>
        <v>#DIV/0!</v>
      </c>
      <c r="G785" s="38"/>
      <c r="H785" s="38"/>
      <c r="I785" s="38"/>
      <c r="J785" s="38"/>
      <c r="K785" s="38"/>
      <c r="L785" s="38"/>
      <c r="M785" s="38"/>
      <c r="N785" s="38"/>
      <c r="O785" s="38"/>
    </row>
    <row r="786" hidden="1">
      <c r="A786" s="38"/>
      <c r="B786" s="38"/>
      <c r="C786" s="39"/>
      <c r="D786" s="40">
        <f>SUMIFS(Rezepte!F:F,Rezepte!A:A,C786)</f>
        <v>0</v>
      </c>
      <c r="E786" s="41">
        <f>SUMIFS(Rezepte!G:G,Rezepte!A:A,C786)</f>
        <v>0</v>
      </c>
      <c r="F786" s="42" t="str">
        <f t="shared" si="2"/>
        <v>#DIV/0!</v>
      </c>
      <c r="G786" s="38"/>
      <c r="H786" s="38"/>
      <c r="I786" s="38"/>
      <c r="J786" s="38"/>
      <c r="K786" s="38"/>
      <c r="L786" s="38"/>
      <c r="M786" s="38"/>
      <c r="N786" s="38"/>
      <c r="O786" s="38"/>
    </row>
    <row r="787" hidden="1">
      <c r="A787" s="38"/>
      <c r="B787" s="38"/>
      <c r="C787" s="39"/>
      <c r="D787" s="40">
        <f>SUMIFS(Rezepte!F:F,Rezepte!A:A,C787)</f>
        <v>0</v>
      </c>
      <c r="E787" s="41">
        <f>SUMIFS(Rezepte!G:G,Rezepte!A:A,C787)</f>
        <v>0</v>
      </c>
      <c r="F787" s="42" t="str">
        <f t="shared" si="2"/>
        <v>#DIV/0!</v>
      </c>
      <c r="G787" s="38"/>
      <c r="H787" s="38"/>
      <c r="I787" s="38"/>
      <c r="J787" s="38"/>
      <c r="K787" s="38"/>
      <c r="L787" s="38"/>
      <c r="M787" s="38"/>
      <c r="N787" s="38"/>
      <c r="O787" s="38"/>
    </row>
    <row r="788" hidden="1">
      <c r="A788" s="38"/>
      <c r="B788" s="38"/>
      <c r="C788" s="39"/>
      <c r="D788" s="40">
        <f>SUMIFS(Rezepte!F:F,Rezepte!A:A,C788)</f>
        <v>0</v>
      </c>
      <c r="E788" s="41">
        <f>SUMIFS(Rezepte!G:G,Rezepte!A:A,C788)</f>
        <v>0</v>
      </c>
      <c r="F788" s="42" t="str">
        <f t="shared" si="2"/>
        <v>#DIV/0!</v>
      </c>
      <c r="G788" s="38"/>
      <c r="H788" s="38"/>
      <c r="I788" s="38"/>
      <c r="J788" s="38"/>
      <c r="K788" s="38"/>
      <c r="L788" s="38"/>
      <c r="M788" s="38"/>
      <c r="N788" s="38"/>
      <c r="O788" s="38"/>
    </row>
    <row r="789" hidden="1">
      <c r="A789" s="38"/>
      <c r="B789" s="38"/>
      <c r="C789" s="39"/>
      <c r="D789" s="40">
        <f>SUMIFS(Rezepte!F:F,Rezepte!A:A,C789)</f>
        <v>0</v>
      </c>
      <c r="E789" s="41">
        <f>SUMIFS(Rezepte!G:G,Rezepte!A:A,C789)</f>
        <v>0</v>
      </c>
      <c r="F789" s="42" t="str">
        <f t="shared" si="2"/>
        <v>#DIV/0!</v>
      </c>
      <c r="G789" s="38"/>
      <c r="H789" s="38"/>
      <c r="I789" s="38"/>
      <c r="J789" s="38"/>
      <c r="K789" s="38"/>
      <c r="L789" s="38"/>
      <c r="M789" s="38"/>
      <c r="N789" s="38"/>
      <c r="O789" s="38"/>
    </row>
    <row r="790" hidden="1">
      <c r="A790" s="38"/>
      <c r="B790" s="38"/>
      <c r="C790" s="39"/>
      <c r="D790" s="40">
        <f>SUMIFS(Rezepte!F:F,Rezepte!A:A,C790)</f>
        <v>0</v>
      </c>
      <c r="E790" s="41">
        <f>SUMIFS(Rezepte!G:G,Rezepte!A:A,C790)</f>
        <v>0</v>
      </c>
      <c r="F790" s="42" t="str">
        <f t="shared" si="2"/>
        <v>#DIV/0!</v>
      </c>
      <c r="G790" s="38"/>
      <c r="H790" s="38"/>
      <c r="I790" s="38"/>
      <c r="J790" s="38"/>
      <c r="K790" s="38"/>
      <c r="L790" s="38"/>
      <c r="M790" s="38"/>
      <c r="N790" s="38"/>
      <c r="O790" s="38"/>
    </row>
    <row r="791" hidden="1">
      <c r="A791" s="38"/>
      <c r="B791" s="38"/>
      <c r="C791" s="39"/>
      <c r="D791" s="40">
        <f>SUMIFS(Rezepte!F:F,Rezepte!A:A,C791)</f>
        <v>0</v>
      </c>
      <c r="E791" s="41">
        <f>SUMIFS(Rezepte!G:G,Rezepte!A:A,C791)</f>
        <v>0</v>
      </c>
      <c r="F791" s="42" t="str">
        <f t="shared" si="2"/>
        <v>#DIV/0!</v>
      </c>
      <c r="G791" s="38"/>
      <c r="H791" s="38"/>
      <c r="I791" s="38"/>
      <c r="J791" s="38"/>
      <c r="K791" s="38"/>
      <c r="L791" s="38"/>
      <c r="M791" s="38"/>
      <c r="N791" s="38"/>
      <c r="O791" s="38"/>
    </row>
    <row r="792" hidden="1">
      <c r="A792" s="38"/>
      <c r="B792" s="38"/>
      <c r="C792" s="39"/>
      <c r="D792" s="40">
        <f>SUMIFS(Rezepte!F:F,Rezepte!A:A,C792)</f>
        <v>0</v>
      </c>
      <c r="E792" s="41">
        <f>SUMIFS(Rezepte!G:G,Rezepte!A:A,C792)</f>
        <v>0</v>
      </c>
      <c r="F792" s="42" t="str">
        <f t="shared" si="2"/>
        <v>#DIV/0!</v>
      </c>
      <c r="G792" s="38"/>
      <c r="H792" s="38"/>
      <c r="I792" s="38"/>
      <c r="J792" s="38"/>
      <c r="K792" s="38"/>
      <c r="L792" s="38"/>
      <c r="M792" s="38"/>
      <c r="N792" s="38"/>
      <c r="O792" s="38"/>
    </row>
    <row r="793" hidden="1">
      <c r="A793" s="38"/>
      <c r="B793" s="38"/>
      <c r="C793" s="39"/>
      <c r="D793" s="40">
        <f>SUMIFS(Rezepte!F:F,Rezepte!A:A,C793)</f>
        <v>0</v>
      </c>
      <c r="E793" s="41">
        <f>SUMIFS(Rezepte!G:G,Rezepte!A:A,C793)</f>
        <v>0</v>
      </c>
      <c r="F793" s="42" t="str">
        <f t="shared" si="2"/>
        <v>#DIV/0!</v>
      </c>
      <c r="G793" s="38"/>
      <c r="H793" s="38"/>
      <c r="I793" s="38"/>
      <c r="J793" s="38"/>
      <c r="K793" s="38"/>
      <c r="L793" s="38"/>
      <c r="M793" s="38"/>
      <c r="N793" s="38"/>
      <c r="O793" s="38"/>
    </row>
    <row r="794" hidden="1">
      <c r="A794" s="38"/>
      <c r="B794" s="38"/>
      <c r="C794" s="39"/>
      <c r="D794" s="40">
        <f>SUMIFS(Rezepte!F:F,Rezepte!A:A,C794)</f>
        <v>0</v>
      </c>
      <c r="E794" s="41">
        <f>SUMIFS(Rezepte!G:G,Rezepte!A:A,C794)</f>
        <v>0</v>
      </c>
      <c r="F794" s="42" t="str">
        <f t="shared" si="2"/>
        <v>#DIV/0!</v>
      </c>
      <c r="G794" s="38"/>
      <c r="H794" s="38"/>
      <c r="I794" s="38"/>
      <c r="J794" s="38"/>
      <c r="K794" s="38"/>
      <c r="L794" s="38"/>
      <c r="M794" s="38"/>
      <c r="N794" s="38"/>
      <c r="O794" s="38"/>
    </row>
    <row r="795" hidden="1">
      <c r="A795" s="38"/>
      <c r="B795" s="38"/>
      <c r="C795" s="39"/>
      <c r="D795" s="40">
        <f>SUMIFS(Rezepte!F:F,Rezepte!A:A,C795)</f>
        <v>0</v>
      </c>
      <c r="E795" s="41">
        <f>SUMIFS(Rezepte!G:G,Rezepte!A:A,C795)</f>
        <v>0</v>
      </c>
      <c r="F795" s="42" t="str">
        <f t="shared" si="2"/>
        <v>#DIV/0!</v>
      </c>
      <c r="G795" s="38"/>
      <c r="H795" s="38"/>
      <c r="I795" s="38"/>
      <c r="J795" s="38"/>
      <c r="K795" s="38"/>
      <c r="L795" s="38"/>
      <c r="M795" s="38"/>
      <c r="N795" s="38"/>
      <c r="O795" s="38"/>
    </row>
    <row r="796" hidden="1">
      <c r="A796" s="38"/>
      <c r="B796" s="38"/>
      <c r="C796" s="39"/>
      <c r="D796" s="40">
        <f>SUMIFS(Rezepte!F:F,Rezepte!A:A,C796)</f>
        <v>0</v>
      </c>
      <c r="E796" s="41">
        <f>SUMIFS(Rezepte!G:G,Rezepte!A:A,C796)</f>
        <v>0</v>
      </c>
      <c r="F796" s="42" t="str">
        <f t="shared" si="2"/>
        <v>#DIV/0!</v>
      </c>
      <c r="G796" s="38"/>
      <c r="H796" s="38"/>
      <c r="I796" s="38"/>
      <c r="J796" s="38"/>
      <c r="K796" s="38"/>
      <c r="L796" s="38"/>
      <c r="M796" s="38"/>
      <c r="N796" s="38"/>
      <c r="O796" s="38"/>
    </row>
    <row r="797" hidden="1">
      <c r="A797" s="38"/>
      <c r="B797" s="38"/>
      <c r="C797" s="39"/>
      <c r="D797" s="40">
        <f>SUMIFS(Rezepte!F:F,Rezepte!A:A,C797)</f>
        <v>0</v>
      </c>
      <c r="E797" s="41">
        <f>SUMIFS(Rezepte!G:G,Rezepte!A:A,C797)</f>
        <v>0</v>
      </c>
      <c r="F797" s="42" t="str">
        <f t="shared" si="2"/>
        <v>#DIV/0!</v>
      </c>
      <c r="G797" s="38"/>
      <c r="H797" s="38"/>
      <c r="I797" s="38"/>
      <c r="J797" s="38"/>
      <c r="K797" s="38"/>
      <c r="L797" s="38"/>
      <c r="M797" s="38"/>
      <c r="N797" s="38"/>
      <c r="O797" s="38"/>
    </row>
    <row r="798" hidden="1">
      <c r="A798" s="38"/>
      <c r="B798" s="38"/>
      <c r="C798" s="39"/>
      <c r="D798" s="40">
        <f>SUMIFS(Rezepte!F:F,Rezepte!A:A,C798)</f>
        <v>0</v>
      </c>
      <c r="E798" s="41">
        <f>SUMIFS(Rezepte!G:G,Rezepte!A:A,C798)</f>
        <v>0</v>
      </c>
      <c r="F798" s="42" t="str">
        <f t="shared" si="2"/>
        <v>#DIV/0!</v>
      </c>
      <c r="G798" s="38"/>
      <c r="H798" s="38"/>
      <c r="I798" s="38"/>
      <c r="J798" s="38"/>
      <c r="K798" s="38"/>
      <c r="L798" s="38"/>
      <c r="M798" s="38"/>
      <c r="N798" s="38"/>
      <c r="O798" s="38"/>
    </row>
    <row r="799" hidden="1">
      <c r="A799" s="38"/>
      <c r="B799" s="38"/>
      <c r="C799" s="39"/>
      <c r="D799" s="40">
        <f>SUMIFS(Rezepte!F:F,Rezepte!A:A,C799)</f>
        <v>0</v>
      </c>
      <c r="E799" s="41">
        <f>SUMIFS(Rezepte!G:G,Rezepte!A:A,C799)</f>
        <v>0</v>
      </c>
      <c r="F799" s="42" t="str">
        <f t="shared" si="2"/>
        <v>#DIV/0!</v>
      </c>
      <c r="G799" s="38"/>
      <c r="H799" s="38"/>
      <c r="I799" s="38"/>
      <c r="J799" s="38"/>
      <c r="K799" s="38"/>
      <c r="L799" s="38"/>
      <c r="M799" s="38"/>
      <c r="N799" s="38"/>
      <c r="O799" s="38"/>
    </row>
    <row r="800" hidden="1">
      <c r="A800" s="38"/>
      <c r="B800" s="38"/>
      <c r="C800" s="39"/>
      <c r="D800" s="40">
        <f>SUMIFS(Rezepte!F:F,Rezepte!A:A,C800)</f>
        <v>0</v>
      </c>
      <c r="E800" s="41">
        <f>SUMIFS(Rezepte!G:G,Rezepte!A:A,C800)</f>
        <v>0</v>
      </c>
      <c r="F800" s="42" t="str">
        <f t="shared" si="2"/>
        <v>#DIV/0!</v>
      </c>
      <c r="G800" s="38"/>
      <c r="H800" s="38"/>
      <c r="I800" s="38"/>
      <c r="J800" s="38"/>
      <c r="K800" s="38"/>
      <c r="L800" s="38"/>
      <c r="M800" s="38"/>
      <c r="N800" s="38"/>
      <c r="O800" s="38"/>
    </row>
    <row r="801" hidden="1">
      <c r="A801" s="38"/>
      <c r="B801" s="38"/>
      <c r="C801" s="39"/>
      <c r="D801" s="40">
        <f>SUMIFS(Rezepte!F:F,Rezepte!A:A,C801)</f>
        <v>0</v>
      </c>
      <c r="E801" s="41">
        <f>SUMIFS(Rezepte!G:G,Rezepte!A:A,C801)</f>
        <v>0</v>
      </c>
      <c r="F801" s="42" t="str">
        <f t="shared" si="2"/>
        <v>#DIV/0!</v>
      </c>
      <c r="G801" s="38"/>
      <c r="H801" s="38"/>
      <c r="I801" s="38"/>
      <c r="J801" s="38"/>
      <c r="K801" s="38"/>
      <c r="L801" s="38"/>
      <c r="M801" s="38"/>
      <c r="N801" s="38"/>
      <c r="O801" s="38"/>
    </row>
    <row r="802" hidden="1">
      <c r="A802" s="38"/>
      <c r="B802" s="38"/>
      <c r="C802" s="39"/>
      <c r="D802" s="40">
        <f>SUMIFS(Rezepte!F:F,Rezepte!A:A,C802)</f>
        <v>0</v>
      </c>
      <c r="E802" s="41">
        <f>SUMIFS(Rezepte!G:G,Rezepte!A:A,C802)</f>
        <v>0</v>
      </c>
      <c r="F802" s="42" t="str">
        <f t="shared" si="2"/>
        <v>#DIV/0!</v>
      </c>
      <c r="G802" s="38"/>
      <c r="H802" s="38"/>
      <c r="I802" s="38"/>
      <c r="J802" s="38"/>
      <c r="K802" s="38"/>
      <c r="L802" s="38"/>
      <c r="M802" s="38"/>
      <c r="N802" s="38"/>
      <c r="O802" s="38"/>
    </row>
    <row r="803" hidden="1">
      <c r="A803" s="38"/>
      <c r="B803" s="38"/>
      <c r="C803" s="39"/>
      <c r="D803" s="40">
        <f>SUMIFS(Rezepte!F:F,Rezepte!A:A,C803)</f>
        <v>0</v>
      </c>
      <c r="E803" s="41">
        <f>SUMIFS(Rezepte!G:G,Rezepte!A:A,C803)</f>
        <v>0</v>
      </c>
      <c r="F803" s="42" t="str">
        <f t="shared" si="2"/>
        <v>#DIV/0!</v>
      </c>
      <c r="G803" s="38"/>
      <c r="H803" s="38"/>
      <c r="I803" s="38"/>
      <c r="J803" s="38"/>
      <c r="K803" s="38"/>
      <c r="L803" s="38"/>
      <c r="M803" s="38"/>
      <c r="N803" s="38"/>
      <c r="O803" s="38"/>
    </row>
    <row r="804" hidden="1">
      <c r="A804" s="38"/>
      <c r="B804" s="38"/>
      <c r="C804" s="39"/>
      <c r="D804" s="40">
        <f>SUMIFS(Rezepte!F:F,Rezepte!A:A,C804)</f>
        <v>0</v>
      </c>
      <c r="E804" s="41">
        <f>SUMIFS(Rezepte!G:G,Rezepte!A:A,C804)</f>
        <v>0</v>
      </c>
      <c r="F804" s="42" t="str">
        <f t="shared" si="2"/>
        <v>#DIV/0!</v>
      </c>
      <c r="G804" s="38"/>
      <c r="H804" s="38"/>
      <c r="I804" s="38"/>
      <c r="J804" s="38"/>
      <c r="K804" s="38"/>
      <c r="L804" s="38"/>
      <c r="M804" s="38"/>
      <c r="N804" s="38"/>
      <c r="O804" s="38"/>
    </row>
    <row r="805" hidden="1">
      <c r="A805" s="38"/>
      <c r="B805" s="38"/>
      <c r="C805" s="39"/>
      <c r="D805" s="40">
        <f>SUMIFS(Rezepte!F:F,Rezepte!A:A,C805)</f>
        <v>0</v>
      </c>
      <c r="E805" s="41">
        <f>SUMIFS(Rezepte!G:G,Rezepte!A:A,C805)</f>
        <v>0</v>
      </c>
      <c r="F805" s="42" t="str">
        <f t="shared" si="2"/>
        <v>#DIV/0!</v>
      </c>
      <c r="G805" s="38"/>
      <c r="H805" s="38"/>
      <c r="I805" s="38"/>
      <c r="J805" s="38"/>
      <c r="K805" s="38"/>
      <c r="L805" s="38"/>
      <c r="M805" s="38"/>
      <c r="N805" s="38"/>
      <c r="O805" s="38"/>
    </row>
    <row r="806" hidden="1">
      <c r="A806" s="38"/>
      <c r="B806" s="38"/>
      <c r="C806" s="39"/>
      <c r="D806" s="40">
        <f>SUMIFS(Rezepte!F:F,Rezepte!A:A,C806)</f>
        <v>0</v>
      </c>
      <c r="E806" s="41">
        <f>SUMIFS(Rezepte!G:G,Rezepte!A:A,C806)</f>
        <v>0</v>
      </c>
      <c r="F806" s="42" t="str">
        <f t="shared" si="2"/>
        <v>#DIV/0!</v>
      </c>
      <c r="G806" s="38"/>
      <c r="H806" s="38"/>
      <c r="I806" s="38"/>
      <c r="J806" s="38"/>
      <c r="K806" s="38"/>
      <c r="L806" s="38"/>
      <c r="M806" s="38"/>
      <c r="N806" s="38"/>
      <c r="O806" s="38"/>
    </row>
    <row r="807" hidden="1">
      <c r="A807" s="38"/>
      <c r="B807" s="38"/>
      <c r="C807" s="39"/>
      <c r="D807" s="40">
        <f>SUMIFS(Rezepte!F:F,Rezepte!A:A,C807)</f>
        <v>0</v>
      </c>
      <c r="E807" s="41">
        <f>SUMIFS(Rezepte!G:G,Rezepte!A:A,C807)</f>
        <v>0</v>
      </c>
      <c r="F807" s="42" t="str">
        <f t="shared" si="2"/>
        <v>#DIV/0!</v>
      </c>
      <c r="G807" s="38"/>
      <c r="H807" s="38"/>
      <c r="I807" s="38"/>
      <c r="J807" s="38"/>
      <c r="K807" s="38"/>
      <c r="L807" s="38"/>
      <c r="M807" s="38"/>
      <c r="N807" s="38"/>
      <c r="O807" s="38"/>
    </row>
    <row r="808" hidden="1">
      <c r="A808" s="38"/>
      <c r="B808" s="38"/>
      <c r="C808" s="39"/>
      <c r="D808" s="40">
        <f>SUMIFS(Rezepte!F:F,Rezepte!A:A,C808)</f>
        <v>0</v>
      </c>
      <c r="E808" s="41">
        <f>SUMIFS(Rezepte!G:G,Rezepte!A:A,C808)</f>
        <v>0</v>
      </c>
      <c r="F808" s="42" t="str">
        <f t="shared" si="2"/>
        <v>#DIV/0!</v>
      </c>
      <c r="G808" s="38"/>
      <c r="H808" s="38"/>
      <c r="I808" s="38"/>
      <c r="J808" s="38"/>
      <c r="K808" s="38"/>
      <c r="L808" s="38"/>
      <c r="M808" s="38"/>
      <c r="N808" s="38"/>
      <c r="O808" s="38"/>
    </row>
    <row r="809" hidden="1">
      <c r="A809" s="38"/>
      <c r="B809" s="38"/>
      <c r="C809" s="39"/>
      <c r="D809" s="40">
        <f>SUMIFS(Rezepte!F:F,Rezepte!A:A,C809)</f>
        <v>0</v>
      </c>
      <c r="E809" s="41">
        <f>SUMIFS(Rezepte!G:G,Rezepte!A:A,C809)</f>
        <v>0</v>
      </c>
      <c r="F809" s="42" t="str">
        <f t="shared" si="2"/>
        <v>#DIV/0!</v>
      </c>
      <c r="G809" s="38"/>
      <c r="H809" s="38"/>
      <c r="I809" s="38"/>
      <c r="J809" s="38"/>
      <c r="K809" s="38"/>
      <c r="L809" s="38"/>
      <c r="M809" s="38"/>
      <c r="N809" s="38"/>
      <c r="O809" s="38"/>
    </row>
    <row r="810" hidden="1">
      <c r="A810" s="38"/>
      <c r="B810" s="38"/>
      <c r="C810" s="39"/>
      <c r="D810" s="40">
        <f>SUMIFS(Rezepte!F:F,Rezepte!A:A,C810)</f>
        <v>0</v>
      </c>
      <c r="E810" s="41">
        <f>SUMIFS(Rezepte!G:G,Rezepte!A:A,C810)</f>
        <v>0</v>
      </c>
      <c r="F810" s="42" t="str">
        <f t="shared" si="2"/>
        <v>#DIV/0!</v>
      </c>
      <c r="G810" s="38"/>
      <c r="H810" s="38"/>
      <c r="I810" s="38"/>
      <c r="J810" s="38"/>
      <c r="K810" s="38"/>
      <c r="L810" s="38"/>
      <c r="M810" s="38"/>
      <c r="N810" s="38"/>
      <c r="O810" s="38"/>
    </row>
    <row r="811" hidden="1">
      <c r="A811" s="38"/>
      <c r="B811" s="38"/>
      <c r="C811" s="39"/>
      <c r="D811" s="40">
        <f>SUMIFS(Rezepte!F:F,Rezepte!A:A,C811)</f>
        <v>0</v>
      </c>
      <c r="E811" s="41">
        <f>SUMIFS(Rezepte!G:G,Rezepte!A:A,C811)</f>
        <v>0</v>
      </c>
      <c r="F811" s="42" t="str">
        <f t="shared" si="2"/>
        <v>#DIV/0!</v>
      </c>
      <c r="G811" s="38"/>
      <c r="H811" s="38"/>
      <c r="I811" s="38"/>
      <c r="J811" s="38"/>
      <c r="K811" s="38"/>
      <c r="L811" s="38"/>
      <c r="M811" s="38"/>
      <c r="N811" s="38"/>
      <c r="O811" s="38"/>
    </row>
    <row r="812" hidden="1">
      <c r="A812" s="38"/>
      <c r="B812" s="38"/>
      <c r="C812" s="39"/>
      <c r="D812" s="40">
        <f>SUMIFS(Rezepte!F:F,Rezepte!A:A,C812)</f>
        <v>0</v>
      </c>
      <c r="E812" s="41">
        <f>SUMIFS(Rezepte!G:G,Rezepte!A:A,C812)</f>
        <v>0</v>
      </c>
      <c r="F812" s="42" t="str">
        <f t="shared" si="2"/>
        <v>#DIV/0!</v>
      </c>
      <c r="G812" s="38"/>
      <c r="H812" s="38"/>
      <c r="I812" s="38"/>
      <c r="J812" s="38"/>
      <c r="K812" s="38"/>
      <c r="L812" s="38"/>
      <c r="M812" s="38"/>
      <c r="N812" s="38"/>
      <c r="O812" s="38"/>
    </row>
    <row r="813" hidden="1">
      <c r="A813" s="38"/>
      <c r="B813" s="38"/>
      <c r="C813" s="39"/>
      <c r="D813" s="40">
        <f>SUMIFS(Rezepte!F:F,Rezepte!A:A,C813)</f>
        <v>0</v>
      </c>
      <c r="E813" s="41">
        <f>SUMIFS(Rezepte!G:G,Rezepte!A:A,C813)</f>
        <v>0</v>
      </c>
      <c r="F813" s="42" t="str">
        <f t="shared" si="2"/>
        <v>#DIV/0!</v>
      </c>
      <c r="G813" s="38"/>
      <c r="H813" s="38"/>
      <c r="I813" s="38"/>
      <c r="J813" s="38"/>
      <c r="K813" s="38"/>
      <c r="L813" s="38"/>
      <c r="M813" s="38"/>
      <c r="N813" s="38"/>
      <c r="O813" s="38"/>
    </row>
    <row r="814" hidden="1">
      <c r="A814" s="38"/>
      <c r="B814" s="38"/>
      <c r="C814" s="39"/>
      <c r="D814" s="40">
        <f>SUMIFS(Rezepte!F:F,Rezepte!A:A,C814)</f>
        <v>0</v>
      </c>
      <c r="E814" s="41">
        <f>SUMIFS(Rezepte!G:G,Rezepte!A:A,C814)</f>
        <v>0</v>
      </c>
      <c r="F814" s="42" t="str">
        <f t="shared" si="2"/>
        <v>#DIV/0!</v>
      </c>
      <c r="G814" s="38"/>
      <c r="H814" s="38"/>
      <c r="I814" s="38"/>
      <c r="J814" s="38"/>
      <c r="K814" s="38"/>
      <c r="L814" s="38"/>
      <c r="M814" s="38"/>
      <c r="N814" s="38"/>
      <c r="O814" s="38"/>
    </row>
    <row r="815" hidden="1">
      <c r="A815" s="38"/>
      <c r="B815" s="38"/>
      <c r="C815" s="39"/>
      <c r="D815" s="40">
        <f>SUMIFS(Rezepte!F:F,Rezepte!A:A,C815)</f>
        <v>0</v>
      </c>
      <c r="E815" s="41">
        <f>SUMIFS(Rezepte!G:G,Rezepte!A:A,C815)</f>
        <v>0</v>
      </c>
      <c r="F815" s="42" t="str">
        <f t="shared" si="2"/>
        <v>#DIV/0!</v>
      </c>
      <c r="G815" s="38"/>
      <c r="H815" s="38"/>
      <c r="I815" s="38"/>
      <c r="J815" s="38"/>
      <c r="K815" s="38"/>
      <c r="L815" s="38"/>
      <c r="M815" s="38"/>
      <c r="N815" s="38"/>
      <c r="O815" s="38"/>
    </row>
    <row r="816" hidden="1">
      <c r="A816" s="38"/>
      <c r="B816" s="38"/>
      <c r="C816" s="39"/>
      <c r="D816" s="40">
        <f>SUMIFS(Rezepte!F:F,Rezepte!A:A,C816)</f>
        <v>0</v>
      </c>
      <c r="E816" s="41">
        <f>SUMIFS(Rezepte!G:G,Rezepte!A:A,C816)</f>
        <v>0</v>
      </c>
      <c r="F816" s="42" t="str">
        <f t="shared" si="2"/>
        <v>#DIV/0!</v>
      </c>
      <c r="G816" s="38"/>
      <c r="H816" s="38"/>
      <c r="I816" s="38"/>
      <c r="J816" s="38"/>
      <c r="K816" s="38"/>
      <c r="L816" s="38"/>
      <c r="M816" s="38"/>
      <c r="N816" s="38"/>
      <c r="O816" s="38"/>
    </row>
    <row r="817" hidden="1">
      <c r="A817" s="38"/>
      <c r="B817" s="38"/>
      <c r="C817" s="39"/>
      <c r="D817" s="40">
        <f>SUMIFS(Rezepte!F:F,Rezepte!A:A,C817)</f>
        <v>0</v>
      </c>
      <c r="E817" s="41">
        <f>SUMIFS(Rezepte!G:G,Rezepte!A:A,C817)</f>
        <v>0</v>
      </c>
      <c r="F817" s="42" t="str">
        <f t="shared" si="2"/>
        <v>#DIV/0!</v>
      </c>
      <c r="G817" s="38"/>
      <c r="H817" s="38"/>
      <c r="I817" s="38"/>
      <c r="J817" s="38"/>
      <c r="K817" s="38"/>
      <c r="L817" s="38"/>
      <c r="M817" s="38"/>
      <c r="N817" s="38"/>
      <c r="O817" s="38"/>
    </row>
    <row r="818" hidden="1">
      <c r="A818" s="38"/>
      <c r="B818" s="38"/>
      <c r="C818" s="39"/>
      <c r="D818" s="40">
        <f>SUMIFS(Rezepte!F:F,Rezepte!A:A,C818)</f>
        <v>0</v>
      </c>
      <c r="E818" s="41">
        <f>SUMIFS(Rezepte!G:G,Rezepte!A:A,C818)</f>
        <v>0</v>
      </c>
      <c r="F818" s="42" t="str">
        <f t="shared" si="2"/>
        <v>#DIV/0!</v>
      </c>
      <c r="G818" s="38"/>
      <c r="H818" s="38"/>
      <c r="I818" s="38"/>
      <c r="J818" s="38"/>
      <c r="K818" s="38"/>
      <c r="L818" s="38"/>
      <c r="M818" s="38"/>
      <c r="N818" s="38"/>
      <c r="O818" s="38"/>
    </row>
    <row r="819" hidden="1">
      <c r="A819" s="38"/>
      <c r="B819" s="38"/>
      <c r="C819" s="39"/>
      <c r="D819" s="40">
        <f>SUMIFS(Rezepte!F:F,Rezepte!A:A,C819)</f>
        <v>0</v>
      </c>
      <c r="E819" s="41">
        <f>SUMIFS(Rezepte!G:G,Rezepte!A:A,C819)</f>
        <v>0</v>
      </c>
      <c r="F819" s="42" t="str">
        <f t="shared" si="2"/>
        <v>#DIV/0!</v>
      </c>
      <c r="G819" s="38"/>
      <c r="H819" s="38"/>
      <c r="I819" s="38"/>
      <c r="J819" s="38"/>
      <c r="K819" s="38"/>
      <c r="L819" s="38"/>
      <c r="M819" s="38"/>
      <c r="N819" s="38"/>
      <c r="O819" s="38"/>
    </row>
    <row r="820" hidden="1">
      <c r="A820" s="38"/>
      <c r="B820" s="38"/>
      <c r="C820" s="39"/>
      <c r="D820" s="40">
        <f>SUMIFS(Rezepte!F:F,Rezepte!A:A,C820)</f>
        <v>0</v>
      </c>
      <c r="E820" s="41">
        <f>SUMIFS(Rezepte!G:G,Rezepte!A:A,C820)</f>
        <v>0</v>
      </c>
      <c r="F820" s="42" t="str">
        <f t="shared" si="2"/>
        <v>#DIV/0!</v>
      </c>
      <c r="G820" s="38"/>
      <c r="H820" s="38"/>
      <c r="I820" s="38"/>
      <c r="J820" s="38"/>
      <c r="K820" s="38"/>
      <c r="L820" s="38"/>
      <c r="M820" s="38"/>
      <c r="N820" s="38"/>
      <c r="O820" s="38"/>
    </row>
    <row r="821" hidden="1">
      <c r="A821" s="38"/>
      <c r="B821" s="38"/>
      <c r="C821" s="39"/>
      <c r="D821" s="40">
        <f>SUMIFS(Rezepte!F:F,Rezepte!A:A,C821)</f>
        <v>0</v>
      </c>
      <c r="E821" s="41">
        <f>SUMIFS(Rezepte!G:G,Rezepte!A:A,C821)</f>
        <v>0</v>
      </c>
      <c r="F821" s="42" t="str">
        <f t="shared" si="2"/>
        <v>#DIV/0!</v>
      </c>
      <c r="G821" s="38"/>
      <c r="H821" s="38"/>
      <c r="I821" s="38"/>
      <c r="J821" s="38"/>
      <c r="K821" s="38"/>
      <c r="L821" s="38"/>
      <c r="M821" s="38"/>
      <c r="N821" s="38"/>
      <c r="O821" s="38"/>
    </row>
    <row r="822" hidden="1">
      <c r="A822" s="38"/>
      <c r="B822" s="38"/>
      <c r="C822" s="39"/>
      <c r="D822" s="40">
        <f>SUMIFS(Rezepte!F:F,Rezepte!A:A,C822)</f>
        <v>0</v>
      </c>
      <c r="E822" s="41">
        <f>SUMIFS(Rezepte!G:G,Rezepte!A:A,C822)</f>
        <v>0</v>
      </c>
      <c r="F822" s="42" t="str">
        <f t="shared" si="2"/>
        <v>#DIV/0!</v>
      </c>
      <c r="G822" s="38"/>
      <c r="H822" s="38"/>
      <c r="I822" s="38"/>
      <c r="J822" s="38"/>
      <c r="K822" s="38"/>
      <c r="L822" s="38"/>
      <c r="M822" s="38"/>
      <c r="N822" s="38"/>
      <c r="O822" s="38"/>
    </row>
    <row r="823" hidden="1">
      <c r="A823" s="38"/>
      <c r="B823" s="38"/>
      <c r="C823" s="39"/>
      <c r="D823" s="40">
        <f>SUMIFS(Rezepte!F:F,Rezepte!A:A,C823)</f>
        <v>0</v>
      </c>
      <c r="E823" s="41">
        <f>SUMIFS(Rezepte!G:G,Rezepte!A:A,C823)</f>
        <v>0</v>
      </c>
      <c r="F823" s="42" t="str">
        <f t="shared" si="2"/>
        <v>#DIV/0!</v>
      </c>
      <c r="G823" s="38"/>
      <c r="H823" s="38"/>
      <c r="I823" s="38"/>
      <c r="J823" s="38"/>
      <c r="K823" s="38"/>
      <c r="L823" s="38"/>
      <c r="M823" s="38"/>
      <c r="N823" s="38"/>
      <c r="O823" s="38"/>
    </row>
    <row r="824" hidden="1">
      <c r="A824" s="38"/>
      <c r="B824" s="38"/>
      <c r="C824" s="39"/>
      <c r="D824" s="40">
        <f>SUMIFS(Rezepte!F:F,Rezepte!A:A,C824)</f>
        <v>0</v>
      </c>
      <c r="E824" s="41">
        <f>SUMIFS(Rezepte!G:G,Rezepte!A:A,C824)</f>
        <v>0</v>
      </c>
      <c r="F824" s="42" t="str">
        <f t="shared" si="2"/>
        <v>#DIV/0!</v>
      </c>
      <c r="G824" s="38"/>
      <c r="H824" s="38"/>
      <c r="I824" s="38"/>
      <c r="J824" s="38"/>
      <c r="K824" s="38"/>
      <c r="L824" s="38"/>
      <c r="M824" s="38"/>
      <c r="N824" s="38"/>
      <c r="O824" s="38"/>
    </row>
    <row r="825" hidden="1">
      <c r="A825" s="38"/>
      <c r="B825" s="38"/>
      <c r="C825" s="39"/>
      <c r="D825" s="40">
        <f>SUMIFS(Rezepte!F:F,Rezepte!A:A,C825)</f>
        <v>0</v>
      </c>
      <c r="E825" s="41">
        <f>SUMIFS(Rezepte!G:G,Rezepte!A:A,C825)</f>
        <v>0</v>
      </c>
      <c r="F825" s="42" t="str">
        <f t="shared" si="2"/>
        <v>#DIV/0!</v>
      </c>
      <c r="G825" s="38"/>
      <c r="H825" s="38"/>
      <c r="I825" s="38"/>
      <c r="J825" s="38"/>
      <c r="K825" s="38"/>
      <c r="L825" s="38"/>
      <c r="M825" s="38"/>
      <c r="N825" s="38"/>
      <c r="O825" s="38"/>
    </row>
    <row r="826" hidden="1">
      <c r="A826" s="38"/>
      <c r="B826" s="38"/>
      <c r="C826" s="39"/>
      <c r="D826" s="40">
        <f>SUMIFS(Rezepte!F:F,Rezepte!A:A,C826)</f>
        <v>0</v>
      </c>
      <c r="E826" s="41">
        <f>SUMIFS(Rezepte!G:G,Rezepte!A:A,C826)</f>
        <v>0</v>
      </c>
      <c r="F826" s="42" t="str">
        <f t="shared" si="2"/>
        <v>#DIV/0!</v>
      </c>
      <c r="G826" s="38"/>
      <c r="H826" s="38"/>
      <c r="I826" s="38"/>
      <c r="J826" s="38"/>
      <c r="K826" s="38"/>
      <c r="L826" s="38"/>
      <c r="M826" s="38"/>
      <c r="N826" s="38"/>
      <c r="O826" s="38"/>
    </row>
    <row r="827" hidden="1">
      <c r="A827" s="38"/>
      <c r="B827" s="38"/>
      <c r="C827" s="39"/>
      <c r="D827" s="40">
        <f>SUMIFS(Rezepte!F:F,Rezepte!A:A,C827)</f>
        <v>0</v>
      </c>
      <c r="E827" s="41">
        <f>SUMIFS(Rezepte!G:G,Rezepte!A:A,C827)</f>
        <v>0</v>
      </c>
      <c r="F827" s="42" t="str">
        <f t="shared" si="2"/>
        <v>#DIV/0!</v>
      </c>
      <c r="G827" s="38"/>
      <c r="H827" s="38"/>
      <c r="I827" s="38"/>
      <c r="J827" s="38"/>
      <c r="K827" s="38"/>
      <c r="L827" s="38"/>
      <c r="M827" s="38"/>
      <c r="N827" s="38"/>
      <c r="O827" s="38"/>
    </row>
    <row r="828" hidden="1">
      <c r="A828" s="38"/>
      <c r="B828" s="38"/>
      <c r="C828" s="39"/>
      <c r="D828" s="40">
        <f>SUMIFS(Rezepte!F:F,Rezepte!A:A,C828)</f>
        <v>0</v>
      </c>
      <c r="E828" s="41">
        <f>SUMIFS(Rezepte!G:G,Rezepte!A:A,C828)</f>
        <v>0</v>
      </c>
      <c r="F828" s="42" t="str">
        <f t="shared" si="2"/>
        <v>#DIV/0!</v>
      </c>
      <c r="G828" s="38"/>
      <c r="H828" s="38"/>
      <c r="I828" s="38"/>
      <c r="J828" s="38"/>
      <c r="K828" s="38"/>
      <c r="L828" s="38"/>
      <c r="M828" s="38"/>
      <c r="N828" s="38"/>
      <c r="O828" s="38"/>
    </row>
    <row r="829" hidden="1">
      <c r="A829" s="38"/>
      <c r="B829" s="38"/>
      <c r="C829" s="39"/>
      <c r="D829" s="40">
        <f>SUMIFS(Rezepte!F:F,Rezepte!A:A,C829)</f>
        <v>0</v>
      </c>
      <c r="E829" s="41">
        <f>SUMIFS(Rezepte!G:G,Rezepte!A:A,C829)</f>
        <v>0</v>
      </c>
      <c r="F829" s="42" t="str">
        <f t="shared" si="2"/>
        <v>#DIV/0!</v>
      </c>
      <c r="G829" s="38"/>
      <c r="H829" s="38"/>
      <c r="I829" s="38"/>
      <c r="J829" s="38"/>
      <c r="K829" s="38"/>
      <c r="L829" s="38"/>
      <c r="M829" s="38"/>
      <c r="N829" s="38"/>
      <c r="O829" s="38"/>
    </row>
    <row r="830" hidden="1">
      <c r="A830" s="38"/>
      <c r="B830" s="38"/>
      <c r="C830" s="39"/>
      <c r="D830" s="40">
        <f>SUMIFS(Rezepte!F:F,Rezepte!A:A,C830)</f>
        <v>0</v>
      </c>
      <c r="E830" s="41">
        <f>SUMIFS(Rezepte!G:G,Rezepte!A:A,C830)</f>
        <v>0</v>
      </c>
      <c r="F830" s="42" t="str">
        <f t="shared" si="2"/>
        <v>#DIV/0!</v>
      </c>
      <c r="G830" s="38"/>
      <c r="H830" s="38"/>
      <c r="I830" s="38"/>
      <c r="J830" s="38"/>
      <c r="K830" s="38"/>
      <c r="L830" s="38"/>
      <c r="M830" s="38"/>
      <c r="N830" s="38"/>
      <c r="O830" s="38"/>
    </row>
    <row r="831" hidden="1">
      <c r="A831" s="38"/>
      <c r="B831" s="38"/>
      <c r="C831" s="39"/>
      <c r="D831" s="40">
        <f>SUMIFS(Rezepte!F:F,Rezepte!A:A,C831)</f>
        <v>0</v>
      </c>
      <c r="E831" s="41">
        <f>SUMIFS(Rezepte!G:G,Rezepte!A:A,C831)</f>
        <v>0</v>
      </c>
      <c r="F831" s="42" t="str">
        <f t="shared" si="2"/>
        <v>#DIV/0!</v>
      </c>
      <c r="G831" s="38"/>
      <c r="H831" s="38"/>
      <c r="I831" s="38"/>
      <c r="J831" s="38"/>
      <c r="K831" s="38"/>
      <c r="L831" s="38"/>
      <c r="M831" s="38"/>
      <c r="N831" s="38"/>
      <c r="O831" s="38"/>
    </row>
    <row r="832" hidden="1">
      <c r="A832" s="38"/>
      <c r="B832" s="38"/>
      <c r="C832" s="39"/>
      <c r="D832" s="40">
        <f>SUMIFS(Rezepte!F:F,Rezepte!A:A,C832)</f>
        <v>0</v>
      </c>
      <c r="E832" s="41">
        <f>SUMIFS(Rezepte!G:G,Rezepte!A:A,C832)</f>
        <v>0</v>
      </c>
      <c r="F832" s="42" t="str">
        <f t="shared" si="2"/>
        <v>#DIV/0!</v>
      </c>
      <c r="G832" s="38"/>
      <c r="H832" s="38"/>
      <c r="I832" s="38"/>
      <c r="J832" s="38"/>
      <c r="K832" s="38"/>
      <c r="L832" s="38"/>
      <c r="M832" s="38"/>
      <c r="N832" s="38"/>
      <c r="O832" s="38"/>
    </row>
    <row r="833" hidden="1">
      <c r="A833" s="38"/>
      <c r="B833" s="38"/>
      <c r="C833" s="39"/>
      <c r="D833" s="40">
        <f>SUMIFS(Rezepte!F:F,Rezepte!A:A,C833)</f>
        <v>0</v>
      </c>
      <c r="E833" s="41">
        <f>SUMIFS(Rezepte!G:G,Rezepte!A:A,C833)</f>
        <v>0</v>
      </c>
      <c r="F833" s="42" t="str">
        <f t="shared" si="2"/>
        <v>#DIV/0!</v>
      </c>
      <c r="G833" s="38"/>
      <c r="H833" s="38"/>
      <c r="I833" s="38"/>
      <c r="J833" s="38"/>
      <c r="K833" s="38"/>
      <c r="L833" s="38"/>
      <c r="M833" s="38"/>
      <c r="N833" s="38"/>
      <c r="O833" s="38"/>
    </row>
    <row r="834" hidden="1">
      <c r="A834" s="38"/>
      <c r="B834" s="38"/>
      <c r="C834" s="39"/>
      <c r="D834" s="40">
        <f>SUMIFS(Rezepte!F:F,Rezepte!A:A,C834)</f>
        <v>0</v>
      </c>
      <c r="E834" s="41">
        <f>SUMIFS(Rezepte!G:G,Rezepte!A:A,C834)</f>
        <v>0</v>
      </c>
      <c r="F834" s="42" t="str">
        <f t="shared" si="2"/>
        <v>#DIV/0!</v>
      </c>
      <c r="G834" s="38"/>
      <c r="H834" s="38"/>
      <c r="I834" s="38"/>
      <c r="J834" s="38"/>
      <c r="K834" s="38"/>
      <c r="L834" s="38"/>
      <c r="M834" s="38"/>
      <c r="N834" s="38"/>
      <c r="O834" s="38"/>
    </row>
    <row r="835" hidden="1">
      <c r="A835" s="38"/>
      <c r="B835" s="38"/>
      <c r="C835" s="39"/>
      <c r="D835" s="40">
        <f>SUMIFS(Rezepte!F:F,Rezepte!A:A,C835)</f>
        <v>0</v>
      </c>
      <c r="E835" s="41">
        <f>SUMIFS(Rezepte!G:G,Rezepte!A:A,C835)</f>
        <v>0</v>
      </c>
      <c r="F835" s="42" t="str">
        <f t="shared" si="2"/>
        <v>#DIV/0!</v>
      </c>
      <c r="G835" s="38"/>
      <c r="H835" s="38"/>
      <c r="I835" s="38"/>
      <c r="J835" s="38"/>
      <c r="K835" s="38"/>
      <c r="L835" s="38"/>
      <c r="M835" s="38"/>
      <c r="N835" s="38"/>
      <c r="O835" s="38"/>
    </row>
    <row r="836" hidden="1">
      <c r="A836" s="38"/>
      <c r="B836" s="38"/>
      <c r="C836" s="39"/>
      <c r="D836" s="40">
        <f>SUMIFS(Rezepte!F:F,Rezepte!A:A,C836)</f>
        <v>0</v>
      </c>
      <c r="E836" s="41">
        <f>SUMIFS(Rezepte!G:G,Rezepte!A:A,C836)</f>
        <v>0</v>
      </c>
      <c r="F836" s="42" t="str">
        <f t="shared" si="2"/>
        <v>#DIV/0!</v>
      </c>
      <c r="G836" s="38"/>
      <c r="H836" s="38"/>
      <c r="I836" s="38"/>
      <c r="J836" s="38"/>
      <c r="K836" s="38"/>
      <c r="L836" s="38"/>
      <c r="M836" s="38"/>
      <c r="N836" s="38"/>
      <c r="O836" s="38"/>
    </row>
    <row r="837" hidden="1">
      <c r="A837" s="38"/>
      <c r="B837" s="38"/>
      <c r="C837" s="39"/>
      <c r="D837" s="40">
        <f>SUMIFS(Rezepte!F:F,Rezepte!A:A,C837)</f>
        <v>0</v>
      </c>
      <c r="E837" s="41">
        <f>SUMIFS(Rezepte!G:G,Rezepte!A:A,C837)</f>
        <v>0</v>
      </c>
      <c r="F837" s="42" t="str">
        <f t="shared" si="2"/>
        <v>#DIV/0!</v>
      </c>
      <c r="G837" s="38"/>
      <c r="H837" s="38"/>
      <c r="I837" s="38"/>
      <c r="J837" s="38"/>
      <c r="K837" s="38"/>
      <c r="L837" s="38"/>
      <c r="M837" s="38"/>
      <c r="N837" s="38"/>
      <c r="O837" s="38"/>
    </row>
    <row r="838" hidden="1">
      <c r="A838" s="38"/>
      <c r="B838" s="38"/>
      <c r="C838" s="39"/>
      <c r="D838" s="40">
        <f>SUMIFS(Rezepte!F:F,Rezepte!A:A,C838)</f>
        <v>0</v>
      </c>
      <c r="E838" s="41">
        <f>SUMIFS(Rezepte!G:G,Rezepte!A:A,C838)</f>
        <v>0</v>
      </c>
      <c r="F838" s="42" t="str">
        <f t="shared" si="2"/>
        <v>#DIV/0!</v>
      </c>
      <c r="G838" s="38"/>
      <c r="H838" s="38"/>
      <c r="I838" s="38"/>
      <c r="J838" s="38"/>
      <c r="K838" s="38"/>
      <c r="L838" s="38"/>
      <c r="M838" s="38"/>
      <c r="N838" s="38"/>
      <c r="O838" s="38"/>
    </row>
    <row r="839" hidden="1">
      <c r="A839" s="38"/>
      <c r="B839" s="38"/>
      <c r="C839" s="39"/>
      <c r="D839" s="40">
        <f>SUMIFS(Rezepte!F:F,Rezepte!A:A,C839)</f>
        <v>0</v>
      </c>
      <c r="E839" s="41">
        <f>SUMIFS(Rezepte!G:G,Rezepte!A:A,C839)</f>
        <v>0</v>
      </c>
      <c r="F839" s="42" t="str">
        <f t="shared" si="2"/>
        <v>#DIV/0!</v>
      </c>
      <c r="G839" s="38"/>
      <c r="H839" s="38"/>
      <c r="I839" s="38"/>
      <c r="J839" s="38"/>
      <c r="K839" s="38"/>
      <c r="L839" s="38"/>
      <c r="M839" s="38"/>
      <c r="N839" s="38"/>
      <c r="O839" s="38"/>
    </row>
    <row r="840" hidden="1">
      <c r="A840" s="38"/>
      <c r="B840" s="38"/>
      <c r="C840" s="39"/>
      <c r="D840" s="40">
        <f>SUMIFS(Rezepte!F:F,Rezepte!A:A,C840)</f>
        <v>0</v>
      </c>
      <c r="E840" s="41">
        <f>SUMIFS(Rezepte!G:G,Rezepte!A:A,C840)</f>
        <v>0</v>
      </c>
      <c r="F840" s="42" t="str">
        <f t="shared" si="2"/>
        <v>#DIV/0!</v>
      </c>
      <c r="G840" s="38"/>
      <c r="H840" s="38"/>
      <c r="I840" s="38"/>
      <c r="J840" s="38"/>
      <c r="K840" s="38"/>
      <c r="L840" s="38"/>
      <c r="M840" s="38"/>
      <c r="N840" s="38"/>
      <c r="O840" s="38"/>
    </row>
    <row r="841" hidden="1">
      <c r="A841" s="38"/>
      <c r="B841" s="38"/>
      <c r="C841" s="39"/>
      <c r="D841" s="40">
        <f>SUMIFS(Rezepte!F:F,Rezepte!A:A,C841)</f>
        <v>0</v>
      </c>
      <c r="E841" s="41">
        <f>SUMIFS(Rezepte!G:G,Rezepte!A:A,C841)</f>
        <v>0</v>
      </c>
      <c r="F841" s="42" t="str">
        <f t="shared" si="2"/>
        <v>#DIV/0!</v>
      </c>
      <c r="G841" s="38"/>
      <c r="H841" s="38"/>
      <c r="I841" s="38"/>
      <c r="J841" s="38"/>
      <c r="K841" s="38"/>
      <c r="L841" s="38"/>
      <c r="M841" s="38"/>
      <c r="N841" s="38"/>
      <c r="O841" s="38"/>
    </row>
    <row r="842" hidden="1">
      <c r="A842" s="38"/>
      <c r="B842" s="38"/>
      <c r="C842" s="39"/>
      <c r="D842" s="40">
        <f>SUMIFS(Rezepte!F:F,Rezepte!A:A,C842)</f>
        <v>0</v>
      </c>
      <c r="E842" s="41">
        <f>SUMIFS(Rezepte!G:G,Rezepte!A:A,C842)</f>
        <v>0</v>
      </c>
      <c r="F842" s="42" t="str">
        <f t="shared" si="2"/>
        <v>#DIV/0!</v>
      </c>
      <c r="G842" s="38"/>
      <c r="H842" s="38"/>
      <c r="I842" s="38"/>
      <c r="J842" s="38"/>
      <c r="K842" s="38"/>
      <c r="L842" s="38"/>
      <c r="M842" s="38"/>
      <c r="N842" s="38"/>
      <c r="O842" s="38"/>
    </row>
    <row r="843" hidden="1">
      <c r="A843" s="38"/>
      <c r="B843" s="38"/>
      <c r="C843" s="39"/>
      <c r="D843" s="40">
        <f>SUMIFS(Rezepte!F:F,Rezepte!A:A,C843)</f>
        <v>0</v>
      </c>
      <c r="E843" s="41">
        <f>SUMIFS(Rezepte!G:G,Rezepte!A:A,C843)</f>
        <v>0</v>
      </c>
      <c r="F843" s="42" t="str">
        <f t="shared" si="2"/>
        <v>#DIV/0!</v>
      </c>
      <c r="G843" s="38"/>
      <c r="H843" s="38"/>
      <c r="I843" s="38"/>
      <c r="J843" s="38"/>
      <c r="K843" s="38"/>
      <c r="L843" s="38"/>
      <c r="M843" s="38"/>
      <c r="N843" s="38"/>
      <c r="O843" s="38"/>
    </row>
    <row r="844" hidden="1">
      <c r="A844" s="38"/>
      <c r="B844" s="38"/>
      <c r="C844" s="39"/>
      <c r="D844" s="40">
        <f>SUMIFS(Rezepte!F:F,Rezepte!A:A,C844)</f>
        <v>0</v>
      </c>
      <c r="E844" s="41">
        <f>SUMIFS(Rezepte!G:G,Rezepte!A:A,C844)</f>
        <v>0</v>
      </c>
      <c r="F844" s="42" t="str">
        <f t="shared" si="2"/>
        <v>#DIV/0!</v>
      </c>
      <c r="G844" s="38"/>
      <c r="H844" s="38"/>
      <c r="I844" s="38"/>
      <c r="J844" s="38"/>
      <c r="K844" s="38"/>
      <c r="L844" s="38"/>
      <c r="M844" s="38"/>
      <c r="N844" s="38"/>
      <c r="O844" s="38"/>
    </row>
    <row r="845" hidden="1">
      <c r="A845" s="38"/>
      <c r="B845" s="38"/>
      <c r="C845" s="39"/>
      <c r="D845" s="40">
        <f>SUMIFS(Rezepte!F:F,Rezepte!A:A,C845)</f>
        <v>0</v>
      </c>
      <c r="E845" s="41">
        <f>SUMIFS(Rezepte!G:G,Rezepte!A:A,C845)</f>
        <v>0</v>
      </c>
      <c r="F845" s="42" t="str">
        <f t="shared" si="2"/>
        <v>#DIV/0!</v>
      </c>
      <c r="G845" s="38"/>
      <c r="H845" s="38"/>
      <c r="I845" s="38"/>
      <c r="J845" s="38"/>
      <c r="K845" s="38"/>
      <c r="L845" s="38"/>
      <c r="M845" s="38"/>
      <c r="N845" s="38"/>
      <c r="O845" s="38"/>
    </row>
    <row r="846" hidden="1">
      <c r="A846" s="38"/>
      <c r="B846" s="38"/>
      <c r="C846" s="39"/>
      <c r="D846" s="40">
        <f>SUMIFS(Rezepte!F:F,Rezepte!A:A,C846)</f>
        <v>0</v>
      </c>
      <c r="E846" s="41">
        <f>SUMIFS(Rezepte!G:G,Rezepte!A:A,C846)</f>
        <v>0</v>
      </c>
      <c r="F846" s="42" t="str">
        <f t="shared" si="2"/>
        <v>#DIV/0!</v>
      </c>
      <c r="G846" s="38"/>
      <c r="H846" s="38"/>
      <c r="I846" s="38"/>
      <c r="J846" s="38"/>
      <c r="K846" s="38"/>
      <c r="L846" s="38"/>
      <c r="M846" s="38"/>
      <c r="N846" s="38"/>
      <c r="O846" s="38"/>
    </row>
    <row r="847" hidden="1">
      <c r="A847" s="38"/>
      <c r="B847" s="38"/>
      <c r="C847" s="39"/>
      <c r="D847" s="40">
        <f>SUMIFS(Rezepte!F:F,Rezepte!A:A,C847)</f>
        <v>0</v>
      </c>
      <c r="E847" s="41">
        <f>SUMIFS(Rezepte!G:G,Rezepte!A:A,C847)</f>
        <v>0</v>
      </c>
      <c r="F847" s="42" t="str">
        <f t="shared" si="2"/>
        <v>#DIV/0!</v>
      </c>
      <c r="G847" s="38"/>
      <c r="H847" s="38"/>
      <c r="I847" s="38"/>
      <c r="J847" s="38"/>
      <c r="K847" s="38"/>
      <c r="L847" s="38"/>
      <c r="M847" s="38"/>
      <c r="N847" s="38"/>
      <c r="O847" s="38"/>
    </row>
    <row r="848" hidden="1">
      <c r="A848" s="38"/>
      <c r="B848" s="38"/>
      <c r="C848" s="39"/>
      <c r="D848" s="40">
        <f>SUMIFS(Rezepte!F:F,Rezepte!A:A,C848)</f>
        <v>0</v>
      </c>
      <c r="E848" s="41">
        <f>SUMIFS(Rezepte!G:G,Rezepte!A:A,C848)</f>
        <v>0</v>
      </c>
      <c r="F848" s="42" t="str">
        <f t="shared" si="2"/>
        <v>#DIV/0!</v>
      </c>
      <c r="G848" s="38"/>
      <c r="H848" s="38"/>
      <c r="I848" s="38"/>
      <c r="J848" s="38"/>
      <c r="K848" s="38"/>
      <c r="L848" s="38"/>
      <c r="M848" s="38"/>
      <c r="N848" s="38"/>
      <c r="O848" s="38"/>
    </row>
    <row r="849" hidden="1">
      <c r="A849" s="38"/>
      <c r="B849" s="38"/>
      <c r="C849" s="39"/>
      <c r="D849" s="40">
        <f>SUMIFS(Rezepte!F:F,Rezepte!A:A,C849)</f>
        <v>0</v>
      </c>
      <c r="E849" s="41">
        <f>SUMIFS(Rezepte!G:G,Rezepte!A:A,C849)</f>
        <v>0</v>
      </c>
      <c r="F849" s="42" t="str">
        <f t="shared" si="2"/>
        <v>#DIV/0!</v>
      </c>
      <c r="G849" s="38"/>
      <c r="H849" s="38"/>
      <c r="I849" s="38"/>
      <c r="J849" s="38"/>
      <c r="K849" s="38"/>
      <c r="L849" s="38"/>
      <c r="M849" s="38"/>
      <c r="N849" s="38"/>
      <c r="O849" s="38"/>
    </row>
    <row r="850" hidden="1">
      <c r="A850" s="38"/>
      <c r="B850" s="38"/>
      <c r="C850" s="39"/>
      <c r="D850" s="40">
        <f>SUMIFS(Rezepte!F:F,Rezepte!A:A,C850)</f>
        <v>0</v>
      </c>
      <c r="E850" s="41">
        <f>SUMIFS(Rezepte!G:G,Rezepte!A:A,C850)</f>
        <v>0</v>
      </c>
      <c r="F850" s="42" t="str">
        <f t="shared" si="2"/>
        <v>#DIV/0!</v>
      </c>
      <c r="G850" s="38"/>
      <c r="H850" s="38"/>
      <c r="I850" s="38"/>
      <c r="J850" s="38"/>
      <c r="K850" s="38"/>
      <c r="L850" s="38"/>
      <c r="M850" s="38"/>
      <c r="N850" s="38"/>
      <c r="O850" s="38"/>
    </row>
    <row r="851" hidden="1">
      <c r="A851" s="38"/>
      <c r="B851" s="38"/>
      <c r="C851" s="39"/>
      <c r="D851" s="40">
        <f>SUMIFS(Rezepte!F:F,Rezepte!A:A,C851)</f>
        <v>0</v>
      </c>
      <c r="E851" s="41">
        <f>SUMIFS(Rezepte!G:G,Rezepte!A:A,C851)</f>
        <v>0</v>
      </c>
      <c r="F851" s="42" t="str">
        <f t="shared" si="2"/>
        <v>#DIV/0!</v>
      </c>
      <c r="G851" s="38"/>
      <c r="H851" s="38"/>
      <c r="I851" s="38"/>
      <c r="J851" s="38"/>
      <c r="K851" s="38"/>
      <c r="L851" s="38"/>
      <c r="M851" s="38"/>
      <c r="N851" s="38"/>
      <c r="O851" s="38"/>
    </row>
    <row r="852" hidden="1">
      <c r="A852" s="38"/>
      <c r="B852" s="38"/>
      <c r="C852" s="39"/>
      <c r="D852" s="40">
        <f>SUMIFS(Rezepte!F:F,Rezepte!A:A,C852)</f>
        <v>0</v>
      </c>
      <c r="E852" s="41">
        <f>SUMIFS(Rezepte!G:G,Rezepte!A:A,C852)</f>
        <v>0</v>
      </c>
      <c r="F852" s="42" t="str">
        <f t="shared" si="2"/>
        <v>#DIV/0!</v>
      </c>
      <c r="G852" s="38"/>
      <c r="H852" s="38"/>
      <c r="I852" s="38"/>
      <c r="J852" s="38"/>
      <c r="K852" s="38"/>
      <c r="L852" s="38"/>
      <c r="M852" s="38"/>
      <c r="N852" s="38"/>
      <c r="O852" s="38"/>
    </row>
    <row r="853" hidden="1">
      <c r="A853" s="38"/>
      <c r="B853" s="38"/>
      <c r="C853" s="39"/>
      <c r="D853" s="40">
        <f>SUMIFS(Rezepte!F:F,Rezepte!A:A,C853)</f>
        <v>0</v>
      </c>
      <c r="E853" s="41">
        <f>SUMIFS(Rezepte!G:G,Rezepte!A:A,C853)</f>
        <v>0</v>
      </c>
      <c r="F853" s="42" t="str">
        <f t="shared" si="2"/>
        <v>#DIV/0!</v>
      </c>
      <c r="G853" s="38"/>
      <c r="H853" s="38"/>
      <c r="I853" s="38"/>
      <c r="J853" s="38"/>
      <c r="K853" s="38"/>
      <c r="L853" s="38"/>
      <c r="M853" s="38"/>
      <c r="N853" s="38"/>
      <c r="O853" s="38"/>
    </row>
    <row r="854" hidden="1">
      <c r="A854" s="38"/>
      <c r="B854" s="38"/>
      <c r="C854" s="39"/>
      <c r="D854" s="40">
        <f>SUMIFS(Rezepte!F:F,Rezepte!A:A,C854)</f>
        <v>0</v>
      </c>
      <c r="E854" s="41">
        <f>SUMIFS(Rezepte!G:G,Rezepte!A:A,C854)</f>
        <v>0</v>
      </c>
      <c r="F854" s="42" t="str">
        <f t="shared" si="2"/>
        <v>#DIV/0!</v>
      </c>
      <c r="G854" s="38"/>
      <c r="H854" s="38"/>
      <c r="I854" s="38"/>
      <c r="J854" s="38"/>
      <c r="K854" s="38"/>
      <c r="L854" s="38"/>
      <c r="M854" s="38"/>
      <c r="N854" s="38"/>
      <c r="O854" s="38"/>
    </row>
    <row r="855" hidden="1">
      <c r="A855" s="38"/>
      <c r="B855" s="38"/>
      <c r="C855" s="39"/>
      <c r="D855" s="40">
        <f>SUMIFS(Rezepte!F:F,Rezepte!A:A,C855)</f>
        <v>0</v>
      </c>
      <c r="E855" s="41">
        <f>SUMIFS(Rezepte!G:G,Rezepte!A:A,C855)</f>
        <v>0</v>
      </c>
      <c r="F855" s="42" t="str">
        <f t="shared" si="2"/>
        <v>#DIV/0!</v>
      </c>
      <c r="G855" s="38"/>
      <c r="H855" s="38"/>
      <c r="I855" s="38"/>
      <c r="J855" s="38"/>
      <c r="K855" s="38"/>
      <c r="L855" s="38"/>
      <c r="M855" s="38"/>
      <c r="N855" s="38"/>
      <c r="O855" s="38"/>
    </row>
    <row r="856" hidden="1">
      <c r="A856" s="38"/>
      <c r="B856" s="38"/>
      <c r="C856" s="39"/>
      <c r="D856" s="40">
        <f>SUMIFS(Rezepte!F:F,Rezepte!A:A,C856)</f>
        <v>0</v>
      </c>
      <c r="E856" s="41">
        <f>SUMIFS(Rezepte!G:G,Rezepte!A:A,C856)</f>
        <v>0</v>
      </c>
      <c r="F856" s="42" t="str">
        <f t="shared" si="2"/>
        <v>#DIV/0!</v>
      </c>
      <c r="G856" s="38"/>
      <c r="H856" s="38"/>
      <c r="I856" s="38"/>
      <c r="J856" s="38"/>
      <c r="K856" s="38"/>
      <c r="L856" s="38"/>
      <c r="M856" s="38"/>
      <c r="N856" s="38"/>
      <c r="O856" s="38"/>
    </row>
    <row r="857" hidden="1">
      <c r="A857" s="38"/>
      <c r="B857" s="38"/>
      <c r="C857" s="39"/>
      <c r="D857" s="40">
        <f>SUMIFS(Rezepte!F:F,Rezepte!A:A,C857)</f>
        <v>0</v>
      </c>
      <c r="E857" s="41">
        <f>SUMIFS(Rezepte!G:G,Rezepte!A:A,C857)</f>
        <v>0</v>
      </c>
      <c r="F857" s="42" t="str">
        <f t="shared" si="2"/>
        <v>#DIV/0!</v>
      </c>
      <c r="G857" s="38"/>
      <c r="H857" s="38"/>
      <c r="I857" s="38"/>
      <c r="J857" s="38"/>
      <c r="K857" s="38"/>
      <c r="L857" s="38"/>
      <c r="M857" s="38"/>
      <c r="N857" s="38"/>
      <c r="O857" s="38"/>
    </row>
    <row r="858" hidden="1">
      <c r="A858" s="38"/>
      <c r="B858" s="38"/>
      <c r="C858" s="39"/>
      <c r="D858" s="40">
        <f>SUMIFS(Rezepte!F:F,Rezepte!A:A,C858)</f>
        <v>0</v>
      </c>
      <c r="E858" s="41">
        <f>SUMIFS(Rezepte!G:G,Rezepte!A:A,C858)</f>
        <v>0</v>
      </c>
      <c r="F858" s="42" t="str">
        <f t="shared" si="2"/>
        <v>#DIV/0!</v>
      </c>
      <c r="G858" s="38"/>
      <c r="H858" s="38"/>
      <c r="I858" s="38"/>
      <c r="J858" s="38"/>
      <c r="K858" s="38"/>
      <c r="L858" s="38"/>
      <c r="M858" s="38"/>
      <c r="N858" s="38"/>
      <c r="O858" s="38"/>
    </row>
    <row r="859" hidden="1">
      <c r="A859" s="38"/>
      <c r="B859" s="38"/>
      <c r="C859" s="39"/>
      <c r="D859" s="40">
        <f>SUMIFS(Rezepte!F:F,Rezepte!A:A,C859)</f>
        <v>0</v>
      </c>
      <c r="E859" s="41">
        <f>SUMIFS(Rezepte!G:G,Rezepte!A:A,C859)</f>
        <v>0</v>
      </c>
      <c r="F859" s="42" t="str">
        <f t="shared" si="2"/>
        <v>#DIV/0!</v>
      </c>
      <c r="G859" s="38"/>
      <c r="H859" s="38"/>
      <c r="I859" s="38"/>
      <c r="J859" s="38"/>
      <c r="K859" s="38"/>
      <c r="L859" s="38"/>
      <c r="M859" s="38"/>
      <c r="N859" s="38"/>
      <c r="O859" s="38"/>
    </row>
    <row r="860" hidden="1">
      <c r="A860" s="38"/>
      <c r="B860" s="38"/>
      <c r="C860" s="39"/>
      <c r="D860" s="40">
        <f>SUMIFS(Rezepte!F:F,Rezepte!A:A,C860)</f>
        <v>0</v>
      </c>
      <c r="E860" s="41">
        <f>SUMIFS(Rezepte!G:G,Rezepte!A:A,C860)</f>
        <v>0</v>
      </c>
      <c r="F860" s="42" t="str">
        <f t="shared" si="2"/>
        <v>#DIV/0!</v>
      </c>
      <c r="G860" s="38"/>
      <c r="H860" s="38"/>
      <c r="I860" s="38"/>
      <c r="J860" s="38"/>
      <c r="K860" s="38"/>
      <c r="L860" s="38"/>
      <c r="M860" s="38"/>
      <c r="N860" s="38"/>
      <c r="O860" s="38"/>
    </row>
    <row r="861" hidden="1">
      <c r="A861" s="38"/>
      <c r="B861" s="38"/>
      <c r="C861" s="39"/>
      <c r="D861" s="40">
        <f>SUMIFS(Rezepte!F:F,Rezepte!A:A,C861)</f>
        <v>0</v>
      </c>
      <c r="E861" s="41">
        <f>SUMIFS(Rezepte!G:G,Rezepte!A:A,C861)</f>
        <v>0</v>
      </c>
      <c r="F861" s="42" t="str">
        <f t="shared" si="2"/>
        <v>#DIV/0!</v>
      </c>
      <c r="G861" s="38"/>
      <c r="H861" s="38"/>
      <c r="I861" s="38"/>
      <c r="J861" s="38"/>
      <c r="K861" s="38"/>
      <c r="L861" s="38"/>
      <c r="M861" s="38"/>
      <c r="N861" s="38"/>
      <c r="O861" s="38"/>
    </row>
    <row r="862" hidden="1">
      <c r="A862" s="38"/>
      <c r="B862" s="38"/>
      <c r="C862" s="39"/>
      <c r="D862" s="40">
        <f>SUMIFS(Rezepte!F:F,Rezepte!A:A,C862)</f>
        <v>0</v>
      </c>
      <c r="E862" s="41">
        <f>SUMIFS(Rezepte!G:G,Rezepte!A:A,C862)</f>
        <v>0</v>
      </c>
      <c r="F862" s="42" t="str">
        <f t="shared" si="2"/>
        <v>#DIV/0!</v>
      </c>
      <c r="G862" s="38"/>
      <c r="H862" s="38"/>
      <c r="I862" s="38"/>
      <c r="J862" s="38"/>
      <c r="K862" s="38"/>
      <c r="L862" s="38"/>
      <c r="M862" s="38"/>
      <c r="N862" s="38"/>
      <c r="O862" s="38"/>
    </row>
    <row r="863" hidden="1">
      <c r="A863" s="38"/>
      <c r="B863" s="38"/>
      <c r="C863" s="39"/>
      <c r="D863" s="40">
        <f>SUMIFS(Rezepte!F:F,Rezepte!A:A,C863)</f>
        <v>0</v>
      </c>
      <c r="E863" s="41">
        <f>SUMIFS(Rezepte!G:G,Rezepte!A:A,C863)</f>
        <v>0</v>
      </c>
      <c r="F863" s="42" t="str">
        <f t="shared" si="2"/>
        <v>#DIV/0!</v>
      </c>
      <c r="G863" s="38"/>
      <c r="H863" s="38"/>
      <c r="I863" s="38"/>
      <c r="J863" s="38"/>
      <c r="K863" s="38"/>
      <c r="L863" s="38"/>
      <c r="M863" s="38"/>
      <c r="N863" s="38"/>
      <c r="O863" s="38"/>
    </row>
    <row r="864" hidden="1">
      <c r="A864" s="38"/>
      <c r="B864" s="38"/>
      <c r="C864" s="39"/>
      <c r="D864" s="40">
        <f>SUMIFS(Rezepte!F:F,Rezepte!A:A,C864)</f>
        <v>0</v>
      </c>
      <c r="E864" s="41">
        <f>SUMIFS(Rezepte!G:G,Rezepte!A:A,C864)</f>
        <v>0</v>
      </c>
      <c r="F864" s="42" t="str">
        <f t="shared" si="2"/>
        <v>#DIV/0!</v>
      </c>
      <c r="G864" s="38"/>
      <c r="H864" s="38"/>
      <c r="I864" s="38"/>
      <c r="J864" s="38"/>
      <c r="K864" s="38"/>
      <c r="L864" s="38"/>
      <c r="M864" s="38"/>
      <c r="N864" s="38"/>
      <c r="O864" s="38"/>
    </row>
    <row r="865" hidden="1">
      <c r="A865" s="38"/>
      <c r="B865" s="38"/>
      <c r="C865" s="39"/>
      <c r="D865" s="40">
        <f>SUMIFS(Rezepte!F:F,Rezepte!A:A,C865)</f>
        <v>0</v>
      </c>
      <c r="E865" s="41">
        <f>SUMIFS(Rezepte!G:G,Rezepte!A:A,C865)</f>
        <v>0</v>
      </c>
      <c r="F865" s="42" t="str">
        <f t="shared" si="2"/>
        <v>#DIV/0!</v>
      </c>
      <c r="G865" s="38"/>
      <c r="H865" s="38"/>
      <c r="I865" s="38"/>
      <c r="J865" s="38"/>
      <c r="K865" s="38"/>
      <c r="L865" s="38"/>
      <c r="M865" s="38"/>
      <c r="N865" s="38"/>
      <c r="O865" s="38"/>
    </row>
    <row r="866" hidden="1">
      <c r="A866" s="38"/>
      <c r="B866" s="38"/>
      <c r="C866" s="39"/>
      <c r="D866" s="40">
        <f>SUMIFS(Rezepte!F:F,Rezepte!A:A,C866)</f>
        <v>0</v>
      </c>
      <c r="E866" s="41">
        <f>SUMIFS(Rezepte!G:G,Rezepte!A:A,C866)</f>
        <v>0</v>
      </c>
      <c r="F866" s="42" t="str">
        <f t="shared" si="2"/>
        <v>#DIV/0!</v>
      </c>
      <c r="G866" s="38"/>
      <c r="H866" s="38"/>
      <c r="I866" s="38"/>
      <c r="J866" s="38"/>
      <c r="K866" s="38"/>
      <c r="L866" s="38"/>
      <c r="M866" s="38"/>
      <c r="N866" s="38"/>
      <c r="O866" s="38"/>
    </row>
    <row r="867" hidden="1">
      <c r="A867" s="38"/>
      <c r="B867" s="38"/>
      <c r="C867" s="39"/>
      <c r="D867" s="40">
        <f>SUMIFS(Rezepte!F:F,Rezepte!A:A,C867)</f>
        <v>0</v>
      </c>
      <c r="E867" s="41">
        <f>SUMIFS(Rezepte!G:G,Rezepte!A:A,C867)</f>
        <v>0</v>
      </c>
      <c r="F867" s="42" t="str">
        <f t="shared" si="2"/>
        <v>#DIV/0!</v>
      </c>
      <c r="G867" s="38"/>
      <c r="H867" s="38"/>
      <c r="I867" s="38"/>
      <c r="J867" s="38"/>
      <c r="K867" s="38"/>
      <c r="L867" s="38"/>
      <c r="M867" s="38"/>
      <c r="N867" s="38"/>
      <c r="O867" s="38"/>
    </row>
    <row r="868" hidden="1">
      <c r="A868" s="38"/>
      <c r="B868" s="38"/>
      <c r="C868" s="39"/>
      <c r="D868" s="40">
        <f>SUMIFS(Rezepte!F:F,Rezepte!A:A,C868)</f>
        <v>0</v>
      </c>
      <c r="E868" s="41">
        <f>SUMIFS(Rezepte!G:G,Rezepte!A:A,C868)</f>
        <v>0</v>
      </c>
      <c r="F868" s="42" t="str">
        <f t="shared" si="2"/>
        <v>#DIV/0!</v>
      </c>
      <c r="G868" s="38"/>
      <c r="H868" s="38"/>
      <c r="I868" s="38"/>
      <c r="J868" s="38"/>
      <c r="K868" s="38"/>
      <c r="L868" s="38"/>
      <c r="M868" s="38"/>
      <c r="N868" s="38"/>
      <c r="O868" s="38"/>
    </row>
    <row r="869" hidden="1">
      <c r="A869" s="38"/>
      <c r="B869" s="38"/>
      <c r="C869" s="39"/>
      <c r="D869" s="40">
        <f>SUMIFS(Rezepte!F:F,Rezepte!A:A,C869)</f>
        <v>0</v>
      </c>
      <c r="E869" s="41">
        <f>SUMIFS(Rezepte!G:G,Rezepte!A:A,C869)</f>
        <v>0</v>
      </c>
      <c r="F869" s="42" t="str">
        <f t="shared" si="2"/>
        <v>#DIV/0!</v>
      </c>
      <c r="G869" s="38"/>
      <c r="H869" s="38"/>
      <c r="I869" s="38"/>
      <c r="J869" s="38"/>
      <c r="K869" s="38"/>
      <c r="L869" s="38"/>
      <c r="M869" s="38"/>
      <c r="N869" s="38"/>
      <c r="O869" s="38"/>
    </row>
    <row r="870" hidden="1">
      <c r="A870" s="38"/>
      <c r="B870" s="38"/>
      <c r="C870" s="39"/>
      <c r="D870" s="40">
        <f>SUMIFS(Rezepte!F:F,Rezepte!A:A,C870)</f>
        <v>0</v>
      </c>
      <c r="E870" s="41">
        <f>SUMIFS(Rezepte!G:G,Rezepte!A:A,C870)</f>
        <v>0</v>
      </c>
      <c r="F870" s="42" t="str">
        <f t="shared" si="2"/>
        <v>#DIV/0!</v>
      </c>
      <c r="G870" s="38"/>
      <c r="H870" s="38"/>
      <c r="I870" s="38"/>
      <c r="J870" s="38"/>
      <c r="K870" s="38"/>
      <c r="L870" s="38"/>
      <c r="M870" s="38"/>
      <c r="N870" s="38"/>
      <c r="O870" s="38"/>
    </row>
    <row r="871" hidden="1">
      <c r="A871" s="38"/>
      <c r="B871" s="38"/>
      <c r="C871" s="39"/>
      <c r="D871" s="40">
        <f>SUMIFS(Rezepte!F:F,Rezepte!A:A,C871)</f>
        <v>0</v>
      </c>
      <c r="E871" s="41">
        <f>SUMIFS(Rezepte!G:G,Rezepte!A:A,C871)</f>
        <v>0</v>
      </c>
      <c r="F871" s="42" t="str">
        <f t="shared" si="2"/>
        <v>#DIV/0!</v>
      </c>
      <c r="G871" s="38"/>
      <c r="H871" s="38"/>
      <c r="I871" s="38"/>
      <c r="J871" s="38"/>
      <c r="K871" s="38"/>
      <c r="L871" s="38"/>
      <c r="M871" s="38"/>
      <c r="N871" s="38"/>
      <c r="O871" s="38"/>
    </row>
    <row r="872" hidden="1">
      <c r="A872" s="38"/>
      <c r="B872" s="38"/>
      <c r="C872" s="39"/>
      <c r="D872" s="40">
        <f>SUMIFS(Rezepte!F:F,Rezepte!A:A,C872)</f>
        <v>0</v>
      </c>
      <c r="E872" s="41">
        <f>SUMIFS(Rezepte!G:G,Rezepte!A:A,C872)</f>
        <v>0</v>
      </c>
      <c r="F872" s="42" t="str">
        <f t="shared" si="2"/>
        <v>#DIV/0!</v>
      </c>
      <c r="G872" s="38"/>
      <c r="H872" s="38"/>
      <c r="I872" s="38"/>
      <c r="J872" s="38"/>
      <c r="K872" s="38"/>
      <c r="L872" s="38"/>
      <c r="M872" s="38"/>
      <c r="N872" s="38"/>
      <c r="O872" s="38"/>
    </row>
    <row r="873" hidden="1">
      <c r="A873" s="38"/>
      <c r="B873" s="38"/>
      <c r="C873" s="39"/>
      <c r="D873" s="40">
        <f>SUMIFS(Rezepte!F:F,Rezepte!A:A,C873)</f>
        <v>0</v>
      </c>
      <c r="E873" s="41">
        <f>SUMIFS(Rezepte!G:G,Rezepte!A:A,C873)</f>
        <v>0</v>
      </c>
      <c r="F873" s="42" t="str">
        <f t="shared" si="2"/>
        <v>#DIV/0!</v>
      </c>
      <c r="G873" s="38"/>
      <c r="H873" s="38"/>
      <c r="I873" s="38"/>
      <c r="J873" s="38"/>
      <c r="K873" s="38"/>
      <c r="L873" s="38"/>
      <c r="M873" s="38"/>
      <c r="N873" s="38"/>
      <c r="O873" s="38"/>
    </row>
    <row r="874" hidden="1">
      <c r="A874" s="38"/>
      <c r="B874" s="38"/>
      <c r="C874" s="39"/>
      <c r="D874" s="40">
        <f>SUMIFS(Rezepte!F:F,Rezepte!A:A,C874)</f>
        <v>0</v>
      </c>
      <c r="E874" s="41">
        <f>SUMIFS(Rezepte!G:G,Rezepte!A:A,C874)</f>
        <v>0</v>
      </c>
      <c r="F874" s="42" t="str">
        <f t="shared" si="2"/>
        <v>#DIV/0!</v>
      </c>
      <c r="G874" s="38"/>
      <c r="H874" s="38"/>
      <c r="I874" s="38"/>
      <c r="J874" s="38"/>
      <c r="K874" s="38"/>
      <c r="L874" s="38"/>
      <c r="M874" s="38"/>
      <c r="N874" s="38"/>
      <c r="O874" s="38"/>
    </row>
    <row r="875" hidden="1">
      <c r="A875" s="38"/>
      <c r="B875" s="38"/>
      <c r="C875" s="39"/>
      <c r="D875" s="40">
        <f>SUMIFS(Rezepte!F:F,Rezepte!A:A,C875)</f>
        <v>0</v>
      </c>
      <c r="E875" s="41">
        <f>SUMIFS(Rezepte!G:G,Rezepte!A:A,C875)</f>
        <v>0</v>
      </c>
      <c r="F875" s="42" t="str">
        <f t="shared" si="2"/>
        <v>#DIV/0!</v>
      </c>
      <c r="G875" s="38"/>
      <c r="H875" s="38"/>
      <c r="I875" s="38"/>
      <c r="J875" s="38"/>
      <c r="K875" s="38"/>
      <c r="L875" s="38"/>
      <c r="M875" s="38"/>
      <c r="N875" s="38"/>
      <c r="O875" s="38"/>
    </row>
    <row r="876" hidden="1">
      <c r="A876" s="38"/>
      <c r="B876" s="38"/>
      <c r="C876" s="39"/>
      <c r="D876" s="40">
        <f>SUMIFS(Rezepte!F:F,Rezepte!A:A,C876)</f>
        <v>0</v>
      </c>
      <c r="E876" s="41">
        <f>SUMIFS(Rezepte!G:G,Rezepte!A:A,C876)</f>
        <v>0</v>
      </c>
      <c r="F876" s="42" t="str">
        <f t="shared" si="2"/>
        <v>#DIV/0!</v>
      </c>
      <c r="G876" s="38"/>
      <c r="H876" s="38"/>
      <c r="I876" s="38"/>
      <c r="J876" s="38"/>
      <c r="K876" s="38"/>
      <c r="L876" s="38"/>
      <c r="M876" s="38"/>
      <c r="N876" s="38"/>
      <c r="O876" s="38"/>
    </row>
    <row r="877" hidden="1">
      <c r="A877" s="38"/>
      <c r="B877" s="38"/>
      <c r="C877" s="39"/>
      <c r="D877" s="40">
        <f>SUMIFS(Rezepte!F:F,Rezepte!A:A,C877)</f>
        <v>0</v>
      </c>
      <c r="E877" s="41">
        <f>SUMIFS(Rezepte!G:G,Rezepte!A:A,C877)</f>
        <v>0</v>
      </c>
      <c r="F877" s="42" t="str">
        <f t="shared" si="2"/>
        <v>#DIV/0!</v>
      </c>
      <c r="G877" s="38"/>
      <c r="H877" s="38"/>
      <c r="I877" s="38"/>
      <c r="J877" s="38"/>
      <c r="K877" s="38"/>
      <c r="L877" s="38"/>
      <c r="M877" s="38"/>
      <c r="N877" s="38"/>
      <c r="O877" s="38"/>
    </row>
    <row r="878" hidden="1">
      <c r="A878" s="38"/>
      <c r="B878" s="38"/>
      <c r="C878" s="39"/>
      <c r="D878" s="40">
        <f>SUMIFS(Rezepte!F:F,Rezepte!A:A,C878)</f>
        <v>0</v>
      </c>
      <c r="E878" s="41">
        <f>SUMIFS(Rezepte!G:G,Rezepte!A:A,C878)</f>
        <v>0</v>
      </c>
      <c r="F878" s="42" t="str">
        <f t="shared" si="2"/>
        <v>#DIV/0!</v>
      </c>
      <c r="G878" s="38"/>
      <c r="H878" s="38"/>
      <c r="I878" s="38"/>
      <c r="J878" s="38"/>
      <c r="K878" s="38"/>
      <c r="L878" s="38"/>
      <c r="M878" s="38"/>
      <c r="N878" s="38"/>
      <c r="O878" s="38"/>
    </row>
    <row r="879" hidden="1">
      <c r="A879" s="38"/>
      <c r="B879" s="38"/>
      <c r="C879" s="39"/>
      <c r="D879" s="40">
        <f>SUMIFS(Rezepte!F:F,Rezepte!A:A,C879)</f>
        <v>0</v>
      </c>
      <c r="E879" s="41">
        <f>SUMIFS(Rezepte!G:G,Rezepte!A:A,C879)</f>
        <v>0</v>
      </c>
      <c r="F879" s="42" t="str">
        <f t="shared" si="2"/>
        <v>#DIV/0!</v>
      </c>
      <c r="G879" s="38"/>
      <c r="H879" s="38"/>
      <c r="I879" s="38"/>
      <c r="J879" s="38"/>
      <c r="K879" s="38"/>
      <c r="L879" s="38"/>
      <c r="M879" s="38"/>
      <c r="N879" s="38"/>
      <c r="O879" s="38"/>
    </row>
    <row r="880" hidden="1">
      <c r="A880" s="38"/>
      <c r="B880" s="38"/>
      <c r="C880" s="39"/>
      <c r="D880" s="40">
        <f>SUMIFS(Rezepte!F:F,Rezepte!A:A,C880)</f>
        <v>0</v>
      </c>
      <c r="E880" s="41">
        <f>SUMIFS(Rezepte!G:G,Rezepte!A:A,C880)</f>
        <v>0</v>
      </c>
      <c r="F880" s="42" t="str">
        <f t="shared" si="2"/>
        <v>#DIV/0!</v>
      </c>
      <c r="G880" s="38"/>
      <c r="H880" s="38"/>
      <c r="I880" s="38"/>
      <c r="J880" s="38"/>
      <c r="K880" s="38"/>
      <c r="L880" s="38"/>
      <c r="M880" s="38"/>
      <c r="N880" s="38"/>
      <c r="O880" s="38"/>
    </row>
    <row r="881" hidden="1">
      <c r="A881" s="38"/>
      <c r="B881" s="38"/>
      <c r="C881" s="39"/>
      <c r="D881" s="40">
        <f>SUMIFS(Rezepte!F:F,Rezepte!A:A,C881)</f>
        <v>0</v>
      </c>
      <c r="E881" s="41">
        <f>SUMIFS(Rezepte!G:G,Rezepte!A:A,C881)</f>
        <v>0</v>
      </c>
      <c r="F881" s="42" t="str">
        <f t="shared" si="2"/>
        <v>#DIV/0!</v>
      </c>
      <c r="G881" s="38"/>
      <c r="H881" s="38"/>
      <c r="I881" s="38"/>
      <c r="J881" s="38"/>
      <c r="K881" s="38"/>
      <c r="L881" s="38"/>
      <c r="M881" s="38"/>
      <c r="N881" s="38"/>
      <c r="O881" s="38"/>
    </row>
    <row r="882" hidden="1">
      <c r="A882" s="38"/>
      <c r="B882" s="38"/>
      <c r="C882" s="39"/>
      <c r="D882" s="40">
        <f>SUMIFS(Rezepte!F:F,Rezepte!A:A,C882)</f>
        <v>0</v>
      </c>
      <c r="E882" s="41">
        <f>SUMIFS(Rezepte!G:G,Rezepte!A:A,C882)</f>
        <v>0</v>
      </c>
      <c r="F882" s="42" t="str">
        <f t="shared" si="2"/>
        <v>#DIV/0!</v>
      </c>
      <c r="G882" s="38"/>
      <c r="H882" s="38"/>
      <c r="I882" s="38"/>
      <c r="J882" s="38"/>
      <c r="K882" s="38"/>
      <c r="L882" s="38"/>
      <c r="M882" s="38"/>
      <c r="N882" s="38"/>
      <c r="O882" s="38"/>
    </row>
    <row r="883" hidden="1">
      <c r="A883" s="38"/>
      <c r="B883" s="38"/>
      <c r="C883" s="39"/>
      <c r="D883" s="40">
        <f>SUMIFS(Rezepte!F:F,Rezepte!A:A,C883)</f>
        <v>0</v>
      </c>
      <c r="E883" s="41">
        <f>SUMIFS(Rezepte!G:G,Rezepte!A:A,C883)</f>
        <v>0</v>
      </c>
      <c r="F883" s="42" t="str">
        <f t="shared" si="2"/>
        <v>#DIV/0!</v>
      </c>
      <c r="G883" s="38"/>
      <c r="H883" s="38"/>
      <c r="I883" s="38"/>
      <c r="J883" s="38"/>
      <c r="K883" s="38"/>
      <c r="L883" s="38"/>
      <c r="M883" s="38"/>
      <c r="N883" s="38"/>
      <c r="O883" s="38"/>
    </row>
    <row r="884" hidden="1">
      <c r="A884" s="38"/>
      <c r="B884" s="38"/>
      <c r="C884" s="39"/>
      <c r="D884" s="40">
        <f>SUMIFS(Rezepte!F:F,Rezepte!A:A,C884)</f>
        <v>0</v>
      </c>
      <c r="E884" s="41">
        <f>SUMIFS(Rezepte!G:G,Rezepte!A:A,C884)</f>
        <v>0</v>
      </c>
      <c r="F884" s="42" t="str">
        <f t="shared" si="2"/>
        <v>#DIV/0!</v>
      </c>
      <c r="G884" s="38"/>
      <c r="H884" s="38"/>
      <c r="I884" s="38"/>
      <c r="J884" s="38"/>
      <c r="K884" s="38"/>
      <c r="L884" s="38"/>
      <c r="M884" s="38"/>
      <c r="N884" s="38"/>
      <c r="O884" s="38"/>
    </row>
    <row r="885" hidden="1">
      <c r="A885" s="38"/>
      <c r="B885" s="38"/>
      <c r="C885" s="39"/>
      <c r="D885" s="40">
        <f>SUMIFS(Rezepte!F:F,Rezepte!A:A,C885)</f>
        <v>0</v>
      </c>
      <c r="E885" s="41">
        <f>SUMIFS(Rezepte!G:G,Rezepte!A:A,C885)</f>
        <v>0</v>
      </c>
      <c r="F885" s="42" t="str">
        <f t="shared" si="2"/>
        <v>#DIV/0!</v>
      </c>
      <c r="G885" s="38"/>
      <c r="H885" s="38"/>
      <c r="I885" s="38"/>
      <c r="J885" s="38"/>
      <c r="K885" s="38"/>
      <c r="L885" s="38"/>
      <c r="M885" s="38"/>
      <c r="N885" s="38"/>
      <c r="O885" s="38"/>
    </row>
    <row r="886" hidden="1">
      <c r="A886" s="38"/>
      <c r="B886" s="38"/>
      <c r="C886" s="39"/>
      <c r="D886" s="40">
        <f>SUMIFS(Rezepte!F:F,Rezepte!A:A,C886)</f>
        <v>0</v>
      </c>
      <c r="E886" s="41">
        <f>SUMIFS(Rezepte!G:G,Rezepte!A:A,C886)</f>
        <v>0</v>
      </c>
      <c r="F886" s="42" t="str">
        <f t="shared" si="2"/>
        <v>#DIV/0!</v>
      </c>
      <c r="G886" s="38"/>
      <c r="H886" s="38"/>
      <c r="I886" s="38"/>
      <c r="J886" s="38"/>
      <c r="K886" s="38"/>
      <c r="L886" s="38"/>
      <c r="M886" s="38"/>
      <c r="N886" s="38"/>
      <c r="O886" s="38"/>
    </row>
    <row r="887" hidden="1">
      <c r="A887" s="38"/>
      <c r="B887" s="38"/>
      <c r="C887" s="39"/>
      <c r="D887" s="40">
        <f>SUMIFS(Rezepte!F:F,Rezepte!A:A,C887)</f>
        <v>0</v>
      </c>
      <c r="E887" s="41">
        <f>SUMIFS(Rezepte!G:G,Rezepte!A:A,C887)</f>
        <v>0</v>
      </c>
      <c r="F887" s="42" t="str">
        <f t="shared" si="2"/>
        <v>#DIV/0!</v>
      </c>
      <c r="G887" s="38"/>
      <c r="H887" s="38"/>
      <c r="I887" s="38"/>
      <c r="J887" s="38"/>
      <c r="K887" s="38"/>
      <c r="L887" s="38"/>
      <c r="M887" s="38"/>
      <c r="N887" s="38"/>
      <c r="O887" s="38"/>
    </row>
    <row r="888" hidden="1">
      <c r="A888" s="38"/>
      <c r="B888" s="38"/>
      <c r="C888" s="39"/>
      <c r="D888" s="40">
        <f>SUMIFS(Rezepte!F:F,Rezepte!A:A,C888)</f>
        <v>0</v>
      </c>
      <c r="E888" s="41">
        <f>SUMIFS(Rezepte!G:G,Rezepte!A:A,C888)</f>
        <v>0</v>
      </c>
      <c r="F888" s="42" t="str">
        <f t="shared" si="2"/>
        <v>#DIV/0!</v>
      </c>
      <c r="G888" s="38"/>
      <c r="H888" s="38"/>
      <c r="I888" s="38"/>
      <c r="J888" s="38"/>
      <c r="K888" s="38"/>
      <c r="L888" s="38"/>
      <c r="M888" s="38"/>
      <c r="N888" s="38"/>
      <c r="O888" s="38"/>
    </row>
    <row r="889" hidden="1">
      <c r="A889" s="38"/>
      <c r="B889" s="38"/>
      <c r="C889" s="39"/>
      <c r="D889" s="40">
        <f>SUMIFS(Rezepte!F:F,Rezepte!A:A,C889)</f>
        <v>0</v>
      </c>
      <c r="E889" s="41">
        <f>SUMIFS(Rezepte!G:G,Rezepte!A:A,C889)</f>
        <v>0</v>
      </c>
      <c r="F889" s="42" t="str">
        <f t="shared" si="2"/>
        <v>#DIV/0!</v>
      </c>
      <c r="G889" s="38"/>
      <c r="H889" s="38"/>
      <c r="I889" s="38"/>
      <c r="J889" s="38"/>
      <c r="K889" s="38"/>
      <c r="L889" s="38"/>
      <c r="M889" s="38"/>
      <c r="N889" s="38"/>
      <c r="O889" s="38"/>
    </row>
    <row r="890" hidden="1">
      <c r="A890" s="38"/>
      <c r="B890" s="38"/>
      <c r="C890" s="39"/>
      <c r="D890" s="40">
        <f>SUMIFS(Rezepte!F:F,Rezepte!A:A,C890)</f>
        <v>0</v>
      </c>
      <c r="E890" s="41">
        <f>SUMIFS(Rezepte!G:G,Rezepte!A:A,C890)</f>
        <v>0</v>
      </c>
      <c r="F890" s="42" t="str">
        <f t="shared" si="2"/>
        <v>#DIV/0!</v>
      </c>
      <c r="G890" s="38"/>
      <c r="H890" s="38"/>
      <c r="I890" s="38"/>
      <c r="J890" s="38"/>
      <c r="K890" s="38"/>
      <c r="L890" s="38"/>
      <c r="M890" s="38"/>
      <c r="N890" s="38"/>
      <c r="O890" s="38"/>
    </row>
    <row r="891" hidden="1">
      <c r="A891" s="38"/>
      <c r="B891" s="38"/>
      <c r="C891" s="39"/>
      <c r="D891" s="40">
        <f>SUMIFS(Rezepte!F:F,Rezepte!A:A,C891)</f>
        <v>0</v>
      </c>
      <c r="E891" s="41">
        <f>SUMIFS(Rezepte!G:G,Rezepte!A:A,C891)</f>
        <v>0</v>
      </c>
      <c r="F891" s="42" t="str">
        <f t="shared" si="2"/>
        <v>#DIV/0!</v>
      </c>
      <c r="G891" s="38"/>
      <c r="H891" s="38"/>
      <c r="I891" s="38"/>
      <c r="J891" s="38"/>
      <c r="K891" s="38"/>
      <c r="L891" s="38"/>
      <c r="M891" s="38"/>
      <c r="N891" s="38"/>
      <c r="O891" s="38"/>
    </row>
    <row r="892" hidden="1">
      <c r="A892" s="38"/>
      <c r="B892" s="38"/>
      <c r="C892" s="39"/>
      <c r="D892" s="40">
        <f>SUMIFS(Rezepte!F:F,Rezepte!A:A,C892)</f>
        <v>0</v>
      </c>
      <c r="E892" s="41">
        <f>SUMIFS(Rezepte!G:G,Rezepte!A:A,C892)</f>
        <v>0</v>
      </c>
      <c r="F892" s="42" t="str">
        <f t="shared" si="2"/>
        <v>#DIV/0!</v>
      </c>
      <c r="G892" s="38"/>
      <c r="H892" s="38"/>
      <c r="I892" s="38"/>
      <c r="J892" s="38"/>
      <c r="K892" s="38"/>
      <c r="L892" s="38"/>
      <c r="M892" s="38"/>
      <c r="N892" s="38"/>
      <c r="O892" s="38"/>
    </row>
    <row r="893" hidden="1">
      <c r="A893" s="38"/>
      <c r="B893" s="38"/>
      <c r="C893" s="39"/>
      <c r="D893" s="40">
        <f>SUMIFS(Rezepte!F:F,Rezepte!A:A,C893)</f>
        <v>0</v>
      </c>
      <c r="E893" s="41">
        <f>SUMIFS(Rezepte!G:G,Rezepte!A:A,C893)</f>
        <v>0</v>
      </c>
      <c r="F893" s="42" t="str">
        <f t="shared" si="2"/>
        <v>#DIV/0!</v>
      </c>
      <c r="G893" s="38"/>
      <c r="H893" s="38"/>
      <c r="I893" s="38"/>
      <c r="J893" s="38"/>
      <c r="K893" s="38"/>
      <c r="L893" s="38"/>
      <c r="M893" s="38"/>
      <c r="N893" s="38"/>
      <c r="O893" s="38"/>
    </row>
    <row r="894" hidden="1">
      <c r="A894" s="38"/>
      <c r="B894" s="38"/>
      <c r="C894" s="39"/>
      <c r="D894" s="40">
        <f>SUMIFS(Rezepte!F:F,Rezepte!A:A,C894)</f>
        <v>0</v>
      </c>
      <c r="E894" s="41">
        <f>SUMIFS(Rezepte!G:G,Rezepte!A:A,C894)</f>
        <v>0</v>
      </c>
      <c r="F894" s="42" t="str">
        <f t="shared" si="2"/>
        <v>#DIV/0!</v>
      </c>
      <c r="G894" s="38"/>
      <c r="H894" s="38"/>
      <c r="I894" s="38"/>
      <c r="J894" s="38"/>
      <c r="K894" s="38"/>
      <c r="L894" s="38"/>
      <c r="M894" s="38"/>
      <c r="N894" s="38"/>
      <c r="O894" s="38"/>
    </row>
    <row r="895" hidden="1">
      <c r="A895" s="38"/>
      <c r="B895" s="38"/>
      <c r="C895" s="39"/>
      <c r="D895" s="40">
        <f>SUMIFS(Rezepte!F:F,Rezepte!A:A,C895)</f>
        <v>0</v>
      </c>
      <c r="E895" s="41">
        <f>SUMIFS(Rezepte!G:G,Rezepte!A:A,C895)</f>
        <v>0</v>
      </c>
      <c r="F895" s="42" t="str">
        <f t="shared" si="2"/>
        <v>#DIV/0!</v>
      </c>
      <c r="G895" s="38"/>
      <c r="H895" s="38"/>
      <c r="I895" s="38"/>
      <c r="J895" s="38"/>
      <c r="K895" s="38"/>
      <c r="L895" s="38"/>
      <c r="M895" s="38"/>
      <c r="N895" s="38"/>
      <c r="O895" s="38"/>
    </row>
    <row r="896" hidden="1">
      <c r="A896" s="38"/>
      <c r="B896" s="38"/>
      <c r="C896" s="39"/>
      <c r="D896" s="40">
        <f>SUMIFS(Rezepte!F:F,Rezepte!A:A,C896)</f>
        <v>0</v>
      </c>
      <c r="E896" s="41">
        <f>SUMIFS(Rezepte!G:G,Rezepte!A:A,C896)</f>
        <v>0</v>
      </c>
      <c r="F896" s="42" t="str">
        <f t="shared" si="2"/>
        <v>#DIV/0!</v>
      </c>
      <c r="G896" s="38"/>
      <c r="H896" s="38"/>
      <c r="I896" s="38"/>
      <c r="J896" s="38"/>
      <c r="K896" s="38"/>
      <c r="L896" s="38"/>
      <c r="M896" s="38"/>
      <c r="N896" s="38"/>
      <c r="O896" s="38"/>
    </row>
    <row r="897" hidden="1">
      <c r="A897" s="38"/>
      <c r="B897" s="38"/>
      <c r="C897" s="39"/>
      <c r="D897" s="40">
        <f>SUMIFS(Rezepte!F:F,Rezepte!A:A,C897)</f>
        <v>0</v>
      </c>
      <c r="E897" s="41">
        <f>SUMIFS(Rezepte!G:G,Rezepte!A:A,C897)</f>
        <v>0</v>
      </c>
      <c r="F897" s="42" t="str">
        <f t="shared" si="2"/>
        <v>#DIV/0!</v>
      </c>
      <c r="G897" s="38"/>
      <c r="H897" s="38"/>
      <c r="I897" s="38"/>
      <c r="J897" s="38"/>
      <c r="K897" s="38"/>
      <c r="L897" s="38"/>
      <c r="M897" s="38"/>
      <c r="N897" s="38"/>
      <c r="O897" s="38"/>
    </row>
    <row r="898" hidden="1">
      <c r="A898" s="38"/>
      <c r="B898" s="38"/>
      <c r="C898" s="39"/>
      <c r="D898" s="40">
        <f>SUMIFS(Rezepte!F:F,Rezepte!A:A,C898)</f>
        <v>0</v>
      </c>
      <c r="E898" s="41">
        <f>SUMIFS(Rezepte!G:G,Rezepte!A:A,C898)</f>
        <v>0</v>
      </c>
      <c r="F898" s="42" t="str">
        <f t="shared" si="2"/>
        <v>#DIV/0!</v>
      </c>
      <c r="G898" s="38"/>
      <c r="H898" s="38"/>
      <c r="I898" s="38"/>
      <c r="J898" s="38"/>
      <c r="K898" s="38"/>
      <c r="L898" s="38"/>
      <c r="M898" s="38"/>
      <c r="N898" s="38"/>
      <c r="O898" s="38"/>
    </row>
    <row r="899" hidden="1">
      <c r="A899" s="38"/>
      <c r="B899" s="38"/>
      <c r="C899" s="39"/>
      <c r="D899" s="40">
        <f>SUMIFS(Rezepte!F:F,Rezepte!A:A,C899)</f>
        <v>0</v>
      </c>
      <c r="E899" s="41">
        <f>SUMIFS(Rezepte!G:G,Rezepte!A:A,C899)</f>
        <v>0</v>
      </c>
      <c r="F899" s="42" t="str">
        <f t="shared" si="2"/>
        <v>#DIV/0!</v>
      </c>
      <c r="G899" s="38"/>
      <c r="H899" s="38"/>
      <c r="I899" s="38"/>
      <c r="J899" s="38"/>
      <c r="K899" s="38"/>
      <c r="L899" s="38"/>
      <c r="M899" s="38"/>
      <c r="N899" s="38"/>
      <c r="O899" s="38"/>
    </row>
    <row r="900" hidden="1">
      <c r="A900" s="38"/>
      <c r="B900" s="38"/>
      <c r="C900" s="39"/>
      <c r="D900" s="40">
        <f>SUMIFS(Rezepte!F:F,Rezepte!A:A,C900)</f>
        <v>0</v>
      </c>
      <c r="E900" s="41">
        <f>SUMIFS(Rezepte!G:G,Rezepte!A:A,C900)</f>
        <v>0</v>
      </c>
      <c r="F900" s="42" t="str">
        <f t="shared" si="2"/>
        <v>#DIV/0!</v>
      </c>
      <c r="G900" s="38"/>
      <c r="H900" s="38"/>
      <c r="I900" s="38"/>
      <c r="J900" s="38"/>
      <c r="K900" s="38"/>
      <c r="L900" s="38"/>
      <c r="M900" s="38"/>
      <c r="N900" s="38"/>
      <c r="O900" s="38"/>
    </row>
    <row r="901" hidden="1">
      <c r="A901" s="38"/>
      <c r="B901" s="38"/>
      <c r="C901" s="39"/>
      <c r="D901" s="40">
        <f>SUMIFS(Rezepte!F:F,Rezepte!A:A,C901)</f>
        <v>0</v>
      </c>
      <c r="E901" s="41">
        <f>SUMIFS(Rezepte!G:G,Rezepte!A:A,C901)</f>
        <v>0</v>
      </c>
      <c r="F901" s="42" t="str">
        <f t="shared" si="2"/>
        <v>#DIV/0!</v>
      </c>
      <c r="G901" s="38"/>
      <c r="H901" s="38"/>
      <c r="I901" s="38"/>
      <c r="J901" s="38"/>
      <c r="K901" s="38"/>
      <c r="L901" s="38"/>
      <c r="M901" s="38"/>
      <c r="N901" s="38"/>
      <c r="O901" s="38"/>
    </row>
    <row r="902" hidden="1">
      <c r="A902" s="38"/>
      <c r="B902" s="38"/>
      <c r="C902" s="39"/>
      <c r="D902" s="40">
        <f>SUMIFS(Rezepte!F:F,Rezepte!A:A,C902)</f>
        <v>0</v>
      </c>
      <c r="E902" s="41">
        <f>SUMIFS(Rezepte!G:G,Rezepte!A:A,C902)</f>
        <v>0</v>
      </c>
      <c r="F902" s="42" t="str">
        <f t="shared" si="2"/>
        <v>#DIV/0!</v>
      </c>
      <c r="G902" s="38"/>
      <c r="H902" s="38"/>
      <c r="I902" s="38"/>
      <c r="J902" s="38"/>
      <c r="K902" s="38"/>
      <c r="L902" s="38"/>
      <c r="M902" s="38"/>
      <c r="N902" s="38"/>
      <c r="O902" s="38"/>
    </row>
    <row r="903" hidden="1">
      <c r="A903" s="38"/>
      <c r="B903" s="38"/>
      <c r="C903" s="39"/>
      <c r="D903" s="40">
        <f>SUMIFS(Rezepte!F:F,Rezepte!A:A,C903)</f>
        <v>0</v>
      </c>
      <c r="E903" s="41">
        <f>SUMIFS(Rezepte!G:G,Rezepte!A:A,C903)</f>
        <v>0</v>
      </c>
      <c r="F903" s="42" t="str">
        <f t="shared" si="2"/>
        <v>#DIV/0!</v>
      </c>
      <c r="G903" s="38"/>
      <c r="H903" s="38"/>
      <c r="I903" s="38"/>
      <c r="J903" s="38"/>
      <c r="K903" s="38"/>
      <c r="L903" s="38"/>
      <c r="M903" s="38"/>
      <c r="N903" s="38"/>
      <c r="O903" s="38"/>
    </row>
    <row r="904" hidden="1">
      <c r="A904" s="38"/>
      <c r="B904" s="38"/>
      <c r="C904" s="39"/>
      <c r="D904" s="40">
        <f>SUMIFS(Rezepte!F:F,Rezepte!A:A,C904)</f>
        <v>0</v>
      </c>
      <c r="E904" s="41">
        <f>SUMIFS(Rezepte!G:G,Rezepte!A:A,C904)</f>
        <v>0</v>
      </c>
      <c r="F904" s="42" t="str">
        <f t="shared" si="2"/>
        <v>#DIV/0!</v>
      </c>
      <c r="G904" s="38"/>
      <c r="H904" s="38"/>
      <c r="I904" s="38"/>
      <c r="J904" s="38"/>
      <c r="K904" s="38"/>
      <c r="L904" s="38"/>
      <c r="M904" s="38"/>
      <c r="N904" s="38"/>
      <c r="O904" s="38"/>
    </row>
    <row r="905" hidden="1">
      <c r="A905" s="38"/>
      <c r="B905" s="38"/>
      <c r="C905" s="39"/>
      <c r="D905" s="40">
        <f>SUMIFS(Rezepte!F:F,Rezepte!A:A,C905)</f>
        <v>0</v>
      </c>
      <c r="E905" s="41">
        <f>SUMIFS(Rezepte!G:G,Rezepte!A:A,C905)</f>
        <v>0</v>
      </c>
      <c r="F905" s="42" t="str">
        <f t="shared" si="2"/>
        <v>#DIV/0!</v>
      </c>
      <c r="G905" s="38"/>
      <c r="H905" s="38"/>
      <c r="I905" s="38"/>
      <c r="J905" s="38"/>
      <c r="K905" s="38"/>
      <c r="L905" s="38"/>
      <c r="M905" s="38"/>
      <c r="N905" s="38"/>
      <c r="O905" s="38"/>
    </row>
    <row r="906" hidden="1">
      <c r="A906" s="38"/>
      <c r="B906" s="38"/>
      <c r="C906" s="39"/>
      <c r="D906" s="40">
        <f>SUMIFS(Rezepte!F:F,Rezepte!A:A,C906)</f>
        <v>0</v>
      </c>
      <c r="E906" s="41">
        <f>SUMIFS(Rezepte!G:G,Rezepte!A:A,C906)</f>
        <v>0</v>
      </c>
      <c r="F906" s="42" t="str">
        <f t="shared" si="2"/>
        <v>#DIV/0!</v>
      </c>
      <c r="G906" s="38"/>
      <c r="H906" s="38"/>
      <c r="I906" s="38"/>
      <c r="J906" s="38"/>
      <c r="K906" s="38"/>
      <c r="L906" s="38"/>
      <c r="M906" s="38"/>
      <c r="N906" s="38"/>
      <c r="O906" s="38"/>
    </row>
    <row r="907" hidden="1">
      <c r="A907" s="38"/>
      <c r="B907" s="38"/>
      <c r="C907" s="39"/>
      <c r="D907" s="40">
        <f>SUMIFS(Rezepte!F:F,Rezepte!A:A,C907)</f>
        <v>0</v>
      </c>
      <c r="E907" s="41">
        <f>SUMIFS(Rezepte!G:G,Rezepte!A:A,C907)</f>
        <v>0</v>
      </c>
      <c r="F907" s="42" t="str">
        <f t="shared" si="2"/>
        <v>#DIV/0!</v>
      </c>
      <c r="G907" s="38"/>
      <c r="H907" s="38"/>
      <c r="I907" s="38"/>
      <c r="J907" s="38"/>
      <c r="K907" s="38"/>
      <c r="L907" s="38"/>
      <c r="M907" s="38"/>
      <c r="N907" s="38"/>
      <c r="O907" s="38"/>
    </row>
    <row r="908" hidden="1">
      <c r="A908" s="38"/>
      <c r="B908" s="38"/>
      <c r="C908" s="39"/>
      <c r="D908" s="40">
        <f>SUMIFS(Rezepte!F:F,Rezepte!A:A,C908)</f>
        <v>0</v>
      </c>
      <c r="E908" s="41">
        <f>SUMIFS(Rezepte!G:G,Rezepte!A:A,C908)</f>
        <v>0</v>
      </c>
      <c r="F908" s="42" t="str">
        <f t="shared" si="2"/>
        <v>#DIV/0!</v>
      </c>
      <c r="G908" s="38"/>
      <c r="H908" s="38"/>
      <c r="I908" s="38"/>
      <c r="J908" s="38"/>
      <c r="K908" s="38"/>
      <c r="L908" s="38"/>
      <c r="M908" s="38"/>
      <c r="N908" s="38"/>
      <c r="O908" s="38"/>
    </row>
    <row r="909" hidden="1">
      <c r="A909" s="38"/>
      <c r="B909" s="38"/>
      <c r="C909" s="39"/>
      <c r="D909" s="40">
        <f>SUMIFS(Rezepte!F:F,Rezepte!A:A,C909)</f>
        <v>0</v>
      </c>
      <c r="E909" s="41">
        <f>SUMIFS(Rezepte!G:G,Rezepte!A:A,C909)</f>
        <v>0</v>
      </c>
      <c r="F909" s="42" t="str">
        <f t="shared" si="2"/>
        <v>#DIV/0!</v>
      </c>
      <c r="G909" s="38"/>
      <c r="H909" s="38"/>
      <c r="I909" s="38"/>
      <c r="J909" s="38"/>
      <c r="K909" s="38"/>
      <c r="L909" s="38"/>
      <c r="M909" s="38"/>
      <c r="N909" s="38"/>
      <c r="O909" s="38"/>
    </row>
    <row r="910" hidden="1">
      <c r="A910" s="38"/>
      <c r="B910" s="38"/>
      <c r="C910" s="39"/>
      <c r="D910" s="40">
        <f>SUMIFS(Rezepte!F:F,Rezepte!A:A,C910)</f>
        <v>0</v>
      </c>
      <c r="E910" s="41">
        <f>SUMIFS(Rezepte!G:G,Rezepte!A:A,C910)</f>
        <v>0</v>
      </c>
      <c r="F910" s="42" t="str">
        <f t="shared" si="2"/>
        <v>#DIV/0!</v>
      </c>
      <c r="G910" s="38"/>
      <c r="H910" s="38"/>
      <c r="I910" s="38"/>
      <c r="J910" s="38"/>
      <c r="K910" s="38"/>
      <c r="L910" s="38"/>
      <c r="M910" s="38"/>
      <c r="N910" s="38"/>
      <c r="O910" s="38"/>
    </row>
    <row r="911" hidden="1">
      <c r="A911" s="38"/>
      <c r="B911" s="38"/>
      <c r="C911" s="39"/>
      <c r="D911" s="40">
        <f>SUMIFS(Rezepte!F:F,Rezepte!A:A,C911)</f>
        <v>0</v>
      </c>
      <c r="E911" s="41">
        <f>SUMIFS(Rezepte!G:G,Rezepte!A:A,C911)</f>
        <v>0</v>
      </c>
      <c r="F911" s="42" t="str">
        <f t="shared" si="2"/>
        <v>#DIV/0!</v>
      </c>
      <c r="G911" s="38"/>
      <c r="H911" s="38"/>
      <c r="I911" s="38"/>
      <c r="J911" s="38"/>
      <c r="K911" s="38"/>
      <c r="L911" s="38"/>
      <c r="M911" s="38"/>
      <c r="N911" s="38"/>
      <c r="O911" s="38"/>
    </row>
    <row r="912" hidden="1">
      <c r="A912" s="38"/>
      <c r="B912" s="38"/>
      <c r="C912" s="39"/>
      <c r="D912" s="40">
        <f>SUMIFS(Rezepte!F:F,Rezepte!A:A,C912)</f>
        <v>0</v>
      </c>
      <c r="E912" s="41">
        <f>SUMIFS(Rezepte!G:G,Rezepte!A:A,C912)</f>
        <v>0</v>
      </c>
      <c r="F912" s="42" t="str">
        <f t="shared" si="2"/>
        <v>#DIV/0!</v>
      </c>
      <c r="G912" s="38"/>
      <c r="H912" s="38"/>
      <c r="I912" s="38"/>
      <c r="J912" s="38"/>
      <c r="K912" s="38"/>
      <c r="L912" s="38"/>
      <c r="M912" s="38"/>
      <c r="N912" s="38"/>
      <c r="O912" s="38"/>
    </row>
    <row r="913" hidden="1">
      <c r="A913" s="38"/>
      <c r="B913" s="38"/>
      <c r="C913" s="39"/>
      <c r="D913" s="40">
        <f>SUMIFS(Rezepte!F:F,Rezepte!A:A,C913)</f>
        <v>0</v>
      </c>
      <c r="E913" s="41">
        <f>SUMIFS(Rezepte!G:G,Rezepte!A:A,C913)</f>
        <v>0</v>
      </c>
      <c r="F913" s="42" t="str">
        <f t="shared" si="2"/>
        <v>#DIV/0!</v>
      </c>
      <c r="G913" s="38"/>
      <c r="H913" s="38"/>
      <c r="I913" s="38"/>
      <c r="J913" s="38"/>
      <c r="K913" s="38"/>
      <c r="L913" s="38"/>
      <c r="M913" s="38"/>
      <c r="N913" s="38"/>
      <c r="O913" s="38"/>
    </row>
    <row r="914" hidden="1">
      <c r="A914" s="38"/>
      <c r="B914" s="38"/>
      <c r="C914" s="39"/>
      <c r="D914" s="40">
        <f>SUMIFS(Rezepte!F:F,Rezepte!A:A,C914)</f>
        <v>0</v>
      </c>
      <c r="E914" s="41">
        <f>SUMIFS(Rezepte!G:G,Rezepte!A:A,C914)</f>
        <v>0</v>
      </c>
      <c r="F914" s="42" t="str">
        <f t="shared" si="2"/>
        <v>#DIV/0!</v>
      </c>
      <c r="G914" s="38"/>
      <c r="H914" s="38"/>
      <c r="I914" s="38"/>
      <c r="J914" s="38"/>
      <c r="K914" s="38"/>
      <c r="L914" s="38"/>
      <c r="M914" s="38"/>
      <c r="N914" s="38"/>
      <c r="O914" s="38"/>
    </row>
    <row r="915" hidden="1">
      <c r="A915" s="38"/>
      <c r="B915" s="38"/>
      <c r="C915" s="39"/>
      <c r="D915" s="40">
        <f>SUMIFS(Rezepte!F:F,Rezepte!A:A,C915)</f>
        <v>0</v>
      </c>
      <c r="E915" s="41">
        <f>SUMIFS(Rezepte!G:G,Rezepte!A:A,C915)</f>
        <v>0</v>
      </c>
      <c r="F915" s="42" t="str">
        <f t="shared" si="2"/>
        <v>#DIV/0!</v>
      </c>
      <c r="G915" s="38"/>
      <c r="H915" s="38"/>
      <c r="I915" s="38"/>
      <c r="J915" s="38"/>
      <c r="K915" s="38"/>
      <c r="L915" s="38"/>
      <c r="M915" s="38"/>
      <c r="N915" s="38"/>
      <c r="O915" s="38"/>
    </row>
    <row r="916" hidden="1">
      <c r="A916" s="38"/>
      <c r="B916" s="38"/>
      <c r="C916" s="39"/>
      <c r="D916" s="40">
        <f>SUMIFS(Rezepte!F:F,Rezepte!A:A,C916)</f>
        <v>0</v>
      </c>
      <c r="E916" s="41">
        <f>SUMIFS(Rezepte!G:G,Rezepte!A:A,C916)</f>
        <v>0</v>
      </c>
      <c r="F916" s="42" t="str">
        <f t="shared" si="2"/>
        <v>#DIV/0!</v>
      </c>
      <c r="G916" s="38"/>
      <c r="H916" s="38"/>
      <c r="I916" s="38"/>
      <c r="J916" s="38"/>
      <c r="K916" s="38"/>
      <c r="L916" s="38"/>
      <c r="M916" s="38"/>
      <c r="N916" s="38"/>
      <c r="O916" s="38"/>
    </row>
    <row r="917" hidden="1">
      <c r="A917" s="38"/>
      <c r="B917" s="38"/>
      <c r="C917" s="39"/>
      <c r="D917" s="40">
        <f>SUMIFS(Rezepte!F:F,Rezepte!A:A,C917)</f>
        <v>0</v>
      </c>
      <c r="E917" s="41">
        <f>SUMIFS(Rezepte!G:G,Rezepte!A:A,C917)</f>
        <v>0</v>
      </c>
      <c r="F917" s="42" t="str">
        <f t="shared" si="2"/>
        <v>#DIV/0!</v>
      </c>
      <c r="G917" s="38"/>
      <c r="H917" s="38"/>
      <c r="I917" s="38"/>
      <c r="J917" s="38"/>
      <c r="K917" s="38"/>
      <c r="L917" s="38"/>
      <c r="M917" s="38"/>
      <c r="N917" s="38"/>
      <c r="O917" s="38"/>
    </row>
    <row r="918" hidden="1">
      <c r="A918" s="38"/>
      <c r="B918" s="38"/>
      <c r="C918" s="39"/>
      <c r="D918" s="40">
        <f>SUMIFS(Rezepte!F:F,Rezepte!A:A,C918)</f>
        <v>0</v>
      </c>
      <c r="E918" s="41">
        <f>SUMIFS(Rezepte!G:G,Rezepte!A:A,C918)</f>
        <v>0</v>
      </c>
      <c r="F918" s="42" t="str">
        <f t="shared" si="2"/>
        <v>#DIV/0!</v>
      </c>
      <c r="G918" s="38"/>
      <c r="H918" s="38"/>
      <c r="I918" s="38"/>
      <c r="J918" s="38"/>
      <c r="K918" s="38"/>
      <c r="L918" s="38"/>
      <c r="M918" s="38"/>
      <c r="N918" s="38"/>
      <c r="O918" s="38"/>
    </row>
    <row r="919" hidden="1">
      <c r="A919" s="38"/>
      <c r="B919" s="38"/>
      <c r="C919" s="39"/>
      <c r="D919" s="40">
        <f>SUMIFS(Rezepte!F:F,Rezepte!A:A,C919)</f>
        <v>0</v>
      </c>
      <c r="E919" s="41">
        <f>SUMIFS(Rezepte!G:G,Rezepte!A:A,C919)</f>
        <v>0</v>
      </c>
      <c r="F919" s="42" t="str">
        <f t="shared" si="2"/>
        <v>#DIV/0!</v>
      </c>
      <c r="G919" s="38"/>
      <c r="H919" s="38"/>
      <c r="I919" s="38"/>
      <c r="J919" s="38"/>
      <c r="K919" s="38"/>
      <c r="L919" s="38"/>
      <c r="M919" s="38"/>
      <c r="N919" s="38"/>
      <c r="O919" s="38"/>
    </row>
    <row r="920" hidden="1">
      <c r="A920" s="38"/>
      <c r="B920" s="38"/>
      <c r="C920" s="39"/>
      <c r="D920" s="40">
        <f>SUMIFS(Rezepte!F:F,Rezepte!A:A,C920)</f>
        <v>0</v>
      </c>
      <c r="E920" s="41">
        <f>SUMIFS(Rezepte!G:G,Rezepte!A:A,C920)</f>
        <v>0</v>
      </c>
      <c r="F920" s="42" t="str">
        <f t="shared" si="2"/>
        <v>#DIV/0!</v>
      </c>
      <c r="G920" s="38"/>
      <c r="H920" s="38"/>
      <c r="I920" s="38"/>
      <c r="J920" s="38"/>
      <c r="K920" s="38"/>
      <c r="L920" s="38"/>
      <c r="M920" s="38"/>
      <c r="N920" s="38"/>
      <c r="O920" s="38"/>
    </row>
    <row r="921" hidden="1">
      <c r="A921" s="38"/>
      <c r="B921" s="38"/>
      <c r="C921" s="39"/>
      <c r="D921" s="40">
        <f>SUMIFS(Rezepte!F:F,Rezepte!A:A,C921)</f>
        <v>0</v>
      </c>
      <c r="E921" s="41">
        <f>SUMIFS(Rezepte!G:G,Rezepte!A:A,C921)</f>
        <v>0</v>
      </c>
      <c r="F921" s="42" t="str">
        <f t="shared" si="2"/>
        <v>#DIV/0!</v>
      </c>
      <c r="G921" s="38"/>
      <c r="H921" s="38"/>
      <c r="I921" s="38"/>
      <c r="J921" s="38"/>
      <c r="K921" s="38"/>
      <c r="L921" s="38"/>
      <c r="M921" s="38"/>
      <c r="N921" s="38"/>
      <c r="O921" s="38"/>
    </row>
    <row r="922" hidden="1">
      <c r="A922" s="38"/>
      <c r="B922" s="38"/>
      <c r="C922" s="39"/>
      <c r="D922" s="40">
        <f>SUMIFS(Rezepte!F:F,Rezepte!A:A,C922)</f>
        <v>0</v>
      </c>
      <c r="E922" s="41">
        <f>SUMIFS(Rezepte!G:G,Rezepte!A:A,C922)</f>
        <v>0</v>
      </c>
      <c r="F922" s="42" t="str">
        <f t="shared" si="2"/>
        <v>#DIV/0!</v>
      </c>
      <c r="G922" s="38"/>
      <c r="H922" s="38"/>
      <c r="I922" s="38"/>
      <c r="J922" s="38"/>
      <c r="K922" s="38"/>
      <c r="L922" s="38"/>
      <c r="M922" s="38"/>
      <c r="N922" s="38"/>
      <c r="O922" s="38"/>
    </row>
    <row r="923" hidden="1">
      <c r="A923" s="38"/>
      <c r="B923" s="38"/>
      <c r="C923" s="39"/>
      <c r="D923" s="40">
        <f>SUMIFS(Rezepte!F:F,Rezepte!A:A,C923)</f>
        <v>0</v>
      </c>
      <c r="E923" s="41">
        <f>SUMIFS(Rezepte!G:G,Rezepte!A:A,C923)</f>
        <v>0</v>
      </c>
      <c r="F923" s="42" t="str">
        <f t="shared" si="2"/>
        <v>#DIV/0!</v>
      </c>
      <c r="G923" s="38"/>
      <c r="H923" s="38"/>
      <c r="I923" s="38"/>
      <c r="J923" s="38"/>
      <c r="K923" s="38"/>
      <c r="L923" s="38"/>
      <c r="M923" s="38"/>
      <c r="N923" s="38"/>
      <c r="O923" s="38"/>
    </row>
    <row r="924" hidden="1">
      <c r="A924" s="38"/>
      <c r="B924" s="38"/>
      <c r="C924" s="39"/>
      <c r="D924" s="40">
        <f>SUMIFS(Rezepte!F:F,Rezepte!A:A,C924)</f>
        <v>0</v>
      </c>
      <c r="E924" s="41">
        <f>SUMIFS(Rezepte!G:G,Rezepte!A:A,C924)</f>
        <v>0</v>
      </c>
      <c r="F924" s="42" t="str">
        <f t="shared" si="2"/>
        <v>#DIV/0!</v>
      </c>
      <c r="G924" s="38"/>
      <c r="H924" s="38"/>
      <c r="I924" s="38"/>
      <c r="J924" s="38"/>
      <c r="K924" s="38"/>
      <c r="L924" s="38"/>
      <c r="M924" s="38"/>
      <c r="N924" s="38"/>
      <c r="O924" s="38"/>
    </row>
    <row r="925" hidden="1">
      <c r="A925" s="38"/>
      <c r="B925" s="38"/>
      <c r="C925" s="39"/>
      <c r="D925" s="40">
        <f>SUMIFS(Rezepte!F:F,Rezepte!A:A,C925)</f>
        <v>0</v>
      </c>
      <c r="E925" s="41">
        <f>SUMIFS(Rezepte!G:G,Rezepte!A:A,C925)</f>
        <v>0</v>
      </c>
      <c r="F925" s="42" t="str">
        <f t="shared" si="2"/>
        <v>#DIV/0!</v>
      </c>
      <c r="G925" s="38"/>
      <c r="H925" s="38"/>
      <c r="I925" s="38"/>
      <c r="J925" s="38"/>
      <c r="K925" s="38"/>
      <c r="L925" s="38"/>
      <c r="M925" s="38"/>
      <c r="N925" s="38"/>
      <c r="O925" s="38"/>
    </row>
    <row r="926" hidden="1">
      <c r="A926" s="38"/>
      <c r="B926" s="38"/>
      <c r="C926" s="39"/>
      <c r="D926" s="40">
        <f>SUMIFS(Rezepte!F:F,Rezepte!A:A,C926)</f>
        <v>0</v>
      </c>
      <c r="E926" s="41">
        <f>SUMIFS(Rezepte!G:G,Rezepte!A:A,C926)</f>
        <v>0</v>
      </c>
      <c r="F926" s="42" t="str">
        <f t="shared" si="2"/>
        <v>#DIV/0!</v>
      </c>
      <c r="G926" s="38"/>
      <c r="H926" s="38"/>
      <c r="I926" s="38"/>
      <c r="J926" s="38"/>
      <c r="K926" s="38"/>
      <c r="L926" s="38"/>
      <c r="M926" s="38"/>
      <c r="N926" s="38"/>
      <c r="O926" s="38"/>
    </row>
    <row r="927" hidden="1">
      <c r="A927" s="38"/>
      <c r="B927" s="38"/>
      <c r="C927" s="39"/>
      <c r="D927" s="40">
        <f>SUMIFS(Rezepte!F:F,Rezepte!A:A,C927)</f>
        <v>0</v>
      </c>
      <c r="E927" s="41">
        <f>SUMIFS(Rezepte!G:G,Rezepte!A:A,C927)</f>
        <v>0</v>
      </c>
      <c r="F927" s="42" t="str">
        <f t="shared" si="2"/>
        <v>#DIV/0!</v>
      </c>
      <c r="G927" s="38"/>
      <c r="H927" s="38"/>
      <c r="I927" s="38"/>
      <c r="J927" s="38"/>
      <c r="K927" s="38"/>
      <c r="L927" s="38"/>
      <c r="M927" s="38"/>
      <c r="N927" s="38"/>
      <c r="O927" s="38"/>
    </row>
    <row r="928" hidden="1">
      <c r="A928" s="38"/>
      <c r="B928" s="38"/>
      <c r="C928" s="39"/>
      <c r="D928" s="40">
        <f>SUMIFS(Rezepte!F:F,Rezepte!A:A,C928)</f>
        <v>0</v>
      </c>
      <c r="E928" s="41">
        <f>SUMIFS(Rezepte!G:G,Rezepte!A:A,C928)</f>
        <v>0</v>
      </c>
      <c r="F928" s="42" t="str">
        <f t="shared" si="2"/>
        <v>#DIV/0!</v>
      </c>
      <c r="G928" s="38"/>
      <c r="H928" s="38"/>
      <c r="I928" s="38"/>
      <c r="J928" s="38"/>
      <c r="K928" s="38"/>
      <c r="L928" s="38"/>
      <c r="M928" s="38"/>
      <c r="N928" s="38"/>
      <c r="O928" s="38"/>
    </row>
    <row r="929" hidden="1">
      <c r="A929" s="38"/>
      <c r="B929" s="38"/>
      <c r="C929" s="39"/>
      <c r="D929" s="40">
        <f>SUMIFS(Rezepte!F:F,Rezepte!A:A,C929)</f>
        <v>0</v>
      </c>
      <c r="E929" s="41">
        <f>SUMIFS(Rezepte!G:G,Rezepte!A:A,C929)</f>
        <v>0</v>
      </c>
      <c r="F929" s="42" t="str">
        <f t="shared" si="2"/>
        <v>#DIV/0!</v>
      </c>
      <c r="G929" s="38"/>
      <c r="H929" s="38"/>
      <c r="I929" s="38"/>
      <c r="J929" s="38"/>
      <c r="K929" s="38"/>
      <c r="L929" s="38"/>
      <c r="M929" s="38"/>
      <c r="N929" s="38"/>
      <c r="O929" s="38"/>
    </row>
    <row r="930" hidden="1">
      <c r="A930" s="38"/>
      <c r="B930" s="38"/>
      <c r="C930" s="39"/>
      <c r="D930" s="40">
        <f>SUMIFS(Rezepte!F:F,Rezepte!A:A,C930)</f>
        <v>0</v>
      </c>
      <c r="E930" s="41">
        <f>SUMIFS(Rezepte!G:G,Rezepte!A:A,C930)</f>
        <v>0</v>
      </c>
      <c r="F930" s="42" t="str">
        <f t="shared" si="2"/>
        <v>#DIV/0!</v>
      </c>
      <c r="G930" s="38"/>
      <c r="H930" s="38"/>
      <c r="I930" s="38"/>
      <c r="J930" s="38"/>
      <c r="K930" s="38"/>
      <c r="L930" s="38"/>
      <c r="M930" s="38"/>
      <c r="N930" s="38"/>
      <c r="O930" s="38"/>
    </row>
    <row r="931" hidden="1">
      <c r="A931" s="38"/>
      <c r="B931" s="38"/>
      <c r="C931" s="39"/>
      <c r="D931" s="40">
        <f>SUMIFS(Rezepte!F:F,Rezepte!A:A,C931)</f>
        <v>0</v>
      </c>
      <c r="E931" s="41">
        <f>SUMIFS(Rezepte!G:G,Rezepte!A:A,C931)</f>
        <v>0</v>
      </c>
      <c r="F931" s="42" t="str">
        <f t="shared" si="2"/>
        <v>#DIV/0!</v>
      </c>
      <c r="G931" s="38"/>
      <c r="H931" s="38"/>
      <c r="I931" s="38"/>
      <c r="J931" s="38"/>
      <c r="K931" s="38"/>
      <c r="L931" s="38"/>
      <c r="M931" s="38"/>
      <c r="N931" s="38"/>
      <c r="O931" s="38"/>
    </row>
    <row r="932" hidden="1">
      <c r="A932" s="38"/>
      <c r="B932" s="38"/>
      <c r="C932" s="39"/>
      <c r="D932" s="40">
        <f>SUMIFS(Rezepte!F:F,Rezepte!A:A,C932)</f>
        <v>0</v>
      </c>
      <c r="E932" s="41">
        <f>SUMIFS(Rezepte!G:G,Rezepte!A:A,C932)</f>
        <v>0</v>
      </c>
      <c r="F932" s="42" t="str">
        <f t="shared" si="2"/>
        <v>#DIV/0!</v>
      </c>
      <c r="G932" s="38"/>
      <c r="H932" s="38"/>
      <c r="I932" s="38"/>
      <c r="J932" s="38"/>
      <c r="K932" s="38"/>
      <c r="L932" s="38"/>
      <c r="M932" s="38"/>
      <c r="N932" s="38"/>
      <c r="O932" s="38"/>
    </row>
    <row r="933" hidden="1">
      <c r="A933" s="38"/>
      <c r="B933" s="38"/>
      <c r="C933" s="39"/>
      <c r="D933" s="40">
        <f>SUMIFS(Rezepte!F:F,Rezepte!A:A,C933)</f>
        <v>0</v>
      </c>
      <c r="E933" s="41">
        <f>SUMIFS(Rezepte!G:G,Rezepte!A:A,C933)</f>
        <v>0</v>
      </c>
      <c r="F933" s="42" t="str">
        <f t="shared" si="2"/>
        <v>#DIV/0!</v>
      </c>
      <c r="G933" s="38"/>
      <c r="H933" s="38"/>
      <c r="I933" s="38"/>
      <c r="J933" s="38"/>
      <c r="K933" s="38"/>
      <c r="L933" s="38"/>
      <c r="M933" s="38"/>
      <c r="N933" s="38"/>
      <c r="O933" s="38"/>
    </row>
    <row r="934" hidden="1">
      <c r="A934" s="38"/>
      <c r="B934" s="38"/>
      <c r="C934" s="39"/>
      <c r="D934" s="40">
        <f>SUMIFS(Rezepte!F:F,Rezepte!A:A,C934)</f>
        <v>0</v>
      </c>
      <c r="E934" s="41">
        <f>SUMIFS(Rezepte!G:G,Rezepte!A:A,C934)</f>
        <v>0</v>
      </c>
      <c r="F934" s="42" t="str">
        <f t="shared" si="2"/>
        <v>#DIV/0!</v>
      </c>
      <c r="G934" s="38"/>
      <c r="H934" s="38"/>
      <c r="I934" s="38"/>
      <c r="J934" s="38"/>
      <c r="K934" s="38"/>
      <c r="L934" s="38"/>
      <c r="M934" s="38"/>
      <c r="N934" s="38"/>
      <c r="O934" s="38"/>
    </row>
    <row r="935" hidden="1">
      <c r="A935" s="38"/>
      <c r="B935" s="38"/>
      <c r="C935" s="39"/>
      <c r="D935" s="40">
        <f>SUMIFS(Rezepte!F:F,Rezepte!A:A,C935)</f>
        <v>0</v>
      </c>
      <c r="E935" s="41">
        <f>SUMIFS(Rezepte!G:G,Rezepte!A:A,C935)</f>
        <v>0</v>
      </c>
      <c r="F935" s="42" t="str">
        <f t="shared" si="2"/>
        <v>#DIV/0!</v>
      </c>
      <c r="G935" s="38"/>
      <c r="H935" s="38"/>
      <c r="I935" s="38"/>
      <c r="J935" s="38"/>
      <c r="K935" s="38"/>
      <c r="L935" s="38"/>
      <c r="M935" s="38"/>
      <c r="N935" s="38"/>
      <c r="O935" s="38"/>
    </row>
    <row r="936" hidden="1">
      <c r="A936" s="38"/>
      <c r="B936" s="38"/>
      <c r="C936" s="39"/>
      <c r="D936" s="40">
        <f>SUMIFS(Rezepte!F:F,Rezepte!A:A,C936)</f>
        <v>0</v>
      </c>
      <c r="E936" s="41">
        <f>SUMIFS(Rezepte!G:G,Rezepte!A:A,C936)</f>
        <v>0</v>
      </c>
      <c r="F936" s="42" t="str">
        <f t="shared" si="2"/>
        <v>#DIV/0!</v>
      </c>
      <c r="G936" s="38"/>
      <c r="H936" s="38"/>
      <c r="I936" s="38"/>
      <c r="J936" s="38"/>
      <c r="K936" s="38"/>
      <c r="L936" s="38"/>
      <c r="M936" s="38"/>
      <c r="N936" s="38"/>
      <c r="O936" s="38"/>
    </row>
    <row r="937" hidden="1">
      <c r="A937" s="38"/>
      <c r="B937" s="38"/>
      <c r="C937" s="39"/>
      <c r="D937" s="40">
        <f>SUMIFS(Rezepte!F:F,Rezepte!A:A,C937)</f>
        <v>0</v>
      </c>
      <c r="E937" s="41">
        <f>SUMIFS(Rezepte!G:G,Rezepte!A:A,C937)</f>
        <v>0</v>
      </c>
      <c r="F937" s="42" t="str">
        <f t="shared" si="2"/>
        <v>#DIV/0!</v>
      </c>
      <c r="G937" s="38"/>
      <c r="H937" s="38"/>
      <c r="I937" s="38"/>
      <c r="J937" s="38"/>
      <c r="K937" s="38"/>
      <c r="L937" s="38"/>
      <c r="M937" s="38"/>
      <c r="N937" s="38"/>
      <c r="O937" s="38"/>
    </row>
    <row r="938" hidden="1">
      <c r="A938" s="38"/>
      <c r="B938" s="38"/>
      <c r="C938" s="39"/>
      <c r="D938" s="40">
        <f>SUMIFS(Rezepte!F:F,Rezepte!A:A,C938)</f>
        <v>0</v>
      </c>
      <c r="E938" s="41">
        <f>SUMIFS(Rezepte!G:G,Rezepte!A:A,C938)</f>
        <v>0</v>
      </c>
      <c r="F938" s="42" t="str">
        <f t="shared" si="2"/>
        <v>#DIV/0!</v>
      </c>
      <c r="G938" s="38"/>
      <c r="H938" s="38"/>
      <c r="I938" s="38"/>
      <c r="J938" s="38"/>
      <c r="K938" s="38"/>
      <c r="L938" s="38"/>
      <c r="M938" s="38"/>
      <c r="N938" s="38"/>
      <c r="O938" s="38"/>
    </row>
    <row r="939" hidden="1">
      <c r="A939" s="38"/>
      <c r="B939" s="38"/>
      <c r="C939" s="39"/>
      <c r="D939" s="40">
        <f>SUMIFS(Rezepte!F:F,Rezepte!A:A,C939)</f>
        <v>0</v>
      </c>
      <c r="E939" s="41">
        <f>SUMIFS(Rezepte!G:G,Rezepte!A:A,C939)</f>
        <v>0</v>
      </c>
      <c r="F939" s="42" t="str">
        <f t="shared" si="2"/>
        <v>#DIV/0!</v>
      </c>
      <c r="G939" s="38"/>
      <c r="H939" s="38"/>
      <c r="I939" s="38"/>
      <c r="J939" s="38"/>
      <c r="K939" s="38"/>
      <c r="L939" s="38"/>
      <c r="M939" s="38"/>
      <c r="N939" s="38"/>
      <c r="O939" s="38"/>
    </row>
    <row r="940" hidden="1">
      <c r="A940" s="38"/>
      <c r="B940" s="38"/>
      <c r="C940" s="39"/>
      <c r="D940" s="40">
        <f>SUMIFS(Rezepte!F:F,Rezepte!A:A,C940)</f>
        <v>0</v>
      </c>
      <c r="E940" s="41">
        <f>SUMIFS(Rezepte!G:G,Rezepte!A:A,C940)</f>
        <v>0</v>
      </c>
      <c r="F940" s="42" t="str">
        <f t="shared" si="2"/>
        <v>#DIV/0!</v>
      </c>
      <c r="G940" s="38"/>
      <c r="H940" s="38"/>
      <c r="I940" s="38"/>
      <c r="J940" s="38"/>
      <c r="K940" s="38"/>
      <c r="L940" s="38"/>
      <c r="M940" s="38"/>
      <c r="N940" s="38"/>
      <c r="O940" s="38"/>
    </row>
    <row r="941" hidden="1">
      <c r="A941" s="38"/>
      <c r="B941" s="38"/>
      <c r="C941" s="39"/>
      <c r="D941" s="40">
        <f>SUMIFS(Rezepte!F:F,Rezepte!A:A,C941)</f>
        <v>0</v>
      </c>
      <c r="E941" s="41">
        <f>SUMIFS(Rezepte!G:G,Rezepte!A:A,C941)</f>
        <v>0</v>
      </c>
      <c r="F941" s="42" t="str">
        <f t="shared" si="2"/>
        <v>#DIV/0!</v>
      </c>
      <c r="G941" s="38"/>
      <c r="H941" s="38"/>
      <c r="I941" s="38"/>
      <c r="J941" s="38"/>
      <c r="K941" s="38"/>
      <c r="L941" s="38"/>
      <c r="M941" s="38"/>
      <c r="N941" s="38"/>
      <c r="O941" s="38"/>
    </row>
    <row r="942" hidden="1">
      <c r="A942" s="38"/>
      <c r="B942" s="38"/>
      <c r="C942" s="39"/>
      <c r="D942" s="40">
        <f>SUMIFS(Rezepte!F:F,Rezepte!A:A,C942)</f>
        <v>0</v>
      </c>
      <c r="E942" s="41">
        <f>SUMIFS(Rezepte!G:G,Rezepte!A:A,C942)</f>
        <v>0</v>
      </c>
      <c r="F942" s="42" t="str">
        <f t="shared" si="2"/>
        <v>#DIV/0!</v>
      </c>
      <c r="G942" s="38"/>
      <c r="H942" s="38"/>
      <c r="I942" s="38"/>
      <c r="J942" s="38"/>
      <c r="K942" s="38"/>
      <c r="L942" s="38"/>
      <c r="M942" s="38"/>
      <c r="N942" s="38"/>
      <c r="O942" s="38"/>
    </row>
    <row r="943" hidden="1">
      <c r="A943" s="38"/>
      <c r="B943" s="38"/>
      <c r="C943" s="39"/>
      <c r="D943" s="40">
        <f>SUMIFS(Rezepte!F:F,Rezepte!A:A,C943)</f>
        <v>0</v>
      </c>
      <c r="E943" s="41">
        <f>SUMIFS(Rezepte!G:G,Rezepte!A:A,C943)</f>
        <v>0</v>
      </c>
      <c r="F943" s="42" t="str">
        <f t="shared" si="2"/>
        <v>#DIV/0!</v>
      </c>
      <c r="G943" s="38"/>
      <c r="H943" s="38"/>
      <c r="I943" s="38"/>
      <c r="J943" s="38"/>
      <c r="K943" s="38"/>
      <c r="L943" s="38"/>
      <c r="M943" s="38"/>
      <c r="N943" s="38"/>
      <c r="O943" s="38"/>
    </row>
    <row r="944" hidden="1">
      <c r="A944" s="38"/>
      <c r="B944" s="38"/>
      <c r="C944" s="39"/>
      <c r="D944" s="40">
        <f>SUMIFS(Rezepte!F:F,Rezepte!A:A,C944)</f>
        <v>0</v>
      </c>
      <c r="E944" s="41">
        <f>SUMIFS(Rezepte!G:G,Rezepte!A:A,C944)</f>
        <v>0</v>
      </c>
      <c r="F944" s="42" t="str">
        <f t="shared" si="2"/>
        <v>#DIV/0!</v>
      </c>
      <c r="G944" s="38"/>
      <c r="H944" s="38"/>
      <c r="I944" s="38"/>
      <c r="J944" s="38"/>
      <c r="K944" s="38"/>
      <c r="L944" s="38"/>
      <c r="M944" s="38"/>
      <c r="N944" s="38"/>
      <c r="O944" s="38"/>
    </row>
    <row r="945" hidden="1">
      <c r="A945" s="38"/>
      <c r="B945" s="38"/>
      <c r="C945" s="39"/>
      <c r="D945" s="40">
        <f>SUMIFS(Rezepte!F:F,Rezepte!A:A,C945)</f>
        <v>0</v>
      </c>
      <c r="E945" s="41">
        <f>SUMIFS(Rezepte!G:G,Rezepte!A:A,C945)</f>
        <v>0</v>
      </c>
      <c r="F945" s="42" t="str">
        <f t="shared" si="2"/>
        <v>#DIV/0!</v>
      </c>
      <c r="G945" s="38"/>
      <c r="H945" s="38"/>
      <c r="I945" s="38"/>
      <c r="J945" s="38"/>
      <c r="K945" s="38"/>
      <c r="L945" s="38"/>
      <c r="M945" s="38"/>
      <c r="N945" s="38"/>
      <c r="O945" s="38"/>
    </row>
    <row r="946" hidden="1">
      <c r="A946" s="38"/>
      <c r="B946" s="38"/>
      <c r="C946" s="39"/>
      <c r="D946" s="40">
        <f>SUMIFS(Rezepte!F:F,Rezepte!A:A,C946)</f>
        <v>0</v>
      </c>
      <c r="E946" s="41">
        <f>SUMIFS(Rezepte!G:G,Rezepte!A:A,C946)</f>
        <v>0</v>
      </c>
      <c r="F946" s="42" t="str">
        <f t="shared" si="2"/>
        <v>#DIV/0!</v>
      </c>
      <c r="G946" s="38"/>
      <c r="H946" s="38"/>
      <c r="I946" s="38"/>
      <c r="J946" s="38"/>
      <c r="K946" s="38"/>
      <c r="L946" s="38"/>
      <c r="M946" s="38"/>
      <c r="N946" s="38"/>
      <c r="O946" s="38"/>
    </row>
    <row r="947" hidden="1">
      <c r="A947" s="38"/>
      <c r="B947" s="38"/>
      <c r="C947" s="39"/>
      <c r="D947" s="40">
        <f>SUMIFS(Rezepte!F:F,Rezepte!A:A,C947)</f>
        <v>0</v>
      </c>
      <c r="E947" s="41">
        <f>SUMIFS(Rezepte!G:G,Rezepte!A:A,C947)</f>
        <v>0</v>
      </c>
      <c r="F947" s="42" t="str">
        <f t="shared" si="2"/>
        <v>#DIV/0!</v>
      </c>
      <c r="G947" s="38"/>
      <c r="H947" s="38"/>
      <c r="I947" s="38"/>
      <c r="J947" s="38"/>
      <c r="K947" s="38"/>
      <c r="L947" s="38"/>
      <c r="M947" s="38"/>
      <c r="N947" s="38"/>
      <c r="O947" s="38"/>
    </row>
    <row r="948" hidden="1">
      <c r="A948" s="38"/>
      <c r="B948" s="38"/>
      <c r="C948" s="39"/>
      <c r="D948" s="40">
        <f>SUMIFS(Rezepte!F:F,Rezepte!A:A,C948)</f>
        <v>0</v>
      </c>
      <c r="E948" s="41">
        <f>SUMIFS(Rezepte!G:G,Rezepte!A:A,C948)</f>
        <v>0</v>
      </c>
      <c r="F948" s="42" t="str">
        <f t="shared" si="2"/>
        <v>#DIV/0!</v>
      </c>
      <c r="G948" s="38"/>
      <c r="H948" s="38"/>
      <c r="I948" s="38"/>
      <c r="J948" s="38"/>
      <c r="K948" s="38"/>
      <c r="L948" s="38"/>
      <c r="M948" s="38"/>
      <c r="N948" s="38"/>
      <c r="O948" s="38"/>
    </row>
    <row r="949" hidden="1">
      <c r="A949" s="38"/>
      <c r="B949" s="38"/>
      <c r="C949" s="39"/>
      <c r="D949" s="40">
        <f>SUMIFS(Rezepte!F:F,Rezepte!A:A,C949)</f>
        <v>0</v>
      </c>
      <c r="E949" s="41">
        <f>SUMIFS(Rezepte!G:G,Rezepte!A:A,C949)</f>
        <v>0</v>
      </c>
      <c r="F949" s="42" t="str">
        <f t="shared" si="2"/>
        <v>#DIV/0!</v>
      </c>
      <c r="G949" s="38"/>
      <c r="H949" s="38"/>
      <c r="I949" s="38"/>
      <c r="J949" s="38"/>
      <c r="K949" s="38"/>
      <c r="L949" s="38"/>
      <c r="M949" s="38"/>
      <c r="N949" s="38"/>
      <c r="O949" s="38"/>
    </row>
    <row r="950" hidden="1">
      <c r="A950" s="38"/>
      <c r="B950" s="38"/>
      <c r="C950" s="39"/>
      <c r="D950" s="40">
        <f>SUMIFS(Rezepte!F:F,Rezepte!A:A,C950)</f>
        <v>0</v>
      </c>
      <c r="E950" s="41">
        <f>SUMIFS(Rezepte!G:G,Rezepte!A:A,C950)</f>
        <v>0</v>
      </c>
      <c r="F950" s="42" t="str">
        <f t="shared" si="2"/>
        <v>#DIV/0!</v>
      </c>
      <c r="G950" s="38"/>
      <c r="H950" s="38"/>
      <c r="I950" s="38"/>
      <c r="J950" s="38"/>
      <c r="K950" s="38"/>
      <c r="L950" s="38"/>
      <c r="M950" s="38"/>
      <c r="N950" s="38"/>
      <c r="O950" s="38"/>
    </row>
    <row r="951" hidden="1">
      <c r="A951" s="38"/>
      <c r="B951" s="38"/>
      <c r="C951" s="39"/>
      <c r="D951" s="40">
        <f>SUMIFS(Rezepte!F:F,Rezepte!A:A,C951)</f>
        <v>0</v>
      </c>
      <c r="E951" s="41">
        <f>SUMIFS(Rezepte!G:G,Rezepte!A:A,C951)</f>
        <v>0</v>
      </c>
      <c r="F951" s="42" t="str">
        <f t="shared" si="2"/>
        <v>#DIV/0!</v>
      </c>
      <c r="G951" s="38"/>
      <c r="H951" s="38"/>
      <c r="I951" s="38"/>
      <c r="J951" s="38"/>
      <c r="K951" s="38"/>
      <c r="L951" s="38"/>
      <c r="M951" s="38"/>
      <c r="N951" s="38"/>
      <c r="O951" s="38"/>
    </row>
    <row r="952" hidden="1">
      <c r="A952" s="38"/>
      <c r="B952" s="38"/>
      <c r="C952" s="39"/>
      <c r="D952" s="40">
        <f>SUMIFS(Rezepte!F:F,Rezepte!A:A,C952)</f>
        <v>0</v>
      </c>
      <c r="E952" s="41">
        <f>SUMIFS(Rezepte!G:G,Rezepte!A:A,C952)</f>
        <v>0</v>
      </c>
      <c r="F952" s="42" t="str">
        <f t="shared" si="2"/>
        <v>#DIV/0!</v>
      </c>
      <c r="G952" s="38"/>
      <c r="H952" s="38"/>
      <c r="I952" s="38"/>
      <c r="J952" s="38"/>
      <c r="K952" s="38"/>
      <c r="L952" s="38"/>
      <c r="M952" s="38"/>
      <c r="N952" s="38"/>
      <c r="O952" s="38"/>
    </row>
    <row r="953" hidden="1">
      <c r="A953" s="38"/>
      <c r="B953" s="38"/>
      <c r="C953" s="39"/>
      <c r="D953" s="40">
        <f>SUMIFS(Rezepte!F:F,Rezepte!A:A,C953)</f>
        <v>0</v>
      </c>
      <c r="E953" s="41">
        <f>SUMIFS(Rezepte!G:G,Rezepte!A:A,C953)</f>
        <v>0</v>
      </c>
      <c r="F953" s="42" t="str">
        <f t="shared" si="2"/>
        <v>#DIV/0!</v>
      </c>
      <c r="G953" s="38"/>
      <c r="H953" s="38"/>
      <c r="I953" s="38"/>
      <c r="J953" s="38"/>
      <c r="K953" s="38"/>
      <c r="L953" s="38"/>
      <c r="M953" s="38"/>
      <c r="N953" s="38"/>
      <c r="O953" s="38"/>
    </row>
    <row r="954" hidden="1">
      <c r="A954" s="38"/>
      <c r="B954" s="38"/>
      <c r="C954" s="39"/>
      <c r="D954" s="40">
        <f>SUMIFS(Rezepte!F:F,Rezepte!A:A,C954)</f>
        <v>0</v>
      </c>
      <c r="E954" s="41">
        <f>SUMIFS(Rezepte!G:G,Rezepte!A:A,C954)</f>
        <v>0</v>
      </c>
      <c r="F954" s="42" t="str">
        <f t="shared" si="2"/>
        <v>#DIV/0!</v>
      </c>
      <c r="G954" s="38"/>
      <c r="H954" s="38"/>
      <c r="I954" s="38"/>
      <c r="J954" s="38"/>
      <c r="K954" s="38"/>
      <c r="L954" s="38"/>
      <c r="M954" s="38"/>
      <c r="N954" s="38"/>
      <c r="O954" s="38"/>
    </row>
    <row r="955" hidden="1">
      <c r="A955" s="38"/>
      <c r="B955" s="38"/>
      <c r="C955" s="39"/>
      <c r="D955" s="40">
        <f>SUMIFS(Rezepte!F:F,Rezepte!A:A,C955)</f>
        <v>0</v>
      </c>
      <c r="E955" s="41">
        <f>SUMIFS(Rezepte!G:G,Rezepte!A:A,C955)</f>
        <v>0</v>
      </c>
      <c r="F955" s="42" t="str">
        <f t="shared" si="2"/>
        <v>#DIV/0!</v>
      </c>
      <c r="G955" s="38"/>
      <c r="H955" s="38"/>
      <c r="I955" s="38"/>
      <c r="J955" s="38"/>
      <c r="K955" s="38"/>
      <c r="L955" s="38"/>
      <c r="M955" s="38"/>
      <c r="N955" s="38"/>
      <c r="O955" s="38"/>
    </row>
    <row r="956" hidden="1">
      <c r="A956" s="38"/>
      <c r="B956" s="38"/>
      <c r="C956" s="39"/>
      <c r="D956" s="40">
        <f>SUMIFS(Rezepte!F:F,Rezepte!A:A,C956)</f>
        <v>0</v>
      </c>
      <c r="E956" s="41">
        <f>SUMIFS(Rezepte!G:G,Rezepte!A:A,C956)</f>
        <v>0</v>
      </c>
      <c r="F956" s="42" t="str">
        <f t="shared" si="2"/>
        <v>#DIV/0!</v>
      </c>
      <c r="G956" s="38"/>
      <c r="H956" s="38"/>
      <c r="I956" s="38"/>
      <c r="J956" s="38"/>
      <c r="K956" s="38"/>
      <c r="L956" s="38"/>
      <c r="M956" s="38"/>
      <c r="N956" s="38"/>
      <c r="O956" s="38"/>
    </row>
    <row r="957" hidden="1">
      <c r="A957" s="38"/>
      <c r="B957" s="38"/>
      <c r="C957" s="39"/>
      <c r="D957" s="40">
        <f>SUMIFS(Rezepte!F:F,Rezepte!A:A,C957)</f>
        <v>0</v>
      </c>
      <c r="E957" s="41">
        <f>SUMIFS(Rezepte!G:G,Rezepte!A:A,C957)</f>
        <v>0</v>
      </c>
      <c r="F957" s="42" t="str">
        <f t="shared" si="2"/>
        <v>#DIV/0!</v>
      </c>
      <c r="G957" s="38"/>
      <c r="H957" s="38"/>
      <c r="I957" s="38"/>
      <c r="J957" s="38"/>
      <c r="K957" s="38"/>
      <c r="L957" s="38"/>
      <c r="M957" s="38"/>
      <c r="N957" s="38"/>
      <c r="O957" s="38"/>
    </row>
    <row r="958" hidden="1">
      <c r="A958" s="38"/>
      <c r="B958" s="38"/>
      <c r="C958" s="39"/>
      <c r="D958" s="40">
        <f>SUMIFS(Rezepte!F:F,Rezepte!A:A,C958)</f>
        <v>0</v>
      </c>
      <c r="E958" s="41">
        <f>SUMIFS(Rezepte!G:G,Rezepte!A:A,C958)</f>
        <v>0</v>
      </c>
      <c r="F958" s="42" t="str">
        <f t="shared" si="2"/>
        <v>#DIV/0!</v>
      </c>
      <c r="G958" s="38"/>
      <c r="H958" s="38"/>
      <c r="I958" s="38"/>
      <c r="J958" s="38"/>
      <c r="K958" s="38"/>
      <c r="L958" s="38"/>
      <c r="M958" s="38"/>
      <c r="N958" s="38"/>
      <c r="O958" s="38"/>
    </row>
    <row r="959" hidden="1">
      <c r="A959" s="38"/>
      <c r="B959" s="38"/>
      <c r="C959" s="39"/>
      <c r="D959" s="40">
        <f>SUMIFS(Rezepte!F:F,Rezepte!A:A,C959)</f>
        <v>0</v>
      </c>
      <c r="E959" s="41">
        <f>SUMIFS(Rezepte!G:G,Rezepte!A:A,C959)</f>
        <v>0</v>
      </c>
      <c r="F959" s="42" t="str">
        <f t="shared" si="2"/>
        <v>#DIV/0!</v>
      </c>
      <c r="G959" s="38"/>
      <c r="H959" s="38"/>
      <c r="I959" s="38"/>
      <c r="J959" s="38"/>
      <c r="K959" s="38"/>
      <c r="L959" s="38"/>
      <c r="M959" s="38"/>
      <c r="N959" s="38"/>
      <c r="O959" s="38"/>
    </row>
    <row r="960" hidden="1">
      <c r="A960" s="38"/>
      <c r="B960" s="38"/>
      <c r="C960" s="39"/>
      <c r="D960" s="40">
        <f>SUMIFS(Rezepte!F:F,Rezepte!A:A,C960)</f>
        <v>0</v>
      </c>
      <c r="E960" s="41">
        <f>SUMIFS(Rezepte!G:G,Rezepte!A:A,C960)</f>
        <v>0</v>
      </c>
      <c r="F960" s="42" t="str">
        <f t="shared" si="2"/>
        <v>#DIV/0!</v>
      </c>
      <c r="G960" s="38"/>
      <c r="H960" s="38"/>
      <c r="I960" s="38"/>
      <c r="J960" s="38"/>
      <c r="K960" s="38"/>
      <c r="L960" s="38"/>
      <c r="M960" s="38"/>
      <c r="N960" s="38"/>
      <c r="O960" s="38"/>
    </row>
    <row r="961" hidden="1">
      <c r="A961" s="38"/>
      <c r="B961" s="38"/>
      <c r="C961" s="39"/>
      <c r="D961" s="40">
        <f>SUMIFS(Rezepte!F:F,Rezepte!A:A,C961)</f>
        <v>0</v>
      </c>
      <c r="E961" s="41">
        <f>SUMIFS(Rezepte!G:G,Rezepte!A:A,C961)</f>
        <v>0</v>
      </c>
      <c r="F961" s="42" t="str">
        <f t="shared" si="2"/>
        <v>#DIV/0!</v>
      </c>
      <c r="G961" s="38"/>
      <c r="H961" s="38"/>
      <c r="I961" s="38"/>
      <c r="J961" s="38"/>
      <c r="K961" s="38"/>
      <c r="L961" s="38"/>
      <c r="M961" s="38"/>
      <c r="N961" s="38"/>
      <c r="O961" s="38"/>
    </row>
    <row r="962" hidden="1">
      <c r="A962" s="38"/>
      <c r="B962" s="38"/>
      <c r="C962" s="39"/>
      <c r="D962" s="40">
        <f>SUMIFS(Rezepte!F:F,Rezepte!A:A,C962)</f>
        <v>0</v>
      </c>
      <c r="E962" s="41">
        <f>SUMIFS(Rezepte!G:G,Rezepte!A:A,C962)</f>
        <v>0</v>
      </c>
      <c r="F962" s="42" t="str">
        <f t="shared" si="2"/>
        <v>#DIV/0!</v>
      </c>
      <c r="G962" s="38"/>
      <c r="H962" s="38"/>
      <c r="I962" s="38"/>
      <c r="J962" s="38"/>
      <c r="K962" s="38"/>
      <c r="L962" s="38"/>
      <c r="M962" s="38"/>
      <c r="N962" s="38"/>
      <c r="O962" s="38"/>
    </row>
    <row r="963" hidden="1">
      <c r="A963" s="38"/>
      <c r="B963" s="38"/>
      <c r="C963" s="39"/>
      <c r="D963" s="40">
        <f>SUMIFS(Rezepte!F:F,Rezepte!A:A,C963)</f>
        <v>0</v>
      </c>
      <c r="E963" s="41">
        <f>SUMIFS(Rezepte!G:G,Rezepte!A:A,C963)</f>
        <v>0</v>
      </c>
      <c r="F963" s="42" t="str">
        <f t="shared" si="2"/>
        <v>#DIV/0!</v>
      </c>
      <c r="G963" s="38"/>
      <c r="H963" s="38"/>
      <c r="I963" s="38"/>
      <c r="J963" s="38"/>
      <c r="K963" s="38"/>
      <c r="L963" s="38"/>
      <c r="M963" s="38"/>
      <c r="N963" s="38"/>
      <c r="O963" s="38"/>
    </row>
    <row r="964" hidden="1">
      <c r="A964" s="38"/>
      <c r="B964" s="38"/>
      <c r="C964" s="39"/>
      <c r="D964" s="40">
        <f>SUMIFS(Rezepte!F:F,Rezepte!A:A,C964)</f>
        <v>0</v>
      </c>
      <c r="E964" s="41">
        <f>SUMIFS(Rezepte!G:G,Rezepte!A:A,C964)</f>
        <v>0</v>
      </c>
      <c r="F964" s="42" t="str">
        <f t="shared" si="2"/>
        <v>#DIV/0!</v>
      </c>
      <c r="G964" s="38"/>
      <c r="H964" s="38"/>
      <c r="I964" s="38"/>
      <c r="J964" s="38"/>
      <c r="K964" s="38"/>
      <c r="L964" s="38"/>
      <c r="M964" s="38"/>
      <c r="N964" s="38"/>
      <c r="O964" s="38"/>
    </row>
    <row r="965" hidden="1">
      <c r="A965" s="38"/>
      <c r="B965" s="38"/>
      <c r="C965" s="39"/>
      <c r="D965" s="40">
        <f>SUMIFS(Rezepte!F:F,Rezepte!A:A,C965)</f>
        <v>0</v>
      </c>
      <c r="E965" s="41">
        <f>SUMIFS(Rezepte!G:G,Rezepte!A:A,C965)</f>
        <v>0</v>
      </c>
      <c r="F965" s="42" t="str">
        <f t="shared" si="2"/>
        <v>#DIV/0!</v>
      </c>
      <c r="G965" s="38"/>
      <c r="H965" s="38"/>
      <c r="I965" s="38"/>
      <c r="J965" s="38"/>
      <c r="K965" s="38"/>
      <c r="L965" s="38"/>
      <c r="M965" s="38"/>
      <c r="N965" s="38"/>
      <c r="O965" s="38"/>
    </row>
    <row r="966" hidden="1">
      <c r="A966" s="38"/>
      <c r="B966" s="38"/>
      <c r="C966" s="39"/>
      <c r="D966" s="40">
        <f>SUMIFS(Rezepte!F:F,Rezepte!A:A,C966)</f>
        <v>0</v>
      </c>
      <c r="E966" s="41">
        <f>SUMIFS(Rezepte!G:G,Rezepte!A:A,C966)</f>
        <v>0</v>
      </c>
      <c r="F966" s="42" t="str">
        <f t="shared" si="2"/>
        <v>#DIV/0!</v>
      </c>
      <c r="G966" s="38"/>
      <c r="H966" s="38"/>
      <c r="I966" s="38"/>
      <c r="J966" s="38"/>
      <c r="K966" s="38"/>
      <c r="L966" s="38"/>
      <c r="M966" s="38"/>
      <c r="N966" s="38"/>
      <c r="O966" s="38"/>
    </row>
    <row r="967" hidden="1">
      <c r="A967" s="38"/>
      <c r="B967" s="38"/>
      <c r="C967" s="39"/>
      <c r="D967" s="40">
        <f>SUMIFS(Rezepte!F:F,Rezepte!A:A,C967)</f>
        <v>0</v>
      </c>
      <c r="E967" s="41">
        <f>SUMIFS(Rezepte!G:G,Rezepte!A:A,C967)</f>
        <v>0</v>
      </c>
      <c r="F967" s="42" t="str">
        <f t="shared" si="2"/>
        <v>#DIV/0!</v>
      </c>
      <c r="G967" s="38"/>
      <c r="H967" s="38"/>
      <c r="I967" s="38"/>
      <c r="J967" s="38"/>
      <c r="K967" s="38"/>
      <c r="L967" s="38"/>
      <c r="M967" s="38"/>
      <c r="N967" s="38"/>
      <c r="O967" s="38"/>
    </row>
    <row r="968" hidden="1">
      <c r="A968" s="38"/>
      <c r="B968" s="38"/>
      <c r="C968" s="39"/>
      <c r="D968" s="40">
        <f>SUMIFS(Rezepte!F:F,Rezepte!A:A,C968)</f>
        <v>0</v>
      </c>
      <c r="E968" s="41">
        <f>SUMIFS(Rezepte!G:G,Rezepte!A:A,C968)</f>
        <v>0</v>
      </c>
      <c r="F968" s="42" t="str">
        <f t="shared" si="2"/>
        <v>#DIV/0!</v>
      </c>
      <c r="G968" s="38"/>
      <c r="H968" s="38"/>
      <c r="I968" s="38"/>
      <c r="J968" s="38"/>
      <c r="K968" s="38"/>
      <c r="L968" s="38"/>
      <c r="M968" s="38"/>
      <c r="N968" s="38"/>
      <c r="O968" s="38"/>
    </row>
    <row r="969" hidden="1">
      <c r="A969" s="38"/>
      <c r="B969" s="38"/>
      <c r="C969" s="39"/>
      <c r="D969" s="40">
        <f>SUMIFS(Rezepte!F:F,Rezepte!A:A,C969)</f>
        <v>0</v>
      </c>
      <c r="E969" s="41">
        <f>SUMIFS(Rezepte!G:G,Rezepte!A:A,C969)</f>
        <v>0</v>
      </c>
      <c r="F969" s="42" t="str">
        <f t="shared" si="2"/>
        <v>#DIV/0!</v>
      </c>
      <c r="G969" s="38"/>
      <c r="H969" s="38"/>
      <c r="I969" s="38"/>
      <c r="J969" s="38"/>
      <c r="K969" s="38"/>
      <c r="L969" s="38"/>
      <c r="M969" s="38"/>
      <c r="N969" s="38"/>
      <c r="O969" s="38"/>
    </row>
    <row r="970" hidden="1">
      <c r="A970" s="38"/>
      <c r="B970" s="38"/>
      <c r="C970" s="39"/>
      <c r="D970" s="40">
        <f>SUMIFS(Rezepte!F:F,Rezepte!A:A,C970)</f>
        <v>0</v>
      </c>
      <c r="E970" s="41">
        <f>SUMIFS(Rezepte!G:G,Rezepte!A:A,C970)</f>
        <v>0</v>
      </c>
      <c r="F970" s="42" t="str">
        <f t="shared" si="2"/>
        <v>#DIV/0!</v>
      </c>
      <c r="G970" s="38"/>
      <c r="H970" s="38"/>
      <c r="I970" s="38"/>
      <c r="J970" s="38"/>
      <c r="K970" s="38"/>
      <c r="L970" s="38"/>
      <c r="M970" s="38"/>
      <c r="N970" s="38"/>
      <c r="O970" s="38"/>
    </row>
    <row r="971" hidden="1">
      <c r="A971" s="38"/>
      <c r="B971" s="38"/>
      <c r="C971" s="39"/>
      <c r="D971" s="40">
        <f>SUMIFS(Rezepte!F:F,Rezepte!A:A,C971)</f>
        <v>0</v>
      </c>
      <c r="E971" s="41">
        <f>SUMIFS(Rezepte!G:G,Rezepte!A:A,C971)</f>
        <v>0</v>
      </c>
      <c r="F971" s="42" t="str">
        <f t="shared" si="2"/>
        <v>#DIV/0!</v>
      </c>
      <c r="G971" s="38"/>
      <c r="H971" s="38"/>
      <c r="I971" s="38"/>
      <c r="J971" s="38"/>
      <c r="K971" s="38"/>
      <c r="L971" s="38"/>
      <c r="M971" s="38"/>
      <c r="N971" s="38"/>
      <c r="O971" s="38"/>
    </row>
    <row r="972" hidden="1">
      <c r="A972" s="38"/>
      <c r="B972" s="38"/>
      <c r="C972" s="39"/>
      <c r="D972" s="40">
        <f>SUMIFS(Rezepte!F:F,Rezepte!A:A,C972)</f>
        <v>0</v>
      </c>
      <c r="E972" s="41">
        <f>SUMIFS(Rezepte!G:G,Rezepte!A:A,C972)</f>
        <v>0</v>
      </c>
      <c r="F972" s="42" t="str">
        <f t="shared" si="2"/>
        <v>#DIV/0!</v>
      </c>
      <c r="G972" s="38"/>
      <c r="H972" s="38"/>
      <c r="I972" s="38"/>
      <c r="J972" s="38"/>
      <c r="K972" s="38"/>
      <c r="L972" s="38"/>
      <c r="M972" s="38"/>
      <c r="N972" s="38"/>
      <c r="O972" s="38"/>
    </row>
    <row r="973" hidden="1">
      <c r="A973" s="38"/>
      <c r="B973" s="38"/>
      <c r="C973" s="39"/>
      <c r="D973" s="40">
        <f>SUMIFS(Rezepte!F:F,Rezepte!A:A,C973)</f>
        <v>0</v>
      </c>
      <c r="E973" s="41">
        <f>SUMIFS(Rezepte!G:G,Rezepte!A:A,C973)</f>
        <v>0</v>
      </c>
      <c r="F973" s="42" t="str">
        <f t="shared" si="2"/>
        <v>#DIV/0!</v>
      </c>
      <c r="G973" s="38"/>
      <c r="H973" s="38"/>
      <c r="I973" s="38"/>
      <c r="J973" s="38"/>
      <c r="K973" s="38"/>
      <c r="L973" s="38"/>
      <c r="M973" s="38"/>
      <c r="N973" s="38"/>
      <c r="O973" s="38"/>
    </row>
    <row r="974" hidden="1">
      <c r="A974" s="38"/>
      <c r="B974" s="38"/>
      <c r="C974" s="39"/>
      <c r="D974" s="40">
        <f>SUMIFS(Rezepte!F:F,Rezepte!A:A,C974)</f>
        <v>0</v>
      </c>
      <c r="E974" s="41">
        <f>SUMIFS(Rezepte!G:G,Rezepte!A:A,C974)</f>
        <v>0</v>
      </c>
      <c r="F974" s="42" t="str">
        <f t="shared" si="2"/>
        <v>#DIV/0!</v>
      </c>
      <c r="G974" s="38"/>
      <c r="H974" s="38"/>
      <c r="I974" s="38"/>
      <c r="J974" s="38"/>
      <c r="K974" s="38"/>
      <c r="L974" s="38"/>
      <c r="M974" s="38"/>
      <c r="N974" s="38"/>
      <c r="O974" s="38"/>
    </row>
    <row r="975" hidden="1">
      <c r="A975" s="38"/>
      <c r="B975" s="38"/>
      <c r="C975" s="39"/>
      <c r="D975" s="40">
        <f>SUMIFS(Rezepte!F:F,Rezepte!A:A,C975)</f>
        <v>0</v>
      </c>
      <c r="E975" s="41">
        <f>SUMIFS(Rezepte!G:G,Rezepte!A:A,C975)</f>
        <v>0</v>
      </c>
      <c r="F975" s="42" t="str">
        <f t="shared" si="2"/>
        <v>#DIV/0!</v>
      </c>
      <c r="G975" s="38"/>
      <c r="H975" s="38"/>
      <c r="I975" s="38"/>
      <c r="J975" s="38"/>
      <c r="K975" s="38"/>
      <c r="L975" s="38"/>
      <c r="M975" s="38"/>
      <c r="N975" s="38"/>
      <c r="O975" s="38"/>
    </row>
    <row r="976" hidden="1">
      <c r="A976" s="38"/>
      <c r="B976" s="38"/>
      <c r="C976" s="39"/>
      <c r="D976" s="40">
        <f>SUMIFS(Rezepte!F:F,Rezepte!A:A,C976)</f>
        <v>0</v>
      </c>
      <c r="E976" s="41">
        <f>SUMIFS(Rezepte!G:G,Rezepte!A:A,C976)</f>
        <v>0</v>
      </c>
      <c r="F976" s="42" t="str">
        <f t="shared" si="2"/>
        <v>#DIV/0!</v>
      </c>
      <c r="G976" s="38"/>
      <c r="H976" s="38"/>
      <c r="I976" s="38"/>
      <c r="J976" s="38"/>
      <c r="K976" s="38"/>
      <c r="L976" s="38"/>
      <c r="M976" s="38"/>
      <c r="N976" s="38"/>
      <c r="O976" s="38"/>
    </row>
    <row r="977" hidden="1">
      <c r="A977" s="38"/>
      <c r="B977" s="38"/>
      <c r="C977" s="39"/>
      <c r="D977" s="40">
        <f>SUMIFS(Rezepte!F:F,Rezepte!A:A,C977)</f>
        <v>0</v>
      </c>
      <c r="E977" s="41">
        <f>SUMIFS(Rezepte!G:G,Rezepte!A:A,C977)</f>
        <v>0</v>
      </c>
      <c r="F977" s="42" t="str">
        <f t="shared" si="2"/>
        <v>#DIV/0!</v>
      </c>
      <c r="G977" s="38"/>
      <c r="H977" s="38"/>
      <c r="I977" s="38"/>
      <c r="J977" s="38"/>
      <c r="K977" s="38"/>
      <c r="L977" s="38"/>
      <c r="M977" s="38"/>
      <c r="N977" s="38"/>
      <c r="O977" s="38"/>
    </row>
    <row r="978" hidden="1">
      <c r="A978" s="38"/>
      <c r="B978" s="38"/>
      <c r="C978" s="39"/>
      <c r="D978" s="40">
        <f>SUMIFS(Rezepte!F:F,Rezepte!A:A,C978)</f>
        <v>0</v>
      </c>
      <c r="E978" s="41">
        <f>SUMIFS(Rezepte!G:G,Rezepte!A:A,C978)</f>
        <v>0</v>
      </c>
      <c r="F978" s="42" t="str">
        <f t="shared" si="2"/>
        <v>#DIV/0!</v>
      </c>
      <c r="G978" s="38"/>
      <c r="H978" s="38"/>
      <c r="I978" s="38"/>
      <c r="J978" s="38"/>
      <c r="K978" s="38"/>
      <c r="L978" s="38"/>
      <c r="M978" s="38"/>
      <c r="N978" s="38"/>
      <c r="O978" s="38"/>
    </row>
    <row r="979" hidden="1">
      <c r="A979" s="38"/>
      <c r="B979" s="38"/>
      <c r="C979" s="39"/>
      <c r="D979" s="40">
        <f>SUMIFS(Rezepte!F:F,Rezepte!A:A,C979)</f>
        <v>0</v>
      </c>
      <c r="E979" s="41">
        <f>SUMIFS(Rezepte!G:G,Rezepte!A:A,C979)</f>
        <v>0</v>
      </c>
      <c r="F979" s="42" t="str">
        <f t="shared" si="2"/>
        <v>#DIV/0!</v>
      </c>
      <c r="G979" s="38"/>
      <c r="H979" s="38"/>
      <c r="I979" s="38"/>
      <c r="J979" s="38"/>
      <c r="K979" s="38"/>
      <c r="L979" s="38"/>
      <c r="M979" s="38"/>
      <c r="N979" s="38"/>
      <c r="O979" s="38"/>
    </row>
    <row r="980" hidden="1">
      <c r="A980" s="38"/>
      <c r="B980" s="38"/>
      <c r="C980" s="39"/>
      <c r="D980" s="40">
        <f>SUMIFS(Rezepte!F:F,Rezepte!A:A,C980)</f>
        <v>0</v>
      </c>
      <c r="E980" s="41">
        <f>SUMIFS(Rezepte!G:G,Rezepte!A:A,C980)</f>
        <v>0</v>
      </c>
      <c r="F980" s="42" t="str">
        <f t="shared" si="2"/>
        <v>#DIV/0!</v>
      </c>
      <c r="G980" s="38"/>
      <c r="H980" s="38"/>
      <c r="I980" s="38"/>
      <c r="J980" s="38"/>
      <c r="K980" s="38"/>
      <c r="L980" s="38"/>
      <c r="M980" s="38"/>
      <c r="N980" s="38"/>
      <c r="O980" s="38"/>
    </row>
    <row r="981" hidden="1">
      <c r="A981" s="38"/>
      <c r="B981" s="38"/>
      <c r="C981" s="39"/>
      <c r="D981" s="40">
        <f>SUMIFS(Rezepte!F:F,Rezepte!A:A,C981)</f>
        <v>0</v>
      </c>
      <c r="E981" s="41">
        <f>SUMIFS(Rezepte!G:G,Rezepte!A:A,C981)</f>
        <v>0</v>
      </c>
      <c r="F981" s="42" t="str">
        <f t="shared" si="2"/>
        <v>#DIV/0!</v>
      </c>
      <c r="G981" s="38"/>
      <c r="H981" s="38"/>
      <c r="I981" s="38"/>
      <c r="J981" s="38"/>
      <c r="K981" s="38"/>
      <c r="L981" s="38"/>
      <c r="M981" s="38"/>
      <c r="N981" s="38"/>
      <c r="O981" s="38"/>
    </row>
    <row r="982" hidden="1">
      <c r="A982" s="38"/>
      <c r="B982" s="38"/>
      <c r="C982" s="39"/>
      <c r="D982" s="40">
        <f>SUMIFS(Rezepte!F:F,Rezepte!A:A,C982)</f>
        <v>0</v>
      </c>
      <c r="E982" s="41">
        <f>SUMIFS(Rezepte!G:G,Rezepte!A:A,C982)</f>
        <v>0</v>
      </c>
      <c r="F982" s="42" t="str">
        <f t="shared" si="2"/>
        <v>#DIV/0!</v>
      </c>
      <c r="G982" s="38"/>
      <c r="H982" s="38"/>
      <c r="I982" s="38"/>
      <c r="J982" s="38"/>
      <c r="K982" s="38"/>
      <c r="L982" s="38"/>
      <c r="M982" s="38"/>
      <c r="N982" s="38"/>
      <c r="O982" s="38"/>
    </row>
    <row r="983" hidden="1">
      <c r="A983" s="38"/>
      <c r="B983" s="38"/>
      <c r="C983" s="39"/>
      <c r="D983" s="40">
        <f>SUMIFS(Rezepte!F:F,Rezepte!A:A,C983)</f>
        <v>0</v>
      </c>
      <c r="E983" s="41">
        <f>SUMIFS(Rezepte!G:G,Rezepte!A:A,C983)</f>
        <v>0</v>
      </c>
      <c r="F983" s="42" t="str">
        <f t="shared" si="2"/>
        <v>#DIV/0!</v>
      </c>
      <c r="G983" s="38"/>
      <c r="H983" s="38"/>
      <c r="I983" s="38"/>
      <c r="J983" s="38"/>
      <c r="K983" s="38"/>
      <c r="L983" s="38"/>
      <c r="M983" s="38"/>
      <c r="N983" s="38"/>
      <c r="O983" s="38"/>
    </row>
    <row r="984" hidden="1">
      <c r="A984" s="38"/>
      <c r="B984" s="38"/>
      <c r="C984" s="39"/>
      <c r="D984" s="40">
        <f>SUMIFS(Rezepte!F:F,Rezepte!A:A,C984)</f>
        <v>0</v>
      </c>
      <c r="E984" s="41">
        <f>SUMIFS(Rezepte!G:G,Rezepte!A:A,C984)</f>
        <v>0</v>
      </c>
      <c r="F984" s="42" t="str">
        <f t="shared" si="2"/>
        <v>#DIV/0!</v>
      </c>
      <c r="G984" s="38"/>
      <c r="H984" s="38"/>
      <c r="I984" s="38"/>
      <c r="J984" s="38"/>
      <c r="K984" s="38"/>
      <c r="L984" s="38"/>
      <c r="M984" s="38"/>
      <c r="N984" s="38"/>
      <c r="O984" s="38"/>
    </row>
    <row r="985" hidden="1">
      <c r="A985" s="38"/>
      <c r="B985" s="38"/>
      <c r="C985" s="39"/>
      <c r="D985" s="40">
        <f>SUMIFS(Rezepte!F:F,Rezepte!A:A,C985)</f>
        <v>0</v>
      </c>
      <c r="E985" s="41">
        <f>SUMIFS(Rezepte!G:G,Rezepte!A:A,C985)</f>
        <v>0</v>
      </c>
      <c r="F985" s="42" t="str">
        <f t="shared" si="2"/>
        <v>#DIV/0!</v>
      </c>
      <c r="G985" s="38"/>
      <c r="H985" s="38"/>
      <c r="I985" s="38"/>
      <c r="J985" s="38"/>
      <c r="K985" s="38"/>
      <c r="L985" s="38"/>
      <c r="M985" s="38"/>
      <c r="N985" s="38"/>
      <c r="O985" s="38"/>
    </row>
    <row r="986" hidden="1">
      <c r="A986" s="38"/>
      <c r="B986" s="38"/>
      <c r="C986" s="39"/>
      <c r="D986" s="40">
        <f>SUMIFS(Rezepte!F:F,Rezepte!A:A,C986)</f>
        <v>0</v>
      </c>
      <c r="E986" s="41">
        <f>SUMIFS(Rezepte!G:G,Rezepte!A:A,C986)</f>
        <v>0</v>
      </c>
      <c r="F986" s="42" t="str">
        <f t="shared" si="2"/>
        <v>#DIV/0!</v>
      </c>
      <c r="G986" s="38"/>
      <c r="H986" s="38"/>
      <c r="I986" s="38"/>
      <c r="J986" s="38"/>
      <c r="K986" s="38"/>
      <c r="L986" s="38"/>
      <c r="M986" s="38"/>
      <c r="N986" s="38"/>
      <c r="O986" s="38"/>
    </row>
    <row r="987" hidden="1">
      <c r="A987" s="38"/>
      <c r="B987" s="38"/>
      <c r="C987" s="39"/>
      <c r="D987" s="40">
        <f>SUMIFS(Rezepte!F:F,Rezepte!A:A,C987)</f>
        <v>0</v>
      </c>
      <c r="E987" s="41">
        <f>SUMIFS(Rezepte!G:G,Rezepte!A:A,C987)</f>
        <v>0</v>
      </c>
      <c r="F987" s="42" t="str">
        <f t="shared" si="2"/>
        <v>#DIV/0!</v>
      </c>
      <c r="G987" s="38"/>
      <c r="H987" s="38"/>
      <c r="I987" s="38"/>
      <c r="J987" s="38"/>
      <c r="K987" s="38"/>
      <c r="L987" s="38"/>
      <c r="M987" s="38"/>
      <c r="N987" s="38"/>
      <c r="O987" s="38"/>
    </row>
    <row r="988" hidden="1">
      <c r="A988" s="38"/>
      <c r="B988" s="38"/>
      <c r="C988" s="39"/>
      <c r="D988" s="40">
        <f>SUMIFS(Rezepte!F:F,Rezepte!A:A,C988)</f>
        <v>0</v>
      </c>
      <c r="E988" s="41">
        <f>SUMIFS(Rezepte!G:G,Rezepte!A:A,C988)</f>
        <v>0</v>
      </c>
      <c r="F988" s="42" t="str">
        <f t="shared" si="2"/>
        <v>#DIV/0!</v>
      </c>
      <c r="G988" s="38"/>
      <c r="H988" s="38"/>
      <c r="I988" s="38"/>
      <c r="J988" s="38"/>
      <c r="K988" s="38"/>
      <c r="L988" s="38"/>
      <c r="M988" s="38"/>
      <c r="N988" s="38"/>
      <c r="O988" s="38"/>
    </row>
    <row r="989" hidden="1">
      <c r="A989" s="38"/>
      <c r="B989" s="38"/>
      <c r="C989" s="39"/>
      <c r="D989" s="40">
        <f>SUMIFS(Rezepte!F:F,Rezepte!A:A,C989)</f>
        <v>0</v>
      </c>
      <c r="E989" s="41">
        <f>SUMIFS(Rezepte!G:G,Rezepte!A:A,C989)</f>
        <v>0</v>
      </c>
      <c r="F989" s="42" t="str">
        <f t="shared" si="2"/>
        <v>#DIV/0!</v>
      </c>
      <c r="G989" s="38"/>
      <c r="H989" s="38"/>
      <c r="I989" s="38"/>
      <c r="J989" s="38"/>
      <c r="K989" s="38"/>
      <c r="L989" s="38"/>
      <c r="M989" s="38"/>
      <c r="N989" s="38"/>
      <c r="O989" s="38"/>
    </row>
    <row r="990" hidden="1">
      <c r="A990" s="38"/>
      <c r="B990" s="38"/>
      <c r="C990" s="39"/>
      <c r="D990" s="40">
        <f>SUMIFS(Rezepte!F:F,Rezepte!A:A,C990)</f>
        <v>0</v>
      </c>
      <c r="E990" s="41">
        <f>SUMIFS(Rezepte!G:G,Rezepte!A:A,C990)</f>
        <v>0</v>
      </c>
      <c r="F990" s="42" t="str">
        <f t="shared" si="2"/>
        <v>#DIV/0!</v>
      </c>
      <c r="G990" s="38"/>
      <c r="H990" s="38"/>
      <c r="I990" s="38"/>
      <c r="J990" s="38"/>
      <c r="K990" s="38"/>
      <c r="L990" s="38"/>
      <c r="M990" s="38"/>
      <c r="N990" s="38"/>
      <c r="O990" s="38"/>
    </row>
    <row r="991" hidden="1">
      <c r="A991" s="38"/>
      <c r="B991" s="38"/>
      <c r="C991" s="39"/>
      <c r="D991" s="40">
        <f>SUMIFS(Rezepte!F:F,Rezepte!A:A,C991)</f>
        <v>0</v>
      </c>
      <c r="E991" s="41">
        <f>SUMIFS(Rezepte!G:G,Rezepte!A:A,C991)</f>
        <v>0</v>
      </c>
      <c r="F991" s="42" t="str">
        <f t="shared" si="2"/>
        <v>#DIV/0!</v>
      </c>
      <c r="G991" s="38"/>
      <c r="H991" s="38"/>
      <c r="I991" s="38"/>
      <c r="J991" s="38"/>
      <c r="K991" s="38"/>
      <c r="L991" s="38"/>
      <c r="M991" s="38"/>
      <c r="N991" s="38"/>
      <c r="O991" s="38"/>
    </row>
    <row r="992" hidden="1">
      <c r="A992" s="38"/>
      <c r="B992" s="38"/>
      <c r="C992" s="39"/>
      <c r="D992" s="40">
        <f>SUMIFS(Rezepte!F:F,Rezepte!A:A,C992)</f>
        <v>0</v>
      </c>
      <c r="E992" s="41">
        <f>SUMIFS(Rezepte!G:G,Rezepte!A:A,C992)</f>
        <v>0</v>
      </c>
      <c r="F992" s="42" t="str">
        <f t="shared" si="2"/>
        <v>#DIV/0!</v>
      </c>
      <c r="G992" s="38"/>
      <c r="H992" s="38"/>
      <c r="I992" s="38"/>
      <c r="J992" s="38"/>
      <c r="K992" s="38"/>
      <c r="L992" s="38"/>
      <c r="M992" s="38"/>
      <c r="N992" s="38"/>
      <c r="O992" s="38"/>
    </row>
    <row r="993" hidden="1">
      <c r="A993" s="38"/>
      <c r="B993" s="38"/>
      <c r="C993" s="39"/>
      <c r="D993" s="40">
        <f>SUMIFS(Rezepte!F:F,Rezepte!A:A,C993)</f>
        <v>0</v>
      </c>
      <c r="E993" s="41">
        <f>SUMIFS(Rezepte!G:G,Rezepte!A:A,C993)</f>
        <v>0</v>
      </c>
      <c r="F993" s="42" t="str">
        <f t="shared" si="2"/>
        <v>#DIV/0!</v>
      </c>
      <c r="G993" s="38"/>
      <c r="H993" s="38"/>
      <c r="I993" s="38"/>
      <c r="J993" s="38"/>
      <c r="K993" s="38"/>
      <c r="L993" s="38"/>
      <c r="M993" s="38"/>
      <c r="N993" s="38"/>
      <c r="O993" s="38"/>
    </row>
    <row r="994" hidden="1">
      <c r="A994" s="38"/>
      <c r="B994" s="38"/>
      <c r="C994" s="39"/>
      <c r="D994" s="40">
        <f>SUMIFS(Rezepte!F:F,Rezepte!A:A,C994)</f>
        <v>0</v>
      </c>
      <c r="E994" s="41">
        <f>SUMIFS(Rezepte!G:G,Rezepte!A:A,C994)</f>
        <v>0</v>
      </c>
      <c r="F994" s="42" t="str">
        <f t="shared" si="2"/>
        <v>#DIV/0!</v>
      </c>
      <c r="G994" s="38"/>
      <c r="H994" s="38"/>
      <c r="I994" s="38"/>
      <c r="J994" s="38"/>
      <c r="K994" s="38"/>
      <c r="L994" s="38"/>
      <c r="M994" s="38"/>
      <c r="N994" s="38"/>
      <c r="O994" s="38"/>
    </row>
    <row r="995" hidden="1">
      <c r="A995" s="38"/>
      <c r="B995" s="38"/>
      <c r="C995" s="39"/>
      <c r="D995" s="40">
        <f>SUMIFS(Rezepte!F:F,Rezepte!A:A,C995)</f>
        <v>0</v>
      </c>
      <c r="E995" s="41">
        <f>SUMIFS(Rezepte!G:G,Rezepte!A:A,C995)</f>
        <v>0</v>
      </c>
      <c r="F995" s="42" t="str">
        <f t="shared" si="2"/>
        <v>#DIV/0!</v>
      </c>
      <c r="G995" s="38"/>
      <c r="H995" s="38"/>
      <c r="I995" s="38"/>
      <c r="J995" s="38"/>
      <c r="K995" s="38"/>
      <c r="L995" s="38"/>
      <c r="M995" s="38"/>
      <c r="N995" s="38"/>
      <c r="O995" s="38"/>
    </row>
    <row r="996" hidden="1">
      <c r="A996" s="38"/>
      <c r="B996" s="38"/>
      <c r="C996" s="39"/>
      <c r="D996" s="40">
        <f>SUMIFS(Rezepte!F:F,Rezepte!A:A,C996)</f>
        <v>0</v>
      </c>
      <c r="E996" s="41">
        <f>SUMIFS(Rezepte!G:G,Rezepte!A:A,C996)</f>
        <v>0</v>
      </c>
      <c r="F996" s="42" t="str">
        <f t="shared" si="2"/>
        <v>#DIV/0!</v>
      </c>
      <c r="G996" s="38"/>
      <c r="H996" s="38"/>
      <c r="I996" s="38"/>
      <c r="J996" s="38"/>
      <c r="K996" s="38"/>
      <c r="L996" s="38"/>
      <c r="M996" s="38"/>
      <c r="N996" s="38"/>
      <c r="O996" s="38"/>
    </row>
    <row r="997" hidden="1">
      <c r="A997" s="38"/>
      <c r="B997" s="38"/>
      <c r="C997" s="39"/>
      <c r="D997" s="40">
        <f>SUMIFS(Rezepte!F:F,Rezepte!A:A,C997)</f>
        <v>0</v>
      </c>
      <c r="E997" s="41">
        <f>SUMIFS(Rezepte!G:G,Rezepte!A:A,C997)</f>
        <v>0</v>
      </c>
      <c r="F997" s="42" t="str">
        <f t="shared" si="2"/>
        <v>#DIV/0!</v>
      </c>
      <c r="G997" s="38"/>
      <c r="H997" s="38"/>
      <c r="I997" s="38"/>
      <c r="J997" s="38"/>
      <c r="K997" s="38"/>
      <c r="L997" s="38"/>
      <c r="M997" s="38"/>
      <c r="N997" s="38"/>
      <c r="O997" s="38"/>
    </row>
    <row r="998" hidden="1">
      <c r="A998" s="38"/>
      <c r="B998" s="38"/>
      <c r="C998" s="39"/>
      <c r="D998" s="40">
        <f>SUMIFS(Rezepte!F:F,Rezepte!A:A,C998)</f>
        <v>0</v>
      </c>
      <c r="E998" s="41">
        <f>SUMIFS(Rezepte!G:G,Rezepte!A:A,C998)</f>
        <v>0</v>
      </c>
      <c r="F998" s="42" t="str">
        <f t="shared" si="2"/>
        <v>#DIV/0!</v>
      </c>
      <c r="G998" s="38"/>
      <c r="H998" s="38"/>
      <c r="I998" s="38"/>
      <c r="J998" s="38"/>
      <c r="K998" s="38"/>
      <c r="L998" s="38"/>
      <c r="M998" s="38"/>
      <c r="N998" s="38"/>
      <c r="O998" s="38"/>
    </row>
    <row r="999" hidden="1">
      <c r="A999" s="38"/>
      <c r="B999" s="38"/>
      <c r="C999" s="39"/>
      <c r="D999" s="40">
        <f>SUMIFS(Rezepte!F:F,Rezepte!A:A,C999)</f>
        <v>0</v>
      </c>
      <c r="E999" s="41">
        <f>SUMIFS(Rezepte!G:G,Rezepte!A:A,C999)</f>
        <v>0</v>
      </c>
      <c r="F999" s="42" t="str">
        <f t="shared" si="2"/>
        <v>#DIV/0!</v>
      </c>
      <c r="G999" s="38"/>
      <c r="H999" s="38"/>
      <c r="I999" s="38"/>
      <c r="J999" s="38"/>
      <c r="K999" s="38"/>
      <c r="L999" s="38"/>
      <c r="M999" s="38"/>
      <c r="N999" s="38"/>
      <c r="O999" s="38"/>
    </row>
    <row r="1000" hidden="1">
      <c r="A1000" s="38"/>
      <c r="B1000" s="38"/>
      <c r="C1000" s="39"/>
      <c r="D1000" s="40">
        <f>SUMIFS(Rezepte!F:F,Rezepte!A:A,C1000)</f>
        <v>0</v>
      </c>
      <c r="E1000" s="41">
        <f>SUMIFS(Rezepte!G:G,Rezepte!A:A,C1000)</f>
        <v>0</v>
      </c>
      <c r="F1000" s="42" t="str">
        <f t="shared" si="2"/>
        <v>#DIV/0!</v>
      </c>
      <c r="G1000" s="38"/>
      <c r="H1000" s="38"/>
      <c r="I1000" s="38"/>
      <c r="J1000" s="38"/>
      <c r="K1000" s="38"/>
      <c r="L1000" s="38"/>
      <c r="M1000" s="38"/>
      <c r="N1000" s="38"/>
      <c r="O1000" s="38"/>
    </row>
    <row r="1001" hidden="1">
      <c r="A1001" s="38"/>
      <c r="B1001" s="38"/>
      <c r="C1001" s="39"/>
      <c r="D1001" s="40">
        <f>SUMIFS(Rezepte!F:F,Rezepte!A:A,C1001)</f>
        <v>0</v>
      </c>
      <c r="E1001" s="41">
        <f>SUMIFS(Rezepte!G:G,Rezepte!A:A,C1001)</f>
        <v>0</v>
      </c>
      <c r="F1001" s="42" t="str">
        <f t="shared" si="2"/>
        <v>#DIV/0!</v>
      </c>
      <c r="G1001" s="38"/>
      <c r="H1001" s="38"/>
      <c r="I1001" s="38"/>
      <c r="J1001" s="38"/>
      <c r="K1001" s="38"/>
      <c r="L1001" s="38"/>
      <c r="M1001" s="38"/>
      <c r="N1001" s="38"/>
      <c r="O1001" s="38"/>
    </row>
    <row r="1002" hidden="1">
      <c r="A1002" s="38"/>
      <c r="B1002" s="38"/>
      <c r="C1002" s="39"/>
      <c r="D1002" s="40">
        <f>SUMIFS(Rezepte!F:F,Rezepte!A:A,C1002)</f>
        <v>0</v>
      </c>
      <c r="E1002" s="41">
        <f>SUMIFS(Rezepte!G:G,Rezepte!A:A,C1002)</f>
        <v>0</v>
      </c>
      <c r="F1002" s="42" t="str">
        <f t="shared" si="2"/>
        <v>#DIV/0!</v>
      </c>
      <c r="G1002" s="38"/>
      <c r="H1002" s="38"/>
      <c r="I1002" s="38"/>
      <c r="J1002" s="38"/>
      <c r="K1002" s="38"/>
      <c r="L1002" s="38"/>
      <c r="M1002" s="38"/>
      <c r="N1002" s="38"/>
      <c r="O1002" s="38"/>
    </row>
    <row r="1003" hidden="1">
      <c r="A1003" s="38"/>
      <c r="B1003" s="38"/>
      <c r="C1003" s="39"/>
      <c r="D1003" s="40">
        <f>SUMIFS(Rezepte!F:F,Rezepte!A:A,C1003)</f>
        <v>0</v>
      </c>
      <c r="E1003" s="41">
        <f>SUMIFS(Rezepte!G:G,Rezepte!A:A,C1003)</f>
        <v>0</v>
      </c>
      <c r="F1003" s="42" t="str">
        <f t="shared" si="2"/>
        <v>#DIV/0!</v>
      </c>
      <c r="G1003" s="38"/>
      <c r="H1003" s="38"/>
      <c r="I1003" s="38"/>
      <c r="J1003" s="38"/>
      <c r="K1003" s="38"/>
      <c r="L1003" s="38"/>
      <c r="M1003" s="38"/>
      <c r="N1003" s="38"/>
      <c r="O1003" s="38"/>
    </row>
    <row r="1004" hidden="1">
      <c r="A1004" s="38"/>
      <c r="B1004" s="38"/>
      <c r="C1004" s="39"/>
      <c r="D1004" s="40">
        <f>SUMIFS(Rezepte!F:F,Rezepte!A:A,C1004)</f>
        <v>0</v>
      </c>
      <c r="E1004" s="41">
        <f>SUMIFS(Rezepte!G:G,Rezepte!A:A,C1004)</f>
        <v>0</v>
      </c>
      <c r="F1004" s="42" t="str">
        <f t="shared" si="2"/>
        <v>#DIV/0!</v>
      </c>
      <c r="G1004" s="38"/>
      <c r="H1004" s="38"/>
      <c r="I1004" s="38"/>
      <c r="J1004" s="38"/>
      <c r="K1004" s="38"/>
      <c r="L1004" s="38"/>
      <c r="M1004" s="38"/>
      <c r="N1004" s="38"/>
      <c r="O1004" s="38"/>
    </row>
    <row r="1005" hidden="1">
      <c r="A1005" s="38"/>
      <c r="B1005" s="38"/>
      <c r="C1005" s="39"/>
      <c r="D1005" s="40">
        <f>SUMIFS(Rezepte!F:F,Rezepte!A:A,C1005)</f>
        <v>0</v>
      </c>
      <c r="E1005" s="41">
        <f>SUMIFS(Rezepte!G:G,Rezepte!A:A,C1005)</f>
        <v>0</v>
      </c>
      <c r="F1005" s="42" t="str">
        <f t="shared" si="2"/>
        <v>#DIV/0!</v>
      </c>
      <c r="G1005" s="38"/>
      <c r="H1005" s="38"/>
      <c r="I1005" s="38"/>
      <c r="J1005" s="38"/>
      <c r="K1005" s="38"/>
      <c r="L1005" s="38"/>
      <c r="M1005" s="38"/>
      <c r="N1005" s="38"/>
      <c r="O1005" s="38"/>
    </row>
    <row r="1006" hidden="1">
      <c r="A1006" s="38"/>
      <c r="B1006" s="38"/>
      <c r="C1006" s="39"/>
      <c r="D1006" s="40">
        <f>SUMIFS(Rezepte!F:F,Rezepte!A:A,C1006)</f>
        <v>0</v>
      </c>
      <c r="E1006" s="41">
        <f>SUMIFS(Rezepte!G:G,Rezepte!A:A,C1006)</f>
        <v>0</v>
      </c>
      <c r="F1006" s="42" t="str">
        <f t="shared" si="2"/>
        <v>#DIV/0!</v>
      </c>
      <c r="G1006" s="38"/>
      <c r="H1006" s="38"/>
      <c r="I1006" s="38"/>
      <c r="J1006" s="38"/>
      <c r="K1006" s="38"/>
      <c r="L1006" s="38"/>
      <c r="M1006" s="38"/>
      <c r="N1006" s="38"/>
      <c r="O1006" s="38"/>
    </row>
    <row r="1007" hidden="1">
      <c r="A1007" s="38"/>
      <c r="B1007" s="38"/>
      <c r="C1007" s="39"/>
      <c r="D1007" s="40">
        <f>SUMIFS(Rezepte!F:F,Rezepte!A:A,C1007)</f>
        <v>0</v>
      </c>
      <c r="E1007" s="41">
        <f>SUMIFS(Rezepte!G:G,Rezepte!A:A,C1007)</f>
        <v>0</v>
      </c>
      <c r="F1007" s="42" t="str">
        <f t="shared" si="2"/>
        <v>#DIV/0!</v>
      </c>
      <c r="G1007" s="38"/>
      <c r="H1007" s="38"/>
      <c r="I1007" s="38"/>
      <c r="J1007" s="38"/>
      <c r="K1007" s="38"/>
      <c r="L1007" s="38"/>
      <c r="M1007" s="38"/>
      <c r="N1007" s="38"/>
      <c r="O1007" s="38"/>
    </row>
    <row r="1008" hidden="1">
      <c r="A1008" s="38"/>
      <c r="B1008" s="38"/>
      <c r="C1008" s="39"/>
      <c r="D1008" s="40">
        <f>SUMIFS(Rezepte!F:F,Rezepte!A:A,C1008)</f>
        <v>0</v>
      </c>
      <c r="E1008" s="41">
        <f>SUMIFS(Rezepte!G:G,Rezepte!A:A,C1008)</f>
        <v>0</v>
      </c>
      <c r="F1008" s="42" t="str">
        <f t="shared" si="2"/>
        <v>#DIV/0!</v>
      </c>
      <c r="G1008" s="38"/>
      <c r="H1008" s="38"/>
      <c r="I1008" s="38"/>
      <c r="J1008" s="38"/>
      <c r="K1008" s="38"/>
      <c r="L1008" s="38"/>
      <c r="M1008" s="38"/>
      <c r="N1008" s="38"/>
      <c r="O1008" s="38"/>
    </row>
    <row r="1009" hidden="1">
      <c r="A1009" s="38"/>
      <c r="B1009" s="38"/>
      <c r="C1009" s="39"/>
      <c r="D1009" s="40">
        <f>SUMIFS(Rezepte!F:F,Rezepte!A:A,C1009)</f>
        <v>0</v>
      </c>
      <c r="E1009" s="41">
        <f>SUMIFS(Rezepte!G:G,Rezepte!A:A,C1009)</f>
        <v>0</v>
      </c>
      <c r="F1009" s="42" t="str">
        <f t="shared" si="2"/>
        <v>#DIV/0!</v>
      </c>
      <c r="G1009" s="38"/>
      <c r="H1009" s="38"/>
      <c r="I1009" s="38"/>
      <c r="J1009" s="38"/>
      <c r="K1009" s="38"/>
      <c r="L1009" s="38"/>
      <c r="M1009" s="38"/>
      <c r="N1009" s="38"/>
      <c r="O1009" s="38"/>
    </row>
    <row r="1010" hidden="1">
      <c r="A1010" s="38"/>
      <c r="B1010" s="38"/>
      <c r="C1010" s="39"/>
      <c r="D1010" s="40">
        <f>SUMIFS(Rezepte!F:F,Rezepte!A:A,C1010)</f>
        <v>0</v>
      </c>
      <c r="E1010" s="41">
        <f>SUMIFS(Rezepte!G:G,Rezepte!A:A,C1010)</f>
        <v>0</v>
      </c>
      <c r="F1010" s="42" t="str">
        <f t="shared" si="2"/>
        <v>#DIV/0!</v>
      </c>
      <c r="G1010" s="38"/>
      <c r="H1010" s="38"/>
      <c r="I1010" s="38"/>
      <c r="J1010" s="38"/>
      <c r="K1010" s="38"/>
      <c r="L1010" s="38"/>
      <c r="M1010" s="38"/>
      <c r="N1010" s="38"/>
      <c r="O1010" s="38"/>
    </row>
    <row r="1011" hidden="1">
      <c r="A1011" s="38"/>
      <c r="B1011" s="38"/>
      <c r="C1011" s="39"/>
      <c r="D1011" s="40">
        <f>SUMIFS(Rezepte!F:F,Rezepte!A:A,C1011)</f>
        <v>0</v>
      </c>
      <c r="E1011" s="41">
        <f>SUMIFS(Rezepte!G:G,Rezepte!A:A,C1011)</f>
        <v>0</v>
      </c>
      <c r="F1011" s="42" t="str">
        <f t="shared" si="2"/>
        <v>#DIV/0!</v>
      </c>
      <c r="G1011" s="38"/>
      <c r="H1011" s="38"/>
      <c r="I1011" s="38"/>
      <c r="J1011" s="38"/>
      <c r="K1011" s="38"/>
      <c r="L1011" s="38"/>
      <c r="M1011" s="38"/>
      <c r="N1011" s="38"/>
      <c r="O1011" s="38"/>
    </row>
    <row r="1012" hidden="1">
      <c r="A1012" s="38"/>
      <c r="B1012" s="38"/>
      <c r="C1012" s="39"/>
      <c r="D1012" s="40">
        <f>SUMIFS(Rezepte!F:F,Rezepte!A:A,C1012)</f>
        <v>0</v>
      </c>
      <c r="E1012" s="41">
        <f>SUMIFS(Rezepte!G:G,Rezepte!A:A,C1012)</f>
        <v>0</v>
      </c>
      <c r="F1012" s="42" t="str">
        <f t="shared" si="2"/>
        <v>#DIV/0!</v>
      </c>
      <c r="G1012" s="38"/>
      <c r="H1012" s="38"/>
      <c r="I1012" s="38"/>
      <c r="J1012" s="38"/>
      <c r="K1012" s="38"/>
      <c r="L1012" s="38"/>
      <c r="M1012" s="38"/>
      <c r="N1012" s="38"/>
      <c r="O1012" s="38"/>
    </row>
    <row r="1013" hidden="1">
      <c r="A1013" s="38"/>
      <c r="B1013" s="38"/>
      <c r="C1013" s="39"/>
      <c r="D1013" s="40">
        <f>SUMIFS(Rezepte!F:F,Rezepte!A:A,C1013)</f>
        <v>0</v>
      </c>
      <c r="E1013" s="41">
        <f>SUMIFS(Rezepte!G:G,Rezepte!A:A,C1013)</f>
        <v>0</v>
      </c>
      <c r="F1013" s="42" t="str">
        <f t="shared" si="2"/>
        <v>#DIV/0!</v>
      </c>
      <c r="G1013" s="38"/>
      <c r="H1013" s="38"/>
      <c r="I1013" s="38"/>
      <c r="J1013" s="38"/>
      <c r="K1013" s="38"/>
      <c r="L1013" s="38"/>
      <c r="M1013" s="38"/>
      <c r="N1013" s="38"/>
      <c r="O1013" s="38"/>
    </row>
    <row r="1014" hidden="1">
      <c r="A1014" s="38"/>
      <c r="B1014" s="38"/>
      <c r="C1014" s="39"/>
      <c r="D1014" s="40">
        <f>SUMIFS(Rezepte!F:F,Rezepte!A:A,C1014)</f>
        <v>0</v>
      </c>
      <c r="E1014" s="41">
        <f>SUMIFS(Rezepte!G:G,Rezepte!A:A,C1014)</f>
        <v>0</v>
      </c>
      <c r="F1014" s="42" t="str">
        <f t="shared" si="2"/>
        <v>#DIV/0!</v>
      </c>
      <c r="G1014" s="38"/>
      <c r="H1014" s="38"/>
      <c r="I1014" s="38"/>
      <c r="J1014" s="38"/>
      <c r="K1014" s="38"/>
      <c r="L1014" s="38"/>
      <c r="M1014" s="38"/>
      <c r="N1014" s="38"/>
      <c r="O1014" s="38"/>
    </row>
    <row r="1015" hidden="1">
      <c r="A1015" s="38"/>
      <c r="B1015" s="38"/>
      <c r="C1015" s="39"/>
      <c r="D1015" s="40">
        <f>SUMIFS(Rezepte!F:F,Rezepte!A:A,C1015)</f>
        <v>0</v>
      </c>
      <c r="E1015" s="41">
        <f>SUMIFS(Rezepte!G:G,Rezepte!A:A,C1015)</f>
        <v>0</v>
      </c>
      <c r="F1015" s="42" t="str">
        <f t="shared" si="2"/>
        <v>#DIV/0!</v>
      </c>
      <c r="G1015" s="38"/>
      <c r="H1015" s="38"/>
      <c r="I1015" s="38"/>
      <c r="J1015" s="38"/>
      <c r="K1015" s="38"/>
      <c r="L1015" s="38"/>
      <c r="M1015" s="38"/>
      <c r="N1015" s="38"/>
      <c r="O1015" s="38"/>
    </row>
    <row r="1016" hidden="1">
      <c r="A1016" s="38"/>
      <c r="B1016" s="38"/>
      <c r="C1016" s="39"/>
      <c r="D1016" s="40">
        <f>SUMIFS(Rezepte!F:F,Rezepte!A:A,C1016)</f>
        <v>0</v>
      </c>
      <c r="E1016" s="41">
        <f>SUMIFS(Rezepte!G:G,Rezepte!A:A,C1016)</f>
        <v>0</v>
      </c>
      <c r="F1016" s="42" t="str">
        <f t="shared" si="2"/>
        <v>#DIV/0!</v>
      </c>
      <c r="G1016" s="38"/>
      <c r="H1016" s="38"/>
      <c r="I1016" s="38"/>
      <c r="J1016" s="38"/>
      <c r="K1016" s="38"/>
      <c r="L1016" s="38"/>
      <c r="M1016" s="38"/>
      <c r="N1016" s="38"/>
      <c r="O1016" s="38"/>
    </row>
    <row r="1017" hidden="1">
      <c r="A1017" s="38"/>
      <c r="B1017" s="38"/>
      <c r="C1017" s="39"/>
      <c r="D1017" s="40">
        <f>SUMIFS(Rezepte!F:F,Rezepte!A:A,C1017)</f>
        <v>0</v>
      </c>
      <c r="E1017" s="41">
        <f>SUMIFS(Rezepte!G:G,Rezepte!A:A,C1017)</f>
        <v>0</v>
      </c>
      <c r="F1017" s="42" t="str">
        <f t="shared" si="2"/>
        <v>#DIV/0!</v>
      </c>
      <c r="G1017" s="38"/>
      <c r="H1017" s="38"/>
      <c r="I1017" s="38"/>
      <c r="J1017" s="38"/>
      <c r="K1017" s="38"/>
      <c r="L1017" s="38"/>
      <c r="M1017" s="38"/>
      <c r="N1017" s="38"/>
      <c r="O1017" s="38"/>
    </row>
    <row r="1018" hidden="1">
      <c r="A1018" s="38"/>
      <c r="B1018" s="38"/>
      <c r="C1018" s="39"/>
      <c r="D1018" s="40">
        <f>SUMIFS(Rezepte!F:F,Rezepte!A:A,C1018)</f>
        <v>0</v>
      </c>
      <c r="E1018" s="41">
        <f>SUMIFS(Rezepte!G:G,Rezepte!A:A,C1018)</f>
        <v>0</v>
      </c>
      <c r="F1018" s="42" t="str">
        <f t="shared" si="2"/>
        <v>#DIV/0!</v>
      </c>
      <c r="G1018" s="38"/>
      <c r="H1018" s="38"/>
      <c r="I1018" s="38"/>
      <c r="J1018" s="38"/>
      <c r="K1018" s="38"/>
      <c r="L1018" s="38"/>
      <c r="M1018" s="38"/>
      <c r="N1018" s="38"/>
      <c r="O1018" s="38"/>
    </row>
    <row r="1019" hidden="1">
      <c r="A1019" s="38"/>
      <c r="B1019" s="38"/>
      <c r="C1019" s="39"/>
      <c r="D1019" s="40">
        <f>SUMIFS(Rezepte!F:F,Rezepte!A:A,C1019)</f>
        <v>0</v>
      </c>
      <c r="E1019" s="41">
        <f>SUMIFS(Rezepte!G:G,Rezepte!A:A,C1019)</f>
        <v>0</v>
      </c>
      <c r="F1019" s="42" t="str">
        <f t="shared" si="2"/>
        <v>#DIV/0!</v>
      </c>
      <c r="G1019" s="38"/>
      <c r="H1019" s="38"/>
      <c r="I1019" s="38"/>
      <c r="J1019" s="38"/>
      <c r="K1019" s="38"/>
      <c r="L1019" s="38"/>
      <c r="M1019" s="38"/>
      <c r="N1019" s="38"/>
      <c r="O1019" s="38"/>
    </row>
    <row r="1020" hidden="1">
      <c r="A1020" s="38"/>
      <c r="B1020" s="38"/>
      <c r="C1020" s="39"/>
      <c r="D1020" s="40">
        <f>SUMIFS(Rezepte!F:F,Rezepte!A:A,C1020)</f>
        <v>0</v>
      </c>
      <c r="E1020" s="41">
        <f>SUMIFS(Rezepte!G:G,Rezepte!A:A,C1020)</f>
        <v>0</v>
      </c>
      <c r="F1020" s="42" t="str">
        <f t="shared" si="2"/>
        <v>#DIV/0!</v>
      </c>
      <c r="G1020" s="38"/>
      <c r="H1020" s="38"/>
      <c r="I1020" s="38"/>
      <c r="J1020" s="38"/>
      <c r="K1020" s="38"/>
      <c r="L1020" s="38"/>
      <c r="M1020" s="38"/>
      <c r="N1020" s="38"/>
      <c r="O1020" s="38"/>
    </row>
    <row r="1021" hidden="1">
      <c r="A1021" s="38"/>
      <c r="B1021" s="38"/>
      <c r="C1021" s="39"/>
      <c r="D1021" s="40">
        <f>SUMIFS(Rezepte!F:F,Rezepte!A:A,C1021)</f>
        <v>0</v>
      </c>
      <c r="E1021" s="41">
        <f>SUMIFS(Rezepte!G:G,Rezepte!A:A,C1021)</f>
        <v>0</v>
      </c>
      <c r="F1021" s="42" t="str">
        <f t="shared" si="2"/>
        <v>#DIV/0!</v>
      </c>
      <c r="G1021" s="38"/>
      <c r="H1021" s="38"/>
      <c r="I1021" s="38"/>
      <c r="J1021" s="38"/>
      <c r="K1021" s="38"/>
      <c r="L1021" s="38"/>
      <c r="M1021" s="38"/>
      <c r="N1021" s="38"/>
      <c r="O1021" s="38"/>
    </row>
    <row r="1022" hidden="1">
      <c r="A1022" s="38"/>
      <c r="B1022" s="38"/>
      <c r="C1022" s="39"/>
      <c r="D1022" s="40">
        <f>SUMIFS(Rezepte!F:F,Rezepte!A:A,C1022)</f>
        <v>0</v>
      </c>
      <c r="E1022" s="41">
        <f>SUMIFS(Rezepte!G:G,Rezepte!A:A,C1022)</f>
        <v>0</v>
      </c>
      <c r="F1022" s="42" t="str">
        <f t="shared" si="2"/>
        <v>#DIV/0!</v>
      </c>
      <c r="G1022" s="38"/>
      <c r="H1022" s="38"/>
      <c r="I1022" s="38"/>
      <c r="J1022" s="38"/>
      <c r="K1022" s="38"/>
      <c r="L1022" s="38"/>
      <c r="M1022" s="38"/>
      <c r="N1022" s="38"/>
      <c r="O1022" s="38"/>
    </row>
    <row r="1023" hidden="1">
      <c r="A1023" s="38"/>
      <c r="B1023" s="38"/>
      <c r="C1023" s="39"/>
      <c r="D1023" s="40">
        <f>SUMIFS(Rezepte!F:F,Rezepte!A:A,C1023)</f>
        <v>0</v>
      </c>
      <c r="E1023" s="41">
        <f>SUMIFS(Rezepte!G:G,Rezepte!A:A,C1023)</f>
        <v>0</v>
      </c>
      <c r="F1023" s="42" t="str">
        <f t="shared" si="2"/>
        <v>#DIV/0!</v>
      </c>
      <c r="G1023" s="38"/>
      <c r="H1023" s="38"/>
      <c r="I1023" s="38"/>
      <c r="J1023" s="38"/>
      <c r="K1023" s="38"/>
      <c r="L1023" s="38"/>
      <c r="M1023" s="38"/>
      <c r="N1023" s="38"/>
      <c r="O1023" s="38"/>
    </row>
    <row r="1024" hidden="1">
      <c r="A1024" s="38"/>
      <c r="B1024" s="38"/>
      <c r="C1024" s="39"/>
      <c r="D1024" s="40">
        <f>SUMIFS(Rezepte!F:F,Rezepte!A:A,C1024)</f>
        <v>0</v>
      </c>
      <c r="E1024" s="41">
        <f>SUMIFS(Rezepte!G:G,Rezepte!A:A,C1024)</f>
        <v>0</v>
      </c>
      <c r="F1024" s="42" t="str">
        <f t="shared" si="2"/>
        <v>#DIV/0!</v>
      </c>
      <c r="G1024" s="38"/>
      <c r="H1024" s="38"/>
      <c r="I1024" s="38"/>
      <c r="J1024" s="38"/>
      <c r="K1024" s="38"/>
      <c r="L1024" s="38"/>
      <c r="M1024" s="38"/>
      <c r="N1024" s="38"/>
      <c r="O1024" s="38"/>
    </row>
    <row r="1025" hidden="1">
      <c r="A1025" s="38"/>
      <c r="B1025" s="38"/>
      <c r="C1025" s="39"/>
      <c r="D1025" s="40">
        <f>SUMIFS(Rezepte!F:F,Rezepte!A:A,C1025)</f>
        <v>0</v>
      </c>
      <c r="E1025" s="41">
        <f>SUMIFS(Rezepte!G:G,Rezepte!A:A,C1025)</f>
        <v>0</v>
      </c>
      <c r="F1025" s="42" t="str">
        <f t="shared" si="2"/>
        <v>#DIV/0!</v>
      </c>
      <c r="G1025" s="38"/>
      <c r="H1025" s="38"/>
      <c r="I1025" s="38"/>
      <c r="J1025" s="38"/>
      <c r="K1025" s="38"/>
      <c r="L1025" s="38"/>
      <c r="M1025" s="38"/>
      <c r="N1025" s="38"/>
      <c r="O1025" s="38"/>
    </row>
    <row r="1026" hidden="1">
      <c r="A1026" s="38"/>
      <c r="B1026" s="38"/>
      <c r="C1026" s="39"/>
      <c r="D1026" s="40">
        <f>SUMIFS(Rezepte!F:F,Rezepte!A:A,C1026)</f>
        <v>0</v>
      </c>
      <c r="E1026" s="41">
        <f>SUMIFS(Rezepte!G:G,Rezepte!A:A,C1026)</f>
        <v>0</v>
      </c>
      <c r="F1026" s="42" t="str">
        <f t="shared" si="2"/>
        <v>#DIV/0!</v>
      </c>
      <c r="G1026" s="38"/>
      <c r="H1026" s="38"/>
      <c r="I1026" s="38"/>
      <c r="J1026" s="38"/>
      <c r="K1026" s="38"/>
      <c r="L1026" s="38"/>
      <c r="M1026" s="38"/>
      <c r="N1026" s="38"/>
      <c r="O1026" s="38"/>
    </row>
    <row r="1027" hidden="1">
      <c r="A1027" s="38"/>
      <c r="B1027" s="38"/>
      <c r="C1027" s="39"/>
      <c r="D1027" s="40">
        <f>SUMIFS(Rezepte!F:F,Rezepte!A:A,C1027)</f>
        <v>0</v>
      </c>
      <c r="E1027" s="41">
        <f>SUMIFS(Rezepte!G:G,Rezepte!A:A,C1027)</f>
        <v>0</v>
      </c>
      <c r="F1027" s="42" t="str">
        <f t="shared" si="2"/>
        <v>#DIV/0!</v>
      </c>
      <c r="G1027" s="38"/>
      <c r="H1027" s="38"/>
      <c r="I1027" s="38"/>
      <c r="J1027" s="38"/>
      <c r="K1027" s="38"/>
      <c r="L1027" s="38"/>
      <c r="M1027" s="38"/>
      <c r="N1027" s="38"/>
      <c r="O1027" s="38"/>
    </row>
    <row r="1028" hidden="1">
      <c r="A1028" s="38"/>
      <c r="B1028" s="38"/>
      <c r="C1028" s="39"/>
      <c r="D1028" s="40">
        <f>SUMIFS(Rezepte!F:F,Rezepte!A:A,C1028)</f>
        <v>0</v>
      </c>
      <c r="E1028" s="41">
        <f>SUMIFS(Rezepte!G:G,Rezepte!A:A,C1028)</f>
        <v>0</v>
      </c>
      <c r="F1028" s="42" t="str">
        <f t="shared" si="2"/>
        <v>#DIV/0!</v>
      </c>
      <c r="G1028" s="38"/>
      <c r="H1028" s="38"/>
      <c r="I1028" s="38"/>
      <c r="J1028" s="38"/>
      <c r="K1028" s="38"/>
      <c r="L1028" s="38"/>
      <c r="M1028" s="38"/>
      <c r="N1028" s="38"/>
      <c r="O1028" s="38"/>
    </row>
    <row r="1029" hidden="1">
      <c r="A1029" s="38"/>
      <c r="B1029" s="38"/>
      <c r="C1029" s="39"/>
      <c r="D1029" s="40">
        <f>SUMIFS(Rezepte!F:F,Rezepte!A:A,C1029)</f>
        <v>0</v>
      </c>
      <c r="E1029" s="41">
        <f>SUMIFS(Rezepte!G:G,Rezepte!A:A,C1029)</f>
        <v>0</v>
      </c>
      <c r="F1029" s="42" t="str">
        <f t="shared" si="2"/>
        <v>#DIV/0!</v>
      </c>
      <c r="G1029" s="38"/>
      <c r="H1029" s="38"/>
      <c r="I1029" s="38"/>
      <c r="J1029" s="38"/>
      <c r="K1029" s="38"/>
      <c r="L1029" s="38"/>
      <c r="M1029" s="38"/>
      <c r="N1029" s="38"/>
      <c r="O1029" s="38"/>
    </row>
    <row r="1030" hidden="1">
      <c r="A1030" s="38"/>
      <c r="B1030" s="38"/>
      <c r="C1030" s="39"/>
      <c r="D1030" s="40">
        <f>SUMIFS(Rezepte!F:F,Rezepte!A:A,C1030)</f>
        <v>0</v>
      </c>
      <c r="E1030" s="41">
        <f>SUMIFS(Rezepte!G:G,Rezepte!A:A,C1030)</f>
        <v>0</v>
      </c>
      <c r="F1030" s="42" t="str">
        <f t="shared" si="2"/>
        <v>#DIV/0!</v>
      </c>
      <c r="G1030" s="38"/>
      <c r="H1030" s="38"/>
      <c r="I1030" s="38"/>
      <c r="J1030" s="38"/>
      <c r="K1030" s="38"/>
      <c r="L1030" s="38"/>
      <c r="M1030" s="38"/>
      <c r="N1030" s="38"/>
      <c r="O1030" s="38"/>
    </row>
    <row r="1031" hidden="1">
      <c r="A1031" s="38"/>
      <c r="B1031" s="38"/>
      <c r="C1031" s="39"/>
      <c r="D1031" s="40">
        <f>SUMIFS(Rezepte!F:F,Rezepte!A:A,C1031)</f>
        <v>0</v>
      </c>
      <c r="E1031" s="41">
        <f>SUMIFS(Rezepte!G:G,Rezepte!A:A,C1031)</f>
        <v>0</v>
      </c>
      <c r="F1031" s="42" t="str">
        <f t="shared" si="2"/>
        <v>#DIV/0!</v>
      </c>
      <c r="G1031" s="38"/>
      <c r="H1031" s="38"/>
      <c r="I1031" s="38"/>
      <c r="J1031" s="38"/>
      <c r="K1031" s="38"/>
      <c r="L1031" s="38"/>
      <c r="M1031" s="38"/>
      <c r="N1031" s="38"/>
      <c r="O1031" s="38"/>
    </row>
    <row r="1032" hidden="1">
      <c r="A1032" s="38"/>
      <c r="B1032" s="38"/>
      <c r="C1032" s="39"/>
      <c r="D1032" s="40">
        <f>SUMIFS(Rezepte!F:F,Rezepte!A:A,C1032)</f>
        <v>0</v>
      </c>
      <c r="E1032" s="41">
        <f>SUMIFS(Rezepte!G:G,Rezepte!A:A,C1032)</f>
        <v>0</v>
      </c>
      <c r="F1032" s="42" t="str">
        <f t="shared" si="2"/>
        <v>#DIV/0!</v>
      </c>
      <c r="G1032" s="38"/>
      <c r="H1032" s="38"/>
      <c r="I1032" s="38"/>
      <c r="J1032" s="38"/>
      <c r="K1032" s="38"/>
      <c r="L1032" s="38"/>
      <c r="M1032" s="38"/>
      <c r="N1032" s="38"/>
      <c r="O1032" s="38"/>
    </row>
    <row r="1033" hidden="1">
      <c r="A1033" s="38"/>
      <c r="B1033" s="38"/>
      <c r="C1033" s="39"/>
      <c r="D1033" s="40">
        <f>SUMIFS(Rezepte!F:F,Rezepte!A:A,C1033)</f>
        <v>0</v>
      </c>
      <c r="E1033" s="41">
        <f>SUMIFS(Rezepte!G:G,Rezepte!A:A,C1033)</f>
        <v>0</v>
      </c>
      <c r="F1033" s="42" t="str">
        <f t="shared" si="2"/>
        <v>#DIV/0!</v>
      </c>
      <c r="G1033" s="38"/>
      <c r="H1033" s="38"/>
      <c r="I1033" s="38"/>
      <c r="J1033" s="38"/>
      <c r="K1033" s="38"/>
      <c r="L1033" s="38"/>
      <c r="M1033" s="38"/>
      <c r="N1033" s="38"/>
      <c r="O1033" s="38"/>
    </row>
    <row r="1034" hidden="1">
      <c r="A1034" s="38"/>
      <c r="B1034" s="38"/>
      <c r="C1034" s="39"/>
      <c r="D1034" s="40">
        <f>SUMIFS(Rezepte!F:F,Rezepte!A:A,C1034)</f>
        <v>0</v>
      </c>
      <c r="E1034" s="41">
        <f>SUMIFS(Rezepte!G:G,Rezepte!A:A,C1034)</f>
        <v>0</v>
      </c>
      <c r="F1034" s="42" t="str">
        <f t="shared" si="2"/>
        <v>#DIV/0!</v>
      </c>
      <c r="G1034" s="38"/>
      <c r="H1034" s="38"/>
      <c r="I1034" s="38"/>
      <c r="J1034" s="38"/>
      <c r="K1034" s="38"/>
      <c r="L1034" s="38"/>
      <c r="M1034" s="38"/>
      <c r="N1034" s="38"/>
      <c r="O1034" s="38"/>
    </row>
    <row r="1035" hidden="1">
      <c r="A1035" s="38"/>
      <c r="B1035" s="38"/>
      <c r="C1035" s="39"/>
      <c r="D1035" s="40">
        <f>SUMIFS(Rezepte!F:F,Rezepte!A:A,C1035)</f>
        <v>0</v>
      </c>
      <c r="E1035" s="41">
        <f>SUMIFS(Rezepte!G:G,Rezepte!A:A,C1035)</f>
        <v>0</v>
      </c>
      <c r="F1035" s="42" t="str">
        <f t="shared" si="2"/>
        <v>#DIV/0!</v>
      </c>
      <c r="G1035" s="38"/>
      <c r="H1035" s="38"/>
      <c r="I1035" s="38"/>
      <c r="J1035" s="38"/>
      <c r="K1035" s="38"/>
      <c r="L1035" s="38"/>
      <c r="M1035" s="38"/>
      <c r="N1035" s="38"/>
      <c r="O1035" s="38"/>
    </row>
    <row r="1036" hidden="1">
      <c r="A1036" s="38"/>
      <c r="B1036" s="38"/>
      <c r="C1036" s="39"/>
      <c r="D1036" s="40">
        <f>SUMIFS(Rezepte!F:F,Rezepte!A:A,C1036)</f>
        <v>0</v>
      </c>
      <c r="E1036" s="41">
        <f>SUMIFS(Rezepte!G:G,Rezepte!A:A,C1036)</f>
        <v>0</v>
      </c>
      <c r="F1036" s="42" t="str">
        <f t="shared" si="2"/>
        <v>#DIV/0!</v>
      </c>
      <c r="G1036" s="38"/>
      <c r="H1036" s="38"/>
      <c r="I1036" s="38"/>
      <c r="J1036" s="38"/>
      <c r="K1036" s="38"/>
      <c r="L1036" s="38"/>
      <c r="M1036" s="38"/>
      <c r="N1036" s="38"/>
      <c r="O1036" s="38"/>
    </row>
    <row r="1037" hidden="1">
      <c r="A1037" s="38"/>
      <c r="B1037" s="38"/>
      <c r="C1037" s="39"/>
      <c r="D1037" s="40">
        <f>SUMIFS(Rezepte!F:F,Rezepte!A:A,C1037)</f>
        <v>0</v>
      </c>
      <c r="E1037" s="41">
        <f>SUMIFS(Rezepte!G:G,Rezepte!A:A,C1037)</f>
        <v>0</v>
      </c>
      <c r="F1037" s="42" t="str">
        <f t="shared" si="2"/>
        <v>#DIV/0!</v>
      </c>
      <c r="G1037" s="38"/>
      <c r="H1037" s="38"/>
      <c r="I1037" s="38"/>
      <c r="J1037" s="38"/>
      <c r="K1037" s="38"/>
      <c r="L1037" s="38"/>
      <c r="M1037" s="38"/>
      <c r="N1037" s="38"/>
      <c r="O1037" s="38"/>
    </row>
    <row r="1038" hidden="1">
      <c r="A1038" s="38"/>
      <c r="B1038" s="38"/>
      <c r="C1038" s="39"/>
      <c r="D1038" s="40">
        <f>SUMIFS(Rezepte!F:F,Rezepte!A:A,C1038)</f>
        <v>0</v>
      </c>
      <c r="E1038" s="41">
        <f>SUMIFS(Rezepte!G:G,Rezepte!A:A,C1038)</f>
        <v>0</v>
      </c>
      <c r="F1038" s="42" t="str">
        <f t="shared" si="2"/>
        <v>#DIV/0!</v>
      </c>
      <c r="G1038" s="38"/>
      <c r="H1038" s="38"/>
      <c r="I1038" s="38"/>
      <c r="J1038" s="38"/>
      <c r="K1038" s="38"/>
      <c r="L1038" s="38"/>
      <c r="M1038" s="38"/>
      <c r="N1038" s="38"/>
      <c r="O1038" s="38"/>
    </row>
    <row r="1039" hidden="1">
      <c r="A1039" s="38"/>
      <c r="B1039" s="38"/>
      <c r="C1039" s="39"/>
      <c r="D1039" s="40">
        <f>SUMIFS(Rezepte!F:F,Rezepte!A:A,C1039)</f>
        <v>0</v>
      </c>
      <c r="E1039" s="41">
        <f>SUMIFS(Rezepte!G:G,Rezepte!A:A,C1039)</f>
        <v>0</v>
      </c>
      <c r="F1039" s="42" t="str">
        <f t="shared" si="2"/>
        <v>#DIV/0!</v>
      </c>
      <c r="G1039" s="38"/>
      <c r="H1039" s="38"/>
      <c r="I1039" s="38"/>
      <c r="J1039" s="38"/>
      <c r="K1039" s="38"/>
      <c r="L1039" s="38"/>
      <c r="M1039" s="38"/>
      <c r="N1039" s="38"/>
      <c r="O1039" s="38"/>
    </row>
    <row r="1040" hidden="1">
      <c r="A1040" s="38"/>
      <c r="B1040" s="38"/>
      <c r="C1040" s="39"/>
      <c r="D1040" s="40">
        <f>SUMIFS(Rezepte!F:F,Rezepte!A:A,C1040)</f>
        <v>0</v>
      </c>
      <c r="E1040" s="41">
        <f>SUMIFS(Rezepte!G:G,Rezepte!A:A,C1040)</f>
        <v>0</v>
      </c>
      <c r="F1040" s="42" t="str">
        <f t="shared" si="2"/>
        <v>#DIV/0!</v>
      </c>
      <c r="G1040" s="38"/>
      <c r="H1040" s="38"/>
      <c r="I1040" s="38"/>
      <c r="J1040" s="38"/>
      <c r="K1040" s="38"/>
      <c r="L1040" s="38"/>
      <c r="M1040" s="38"/>
      <c r="N1040" s="38"/>
      <c r="O1040" s="38"/>
    </row>
    <row r="1041" hidden="1">
      <c r="A1041" s="38"/>
      <c r="B1041" s="38"/>
      <c r="C1041" s="39"/>
      <c r="D1041" s="40">
        <f>SUMIFS(Rezepte!F:F,Rezepte!A:A,C1041)</f>
        <v>0</v>
      </c>
      <c r="E1041" s="41">
        <f>SUMIFS(Rezepte!G:G,Rezepte!A:A,C1041)</f>
        <v>0</v>
      </c>
      <c r="F1041" s="42" t="str">
        <f t="shared" si="2"/>
        <v>#DIV/0!</v>
      </c>
      <c r="G1041" s="38"/>
      <c r="H1041" s="38"/>
      <c r="I1041" s="38"/>
      <c r="J1041" s="38"/>
      <c r="K1041" s="38"/>
      <c r="L1041" s="38"/>
      <c r="M1041" s="38"/>
      <c r="N1041" s="38"/>
      <c r="O1041" s="38"/>
    </row>
    <row r="1042" hidden="1">
      <c r="A1042" s="38"/>
      <c r="B1042" s="38"/>
      <c r="C1042" s="39"/>
      <c r="D1042" s="40">
        <f>SUMIFS(Rezepte!F:F,Rezepte!A:A,C1042)</f>
        <v>0</v>
      </c>
      <c r="E1042" s="41">
        <f>SUMIFS(Rezepte!G:G,Rezepte!A:A,C1042)</f>
        <v>0</v>
      </c>
      <c r="F1042" s="42" t="str">
        <f t="shared" si="2"/>
        <v>#DIV/0!</v>
      </c>
      <c r="G1042" s="38"/>
      <c r="H1042" s="38"/>
      <c r="I1042" s="38"/>
      <c r="J1042" s="38"/>
      <c r="K1042" s="38"/>
      <c r="L1042" s="38"/>
      <c r="M1042" s="38"/>
      <c r="N1042" s="38"/>
      <c r="O1042" s="38"/>
    </row>
    <row r="1043" hidden="1">
      <c r="A1043" s="38"/>
      <c r="B1043" s="38"/>
      <c r="C1043" s="39"/>
      <c r="D1043" s="40">
        <f>SUMIFS(Rezepte!F:F,Rezepte!A:A,C1043)</f>
        <v>0</v>
      </c>
      <c r="E1043" s="41">
        <f>SUMIFS(Rezepte!G:G,Rezepte!A:A,C1043)</f>
        <v>0</v>
      </c>
      <c r="F1043" s="42" t="str">
        <f t="shared" si="2"/>
        <v>#DIV/0!</v>
      </c>
      <c r="G1043" s="38"/>
      <c r="H1043" s="38"/>
      <c r="I1043" s="38"/>
      <c r="J1043" s="38"/>
      <c r="K1043" s="38"/>
      <c r="L1043" s="38"/>
      <c r="M1043" s="38"/>
      <c r="N1043" s="38"/>
      <c r="O1043" s="38"/>
    </row>
    <row r="1044" hidden="1">
      <c r="A1044" s="38"/>
      <c r="B1044" s="38"/>
      <c r="C1044" s="39"/>
      <c r="D1044" s="40">
        <f>SUMIFS(Rezepte!F:F,Rezepte!A:A,C1044)</f>
        <v>0</v>
      </c>
      <c r="E1044" s="41">
        <f>SUMIFS(Rezepte!G:G,Rezepte!A:A,C1044)</f>
        <v>0</v>
      </c>
      <c r="F1044" s="42" t="str">
        <f t="shared" si="2"/>
        <v>#DIV/0!</v>
      </c>
      <c r="G1044" s="38"/>
      <c r="H1044" s="38"/>
      <c r="I1044" s="38"/>
      <c r="J1044" s="38"/>
      <c r="K1044" s="38"/>
      <c r="L1044" s="38"/>
      <c r="M1044" s="38"/>
      <c r="N1044" s="38"/>
      <c r="O1044" s="38"/>
    </row>
    <row r="1045" hidden="1">
      <c r="A1045" s="38"/>
      <c r="B1045" s="38"/>
      <c r="C1045" s="39"/>
      <c r="D1045" s="40">
        <f>SUMIFS(Rezepte!F:F,Rezepte!A:A,C1045)</f>
        <v>0</v>
      </c>
      <c r="E1045" s="41">
        <f>SUMIFS(Rezepte!G:G,Rezepte!A:A,C1045)</f>
        <v>0</v>
      </c>
      <c r="F1045" s="42" t="str">
        <f t="shared" si="2"/>
        <v>#DIV/0!</v>
      </c>
      <c r="G1045" s="38"/>
      <c r="H1045" s="38"/>
      <c r="I1045" s="38"/>
      <c r="J1045" s="38"/>
      <c r="K1045" s="38"/>
      <c r="L1045" s="38"/>
      <c r="M1045" s="38"/>
      <c r="N1045" s="38"/>
      <c r="O1045" s="38"/>
    </row>
    <row r="1046" hidden="1">
      <c r="A1046" s="38"/>
      <c r="B1046" s="38"/>
      <c r="C1046" s="39"/>
      <c r="D1046" s="40">
        <f>SUMIFS(Rezepte!F:F,Rezepte!A:A,C1046)</f>
        <v>0</v>
      </c>
      <c r="E1046" s="41">
        <f>SUMIFS(Rezepte!G:G,Rezepte!A:A,C1046)</f>
        <v>0</v>
      </c>
      <c r="F1046" s="42" t="str">
        <f t="shared" si="2"/>
        <v>#DIV/0!</v>
      </c>
      <c r="G1046" s="38"/>
      <c r="H1046" s="38"/>
      <c r="I1046" s="38"/>
      <c r="J1046" s="38"/>
      <c r="K1046" s="38"/>
      <c r="L1046" s="38"/>
      <c r="M1046" s="38"/>
      <c r="N1046" s="38"/>
      <c r="O1046" s="38"/>
    </row>
    <row r="1047" hidden="1">
      <c r="A1047" s="38"/>
      <c r="B1047" s="38"/>
      <c r="C1047" s="39"/>
      <c r="D1047" s="40">
        <f>SUMIFS(Rezepte!F:F,Rezepte!A:A,C1047)</f>
        <v>0</v>
      </c>
      <c r="E1047" s="41">
        <f>SUMIFS(Rezepte!G:G,Rezepte!A:A,C1047)</f>
        <v>0</v>
      </c>
      <c r="F1047" s="42" t="str">
        <f t="shared" si="2"/>
        <v>#DIV/0!</v>
      </c>
      <c r="G1047" s="38"/>
      <c r="H1047" s="38"/>
      <c r="I1047" s="38"/>
      <c r="J1047" s="38"/>
      <c r="K1047" s="38"/>
      <c r="L1047" s="38"/>
      <c r="M1047" s="38"/>
      <c r="N1047" s="38"/>
      <c r="O1047" s="38"/>
    </row>
    <row r="1048" hidden="1">
      <c r="A1048" s="38"/>
      <c r="B1048" s="38"/>
      <c r="C1048" s="39"/>
      <c r="D1048" s="40">
        <f>SUMIFS(Rezepte!F:F,Rezepte!A:A,C1048)</f>
        <v>0</v>
      </c>
      <c r="E1048" s="41">
        <f>SUMIFS(Rezepte!G:G,Rezepte!A:A,C1048)</f>
        <v>0</v>
      </c>
      <c r="F1048" s="42" t="str">
        <f t="shared" si="2"/>
        <v>#DIV/0!</v>
      </c>
      <c r="G1048" s="38"/>
      <c r="H1048" s="38"/>
      <c r="I1048" s="38"/>
      <c r="J1048" s="38"/>
      <c r="K1048" s="38"/>
      <c r="L1048" s="38"/>
      <c r="M1048" s="38"/>
      <c r="N1048" s="38"/>
      <c r="O1048" s="38"/>
    </row>
    <row r="1049" hidden="1">
      <c r="A1049" s="38"/>
      <c r="B1049" s="38"/>
      <c r="C1049" s="39"/>
      <c r="D1049" s="40">
        <f>SUMIFS(Rezepte!F:F,Rezepte!A:A,C1049)</f>
        <v>0</v>
      </c>
      <c r="E1049" s="41">
        <f>SUMIFS(Rezepte!G:G,Rezepte!A:A,C1049)</f>
        <v>0</v>
      </c>
      <c r="F1049" s="42" t="str">
        <f t="shared" si="2"/>
        <v>#DIV/0!</v>
      </c>
      <c r="G1049" s="38"/>
      <c r="H1049" s="38"/>
      <c r="I1049" s="38"/>
      <c r="J1049" s="38"/>
      <c r="K1049" s="38"/>
      <c r="L1049" s="38"/>
      <c r="M1049" s="38"/>
      <c r="N1049" s="38"/>
      <c r="O1049" s="38"/>
    </row>
    <row r="1050" hidden="1">
      <c r="A1050" s="38"/>
      <c r="B1050" s="38"/>
      <c r="C1050" s="39"/>
      <c r="D1050" s="40">
        <f>SUMIFS(Rezepte!F:F,Rezepte!A:A,C1050)</f>
        <v>0</v>
      </c>
      <c r="E1050" s="41">
        <f>SUMIFS(Rezepte!G:G,Rezepte!A:A,C1050)</f>
        <v>0</v>
      </c>
      <c r="F1050" s="42" t="str">
        <f t="shared" si="2"/>
        <v>#DIV/0!</v>
      </c>
      <c r="G1050" s="38"/>
      <c r="H1050" s="38"/>
      <c r="I1050" s="38"/>
      <c r="J1050" s="38"/>
      <c r="K1050" s="38"/>
      <c r="L1050" s="38"/>
      <c r="M1050" s="38"/>
      <c r="N1050" s="38"/>
      <c r="O1050" s="38"/>
    </row>
    <row r="1051" hidden="1">
      <c r="A1051" s="38"/>
      <c r="B1051" s="38"/>
      <c r="C1051" s="39"/>
      <c r="D1051" s="40">
        <f>SUMIFS(Rezepte!F:F,Rezepte!A:A,C1051)</f>
        <v>0</v>
      </c>
      <c r="E1051" s="41">
        <f>SUMIFS(Rezepte!G:G,Rezepte!A:A,C1051)</f>
        <v>0</v>
      </c>
      <c r="F1051" s="42" t="str">
        <f t="shared" si="2"/>
        <v>#DIV/0!</v>
      </c>
      <c r="G1051" s="38"/>
      <c r="H1051" s="38"/>
      <c r="I1051" s="38"/>
      <c r="J1051" s="38"/>
      <c r="K1051" s="38"/>
      <c r="L1051" s="38"/>
      <c r="M1051" s="38"/>
      <c r="N1051" s="38"/>
      <c r="O1051" s="38"/>
    </row>
    <row r="1052" hidden="1">
      <c r="A1052" s="38"/>
      <c r="B1052" s="38"/>
      <c r="C1052" s="39"/>
      <c r="D1052" s="40">
        <f>SUMIFS(Rezepte!F:F,Rezepte!A:A,C1052)</f>
        <v>0</v>
      </c>
      <c r="E1052" s="41">
        <f>SUMIFS(Rezepte!G:G,Rezepte!A:A,C1052)</f>
        <v>0</v>
      </c>
      <c r="F1052" s="42" t="str">
        <f t="shared" si="2"/>
        <v>#DIV/0!</v>
      </c>
      <c r="G1052" s="38"/>
      <c r="H1052" s="38"/>
      <c r="I1052" s="38"/>
      <c r="J1052" s="38"/>
      <c r="K1052" s="38"/>
      <c r="L1052" s="38"/>
      <c r="M1052" s="38"/>
      <c r="N1052" s="38"/>
      <c r="O1052" s="38"/>
    </row>
    <row r="1053" hidden="1">
      <c r="A1053" s="38"/>
      <c r="B1053" s="38"/>
      <c r="C1053" s="39"/>
      <c r="D1053" s="40">
        <f>SUMIFS(Rezepte!F:F,Rezepte!A:A,C1053)</f>
        <v>0</v>
      </c>
      <c r="E1053" s="41">
        <f>SUMIFS(Rezepte!G:G,Rezepte!A:A,C1053)</f>
        <v>0</v>
      </c>
      <c r="F1053" s="42" t="str">
        <f t="shared" si="2"/>
        <v>#DIV/0!</v>
      </c>
      <c r="G1053" s="38"/>
      <c r="H1053" s="38"/>
      <c r="I1053" s="38"/>
      <c r="J1053" s="38"/>
      <c r="K1053" s="38"/>
      <c r="L1053" s="38"/>
      <c r="M1053" s="38"/>
      <c r="N1053" s="38"/>
      <c r="O1053" s="38"/>
    </row>
    <row r="1054" hidden="1">
      <c r="A1054" s="38"/>
      <c r="B1054" s="38"/>
      <c r="C1054" s="39"/>
      <c r="D1054" s="40">
        <f>SUMIFS(Rezepte!F:F,Rezepte!A:A,C1054)</f>
        <v>0</v>
      </c>
      <c r="E1054" s="41">
        <f>SUMIFS(Rezepte!G:G,Rezepte!A:A,C1054)</f>
        <v>0</v>
      </c>
      <c r="F1054" s="42" t="str">
        <f t="shared" si="2"/>
        <v>#DIV/0!</v>
      </c>
      <c r="G1054" s="38"/>
      <c r="H1054" s="38"/>
      <c r="I1054" s="38"/>
      <c r="J1054" s="38"/>
      <c r="K1054" s="38"/>
      <c r="L1054" s="38"/>
      <c r="M1054" s="38"/>
      <c r="N1054" s="38"/>
      <c r="O1054" s="38"/>
    </row>
    <row r="1055" hidden="1">
      <c r="A1055" s="38"/>
      <c r="B1055" s="38"/>
      <c r="C1055" s="39"/>
      <c r="D1055" s="40">
        <f>SUMIFS(Rezepte!F:F,Rezepte!A:A,C1055)</f>
        <v>0</v>
      </c>
      <c r="E1055" s="41">
        <f>SUMIFS(Rezepte!G:G,Rezepte!A:A,C1055)</f>
        <v>0</v>
      </c>
      <c r="F1055" s="42" t="str">
        <f t="shared" si="2"/>
        <v>#DIV/0!</v>
      </c>
      <c r="G1055" s="38"/>
      <c r="H1055" s="38"/>
      <c r="I1055" s="38"/>
      <c r="J1055" s="38"/>
      <c r="K1055" s="38"/>
      <c r="L1055" s="38"/>
      <c r="M1055" s="38"/>
      <c r="N1055" s="38"/>
      <c r="O1055" s="38"/>
    </row>
    <row r="1056" hidden="1">
      <c r="A1056" s="38"/>
      <c r="B1056" s="38"/>
      <c r="C1056" s="39"/>
      <c r="D1056" s="40">
        <f>SUMIFS(Rezepte!F:F,Rezepte!A:A,C1056)</f>
        <v>0</v>
      </c>
      <c r="E1056" s="41">
        <f>SUMIFS(Rezepte!G:G,Rezepte!A:A,C1056)</f>
        <v>0</v>
      </c>
      <c r="F1056" s="42" t="str">
        <f t="shared" si="2"/>
        <v>#DIV/0!</v>
      </c>
      <c r="G1056" s="38"/>
      <c r="H1056" s="38"/>
      <c r="I1056" s="38"/>
      <c r="J1056" s="38"/>
      <c r="K1056" s="38"/>
      <c r="L1056" s="38"/>
      <c r="M1056" s="38"/>
      <c r="N1056" s="38"/>
      <c r="O1056" s="38"/>
    </row>
    <row r="1057" hidden="1">
      <c r="A1057" s="38"/>
      <c r="B1057" s="38"/>
      <c r="C1057" s="39"/>
      <c r="D1057" s="40">
        <f>SUMIFS(Rezepte!F:F,Rezepte!A:A,C1057)</f>
        <v>0</v>
      </c>
      <c r="E1057" s="41">
        <f>SUMIFS(Rezepte!G:G,Rezepte!A:A,C1057)</f>
        <v>0</v>
      </c>
      <c r="F1057" s="42" t="str">
        <f t="shared" si="2"/>
        <v>#DIV/0!</v>
      </c>
      <c r="G1057" s="38"/>
      <c r="H1057" s="38"/>
      <c r="I1057" s="38"/>
      <c r="J1057" s="38"/>
      <c r="K1057" s="38"/>
      <c r="L1057" s="38"/>
      <c r="M1057" s="38"/>
      <c r="N1057" s="38"/>
      <c r="O1057" s="38"/>
    </row>
    <row r="1058" hidden="1">
      <c r="A1058" s="38"/>
      <c r="B1058" s="38"/>
      <c r="C1058" s="39"/>
      <c r="D1058" s="40">
        <f>SUMIFS(Rezepte!F:F,Rezepte!A:A,C1058)</f>
        <v>0</v>
      </c>
      <c r="E1058" s="41">
        <f>SUMIFS(Rezepte!G:G,Rezepte!A:A,C1058)</f>
        <v>0</v>
      </c>
      <c r="F1058" s="42" t="str">
        <f t="shared" si="2"/>
        <v>#DIV/0!</v>
      </c>
      <c r="G1058" s="38"/>
      <c r="H1058" s="38"/>
      <c r="I1058" s="38"/>
      <c r="J1058" s="38"/>
      <c r="K1058" s="38"/>
      <c r="L1058" s="38"/>
      <c r="M1058" s="38"/>
      <c r="N1058" s="38"/>
      <c r="O1058" s="38"/>
    </row>
    <row r="1059" hidden="1">
      <c r="A1059" s="38"/>
      <c r="B1059" s="38"/>
      <c r="C1059" s="39"/>
      <c r="D1059" s="40">
        <f>SUMIFS(Rezepte!F:F,Rezepte!A:A,C1059)</f>
        <v>0</v>
      </c>
      <c r="E1059" s="41">
        <f>SUMIFS(Rezepte!G:G,Rezepte!A:A,C1059)</f>
        <v>0</v>
      </c>
      <c r="F1059" s="42" t="str">
        <f t="shared" si="2"/>
        <v>#DIV/0!</v>
      </c>
      <c r="G1059" s="38"/>
      <c r="H1059" s="38"/>
      <c r="I1059" s="38"/>
      <c r="J1059" s="38"/>
      <c r="K1059" s="38"/>
      <c r="L1059" s="38"/>
      <c r="M1059" s="38"/>
      <c r="N1059" s="38"/>
      <c r="O1059" s="38"/>
    </row>
    <row r="1060" hidden="1">
      <c r="A1060" s="38"/>
      <c r="B1060" s="38"/>
      <c r="C1060" s="39"/>
      <c r="D1060" s="40">
        <f>SUMIFS(Rezepte!F:F,Rezepte!A:A,C1060)</f>
        <v>0</v>
      </c>
      <c r="E1060" s="41">
        <f>SUMIFS(Rezepte!G:G,Rezepte!A:A,C1060)</f>
        <v>0</v>
      </c>
      <c r="F1060" s="42" t="str">
        <f t="shared" si="2"/>
        <v>#DIV/0!</v>
      </c>
      <c r="G1060" s="38"/>
      <c r="H1060" s="38"/>
      <c r="I1060" s="38"/>
      <c r="J1060" s="38"/>
      <c r="K1060" s="38"/>
      <c r="L1060" s="38"/>
      <c r="M1060" s="38"/>
      <c r="N1060" s="38"/>
      <c r="O1060" s="38"/>
    </row>
    <row r="1061" hidden="1">
      <c r="A1061" s="38"/>
      <c r="B1061" s="38"/>
      <c r="C1061" s="39"/>
      <c r="D1061" s="40">
        <f>SUMIFS(Rezepte!F:F,Rezepte!A:A,C1061)</f>
        <v>0</v>
      </c>
      <c r="E1061" s="41">
        <f>SUMIFS(Rezepte!G:G,Rezepte!A:A,C1061)</f>
        <v>0</v>
      </c>
      <c r="F1061" s="42" t="str">
        <f t="shared" si="2"/>
        <v>#DIV/0!</v>
      </c>
      <c r="G1061" s="38"/>
      <c r="H1061" s="38"/>
      <c r="I1061" s="38"/>
      <c r="J1061" s="38"/>
      <c r="K1061" s="38"/>
      <c r="L1061" s="38"/>
      <c r="M1061" s="38"/>
      <c r="N1061" s="38"/>
      <c r="O1061" s="38"/>
    </row>
    <row r="1062" hidden="1">
      <c r="A1062" s="38"/>
      <c r="B1062" s="38"/>
      <c r="C1062" s="39"/>
      <c r="D1062" s="40">
        <f>SUMIFS(Rezepte!F:F,Rezepte!A:A,C1062)</f>
        <v>0</v>
      </c>
      <c r="E1062" s="41">
        <f>SUMIFS(Rezepte!G:G,Rezepte!A:A,C1062)</f>
        <v>0</v>
      </c>
      <c r="F1062" s="42" t="str">
        <f t="shared" si="2"/>
        <v>#DIV/0!</v>
      </c>
      <c r="G1062" s="38"/>
      <c r="H1062" s="38"/>
      <c r="I1062" s="38"/>
      <c r="J1062" s="38"/>
      <c r="K1062" s="38"/>
      <c r="L1062" s="38"/>
      <c r="M1062" s="38"/>
      <c r="N1062" s="38"/>
      <c r="O1062" s="38"/>
    </row>
    <row r="1063" hidden="1">
      <c r="A1063" s="38"/>
      <c r="B1063" s="38"/>
      <c r="C1063" s="39"/>
      <c r="D1063" s="40">
        <f>SUMIFS(Rezepte!F:F,Rezepte!A:A,C1063)</f>
        <v>0</v>
      </c>
      <c r="E1063" s="41">
        <f>SUMIFS(Rezepte!G:G,Rezepte!A:A,C1063)</f>
        <v>0</v>
      </c>
      <c r="F1063" s="42" t="str">
        <f t="shared" si="2"/>
        <v>#DIV/0!</v>
      </c>
      <c r="G1063" s="38"/>
      <c r="H1063" s="38"/>
      <c r="I1063" s="38"/>
      <c r="J1063" s="38"/>
      <c r="K1063" s="38"/>
      <c r="L1063" s="38"/>
      <c r="M1063" s="38"/>
      <c r="N1063" s="38"/>
      <c r="O1063" s="38"/>
    </row>
    <row r="1064" hidden="1">
      <c r="A1064" s="38"/>
      <c r="B1064" s="38"/>
      <c r="C1064" s="39"/>
      <c r="D1064" s="40">
        <f>SUMIFS(Rezepte!F:F,Rezepte!A:A,C1064)</f>
        <v>0</v>
      </c>
      <c r="E1064" s="41">
        <f>SUMIFS(Rezepte!G:G,Rezepte!A:A,C1064)</f>
        <v>0</v>
      </c>
      <c r="F1064" s="42" t="str">
        <f t="shared" si="2"/>
        <v>#DIV/0!</v>
      </c>
      <c r="G1064" s="38"/>
      <c r="H1064" s="38"/>
      <c r="I1064" s="38"/>
      <c r="J1064" s="38"/>
      <c r="K1064" s="38"/>
      <c r="L1064" s="38"/>
      <c r="M1064" s="38"/>
      <c r="N1064" s="38"/>
      <c r="O1064" s="38"/>
    </row>
    <row r="1065" hidden="1">
      <c r="A1065" s="38"/>
      <c r="B1065" s="38"/>
      <c r="C1065" s="39"/>
      <c r="D1065" s="40">
        <f>SUMIFS(Rezepte!F:F,Rezepte!A:A,C1065)</f>
        <v>0</v>
      </c>
      <c r="E1065" s="41">
        <f>SUMIFS(Rezepte!G:G,Rezepte!A:A,C1065)</f>
        <v>0</v>
      </c>
      <c r="F1065" s="42" t="str">
        <f t="shared" si="2"/>
        <v>#DIV/0!</v>
      </c>
      <c r="G1065" s="38"/>
      <c r="H1065" s="38"/>
      <c r="I1065" s="38"/>
      <c r="J1065" s="38"/>
      <c r="K1065" s="38"/>
      <c r="L1065" s="38"/>
      <c r="M1065" s="38"/>
      <c r="N1065" s="38"/>
      <c r="O1065" s="38"/>
    </row>
    <row r="1066" hidden="1">
      <c r="A1066" s="38"/>
      <c r="B1066" s="38"/>
      <c r="C1066" s="39"/>
      <c r="D1066" s="40">
        <f>SUMIFS(Rezepte!F:F,Rezepte!A:A,C1066)</f>
        <v>0</v>
      </c>
      <c r="E1066" s="41">
        <f>SUMIFS(Rezepte!G:G,Rezepte!A:A,C1066)</f>
        <v>0</v>
      </c>
      <c r="F1066" s="42" t="str">
        <f t="shared" si="2"/>
        <v>#DIV/0!</v>
      </c>
      <c r="G1066" s="38"/>
      <c r="H1066" s="38"/>
      <c r="I1066" s="38"/>
      <c r="J1066" s="38"/>
      <c r="K1066" s="38"/>
      <c r="L1066" s="38"/>
      <c r="M1066" s="38"/>
      <c r="N1066" s="38"/>
      <c r="O1066" s="38"/>
    </row>
    <row r="1067" hidden="1">
      <c r="A1067" s="38"/>
      <c r="B1067" s="38"/>
      <c r="C1067" s="39"/>
      <c r="D1067" s="40">
        <f>SUMIFS(Rezepte!F:F,Rezepte!A:A,C1067)</f>
        <v>0</v>
      </c>
      <c r="E1067" s="41">
        <f>SUMIFS(Rezepte!G:G,Rezepte!A:A,C1067)</f>
        <v>0</v>
      </c>
      <c r="F1067" s="42" t="str">
        <f t="shared" si="2"/>
        <v>#DIV/0!</v>
      </c>
      <c r="G1067" s="38"/>
      <c r="H1067" s="38"/>
      <c r="I1067" s="38"/>
      <c r="J1067" s="38"/>
      <c r="K1067" s="38"/>
      <c r="L1067" s="38"/>
      <c r="M1067" s="38"/>
      <c r="N1067" s="38"/>
      <c r="O1067" s="38"/>
    </row>
    <row r="1068" hidden="1">
      <c r="A1068" s="38"/>
      <c r="B1068" s="38"/>
      <c r="C1068" s="39"/>
      <c r="D1068" s="40">
        <f>SUMIFS(Rezepte!F:F,Rezepte!A:A,C1068)</f>
        <v>0</v>
      </c>
      <c r="E1068" s="41">
        <f>SUMIFS(Rezepte!G:G,Rezepte!A:A,C1068)</f>
        <v>0</v>
      </c>
      <c r="F1068" s="42" t="str">
        <f t="shared" si="2"/>
        <v>#DIV/0!</v>
      </c>
      <c r="G1068" s="38"/>
      <c r="H1068" s="38"/>
      <c r="I1068" s="38"/>
      <c r="J1068" s="38"/>
      <c r="K1068" s="38"/>
      <c r="L1068" s="38"/>
      <c r="M1068" s="38"/>
      <c r="N1068" s="38"/>
      <c r="O1068" s="38"/>
    </row>
    <row r="1069" hidden="1">
      <c r="A1069" s="38"/>
      <c r="B1069" s="38"/>
      <c r="C1069" s="39"/>
      <c r="D1069" s="40">
        <f>SUMIFS(Rezepte!F:F,Rezepte!A:A,C1069)</f>
        <v>0</v>
      </c>
      <c r="E1069" s="41">
        <f>SUMIFS(Rezepte!G:G,Rezepte!A:A,C1069)</f>
        <v>0</v>
      </c>
      <c r="F1069" s="42" t="str">
        <f t="shared" si="2"/>
        <v>#DIV/0!</v>
      </c>
      <c r="G1069" s="38"/>
      <c r="H1069" s="38"/>
      <c r="I1069" s="38"/>
      <c r="J1069" s="38"/>
      <c r="K1069" s="38"/>
      <c r="L1069" s="38"/>
      <c r="M1069" s="38"/>
      <c r="N1069" s="38"/>
      <c r="O1069" s="38"/>
    </row>
    <row r="1070" hidden="1">
      <c r="A1070" s="38"/>
      <c r="B1070" s="38"/>
      <c r="C1070" s="39"/>
      <c r="D1070" s="40">
        <f>SUMIFS(Rezepte!F:F,Rezepte!A:A,C1070)</f>
        <v>0</v>
      </c>
      <c r="E1070" s="41">
        <f>SUMIFS(Rezepte!G:G,Rezepte!A:A,C1070)</f>
        <v>0</v>
      </c>
      <c r="F1070" s="42" t="str">
        <f t="shared" si="2"/>
        <v>#DIV/0!</v>
      </c>
      <c r="G1070" s="38"/>
      <c r="H1070" s="38"/>
      <c r="I1070" s="38"/>
      <c r="J1070" s="38"/>
      <c r="K1070" s="38"/>
      <c r="L1070" s="38"/>
      <c r="M1070" s="38"/>
      <c r="N1070" s="38"/>
      <c r="O1070" s="38"/>
    </row>
    <row r="1071" hidden="1">
      <c r="A1071" s="38"/>
      <c r="B1071" s="38"/>
      <c r="C1071" s="39"/>
      <c r="D1071" s="40">
        <f>SUMIFS(Rezepte!F:F,Rezepte!A:A,C1071)</f>
        <v>0</v>
      </c>
      <c r="E1071" s="41">
        <f>SUMIFS(Rezepte!G:G,Rezepte!A:A,C1071)</f>
        <v>0</v>
      </c>
      <c r="F1071" s="42" t="str">
        <f t="shared" si="2"/>
        <v>#DIV/0!</v>
      </c>
      <c r="G1071" s="38"/>
      <c r="H1071" s="38"/>
      <c r="I1071" s="38"/>
      <c r="J1071" s="38"/>
      <c r="K1071" s="38"/>
      <c r="L1071" s="38"/>
      <c r="M1071" s="38"/>
      <c r="N1071" s="38"/>
      <c r="O1071" s="38"/>
    </row>
    <row r="1072" hidden="1">
      <c r="A1072" s="38"/>
      <c r="B1072" s="38"/>
      <c r="C1072" s="39"/>
      <c r="D1072" s="40">
        <f>SUMIFS(Rezepte!F:F,Rezepte!A:A,C1072)</f>
        <v>0</v>
      </c>
      <c r="E1072" s="41">
        <f>SUMIFS(Rezepte!G:G,Rezepte!A:A,C1072)</f>
        <v>0</v>
      </c>
      <c r="F1072" s="42" t="str">
        <f t="shared" si="2"/>
        <v>#DIV/0!</v>
      </c>
      <c r="G1072" s="38"/>
      <c r="H1072" s="38"/>
      <c r="I1072" s="38"/>
      <c r="J1072" s="38"/>
      <c r="K1072" s="38"/>
      <c r="L1072" s="38"/>
      <c r="M1072" s="38"/>
      <c r="N1072" s="38"/>
      <c r="O1072" s="38"/>
    </row>
    <row r="1073" hidden="1">
      <c r="A1073" s="38"/>
      <c r="B1073" s="38"/>
      <c r="C1073" s="39"/>
      <c r="D1073" s="40">
        <f>SUMIFS(Rezepte!F:F,Rezepte!A:A,C1073)</f>
        <v>0</v>
      </c>
      <c r="E1073" s="41">
        <f>SUMIFS(Rezepte!G:G,Rezepte!A:A,C1073)</f>
        <v>0</v>
      </c>
      <c r="F1073" s="42" t="str">
        <f t="shared" si="2"/>
        <v>#DIV/0!</v>
      </c>
      <c r="G1073" s="38"/>
      <c r="H1073" s="38"/>
      <c r="I1073" s="38"/>
      <c r="J1073" s="38"/>
      <c r="K1073" s="38"/>
      <c r="L1073" s="38"/>
      <c r="M1073" s="38"/>
      <c r="N1073" s="38"/>
      <c r="O1073" s="38"/>
    </row>
    <row r="1074" hidden="1">
      <c r="A1074" s="38"/>
      <c r="B1074" s="38"/>
      <c r="C1074" s="39"/>
      <c r="D1074" s="40">
        <f>SUMIFS(Rezepte!F:F,Rezepte!A:A,C1074)</f>
        <v>0</v>
      </c>
      <c r="E1074" s="41">
        <f>SUMIFS(Rezepte!G:G,Rezepte!A:A,C1074)</f>
        <v>0</v>
      </c>
      <c r="F1074" s="42" t="str">
        <f t="shared" si="2"/>
        <v>#DIV/0!</v>
      </c>
      <c r="G1074" s="38"/>
      <c r="H1074" s="38"/>
      <c r="I1074" s="38"/>
      <c r="J1074" s="38"/>
      <c r="K1074" s="38"/>
      <c r="L1074" s="38"/>
      <c r="M1074" s="38"/>
      <c r="N1074" s="38"/>
      <c r="O1074" s="38"/>
    </row>
    <row r="1075" hidden="1">
      <c r="A1075" s="38"/>
      <c r="B1075" s="38"/>
      <c r="C1075" s="39"/>
      <c r="D1075" s="40">
        <f>SUMIFS(Rezepte!F:F,Rezepte!A:A,C1075)</f>
        <v>0</v>
      </c>
      <c r="E1075" s="41">
        <f>SUMIFS(Rezepte!G:G,Rezepte!A:A,C1075)</f>
        <v>0</v>
      </c>
      <c r="F1075" s="42" t="str">
        <f t="shared" si="2"/>
        <v>#DIV/0!</v>
      </c>
      <c r="G1075" s="38"/>
      <c r="H1075" s="38"/>
      <c r="I1075" s="38"/>
      <c r="J1075" s="38"/>
      <c r="K1075" s="38"/>
      <c r="L1075" s="38"/>
      <c r="M1075" s="38"/>
      <c r="N1075" s="38"/>
      <c r="O1075" s="38"/>
    </row>
    <row r="1076" hidden="1">
      <c r="A1076" s="38"/>
      <c r="B1076" s="38"/>
      <c r="C1076" s="39"/>
      <c r="D1076" s="40">
        <f>SUMIFS(Rezepte!F:F,Rezepte!A:A,C1076)</f>
        <v>0</v>
      </c>
      <c r="E1076" s="41">
        <f>SUMIFS(Rezepte!G:G,Rezepte!A:A,C1076)</f>
        <v>0</v>
      </c>
      <c r="F1076" s="42" t="str">
        <f t="shared" si="2"/>
        <v>#DIV/0!</v>
      </c>
      <c r="G1076" s="38"/>
      <c r="H1076" s="38"/>
      <c r="I1076" s="38"/>
      <c r="J1076" s="38"/>
      <c r="K1076" s="38"/>
      <c r="L1076" s="38"/>
      <c r="M1076" s="38"/>
      <c r="N1076" s="38"/>
      <c r="O1076" s="38"/>
    </row>
    <row r="1077" hidden="1">
      <c r="A1077" s="38"/>
      <c r="B1077" s="38"/>
      <c r="C1077" s="39"/>
      <c r="D1077" s="40">
        <f>SUMIFS(Rezepte!F:F,Rezepte!A:A,C1077)</f>
        <v>0</v>
      </c>
      <c r="E1077" s="41">
        <f>SUMIFS(Rezepte!G:G,Rezepte!A:A,C1077)</f>
        <v>0</v>
      </c>
      <c r="F1077" s="42" t="str">
        <f t="shared" si="2"/>
        <v>#DIV/0!</v>
      </c>
      <c r="G1077" s="38"/>
      <c r="H1077" s="38"/>
      <c r="I1077" s="38"/>
      <c r="J1077" s="38"/>
      <c r="K1077" s="38"/>
      <c r="L1077" s="38"/>
      <c r="M1077" s="38"/>
      <c r="N1077" s="38"/>
      <c r="O1077" s="38"/>
    </row>
    <row r="1078" hidden="1">
      <c r="A1078" s="38"/>
      <c r="B1078" s="38"/>
      <c r="C1078" s="39"/>
      <c r="D1078" s="40">
        <f>SUMIFS(Rezepte!F:F,Rezepte!A:A,C1078)</f>
        <v>0</v>
      </c>
      <c r="E1078" s="41">
        <f>SUMIFS(Rezepte!G:G,Rezepte!A:A,C1078)</f>
        <v>0</v>
      </c>
      <c r="F1078" s="42" t="str">
        <f t="shared" si="2"/>
        <v>#DIV/0!</v>
      </c>
      <c r="G1078" s="38"/>
      <c r="H1078" s="38"/>
      <c r="I1078" s="38"/>
      <c r="J1078" s="38"/>
      <c r="K1078" s="38"/>
      <c r="L1078" s="38"/>
      <c r="M1078" s="38"/>
      <c r="N1078" s="38"/>
      <c r="O1078" s="38"/>
    </row>
    <row r="1079" hidden="1">
      <c r="A1079" s="38"/>
      <c r="B1079" s="38"/>
      <c r="C1079" s="39"/>
      <c r="D1079" s="40">
        <f>SUMIFS(Rezepte!F:F,Rezepte!A:A,C1079)</f>
        <v>0</v>
      </c>
      <c r="E1079" s="41">
        <f>SUMIFS(Rezepte!G:G,Rezepte!A:A,C1079)</f>
        <v>0</v>
      </c>
      <c r="F1079" s="42" t="str">
        <f t="shared" si="2"/>
        <v>#DIV/0!</v>
      </c>
      <c r="G1079" s="38"/>
      <c r="H1079" s="38"/>
      <c r="I1079" s="38"/>
      <c r="J1079" s="38"/>
      <c r="K1079" s="38"/>
      <c r="L1079" s="38"/>
      <c r="M1079" s="38"/>
      <c r="N1079" s="38"/>
      <c r="O1079" s="38"/>
    </row>
    <row r="1080" hidden="1">
      <c r="A1080" s="38"/>
      <c r="B1080" s="38"/>
      <c r="C1080" s="39"/>
      <c r="D1080" s="40">
        <f>SUMIFS(Rezepte!F:F,Rezepte!A:A,C1080)</f>
        <v>0</v>
      </c>
      <c r="E1080" s="41">
        <f>SUMIFS(Rezepte!G:G,Rezepte!A:A,C1080)</f>
        <v>0</v>
      </c>
      <c r="F1080" s="42" t="str">
        <f t="shared" si="2"/>
        <v>#DIV/0!</v>
      </c>
      <c r="G1080" s="38"/>
      <c r="H1080" s="38"/>
      <c r="I1080" s="38"/>
      <c r="J1080" s="38"/>
      <c r="K1080" s="38"/>
      <c r="L1080" s="38"/>
      <c r="M1080" s="38"/>
      <c r="N1080" s="38"/>
      <c r="O1080" s="38"/>
    </row>
    <row r="1081" hidden="1">
      <c r="A1081" s="38"/>
      <c r="B1081" s="38"/>
      <c r="C1081" s="39"/>
      <c r="D1081" s="40">
        <f>SUMIFS(Rezepte!F:F,Rezepte!A:A,C1081)</f>
        <v>0</v>
      </c>
      <c r="E1081" s="41">
        <f>SUMIFS(Rezepte!G:G,Rezepte!A:A,C1081)</f>
        <v>0</v>
      </c>
      <c r="F1081" s="42" t="str">
        <f t="shared" si="2"/>
        <v>#DIV/0!</v>
      </c>
      <c r="G1081" s="38"/>
      <c r="H1081" s="38"/>
      <c r="I1081" s="38"/>
      <c r="J1081" s="38"/>
      <c r="K1081" s="38"/>
      <c r="L1081" s="38"/>
      <c r="M1081" s="38"/>
      <c r="N1081" s="38"/>
      <c r="O1081" s="38"/>
    </row>
    <row r="1082" hidden="1">
      <c r="A1082" s="38"/>
      <c r="B1082" s="38"/>
      <c r="C1082" s="39"/>
      <c r="D1082" s="40">
        <f>SUMIFS(Rezepte!F:F,Rezepte!A:A,C1082)</f>
        <v>0</v>
      </c>
      <c r="E1082" s="41">
        <f>SUMIFS(Rezepte!G:G,Rezepte!A:A,C1082)</f>
        <v>0</v>
      </c>
      <c r="F1082" s="42" t="str">
        <f t="shared" si="2"/>
        <v>#DIV/0!</v>
      </c>
      <c r="G1082" s="38"/>
      <c r="H1082" s="38"/>
      <c r="I1082" s="38"/>
      <c r="J1082" s="38"/>
      <c r="K1082" s="38"/>
      <c r="L1082" s="38"/>
      <c r="M1082" s="38"/>
      <c r="N1082" s="38"/>
      <c r="O1082" s="38"/>
    </row>
    <row r="1083" hidden="1">
      <c r="A1083" s="38"/>
      <c r="B1083" s="38"/>
      <c r="C1083" s="39"/>
      <c r="D1083" s="40">
        <f>SUMIFS(Rezepte!F:F,Rezepte!A:A,C1083)</f>
        <v>0</v>
      </c>
      <c r="E1083" s="41">
        <f>SUMIFS(Rezepte!G:G,Rezepte!A:A,C1083)</f>
        <v>0</v>
      </c>
      <c r="F1083" s="42" t="str">
        <f t="shared" si="2"/>
        <v>#DIV/0!</v>
      </c>
      <c r="G1083" s="38"/>
      <c r="H1083" s="38"/>
      <c r="I1083" s="38"/>
      <c r="J1083" s="38"/>
      <c r="K1083" s="38"/>
      <c r="L1083" s="38"/>
      <c r="M1083" s="38"/>
      <c r="N1083" s="38"/>
      <c r="O1083" s="38"/>
    </row>
    <row r="1084" hidden="1">
      <c r="A1084" s="38"/>
      <c r="B1084" s="38"/>
      <c r="C1084" s="39"/>
      <c r="D1084" s="40">
        <f>SUMIFS(Rezepte!F:F,Rezepte!A:A,C1084)</f>
        <v>0</v>
      </c>
      <c r="E1084" s="41">
        <f>SUMIFS(Rezepte!G:G,Rezepte!A:A,C1084)</f>
        <v>0</v>
      </c>
      <c r="F1084" s="42" t="str">
        <f t="shared" si="2"/>
        <v>#DIV/0!</v>
      </c>
      <c r="G1084" s="38"/>
      <c r="H1084" s="38"/>
      <c r="I1084" s="38"/>
      <c r="J1084" s="38"/>
      <c r="K1084" s="38"/>
      <c r="L1084" s="38"/>
      <c r="M1084" s="38"/>
      <c r="N1084" s="38"/>
      <c r="O1084" s="38"/>
    </row>
    <row r="1085" hidden="1">
      <c r="A1085" s="38"/>
      <c r="B1085" s="38"/>
      <c r="C1085" s="39"/>
      <c r="D1085" s="40">
        <f>SUMIFS(Rezepte!F:F,Rezepte!A:A,C1085)</f>
        <v>0</v>
      </c>
      <c r="E1085" s="41">
        <f>SUMIFS(Rezepte!G:G,Rezepte!A:A,C1085)</f>
        <v>0</v>
      </c>
      <c r="F1085" s="42" t="str">
        <f t="shared" si="2"/>
        <v>#DIV/0!</v>
      </c>
      <c r="G1085" s="38"/>
      <c r="H1085" s="38"/>
      <c r="I1085" s="38"/>
      <c r="J1085" s="38"/>
      <c r="K1085" s="38"/>
      <c r="L1085" s="38"/>
      <c r="M1085" s="38"/>
      <c r="N1085" s="38"/>
      <c r="O1085" s="38"/>
    </row>
    <row r="1086" hidden="1">
      <c r="A1086" s="38"/>
      <c r="B1086" s="38"/>
      <c r="C1086" s="39"/>
      <c r="D1086" s="40">
        <f>SUMIFS(Rezepte!F:F,Rezepte!A:A,C1086)</f>
        <v>0</v>
      </c>
      <c r="E1086" s="41">
        <f>SUMIFS(Rezepte!G:G,Rezepte!A:A,C1086)</f>
        <v>0</v>
      </c>
      <c r="F1086" s="42" t="str">
        <f t="shared" si="2"/>
        <v>#DIV/0!</v>
      </c>
      <c r="G1086" s="38"/>
      <c r="H1086" s="38"/>
      <c r="I1086" s="38"/>
      <c r="J1086" s="38"/>
      <c r="K1086" s="38"/>
      <c r="L1086" s="38"/>
      <c r="M1086" s="38"/>
      <c r="N1086" s="38"/>
      <c r="O1086" s="38"/>
    </row>
    <row r="1087" hidden="1">
      <c r="A1087" s="38"/>
      <c r="B1087" s="38"/>
      <c r="C1087" s="39"/>
      <c r="D1087" s="40">
        <f>SUMIFS(Rezepte!F:F,Rezepte!A:A,C1087)</f>
        <v>0</v>
      </c>
      <c r="E1087" s="41">
        <f>SUMIFS(Rezepte!G:G,Rezepte!A:A,C1087)</f>
        <v>0</v>
      </c>
      <c r="F1087" s="42" t="str">
        <f t="shared" si="2"/>
        <v>#DIV/0!</v>
      </c>
      <c r="G1087" s="38"/>
      <c r="H1087" s="38"/>
      <c r="I1087" s="38"/>
      <c r="J1087" s="38"/>
      <c r="K1087" s="38"/>
      <c r="L1087" s="38"/>
      <c r="M1087" s="38"/>
      <c r="N1087" s="38"/>
      <c r="O1087" s="38"/>
    </row>
    <row r="1088" hidden="1">
      <c r="A1088" s="38"/>
      <c r="B1088" s="38"/>
      <c r="C1088" s="39"/>
      <c r="D1088" s="40">
        <f>SUMIFS(Rezepte!F:F,Rezepte!A:A,C1088)</f>
        <v>0</v>
      </c>
      <c r="E1088" s="41">
        <f>SUMIFS(Rezepte!G:G,Rezepte!A:A,C1088)</f>
        <v>0</v>
      </c>
      <c r="F1088" s="42" t="str">
        <f t="shared" si="2"/>
        <v>#DIV/0!</v>
      </c>
      <c r="G1088" s="38"/>
      <c r="H1088" s="38"/>
      <c r="I1088" s="38"/>
      <c r="J1088" s="38"/>
      <c r="K1088" s="38"/>
      <c r="L1088" s="38"/>
      <c r="M1088" s="38"/>
      <c r="N1088" s="38"/>
      <c r="O1088" s="38"/>
    </row>
    <row r="1089" hidden="1">
      <c r="A1089" s="38"/>
      <c r="B1089" s="38"/>
      <c r="C1089" s="39"/>
      <c r="D1089" s="40">
        <f>SUMIFS(Rezepte!F:F,Rezepte!A:A,C1089)</f>
        <v>0</v>
      </c>
      <c r="E1089" s="41">
        <f>SUMIFS(Rezepte!G:G,Rezepte!A:A,C1089)</f>
        <v>0</v>
      </c>
      <c r="F1089" s="42" t="str">
        <f t="shared" si="2"/>
        <v>#DIV/0!</v>
      </c>
      <c r="G1089" s="38"/>
      <c r="H1089" s="38"/>
      <c r="I1089" s="38"/>
      <c r="J1089" s="38"/>
      <c r="K1089" s="38"/>
      <c r="L1089" s="38"/>
      <c r="M1089" s="38"/>
      <c r="N1089" s="38"/>
      <c r="O1089" s="38"/>
    </row>
    <row r="1090" hidden="1">
      <c r="A1090" s="38"/>
      <c r="B1090" s="38"/>
      <c r="C1090" s="39"/>
      <c r="D1090" s="40">
        <f>SUMIFS(Rezepte!F:F,Rezepte!A:A,C1090)</f>
        <v>0</v>
      </c>
      <c r="E1090" s="41">
        <f>SUMIFS(Rezepte!G:G,Rezepte!A:A,C1090)</f>
        <v>0</v>
      </c>
      <c r="F1090" s="42" t="str">
        <f t="shared" si="2"/>
        <v>#DIV/0!</v>
      </c>
      <c r="G1090" s="38"/>
      <c r="H1090" s="38"/>
      <c r="I1090" s="38"/>
      <c r="J1090" s="38"/>
      <c r="K1090" s="38"/>
      <c r="L1090" s="38"/>
      <c r="M1090" s="38"/>
      <c r="N1090" s="38"/>
      <c r="O1090" s="38"/>
    </row>
    <row r="1091" hidden="1">
      <c r="A1091" s="38"/>
      <c r="B1091" s="38"/>
      <c r="C1091" s="39"/>
      <c r="D1091" s="40">
        <f>SUMIFS(Rezepte!F:F,Rezepte!A:A,C1091)</f>
        <v>0</v>
      </c>
      <c r="E1091" s="41">
        <f>SUMIFS(Rezepte!G:G,Rezepte!A:A,C1091)</f>
        <v>0</v>
      </c>
      <c r="F1091" s="42" t="str">
        <f t="shared" si="2"/>
        <v>#DIV/0!</v>
      </c>
      <c r="G1091" s="38"/>
      <c r="H1091" s="38"/>
      <c r="I1091" s="38"/>
      <c r="J1091" s="38"/>
      <c r="K1091" s="38"/>
      <c r="L1091" s="38"/>
      <c r="M1091" s="38"/>
      <c r="N1091" s="38"/>
      <c r="O1091" s="38"/>
    </row>
    <row r="1092" hidden="1">
      <c r="A1092" s="38"/>
      <c r="B1092" s="38"/>
      <c r="C1092" s="39"/>
      <c r="D1092" s="40">
        <f>SUMIFS(Rezepte!F:F,Rezepte!A:A,C1092)</f>
        <v>0</v>
      </c>
      <c r="E1092" s="41">
        <f>SUMIFS(Rezepte!G:G,Rezepte!A:A,C1092)</f>
        <v>0</v>
      </c>
      <c r="F1092" s="42" t="str">
        <f t="shared" si="2"/>
        <v>#DIV/0!</v>
      </c>
      <c r="G1092" s="38"/>
      <c r="H1092" s="38"/>
      <c r="I1092" s="38"/>
      <c r="J1092" s="38"/>
      <c r="K1092" s="38"/>
      <c r="L1092" s="38"/>
      <c r="M1092" s="38"/>
      <c r="N1092" s="38"/>
      <c r="O1092" s="38"/>
    </row>
    <row r="1093" hidden="1">
      <c r="A1093" s="38"/>
      <c r="B1093" s="38"/>
      <c r="C1093" s="39"/>
      <c r="D1093" s="40">
        <f>SUMIFS(Rezepte!F:F,Rezepte!A:A,C1093)</f>
        <v>0</v>
      </c>
      <c r="E1093" s="41">
        <f>SUMIFS(Rezepte!G:G,Rezepte!A:A,C1093)</f>
        <v>0</v>
      </c>
      <c r="F1093" s="42" t="str">
        <f t="shared" si="2"/>
        <v>#DIV/0!</v>
      </c>
      <c r="G1093" s="38"/>
      <c r="H1093" s="38"/>
      <c r="I1093" s="38"/>
      <c r="J1093" s="38"/>
      <c r="K1093" s="38"/>
      <c r="L1093" s="38"/>
      <c r="M1093" s="38"/>
      <c r="N1093" s="38"/>
      <c r="O1093" s="38"/>
    </row>
    <row r="1094" hidden="1">
      <c r="A1094" s="38"/>
      <c r="B1094" s="38"/>
      <c r="C1094" s="39"/>
      <c r="D1094" s="40">
        <f>SUMIFS(Rezepte!F:F,Rezepte!A:A,C1094)</f>
        <v>0</v>
      </c>
      <c r="E1094" s="41">
        <f>SUMIFS(Rezepte!G:G,Rezepte!A:A,C1094)</f>
        <v>0</v>
      </c>
      <c r="F1094" s="42" t="str">
        <f t="shared" si="2"/>
        <v>#DIV/0!</v>
      </c>
      <c r="G1094" s="38"/>
      <c r="H1094" s="38"/>
      <c r="I1094" s="38"/>
      <c r="J1094" s="38"/>
      <c r="K1094" s="38"/>
      <c r="L1094" s="38"/>
      <c r="M1094" s="38"/>
      <c r="N1094" s="38"/>
      <c r="O1094" s="38"/>
    </row>
    <row r="1095" hidden="1">
      <c r="A1095" s="38"/>
      <c r="B1095" s="38"/>
      <c r="C1095" s="39"/>
      <c r="D1095" s="40">
        <f>SUMIFS(Rezepte!F:F,Rezepte!A:A,C1095)</f>
        <v>0</v>
      </c>
      <c r="E1095" s="41">
        <f>SUMIFS(Rezepte!G:G,Rezepte!A:A,C1095)</f>
        <v>0</v>
      </c>
      <c r="F1095" s="42" t="str">
        <f t="shared" si="2"/>
        <v>#DIV/0!</v>
      </c>
      <c r="G1095" s="38"/>
      <c r="H1095" s="38"/>
      <c r="I1095" s="38"/>
      <c r="J1095" s="38"/>
      <c r="K1095" s="38"/>
      <c r="L1095" s="38"/>
      <c r="M1095" s="38"/>
      <c r="N1095" s="38"/>
      <c r="O1095" s="38"/>
    </row>
    <row r="1096" hidden="1">
      <c r="A1096" s="38"/>
      <c r="B1096" s="38"/>
      <c r="C1096" s="39"/>
      <c r="D1096" s="40">
        <f>SUMIFS(Rezepte!F:F,Rezepte!A:A,C1096)</f>
        <v>0</v>
      </c>
      <c r="E1096" s="41">
        <f>SUMIFS(Rezepte!G:G,Rezepte!A:A,C1096)</f>
        <v>0</v>
      </c>
      <c r="F1096" s="42" t="str">
        <f t="shared" si="2"/>
        <v>#DIV/0!</v>
      </c>
      <c r="G1096" s="38"/>
      <c r="H1096" s="38"/>
      <c r="I1096" s="38"/>
      <c r="J1096" s="38"/>
      <c r="K1096" s="38"/>
      <c r="L1096" s="38"/>
      <c r="M1096" s="38"/>
      <c r="N1096" s="38"/>
      <c r="O1096" s="38"/>
    </row>
    <row r="1097" hidden="1">
      <c r="A1097" s="38"/>
      <c r="B1097" s="38"/>
      <c r="C1097" s="39"/>
      <c r="D1097" s="40">
        <f>SUMIFS(Rezepte!F:F,Rezepte!A:A,C1097)</f>
        <v>0</v>
      </c>
      <c r="E1097" s="41">
        <f>SUMIFS(Rezepte!G:G,Rezepte!A:A,C1097)</f>
        <v>0</v>
      </c>
      <c r="F1097" s="42" t="str">
        <f t="shared" si="2"/>
        <v>#DIV/0!</v>
      </c>
      <c r="G1097" s="38"/>
      <c r="H1097" s="38"/>
      <c r="I1097" s="38"/>
      <c r="J1097" s="38"/>
      <c r="K1097" s="38"/>
      <c r="L1097" s="38"/>
      <c r="M1097" s="38"/>
      <c r="N1097" s="38"/>
      <c r="O1097" s="38"/>
    </row>
    <row r="1098" hidden="1">
      <c r="A1098" s="38"/>
      <c r="B1098" s="38"/>
      <c r="C1098" s="39"/>
      <c r="D1098" s="40">
        <f>SUMIFS(Rezepte!F:F,Rezepte!A:A,C1098)</f>
        <v>0</v>
      </c>
      <c r="E1098" s="41">
        <f>SUMIFS(Rezepte!G:G,Rezepte!A:A,C1098)</f>
        <v>0</v>
      </c>
      <c r="F1098" s="42" t="str">
        <f t="shared" si="2"/>
        <v>#DIV/0!</v>
      </c>
      <c r="G1098" s="38"/>
      <c r="H1098" s="38"/>
      <c r="I1098" s="38"/>
      <c r="J1098" s="38"/>
      <c r="K1098" s="38"/>
      <c r="L1098" s="38"/>
      <c r="M1098" s="38"/>
      <c r="N1098" s="38"/>
      <c r="O1098" s="38"/>
    </row>
    <row r="1099" hidden="1">
      <c r="A1099" s="38"/>
      <c r="B1099" s="38"/>
      <c r="C1099" s="39"/>
      <c r="D1099" s="40">
        <f>SUMIFS(Rezepte!F:F,Rezepte!A:A,C1099)</f>
        <v>0</v>
      </c>
      <c r="E1099" s="41">
        <f>SUMIFS(Rezepte!G:G,Rezepte!A:A,C1099)</f>
        <v>0</v>
      </c>
      <c r="F1099" s="42" t="str">
        <f t="shared" si="2"/>
        <v>#DIV/0!</v>
      </c>
      <c r="G1099" s="38"/>
      <c r="H1099" s="38"/>
      <c r="I1099" s="38"/>
      <c r="J1099" s="38"/>
      <c r="K1099" s="38"/>
      <c r="L1099" s="38"/>
      <c r="M1099" s="38"/>
      <c r="N1099" s="38"/>
      <c r="O1099" s="38"/>
    </row>
    <row r="1100" hidden="1">
      <c r="A1100" s="38"/>
      <c r="B1100" s="38"/>
      <c r="C1100" s="39"/>
      <c r="D1100" s="40">
        <f>SUMIFS(Rezepte!F:F,Rezepte!A:A,C1100)</f>
        <v>0</v>
      </c>
      <c r="E1100" s="41">
        <f>SUMIFS(Rezepte!G:G,Rezepte!A:A,C1100)</f>
        <v>0</v>
      </c>
      <c r="F1100" s="42" t="str">
        <f t="shared" si="2"/>
        <v>#DIV/0!</v>
      </c>
      <c r="G1100" s="38"/>
      <c r="H1100" s="38"/>
      <c r="I1100" s="38"/>
      <c r="J1100" s="38"/>
      <c r="K1100" s="38"/>
      <c r="L1100" s="38"/>
      <c r="M1100" s="38"/>
      <c r="N1100" s="38"/>
      <c r="O1100" s="38"/>
    </row>
    <row r="1101" hidden="1">
      <c r="A1101" s="38"/>
      <c r="B1101" s="38"/>
      <c r="C1101" s="39"/>
      <c r="D1101" s="40">
        <f>SUMIFS(Rezepte!F:F,Rezepte!A:A,C1101)</f>
        <v>0</v>
      </c>
      <c r="E1101" s="41">
        <f>SUMIFS(Rezepte!G:G,Rezepte!A:A,C1101)</f>
        <v>0</v>
      </c>
      <c r="F1101" s="42" t="str">
        <f t="shared" si="2"/>
        <v>#DIV/0!</v>
      </c>
      <c r="G1101" s="38"/>
      <c r="H1101" s="38"/>
      <c r="I1101" s="38"/>
      <c r="J1101" s="38"/>
      <c r="K1101" s="38"/>
      <c r="L1101" s="38"/>
      <c r="M1101" s="38"/>
      <c r="N1101" s="38"/>
      <c r="O1101" s="38"/>
    </row>
    <row r="1102" hidden="1">
      <c r="A1102" s="38"/>
      <c r="B1102" s="38"/>
      <c r="C1102" s="39"/>
      <c r="D1102" s="40">
        <f>SUMIFS(Rezepte!F:F,Rezepte!A:A,C1102)</f>
        <v>0</v>
      </c>
      <c r="E1102" s="41">
        <f>SUMIFS(Rezepte!G:G,Rezepte!A:A,C1102)</f>
        <v>0</v>
      </c>
      <c r="F1102" s="42" t="str">
        <f t="shared" si="2"/>
        <v>#DIV/0!</v>
      </c>
      <c r="G1102" s="38"/>
      <c r="H1102" s="38"/>
      <c r="I1102" s="38"/>
      <c r="J1102" s="38"/>
      <c r="K1102" s="38"/>
      <c r="L1102" s="38"/>
      <c r="M1102" s="38"/>
      <c r="N1102" s="38"/>
      <c r="O1102" s="38"/>
    </row>
    <row r="1103" hidden="1">
      <c r="A1103" s="38"/>
      <c r="B1103" s="38"/>
      <c r="C1103" s="39"/>
      <c r="D1103" s="40">
        <f>SUMIFS(Rezepte!F:F,Rezepte!A:A,C1103)</f>
        <v>0</v>
      </c>
      <c r="E1103" s="41">
        <f>SUMIFS(Rezepte!G:G,Rezepte!A:A,C1103)</f>
        <v>0</v>
      </c>
      <c r="F1103" s="42" t="str">
        <f t="shared" si="2"/>
        <v>#DIV/0!</v>
      </c>
      <c r="G1103" s="38"/>
      <c r="H1103" s="38"/>
      <c r="I1103" s="38"/>
      <c r="J1103" s="38"/>
      <c r="K1103" s="38"/>
      <c r="L1103" s="38"/>
      <c r="M1103" s="38"/>
      <c r="N1103" s="38"/>
      <c r="O1103" s="38"/>
    </row>
    <row r="1104" hidden="1">
      <c r="A1104" s="38"/>
      <c r="B1104" s="38"/>
      <c r="C1104" s="39"/>
      <c r="D1104" s="40">
        <f>SUMIFS(Rezepte!F:F,Rezepte!A:A,C1104)</f>
        <v>0</v>
      </c>
      <c r="E1104" s="41">
        <f>SUMIFS(Rezepte!G:G,Rezepte!A:A,C1104)</f>
        <v>0</v>
      </c>
      <c r="F1104" s="42" t="str">
        <f t="shared" si="2"/>
        <v>#DIV/0!</v>
      </c>
      <c r="G1104" s="38"/>
      <c r="H1104" s="38"/>
      <c r="I1104" s="38"/>
      <c r="J1104" s="38"/>
      <c r="K1104" s="38"/>
      <c r="L1104" s="38"/>
      <c r="M1104" s="38"/>
      <c r="N1104" s="38"/>
      <c r="O1104" s="38"/>
    </row>
    <row r="1105" hidden="1">
      <c r="A1105" s="38"/>
      <c r="B1105" s="38"/>
      <c r="C1105" s="39"/>
      <c r="D1105" s="40">
        <f>SUMIFS(Rezepte!F:F,Rezepte!A:A,C1105)</f>
        <v>0</v>
      </c>
      <c r="E1105" s="41">
        <f>SUMIFS(Rezepte!G:G,Rezepte!A:A,C1105)</f>
        <v>0</v>
      </c>
      <c r="F1105" s="42" t="str">
        <f t="shared" si="2"/>
        <v>#DIV/0!</v>
      </c>
      <c r="G1105" s="38"/>
      <c r="H1105" s="38"/>
      <c r="I1105" s="38"/>
      <c r="J1105" s="38"/>
      <c r="K1105" s="38"/>
      <c r="L1105" s="38"/>
      <c r="M1105" s="38"/>
      <c r="N1105" s="38"/>
      <c r="O1105" s="38"/>
    </row>
    <row r="1106" hidden="1">
      <c r="A1106" s="38"/>
      <c r="B1106" s="38"/>
      <c r="C1106" s="39"/>
      <c r="D1106" s="40">
        <f>SUMIFS(Rezepte!F:F,Rezepte!A:A,C1106)</f>
        <v>0</v>
      </c>
      <c r="E1106" s="41">
        <f>SUMIFS(Rezepte!G:G,Rezepte!A:A,C1106)</f>
        <v>0</v>
      </c>
      <c r="F1106" s="42" t="str">
        <f t="shared" si="2"/>
        <v>#DIV/0!</v>
      </c>
      <c r="G1106" s="38"/>
      <c r="H1106" s="38"/>
      <c r="I1106" s="38"/>
      <c r="J1106" s="38"/>
      <c r="K1106" s="38"/>
      <c r="L1106" s="38"/>
      <c r="M1106" s="38"/>
      <c r="N1106" s="38"/>
      <c r="O1106" s="38"/>
    </row>
    <row r="1107" hidden="1">
      <c r="A1107" s="38"/>
      <c r="B1107" s="38"/>
      <c r="C1107" s="39"/>
      <c r="D1107" s="40">
        <f>SUMIFS(Rezepte!F:F,Rezepte!A:A,C1107)</f>
        <v>0</v>
      </c>
      <c r="E1107" s="41">
        <f>SUMIFS(Rezepte!G:G,Rezepte!A:A,C1107)</f>
        <v>0</v>
      </c>
      <c r="F1107" s="42" t="str">
        <f t="shared" si="2"/>
        <v>#DIV/0!</v>
      </c>
      <c r="G1107" s="38"/>
      <c r="H1107" s="38"/>
      <c r="I1107" s="38"/>
      <c r="J1107" s="38"/>
      <c r="K1107" s="38"/>
      <c r="L1107" s="38"/>
      <c r="M1107" s="38"/>
      <c r="N1107" s="38"/>
      <c r="O1107" s="38"/>
    </row>
    <row r="1108" hidden="1">
      <c r="A1108" s="38"/>
      <c r="B1108" s="38"/>
      <c r="C1108" s="39"/>
      <c r="D1108" s="40">
        <f>SUMIFS(Rezepte!F:F,Rezepte!A:A,C1108)</f>
        <v>0</v>
      </c>
      <c r="E1108" s="41">
        <f>SUMIFS(Rezepte!G:G,Rezepte!A:A,C1108)</f>
        <v>0</v>
      </c>
      <c r="F1108" s="42" t="str">
        <f t="shared" si="2"/>
        <v>#DIV/0!</v>
      </c>
      <c r="G1108" s="38"/>
      <c r="H1108" s="38"/>
      <c r="I1108" s="38"/>
      <c r="J1108" s="38"/>
      <c r="K1108" s="38"/>
      <c r="L1108" s="38"/>
      <c r="M1108" s="38"/>
      <c r="N1108" s="38"/>
      <c r="O1108" s="38"/>
    </row>
    <row r="1109" hidden="1">
      <c r="A1109" s="38"/>
      <c r="B1109" s="38"/>
      <c r="C1109" s="39"/>
      <c r="D1109" s="40">
        <f>SUMIFS(Rezepte!F:F,Rezepte!A:A,C1109)</f>
        <v>0</v>
      </c>
      <c r="E1109" s="41">
        <f>SUMIFS(Rezepte!G:G,Rezepte!A:A,C1109)</f>
        <v>0</v>
      </c>
      <c r="F1109" s="42" t="str">
        <f t="shared" si="2"/>
        <v>#DIV/0!</v>
      </c>
      <c r="G1109" s="38"/>
      <c r="H1109" s="38"/>
      <c r="I1109" s="38"/>
      <c r="J1109" s="38"/>
      <c r="K1109" s="38"/>
      <c r="L1109" s="38"/>
      <c r="M1109" s="38"/>
      <c r="N1109" s="38"/>
      <c r="O1109" s="38"/>
    </row>
    <row r="1110" hidden="1">
      <c r="A1110" s="38"/>
      <c r="B1110" s="38"/>
      <c r="C1110" s="39"/>
      <c r="D1110" s="40">
        <f>SUMIFS(Rezepte!F:F,Rezepte!A:A,C1110)</f>
        <v>0</v>
      </c>
      <c r="E1110" s="41">
        <f>SUMIFS(Rezepte!G:G,Rezepte!A:A,C1110)</f>
        <v>0</v>
      </c>
      <c r="F1110" s="42" t="str">
        <f t="shared" si="2"/>
        <v>#DIV/0!</v>
      </c>
      <c r="G1110" s="38"/>
      <c r="H1110" s="38"/>
      <c r="I1110" s="38"/>
      <c r="J1110" s="38"/>
      <c r="K1110" s="38"/>
      <c r="L1110" s="38"/>
      <c r="M1110" s="38"/>
      <c r="N1110" s="38"/>
      <c r="O1110" s="38"/>
    </row>
    <row r="1111" hidden="1">
      <c r="A1111" s="38"/>
      <c r="B1111" s="38"/>
      <c r="C1111" s="39"/>
      <c r="D1111" s="40">
        <f>SUMIFS(Rezepte!F:F,Rezepte!A:A,C1111)</f>
        <v>0</v>
      </c>
      <c r="E1111" s="41">
        <f>SUMIFS(Rezepte!G:G,Rezepte!A:A,C1111)</f>
        <v>0</v>
      </c>
      <c r="F1111" s="42" t="str">
        <f t="shared" si="2"/>
        <v>#DIV/0!</v>
      </c>
      <c r="G1111" s="38"/>
      <c r="H1111" s="38"/>
      <c r="I1111" s="38"/>
      <c r="J1111" s="38"/>
      <c r="K1111" s="38"/>
      <c r="L1111" s="38"/>
      <c r="M1111" s="38"/>
      <c r="N1111" s="38"/>
      <c r="O1111" s="38"/>
    </row>
    <row r="1112" hidden="1">
      <c r="A1112" s="38"/>
      <c r="B1112" s="38"/>
      <c r="C1112" s="39"/>
      <c r="D1112" s="40">
        <f>SUMIFS(Rezepte!F:F,Rezepte!A:A,C1112)</f>
        <v>0</v>
      </c>
      <c r="E1112" s="41">
        <f>SUMIFS(Rezepte!G:G,Rezepte!A:A,C1112)</f>
        <v>0</v>
      </c>
      <c r="F1112" s="42" t="str">
        <f t="shared" si="2"/>
        <v>#DIV/0!</v>
      </c>
      <c r="G1112" s="38"/>
      <c r="H1112" s="38"/>
      <c r="I1112" s="38"/>
      <c r="J1112" s="38"/>
      <c r="K1112" s="38"/>
      <c r="L1112" s="38"/>
      <c r="M1112" s="38"/>
      <c r="N1112" s="38"/>
      <c r="O1112" s="38"/>
    </row>
    <row r="1113" hidden="1">
      <c r="A1113" s="38"/>
      <c r="B1113" s="38"/>
      <c r="C1113" s="39"/>
      <c r="D1113" s="40">
        <f>SUMIFS(Rezepte!F:F,Rezepte!A:A,C1113)</f>
        <v>0</v>
      </c>
      <c r="E1113" s="41">
        <f>SUMIFS(Rezepte!G:G,Rezepte!A:A,C1113)</f>
        <v>0</v>
      </c>
      <c r="F1113" s="42" t="str">
        <f t="shared" si="2"/>
        <v>#DIV/0!</v>
      </c>
      <c r="G1113" s="38"/>
      <c r="H1113" s="38"/>
      <c r="I1113" s="38"/>
      <c r="J1113" s="38"/>
      <c r="K1113" s="38"/>
      <c r="L1113" s="38"/>
      <c r="M1113" s="38"/>
      <c r="N1113" s="38"/>
      <c r="O1113" s="38"/>
    </row>
    <row r="1114" hidden="1">
      <c r="A1114" s="38"/>
      <c r="B1114" s="38"/>
      <c r="C1114" s="39"/>
      <c r="D1114" s="40">
        <f>SUMIFS(Rezepte!F:F,Rezepte!A:A,C1114)</f>
        <v>0</v>
      </c>
      <c r="E1114" s="41">
        <f>SUMIFS(Rezepte!G:G,Rezepte!A:A,C1114)</f>
        <v>0</v>
      </c>
      <c r="F1114" s="42" t="str">
        <f t="shared" si="2"/>
        <v>#DIV/0!</v>
      </c>
      <c r="G1114" s="38"/>
      <c r="H1114" s="38"/>
      <c r="I1114" s="38"/>
      <c r="J1114" s="38"/>
      <c r="K1114" s="38"/>
      <c r="L1114" s="38"/>
      <c r="M1114" s="38"/>
      <c r="N1114" s="38"/>
      <c r="O1114" s="38"/>
    </row>
    <row r="1115" hidden="1">
      <c r="A1115" s="38"/>
      <c r="B1115" s="38"/>
      <c r="C1115" s="39"/>
      <c r="D1115" s="40">
        <f>SUMIFS(Rezepte!F:F,Rezepte!A:A,C1115)</f>
        <v>0</v>
      </c>
      <c r="E1115" s="41">
        <f>SUMIFS(Rezepte!G:G,Rezepte!A:A,C1115)</f>
        <v>0</v>
      </c>
      <c r="F1115" s="42" t="str">
        <f t="shared" si="2"/>
        <v>#DIV/0!</v>
      </c>
      <c r="G1115" s="38"/>
      <c r="H1115" s="38"/>
      <c r="I1115" s="38"/>
      <c r="J1115" s="38"/>
      <c r="K1115" s="38"/>
      <c r="L1115" s="38"/>
      <c r="M1115" s="38"/>
      <c r="N1115" s="38"/>
      <c r="O1115" s="38"/>
    </row>
    <row r="1116" hidden="1">
      <c r="A1116" s="38"/>
      <c r="B1116" s="38"/>
      <c r="C1116" s="39"/>
      <c r="D1116" s="40">
        <f>SUMIFS(Rezepte!F:F,Rezepte!A:A,C1116)</f>
        <v>0</v>
      </c>
      <c r="E1116" s="41">
        <f>SUMIFS(Rezepte!G:G,Rezepte!A:A,C1116)</f>
        <v>0</v>
      </c>
      <c r="F1116" s="42" t="str">
        <f t="shared" si="2"/>
        <v>#DIV/0!</v>
      </c>
      <c r="G1116" s="38"/>
      <c r="H1116" s="38"/>
      <c r="I1116" s="38"/>
      <c r="J1116" s="38"/>
      <c r="K1116" s="38"/>
      <c r="L1116" s="38"/>
      <c r="M1116" s="38"/>
      <c r="N1116" s="38"/>
      <c r="O1116" s="38"/>
    </row>
    <row r="1117" hidden="1">
      <c r="A1117" s="38"/>
      <c r="B1117" s="38"/>
      <c r="C1117" s="39"/>
      <c r="D1117" s="40">
        <f>SUMIFS(Rezepte!F:F,Rezepte!A:A,C1117)</f>
        <v>0</v>
      </c>
      <c r="E1117" s="41">
        <f>SUMIFS(Rezepte!G:G,Rezepte!A:A,C1117)</f>
        <v>0</v>
      </c>
      <c r="F1117" s="42" t="str">
        <f t="shared" si="2"/>
        <v>#DIV/0!</v>
      </c>
      <c r="G1117" s="38"/>
      <c r="H1117" s="38"/>
      <c r="I1117" s="38"/>
      <c r="J1117" s="38"/>
      <c r="K1117" s="38"/>
      <c r="L1117" s="38"/>
      <c r="M1117" s="38"/>
      <c r="N1117" s="38"/>
      <c r="O1117" s="38"/>
    </row>
    <row r="1118" hidden="1">
      <c r="A1118" s="38"/>
      <c r="B1118" s="38"/>
      <c r="C1118" s="39"/>
      <c r="D1118" s="40">
        <f>SUMIFS(Rezepte!F:F,Rezepte!A:A,C1118)</f>
        <v>0</v>
      </c>
      <c r="E1118" s="41">
        <f>SUMIFS(Rezepte!G:G,Rezepte!A:A,C1118)</f>
        <v>0</v>
      </c>
      <c r="F1118" s="42" t="str">
        <f t="shared" si="2"/>
        <v>#DIV/0!</v>
      </c>
      <c r="G1118" s="38"/>
      <c r="H1118" s="38"/>
      <c r="I1118" s="38"/>
      <c r="J1118" s="38"/>
      <c r="K1118" s="38"/>
      <c r="L1118" s="38"/>
      <c r="M1118" s="38"/>
      <c r="N1118" s="38"/>
      <c r="O1118" s="38"/>
    </row>
    <row r="1119" hidden="1">
      <c r="A1119" s="38"/>
      <c r="B1119" s="38"/>
      <c r="C1119" s="39"/>
      <c r="D1119" s="40">
        <f>SUMIFS(Rezepte!F:F,Rezepte!A:A,C1119)</f>
        <v>0</v>
      </c>
      <c r="E1119" s="41">
        <f>SUMIFS(Rezepte!G:G,Rezepte!A:A,C1119)</f>
        <v>0</v>
      </c>
      <c r="F1119" s="42" t="str">
        <f t="shared" si="2"/>
        <v>#DIV/0!</v>
      </c>
      <c r="G1119" s="38"/>
      <c r="H1119" s="38"/>
      <c r="I1119" s="38"/>
      <c r="J1119" s="38"/>
      <c r="K1119" s="38"/>
      <c r="L1119" s="38"/>
      <c r="M1119" s="38"/>
      <c r="N1119" s="38"/>
      <c r="O1119" s="38"/>
    </row>
    <row r="1120" hidden="1">
      <c r="A1120" s="38"/>
      <c r="B1120" s="38"/>
      <c r="C1120" s="39"/>
      <c r="D1120" s="40">
        <f>SUMIFS(Rezepte!F:F,Rezepte!A:A,C1120)</f>
        <v>0</v>
      </c>
      <c r="E1120" s="41">
        <f>SUMIFS(Rezepte!G:G,Rezepte!A:A,C1120)</f>
        <v>0</v>
      </c>
      <c r="F1120" s="42" t="str">
        <f t="shared" si="2"/>
        <v>#DIV/0!</v>
      </c>
      <c r="G1120" s="38"/>
      <c r="H1120" s="38"/>
      <c r="I1120" s="38"/>
      <c r="J1120" s="38"/>
      <c r="K1120" s="38"/>
      <c r="L1120" s="38"/>
      <c r="M1120" s="38"/>
      <c r="N1120" s="38"/>
      <c r="O1120" s="38"/>
    </row>
    <row r="1121" hidden="1">
      <c r="A1121" s="38"/>
      <c r="B1121" s="38"/>
      <c r="C1121" s="39"/>
      <c r="D1121" s="40">
        <f>SUMIFS(Rezepte!F:F,Rezepte!A:A,C1121)</f>
        <v>0</v>
      </c>
      <c r="E1121" s="41">
        <f>SUMIFS(Rezepte!G:G,Rezepte!A:A,C1121)</f>
        <v>0</v>
      </c>
      <c r="F1121" s="42" t="str">
        <f t="shared" si="2"/>
        <v>#DIV/0!</v>
      </c>
      <c r="G1121" s="38"/>
      <c r="H1121" s="38"/>
      <c r="I1121" s="38"/>
      <c r="J1121" s="38"/>
      <c r="K1121" s="38"/>
      <c r="L1121" s="38"/>
      <c r="M1121" s="38"/>
      <c r="N1121" s="38"/>
      <c r="O1121" s="38"/>
    </row>
    <row r="1122" hidden="1">
      <c r="A1122" s="38"/>
      <c r="B1122" s="38"/>
      <c r="C1122" s="39"/>
      <c r="D1122" s="40">
        <f>SUMIFS(Rezepte!F:F,Rezepte!A:A,C1122)</f>
        <v>0</v>
      </c>
      <c r="E1122" s="41">
        <f>SUMIFS(Rezepte!G:G,Rezepte!A:A,C1122)</f>
        <v>0</v>
      </c>
      <c r="F1122" s="42" t="str">
        <f t="shared" si="2"/>
        <v>#DIV/0!</v>
      </c>
      <c r="G1122" s="38"/>
      <c r="H1122" s="38"/>
      <c r="I1122" s="38"/>
      <c r="J1122" s="38"/>
      <c r="K1122" s="38"/>
      <c r="L1122" s="38"/>
      <c r="M1122" s="38"/>
      <c r="N1122" s="38"/>
      <c r="O1122" s="38"/>
    </row>
    <row r="1123" hidden="1">
      <c r="A1123" s="38"/>
      <c r="B1123" s="38"/>
      <c r="C1123" s="39"/>
      <c r="D1123" s="40">
        <f>SUMIFS(Rezepte!F:F,Rezepte!A:A,C1123)</f>
        <v>0</v>
      </c>
      <c r="E1123" s="41">
        <f>SUMIFS(Rezepte!G:G,Rezepte!A:A,C1123)</f>
        <v>0</v>
      </c>
      <c r="F1123" s="42" t="str">
        <f t="shared" si="2"/>
        <v>#DIV/0!</v>
      </c>
      <c r="G1123" s="38"/>
      <c r="H1123" s="38"/>
      <c r="I1123" s="38"/>
      <c r="J1123" s="38"/>
      <c r="K1123" s="38"/>
      <c r="L1123" s="38"/>
      <c r="M1123" s="38"/>
      <c r="N1123" s="38"/>
      <c r="O1123" s="38"/>
    </row>
    <row r="1124" hidden="1">
      <c r="A1124" s="38"/>
      <c r="B1124" s="38"/>
      <c r="C1124" s="39"/>
      <c r="D1124" s="40">
        <f>SUMIFS(Rezepte!F:F,Rezepte!A:A,C1124)</f>
        <v>0</v>
      </c>
      <c r="E1124" s="41">
        <f>SUMIFS(Rezepte!G:G,Rezepte!A:A,C1124)</f>
        <v>0</v>
      </c>
      <c r="F1124" s="42" t="str">
        <f t="shared" si="2"/>
        <v>#DIV/0!</v>
      </c>
      <c r="G1124" s="38"/>
      <c r="H1124" s="38"/>
      <c r="I1124" s="38"/>
      <c r="J1124" s="38"/>
      <c r="K1124" s="38"/>
      <c r="L1124" s="38"/>
      <c r="M1124" s="38"/>
      <c r="N1124" s="38"/>
      <c r="O1124" s="38"/>
    </row>
    <row r="1125" hidden="1">
      <c r="A1125" s="38"/>
      <c r="B1125" s="38"/>
      <c r="C1125" s="39"/>
      <c r="D1125" s="40">
        <f>SUMIFS(Rezepte!F:F,Rezepte!A:A,C1125)</f>
        <v>0</v>
      </c>
      <c r="E1125" s="41">
        <f>SUMIFS(Rezepte!G:G,Rezepte!A:A,C1125)</f>
        <v>0</v>
      </c>
      <c r="F1125" s="42" t="str">
        <f t="shared" si="2"/>
        <v>#DIV/0!</v>
      </c>
      <c r="G1125" s="38"/>
      <c r="H1125" s="38"/>
      <c r="I1125" s="38"/>
      <c r="J1125" s="38"/>
      <c r="K1125" s="38"/>
      <c r="L1125" s="38"/>
      <c r="M1125" s="38"/>
      <c r="N1125" s="38"/>
      <c r="O1125" s="38"/>
    </row>
    <row r="1126" hidden="1">
      <c r="A1126" s="38"/>
      <c r="B1126" s="38"/>
      <c r="C1126" s="39"/>
      <c r="D1126" s="40">
        <f>SUMIFS(Rezepte!F:F,Rezepte!A:A,C1126)</f>
        <v>0</v>
      </c>
      <c r="E1126" s="41">
        <f>SUMIFS(Rezepte!G:G,Rezepte!A:A,C1126)</f>
        <v>0</v>
      </c>
      <c r="F1126" s="42" t="str">
        <f t="shared" si="2"/>
        <v>#DIV/0!</v>
      </c>
      <c r="G1126" s="38"/>
      <c r="H1126" s="38"/>
      <c r="I1126" s="38"/>
      <c r="J1126" s="38"/>
      <c r="K1126" s="38"/>
      <c r="L1126" s="38"/>
      <c r="M1126" s="38"/>
      <c r="N1126" s="38"/>
      <c r="O1126" s="38"/>
    </row>
    <row r="1127" hidden="1">
      <c r="A1127" s="38"/>
      <c r="B1127" s="38"/>
      <c r="C1127" s="39"/>
      <c r="D1127" s="40">
        <f>SUMIFS(Rezepte!F:F,Rezepte!A:A,C1127)</f>
        <v>0</v>
      </c>
      <c r="E1127" s="41">
        <f>SUMIFS(Rezepte!G:G,Rezepte!A:A,C1127)</f>
        <v>0</v>
      </c>
      <c r="F1127" s="42" t="str">
        <f t="shared" si="2"/>
        <v>#DIV/0!</v>
      </c>
      <c r="G1127" s="38"/>
      <c r="H1127" s="38"/>
      <c r="I1127" s="38"/>
      <c r="J1127" s="38"/>
      <c r="K1127" s="38"/>
      <c r="L1127" s="38"/>
      <c r="M1127" s="38"/>
      <c r="N1127" s="38"/>
      <c r="O1127" s="38"/>
    </row>
    <row r="1128" hidden="1">
      <c r="A1128" s="38"/>
      <c r="B1128" s="38"/>
      <c r="C1128" s="39"/>
      <c r="D1128" s="40">
        <f>SUMIFS(Rezepte!F:F,Rezepte!A:A,C1128)</f>
        <v>0</v>
      </c>
      <c r="E1128" s="41">
        <f>SUMIFS(Rezepte!G:G,Rezepte!A:A,C1128)</f>
        <v>0</v>
      </c>
      <c r="F1128" s="42" t="str">
        <f t="shared" si="2"/>
        <v>#DIV/0!</v>
      </c>
      <c r="G1128" s="38"/>
      <c r="H1128" s="38"/>
      <c r="I1128" s="38"/>
      <c r="J1128" s="38"/>
      <c r="K1128" s="38"/>
      <c r="L1128" s="38"/>
      <c r="M1128" s="38"/>
      <c r="N1128" s="38"/>
      <c r="O1128" s="38"/>
    </row>
    <row r="1129" hidden="1">
      <c r="A1129" s="38"/>
      <c r="B1129" s="38"/>
      <c r="C1129" s="39"/>
      <c r="D1129" s="40">
        <f>SUMIFS(Rezepte!F:F,Rezepte!A:A,C1129)</f>
        <v>0</v>
      </c>
      <c r="E1129" s="41">
        <f>SUMIFS(Rezepte!G:G,Rezepte!A:A,C1129)</f>
        <v>0</v>
      </c>
      <c r="F1129" s="42" t="str">
        <f t="shared" si="2"/>
        <v>#DIV/0!</v>
      </c>
      <c r="G1129" s="38"/>
      <c r="H1129" s="38"/>
      <c r="I1129" s="38"/>
      <c r="J1129" s="38"/>
      <c r="K1129" s="38"/>
      <c r="L1129" s="38"/>
      <c r="M1129" s="38"/>
      <c r="N1129" s="38"/>
      <c r="O1129" s="38"/>
    </row>
    <row r="1130" hidden="1">
      <c r="A1130" s="38"/>
      <c r="B1130" s="38"/>
      <c r="C1130" s="39"/>
      <c r="D1130" s="40">
        <f>SUMIFS(Rezepte!F:F,Rezepte!A:A,C1130)</f>
        <v>0</v>
      </c>
      <c r="E1130" s="41">
        <f>SUMIFS(Rezepte!G:G,Rezepte!A:A,C1130)</f>
        <v>0</v>
      </c>
      <c r="F1130" s="42" t="str">
        <f t="shared" si="2"/>
        <v>#DIV/0!</v>
      </c>
      <c r="G1130" s="38"/>
      <c r="H1130" s="38"/>
      <c r="I1130" s="38"/>
      <c r="J1130" s="38"/>
      <c r="K1130" s="38"/>
      <c r="L1130" s="38"/>
      <c r="M1130" s="38"/>
      <c r="N1130" s="38"/>
      <c r="O1130" s="38"/>
    </row>
    <row r="1131" hidden="1">
      <c r="A1131" s="38"/>
      <c r="B1131" s="38"/>
      <c r="C1131" s="39"/>
      <c r="D1131" s="40">
        <f>SUMIFS(Rezepte!F:F,Rezepte!A:A,C1131)</f>
        <v>0</v>
      </c>
      <c r="E1131" s="41">
        <f>SUMIFS(Rezepte!G:G,Rezepte!A:A,C1131)</f>
        <v>0</v>
      </c>
      <c r="F1131" s="42" t="str">
        <f t="shared" si="2"/>
        <v>#DIV/0!</v>
      </c>
      <c r="G1131" s="38"/>
      <c r="H1131" s="38"/>
      <c r="I1131" s="38"/>
      <c r="J1131" s="38"/>
      <c r="K1131" s="38"/>
      <c r="L1131" s="38"/>
      <c r="M1131" s="38"/>
      <c r="N1131" s="38"/>
      <c r="O1131" s="38"/>
    </row>
    <row r="1132" hidden="1">
      <c r="A1132" s="38"/>
      <c r="B1132" s="38"/>
      <c r="C1132" s="39"/>
      <c r="D1132" s="40">
        <f>SUMIFS(Rezepte!F:F,Rezepte!A:A,C1132)</f>
        <v>0</v>
      </c>
      <c r="E1132" s="41">
        <f>SUMIFS(Rezepte!G:G,Rezepte!A:A,C1132)</f>
        <v>0</v>
      </c>
      <c r="F1132" s="42" t="str">
        <f t="shared" si="2"/>
        <v>#DIV/0!</v>
      </c>
      <c r="G1132" s="38"/>
      <c r="H1132" s="38"/>
      <c r="I1132" s="38"/>
      <c r="J1132" s="38"/>
      <c r="K1132" s="38"/>
      <c r="L1132" s="38"/>
      <c r="M1132" s="38"/>
      <c r="N1132" s="38"/>
      <c r="O1132" s="38"/>
    </row>
    <row r="1133" hidden="1">
      <c r="A1133" s="38"/>
      <c r="B1133" s="38"/>
      <c r="C1133" s="39"/>
      <c r="D1133" s="40">
        <f>SUMIFS(Rezepte!F:F,Rezepte!A:A,C1133)</f>
        <v>0</v>
      </c>
      <c r="E1133" s="41">
        <f>SUMIFS(Rezepte!G:G,Rezepte!A:A,C1133)</f>
        <v>0</v>
      </c>
      <c r="F1133" s="42" t="str">
        <f t="shared" si="2"/>
        <v>#DIV/0!</v>
      </c>
      <c r="G1133" s="38"/>
      <c r="H1133" s="38"/>
      <c r="I1133" s="38"/>
      <c r="J1133" s="38"/>
      <c r="K1133" s="38"/>
      <c r="L1133" s="38"/>
      <c r="M1133" s="38"/>
      <c r="N1133" s="38"/>
      <c r="O1133" s="38"/>
    </row>
    <row r="1134" hidden="1">
      <c r="A1134" s="38"/>
      <c r="B1134" s="38"/>
      <c r="C1134" s="39"/>
      <c r="D1134" s="40">
        <f>SUMIFS(Rezepte!F:F,Rezepte!A:A,C1134)</f>
        <v>0</v>
      </c>
      <c r="E1134" s="41">
        <f>SUMIFS(Rezepte!G:G,Rezepte!A:A,C1134)</f>
        <v>0</v>
      </c>
      <c r="F1134" s="42" t="str">
        <f t="shared" si="2"/>
        <v>#DIV/0!</v>
      </c>
      <c r="G1134" s="38"/>
      <c r="H1134" s="38"/>
      <c r="I1134" s="38"/>
      <c r="J1134" s="38"/>
      <c r="K1134" s="38"/>
      <c r="L1134" s="38"/>
      <c r="M1134" s="38"/>
      <c r="N1134" s="38"/>
      <c r="O1134" s="38"/>
    </row>
    <row r="1135" hidden="1">
      <c r="A1135" s="38"/>
      <c r="B1135" s="38"/>
      <c r="C1135" s="39"/>
      <c r="D1135" s="40">
        <f>SUMIFS(Rezepte!F:F,Rezepte!A:A,C1135)</f>
        <v>0</v>
      </c>
      <c r="E1135" s="41">
        <f>SUMIFS(Rezepte!G:G,Rezepte!A:A,C1135)</f>
        <v>0</v>
      </c>
      <c r="F1135" s="42" t="str">
        <f t="shared" si="2"/>
        <v>#DIV/0!</v>
      </c>
      <c r="G1135" s="38"/>
      <c r="H1135" s="38"/>
      <c r="I1135" s="38"/>
      <c r="J1135" s="38"/>
      <c r="K1135" s="38"/>
      <c r="L1135" s="38"/>
      <c r="M1135" s="38"/>
      <c r="N1135" s="38"/>
      <c r="O1135" s="38"/>
    </row>
    <row r="1136" hidden="1">
      <c r="A1136" s="38"/>
      <c r="B1136" s="38"/>
      <c r="C1136" s="39"/>
      <c r="D1136" s="40">
        <f>SUMIFS(Rezepte!F:F,Rezepte!A:A,C1136)</f>
        <v>0</v>
      </c>
      <c r="E1136" s="41">
        <f>SUMIFS(Rezepte!G:G,Rezepte!A:A,C1136)</f>
        <v>0</v>
      </c>
      <c r="F1136" s="42" t="str">
        <f t="shared" si="2"/>
        <v>#DIV/0!</v>
      </c>
      <c r="G1136" s="38"/>
      <c r="H1136" s="38"/>
      <c r="I1136" s="38"/>
      <c r="J1136" s="38"/>
      <c r="K1136" s="38"/>
      <c r="L1136" s="38"/>
      <c r="M1136" s="38"/>
      <c r="N1136" s="38"/>
      <c r="O1136" s="38"/>
    </row>
    <row r="1137" hidden="1">
      <c r="A1137" s="38"/>
      <c r="B1137" s="38"/>
      <c r="C1137" s="39"/>
      <c r="D1137" s="40">
        <f>SUMIFS(Rezepte!F:F,Rezepte!A:A,C1137)</f>
        <v>0</v>
      </c>
      <c r="E1137" s="41">
        <f>SUMIFS(Rezepte!G:G,Rezepte!A:A,C1137)</f>
        <v>0</v>
      </c>
      <c r="F1137" s="42" t="str">
        <f t="shared" si="2"/>
        <v>#DIV/0!</v>
      </c>
      <c r="G1137" s="38"/>
      <c r="H1137" s="38"/>
      <c r="I1137" s="38"/>
      <c r="J1137" s="38"/>
      <c r="K1137" s="38"/>
      <c r="L1137" s="38"/>
      <c r="M1137" s="38"/>
      <c r="N1137" s="38"/>
      <c r="O1137" s="38"/>
    </row>
    <row r="1138" hidden="1">
      <c r="A1138" s="38"/>
      <c r="B1138" s="38"/>
      <c r="C1138" s="39"/>
      <c r="D1138" s="40">
        <f>SUMIFS(Rezepte!F:F,Rezepte!A:A,C1138)</f>
        <v>0</v>
      </c>
      <c r="E1138" s="41">
        <f>SUMIFS(Rezepte!G:G,Rezepte!A:A,C1138)</f>
        <v>0</v>
      </c>
      <c r="F1138" s="42" t="str">
        <f t="shared" si="2"/>
        <v>#DIV/0!</v>
      </c>
      <c r="G1138" s="38"/>
      <c r="H1138" s="38"/>
      <c r="I1138" s="38"/>
      <c r="J1138" s="38"/>
      <c r="K1138" s="38"/>
      <c r="L1138" s="38"/>
      <c r="M1138" s="38"/>
      <c r="N1138" s="38"/>
      <c r="O1138" s="38"/>
    </row>
    <row r="1139" hidden="1">
      <c r="A1139" s="38"/>
      <c r="B1139" s="38"/>
      <c r="C1139" s="39"/>
      <c r="D1139" s="40">
        <f>SUMIFS(Rezepte!F:F,Rezepte!A:A,C1139)</f>
        <v>0</v>
      </c>
      <c r="E1139" s="41">
        <f>SUMIFS(Rezepte!G:G,Rezepte!A:A,C1139)</f>
        <v>0</v>
      </c>
      <c r="F1139" s="42" t="str">
        <f t="shared" si="2"/>
        <v>#DIV/0!</v>
      </c>
      <c r="G1139" s="38"/>
      <c r="H1139" s="38"/>
      <c r="I1139" s="38"/>
      <c r="J1139" s="38"/>
      <c r="K1139" s="38"/>
      <c r="L1139" s="38"/>
      <c r="M1139" s="38"/>
      <c r="N1139" s="38"/>
      <c r="O1139" s="38"/>
    </row>
    <row r="1140" hidden="1">
      <c r="A1140" s="38"/>
      <c r="B1140" s="38"/>
      <c r="C1140" s="39"/>
      <c r="D1140" s="40">
        <f>SUMIFS(Rezepte!F:F,Rezepte!A:A,C1140)</f>
        <v>0</v>
      </c>
      <c r="E1140" s="41">
        <f>SUMIFS(Rezepte!G:G,Rezepte!A:A,C1140)</f>
        <v>0</v>
      </c>
      <c r="F1140" s="42" t="str">
        <f t="shared" si="2"/>
        <v>#DIV/0!</v>
      </c>
      <c r="G1140" s="38"/>
      <c r="H1140" s="38"/>
      <c r="I1140" s="38"/>
      <c r="J1140" s="38"/>
      <c r="K1140" s="38"/>
      <c r="L1140" s="38"/>
      <c r="M1140" s="38"/>
      <c r="N1140" s="38"/>
      <c r="O1140" s="38"/>
    </row>
    <row r="1141" hidden="1">
      <c r="A1141" s="38"/>
      <c r="B1141" s="38"/>
      <c r="C1141" s="39"/>
      <c r="D1141" s="40">
        <f>SUMIFS(Rezepte!F:F,Rezepte!A:A,C1141)</f>
        <v>0</v>
      </c>
      <c r="E1141" s="41">
        <f>SUMIFS(Rezepte!G:G,Rezepte!A:A,C1141)</f>
        <v>0</v>
      </c>
      <c r="F1141" s="42" t="str">
        <f t="shared" si="2"/>
        <v>#DIV/0!</v>
      </c>
      <c r="G1141" s="38"/>
      <c r="H1141" s="38"/>
      <c r="I1141" s="38"/>
      <c r="J1141" s="38"/>
      <c r="K1141" s="38"/>
      <c r="L1141" s="38"/>
      <c r="M1141" s="38"/>
      <c r="N1141" s="38"/>
      <c r="O1141" s="38"/>
    </row>
    <row r="1142" hidden="1">
      <c r="A1142" s="38"/>
      <c r="B1142" s="38"/>
      <c r="C1142" s="39"/>
      <c r="D1142" s="40">
        <f>SUMIFS(Rezepte!F:F,Rezepte!A:A,C1142)</f>
        <v>0</v>
      </c>
      <c r="E1142" s="41">
        <f>SUMIFS(Rezepte!G:G,Rezepte!A:A,C1142)</f>
        <v>0</v>
      </c>
      <c r="F1142" s="42" t="str">
        <f t="shared" si="2"/>
        <v>#DIV/0!</v>
      </c>
      <c r="G1142" s="38"/>
      <c r="H1142" s="38"/>
      <c r="I1142" s="38"/>
      <c r="J1142" s="38"/>
      <c r="K1142" s="38"/>
      <c r="L1142" s="38"/>
      <c r="M1142" s="38"/>
      <c r="N1142" s="38"/>
      <c r="O1142" s="38"/>
    </row>
    <row r="1143" hidden="1">
      <c r="A1143" s="38"/>
      <c r="B1143" s="38"/>
      <c r="C1143" s="39"/>
      <c r="D1143" s="40">
        <f>SUMIFS(Rezepte!F:F,Rezepte!A:A,C1143)</f>
        <v>0</v>
      </c>
      <c r="E1143" s="41">
        <f>SUMIFS(Rezepte!G:G,Rezepte!A:A,C1143)</f>
        <v>0</v>
      </c>
      <c r="F1143" s="42" t="str">
        <f t="shared" si="2"/>
        <v>#DIV/0!</v>
      </c>
      <c r="G1143" s="38"/>
      <c r="H1143" s="38"/>
      <c r="I1143" s="38"/>
      <c r="J1143" s="38"/>
      <c r="K1143" s="38"/>
      <c r="L1143" s="38"/>
      <c r="M1143" s="38"/>
      <c r="N1143" s="38"/>
      <c r="O1143" s="38"/>
    </row>
    <row r="1144" hidden="1">
      <c r="A1144" s="38"/>
      <c r="B1144" s="38"/>
      <c r="C1144" s="39"/>
      <c r="D1144" s="40">
        <f>SUMIFS(Rezepte!F:F,Rezepte!A:A,C1144)</f>
        <v>0</v>
      </c>
      <c r="E1144" s="41">
        <f>SUMIFS(Rezepte!G:G,Rezepte!A:A,C1144)</f>
        <v>0</v>
      </c>
      <c r="F1144" s="42" t="str">
        <f t="shared" si="2"/>
        <v>#DIV/0!</v>
      </c>
      <c r="G1144" s="38"/>
      <c r="H1144" s="38"/>
      <c r="I1144" s="38"/>
      <c r="J1144" s="38"/>
      <c r="K1144" s="38"/>
      <c r="L1144" s="38"/>
      <c r="M1144" s="38"/>
      <c r="N1144" s="38"/>
      <c r="O1144" s="38"/>
    </row>
    <row r="1145" hidden="1">
      <c r="A1145" s="38"/>
      <c r="B1145" s="38"/>
      <c r="C1145" s="39"/>
      <c r="D1145" s="40">
        <f>SUMIFS(Rezepte!F:F,Rezepte!A:A,C1145)</f>
        <v>0</v>
      </c>
      <c r="E1145" s="41">
        <f>SUMIFS(Rezepte!G:G,Rezepte!A:A,C1145)</f>
        <v>0</v>
      </c>
      <c r="F1145" s="42" t="str">
        <f t="shared" si="2"/>
        <v>#DIV/0!</v>
      </c>
      <c r="G1145" s="38"/>
      <c r="H1145" s="38"/>
      <c r="I1145" s="38"/>
      <c r="J1145" s="38"/>
      <c r="K1145" s="38"/>
      <c r="L1145" s="38"/>
      <c r="M1145" s="38"/>
      <c r="N1145" s="38"/>
      <c r="O1145" s="38"/>
    </row>
    <row r="1146" hidden="1">
      <c r="A1146" s="38"/>
      <c r="B1146" s="38"/>
      <c r="C1146" s="39"/>
      <c r="D1146" s="40">
        <f>SUMIFS(Rezepte!F:F,Rezepte!A:A,C1146)</f>
        <v>0</v>
      </c>
      <c r="E1146" s="41">
        <f>SUMIFS(Rezepte!G:G,Rezepte!A:A,C1146)</f>
        <v>0</v>
      </c>
      <c r="F1146" s="42" t="str">
        <f t="shared" si="2"/>
        <v>#DIV/0!</v>
      </c>
      <c r="G1146" s="38"/>
      <c r="H1146" s="38"/>
      <c r="I1146" s="38"/>
      <c r="J1146" s="38"/>
      <c r="K1146" s="38"/>
      <c r="L1146" s="38"/>
      <c r="M1146" s="38"/>
      <c r="N1146" s="38"/>
      <c r="O1146" s="38"/>
    </row>
    <row r="1147" hidden="1">
      <c r="A1147" s="38"/>
      <c r="B1147" s="38"/>
      <c r="C1147" s="39"/>
      <c r="D1147" s="40">
        <f>SUMIFS(Rezepte!F:F,Rezepte!A:A,C1147)</f>
        <v>0</v>
      </c>
      <c r="E1147" s="41">
        <f>SUMIFS(Rezepte!G:G,Rezepte!A:A,C1147)</f>
        <v>0</v>
      </c>
      <c r="F1147" s="42" t="str">
        <f t="shared" si="2"/>
        <v>#DIV/0!</v>
      </c>
      <c r="G1147" s="38"/>
      <c r="H1147" s="38"/>
      <c r="I1147" s="38"/>
      <c r="J1147" s="38"/>
      <c r="K1147" s="38"/>
      <c r="L1147" s="38"/>
      <c r="M1147" s="38"/>
      <c r="N1147" s="38"/>
      <c r="O1147" s="38"/>
    </row>
    <row r="1148" hidden="1">
      <c r="A1148" s="38"/>
      <c r="B1148" s="38"/>
      <c r="C1148" s="39"/>
      <c r="D1148" s="40">
        <f>SUMIFS(Rezepte!F:F,Rezepte!A:A,C1148)</f>
        <v>0</v>
      </c>
      <c r="E1148" s="41">
        <f>SUMIFS(Rezepte!G:G,Rezepte!A:A,C1148)</f>
        <v>0</v>
      </c>
      <c r="F1148" s="42" t="str">
        <f t="shared" si="2"/>
        <v>#DIV/0!</v>
      </c>
      <c r="G1148" s="38"/>
      <c r="H1148" s="38"/>
      <c r="I1148" s="38"/>
      <c r="J1148" s="38"/>
      <c r="K1148" s="38"/>
      <c r="L1148" s="38"/>
      <c r="M1148" s="38"/>
      <c r="N1148" s="38"/>
      <c r="O1148" s="38"/>
    </row>
    <row r="1149" hidden="1">
      <c r="A1149" s="38"/>
      <c r="B1149" s="38"/>
      <c r="C1149" s="39"/>
      <c r="D1149" s="40">
        <f>SUMIFS(Rezepte!F:F,Rezepte!A:A,C1149)</f>
        <v>0</v>
      </c>
      <c r="E1149" s="41">
        <f>SUMIFS(Rezepte!G:G,Rezepte!A:A,C1149)</f>
        <v>0</v>
      </c>
      <c r="F1149" s="42" t="str">
        <f t="shared" si="2"/>
        <v>#DIV/0!</v>
      </c>
      <c r="G1149" s="38"/>
      <c r="H1149" s="38"/>
      <c r="I1149" s="38"/>
      <c r="J1149" s="38"/>
      <c r="K1149" s="38"/>
      <c r="L1149" s="38"/>
      <c r="M1149" s="38"/>
      <c r="N1149" s="38"/>
      <c r="O1149" s="38"/>
    </row>
    <row r="1150" hidden="1">
      <c r="A1150" s="38"/>
      <c r="B1150" s="38"/>
      <c r="C1150" s="39"/>
      <c r="D1150" s="40">
        <f>SUMIFS(Rezepte!F:F,Rezepte!A:A,C1150)</f>
        <v>0</v>
      </c>
      <c r="E1150" s="41">
        <f>SUMIFS(Rezepte!G:G,Rezepte!A:A,C1150)</f>
        <v>0</v>
      </c>
      <c r="F1150" s="42" t="str">
        <f t="shared" si="2"/>
        <v>#DIV/0!</v>
      </c>
      <c r="G1150" s="38"/>
      <c r="H1150" s="38"/>
      <c r="I1150" s="38"/>
      <c r="J1150" s="38"/>
      <c r="K1150" s="38"/>
      <c r="L1150" s="38"/>
      <c r="M1150" s="38"/>
      <c r="N1150" s="38"/>
      <c r="O1150" s="38"/>
    </row>
    <row r="1151" hidden="1">
      <c r="A1151" s="38"/>
      <c r="B1151" s="38"/>
      <c r="C1151" s="39"/>
      <c r="D1151" s="40">
        <f>SUMIFS(Rezepte!F:F,Rezepte!A:A,C1151)</f>
        <v>0</v>
      </c>
      <c r="E1151" s="41">
        <f>SUMIFS(Rezepte!G:G,Rezepte!A:A,C1151)</f>
        <v>0</v>
      </c>
      <c r="F1151" s="42" t="str">
        <f t="shared" si="2"/>
        <v>#DIV/0!</v>
      </c>
      <c r="G1151" s="38"/>
      <c r="H1151" s="38"/>
      <c r="I1151" s="38"/>
      <c r="J1151" s="38"/>
      <c r="K1151" s="38"/>
      <c r="L1151" s="38"/>
      <c r="M1151" s="38"/>
      <c r="N1151" s="38"/>
      <c r="O1151" s="38"/>
    </row>
    <row r="1152" hidden="1">
      <c r="A1152" s="38"/>
      <c r="B1152" s="38"/>
      <c r="C1152" s="39"/>
      <c r="D1152" s="40">
        <f>SUMIFS(Rezepte!F:F,Rezepte!A:A,C1152)</f>
        <v>0</v>
      </c>
      <c r="E1152" s="41">
        <f>SUMIFS(Rezepte!G:G,Rezepte!A:A,C1152)</f>
        <v>0</v>
      </c>
      <c r="F1152" s="42" t="str">
        <f t="shared" si="2"/>
        <v>#DIV/0!</v>
      </c>
      <c r="G1152" s="38"/>
      <c r="H1152" s="38"/>
      <c r="I1152" s="38"/>
      <c r="J1152" s="38"/>
      <c r="K1152" s="38"/>
      <c r="L1152" s="38"/>
      <c r="M1152" s="38"/>
      <c r="N1152" s="38"/>
      <c r="O1152" s="38"/>
    </row>
    <row r="1153" hidden="1">
      <c r="A1153" s="38"/>
      <c r="B1153" s="38"/>
      <c r="C1153" s="39"/>
      <c r="D1153" s="40">
        <f>SUMIFS(Rezepte!F:F,Rezepte!A:A,C1153)</f>
        <v>0</v>
      </c>
      <c r="E1153" s="41">
        <f>SUMIFS(Rezepte!G:G,Rezepte!A:A,C1153)</f>
        <v>0</v>
      </c>
      <c r="F1153" s="42" t="str">
        <f t="shared" si="2"/>
        <v>#DIV/0!</v>
      </c>
      <c r="G1153" s="38"/>
      <c r="H1153" s="38"/>
      <c r="I1153" s="38"/>
      <c r="J1153" s="38"/>
      <c r="K1153" s="38"/>
      <c r="L1153" s="38"/>
      <c r="M1153" s="38"/>
      <c r="N1153" s="38"/>
      <c r="O1153" s="38"/>
    </row>
    <row r="1154" hidden="1">
      <c r="A1154" s="38"/>
      <c r="B1154" s="38"/>
      <c r="C1154" s="39"/>
      <c r="D1154" s="40">
        <f>SUMIFS(Rezepte!F:F,Rezepte!A:A,C1154)</f>
        <v>0</v>
      </c>
      <c r="E1154" s="41">
        <f>SUMIFS(Rezepte!G:G,Rezepte!A:A,C1154)</f>
        <v>0</v>
      </c>
      <c r="F1154" s="42" t="str">
        <f t="shared" si="2"/>
        <v>#DIV/0!</v>
      </c>
      <c r="G1154" s="38"/>
      <c r="H1154" s="38"/>
      <c r="I1154" s="38"/>
      <c r="J1154" s="38"/>
      <c r="K1154" s="38"/>
      <c r="L1154" s="38"/>
      <c r="M1154" s="38"/>
      <c r="N1154" s="38"/>
      <c r="O1154" s="38"/>
    </row>
    <row r="1155" hidden="1">
      <c r="A1155" s="38"/>
      <c r="B1155" s="38"/>
      <c r="C1155" s="39"/>
      <c r="D1155" s="40">
        <f>SUMIFS(Rezepte!F:F,Rezepte!A:A,C1155)</f>
        <v>0</v>
      </c>
      <c r="E1155" s="41">
        <f>SUMIFS(Rezepte!G:G,Rezepte!A:A,C1155)</f>
        <v>0</v>
      </c>
      <c r="F1155" s="42" t="str">
        <f t="shared" si="2"/>
        <v>#DIV/0!</v>
      </c>
      <c r="G1155" s="38"/>
      <c r="H1155" s="38"/>
      <c r="I1155" s="38"/>
      <c r="J1155" s="38"/>
      <c r="K1155" s="38"/>
      <c r="L1155" s="38"/>
      <c r="M1155" s="38"/>
      <c r="N1155" s="38"/>
      <c r="O1155" s="38"/>
    </row>
    <row r="1156" hidden="1">
      <c r="A1156" s="38"/>
      <c r="B1156" s="38"/>
      <c r="C1156" s="39"/>
      <c r="D1156" s="40">
        <f>SUMIFS(Rezepte!F:F,Rezepte!A:A,C1156)</f>
        <v>0</v>
      </c>
      <c r="E1156" s="41">
        <f>SUMIFS(Rezepte!G:G,Rezepte!A:A,C1156)</f>
        <v>0</v>
      </c>
      <c r="F1156" s="42" t="str">
        <f t="shared" si="2"/>
        <v>#DIV/0!</v>
      </c>
      <c r="G1156" s="38"/>
      <c r="H1156" s="38"/>
      <c r="I1156" s="38"/>
      <c r="J1156" s="38"/>
      <c r="K1156" s="38"/>
      <c r="L1156" s="38"/>
      <c r="M1156" s="38"/>
      <c r="N1156" s="38"/>
      <c r="O1156" s="38"/>
    </row>
    <row r="1157" hidden="1">
      <c r="A1157" s="38"/>
      <c r="B1157" s="38"/>
      <c r="C1157" s="39"/>
      <c r="D1157" s="40">
        <f>SUMIFS(Rezepte!F:F,Rezepte!A:A,C1157)</f>
        <v>0</v>
      </c>
      <c r="E1157" s="41">
        <f>SUMIFS(Rezepte!G:G,Rezepte!A:A,C1157)</f>
        <v>0</v>
      </c>
      <c r="F1157" s="42" t="str">
        <f t="shared" si="2"/>
        <v>#DIV/0!</v>
      </c>
      <c r="G1157" s="38"/>
      <c r="H1157" s="38"/>
      <c r="I1157" s="38"/>
      <c r="J1157" s="38"/>
      <c r="K1157" s="38"/>
      <c r="L1157" s="38"/>
      <c r="M1157" s="38"/>
      <c r="N1157" s="38"/>
      <c r="O1157" s="38"/>
    </row>
    <row r="1158" hidden="1">
      <c r="A1158" s="38"/>
      <c r="B1158" s="38"/>
      <c r="C1158" s="39"/>
      <c r="D1158" s="40">
        <f>SUMIFS(Rezepte!F:F,Rezepte!A:A,C1158)</f>
        <v>0</v>
      </c>
      <c r="E1158" s="41">
        <f>SUMIFS(Rezepte!G:G,Rezepte!A:A,C1158)</f>
        <v>0</v>
      </c>
      <c r="F1158" s="42" t="str">
        <f t="shared" si="2"/>
        <v>#DIV/0!</v>
      </c>
      <c r="G1158" s="38"/>
      <c r="H1158" s="38"/>
      <c r="I1158" s="38"/>
      <c r="J1158" s="38"/>
      <c r="K1158" s="38"/>
      <c r="L1158" s="38"/>
      <c r="M1158" s="38"/>
      <c r="N1158" s="38"/>
      <c r="O1158" s="38"/>
    </row>
    <row r="1159" hidden="1">
      <c r="A1159" s="38"/>
      <c r="B1159" s="38"/>
      <c r="C1159" s="39"/>
      <c r="D1159" s="40">
        <f>SUMIFS(Rezepte!F:F,Rezepte!A:A,C1159)</f>
        <v>0</v>
      </c>
      <c r="E1159" s="41">
        <f>SUMIFS(Rezepte!G:G,Rezepte!A:A,C1159)</f>
        <v>0</v>
      </c>
      <c r="F1159" s="42" t="str">
        <f t="shared" si="2"/>
        <v>#DIV/0!</v>
      </c>
      <c r="G1159" s="38"/>
      <c r="H1159" s="38"/>
      <c r="I1159" s="38"/>
      <c r="J1159" s="38"/>
      <c r="K1159" s="38"/>
      <c r="L1159" s="38"/>
      <c r="M1159" s="38"/>
      <c r="N1159" s="38"/>
      <c r="O1159" s="38"/>
    </row>
    <row r="1160" hidden="1">
      <c r="A1160" s="38"/>
      <c r="B1160" s="38"/>
      <c r="C1160" s="39"/>
      <c r="D1160" s="40">
        <f>SUMIFS(Rezepte!F:F,Rezepte!A:A,C1160)</f>
        <v>0</v>
      </c>
      <c r="E1160" s="41">
        <f>SUMIFS(Rezepte!G:G,Rezepte!A:A,C1160)</f>
        <v>0</v>
      </c>
      <c r="F1160" s="42" t="str">
        <f t="shared" si="2"/>
        <v>#DIV/0!</v>
      </c>
      <c r="G1160" s="38"/>
      <c r="H1160" s="38"/>
      <c r="I1160" s="38"/>
      <c r="J1160" s="38"/>
      <c r="K1160" s="38"/>
      <c r="L1160" s="38"/>
      <c r="M1160" s="38"/>
      <c r="N1160" s="38"/>
      <c r="O1160" s="38"/>
    </row>
    <row r="1161" hidden="1">
      <c r="A1161" s="38"/>
      <c r="B1161" s="38"/>
      <c r="C1161" s="39"/>
      <c r="D1161" s="40">
        <f>SUMIFS(Rezepte!F:F,Rezepte!A:A,C1161)</f>
        <v>0</v>
      </c>
      <c r="E1161" s="41">
        <f>SUMIFS(Rezepte!G:G,Rezepte!A:A,C1161)</f>
        <v>0</v>
      </c>
      <c r="F1161" s="42" t="str">
        <f t="shared" si="2"/>
        <v>#DIV/0!</v>
      </c>
      <c r="G1161" s="38"/>
      <c r="H1161" s="38"/>
      <c r="I1161" s="38"/>
      <c r="J1161" s="38"/>
      <c r="K1161" s="38"/>
      <c r="L1161" s="38"/>
      <c r="M1161" s="38"/>
      <c r="N1161" s="38"/>
      <c r="O1161" s="38"/>
    </row>
    <row r="1162" hidden="1">
      <c r="A1162" s="38"/>
      <c r="B1162" s="38"/>
      <c r="C1162" s="39"/>
      <c r="D1162" s="40">
        <f>SUMIFS(Rezepte!F:F,Rezepte!A:A,C1162)</f>
        <v>0</v>
      </c>
      <c r="E1162" s="41">
        <f>SUMIFS(Rezepte!G:G,Rezepte!A:A,C1162)</f>
        <v>0</v>
      </c>
      <c r="F1162" s="42" t="str">
        <f t="shared" si="2"/>
        <v>#DIV/0!</v>
      </c>
      <c r="G1162" s="38"/>
      <c r="H1162" s="38"/>
      <c r="I1162" s="38"/>
      <c r="J1162" s="38"/>
      <c r="K1162" s="38"/>
      <c r="L1162" s="38"/>
      <c r="M1162" s="38"/>
      <c r="N1162" s="38"/>
      <c r="O1162" s="38"/>
    </row>
    <row r="1163" hidden="1">
      <c r="A1163" s="38"/>
      <c r="B1163" s="38"/>
      <c r="C1163" s="39"/>
      <c r="D1163" s="40">
        <f>SUMIFS(Rezepte!F:F,Rezepte!A:A,C1163)</f>
        <v>0</v>
      </c>
      <c r="E1163" s="41">
        <f>SUMIFS(Rezepte!G:G,Rezepte!A:A,C1163)</f>
        <v>0</v>
      </c>
      <c r="F1163" s="42" t="str">
        <f t="shared" si="2"/>
        <v>#DIV/0!</v>
      </c>
      <c r="G1163" s="38"/>
      <c r="H1163" s="38"/>
      <c r="I1163" s="38"/>
      <c r="J1163" s="38"/>
      <c r="K1163" s="38"/>
      <c r="L1163" s="38"/>
      <c r="M1163" s="38"/>
      <c r="N1163" s="38"/>
      <c r="O1163" s="38"/>
    </row>
    <row r="1164" hidden="1">
      <c r="A1164" s="38"/>
      <c r="B1164" s="38"/>
      <c r="C1164" s="39"/>
      <c r="D1164" s="40">
        <f>SUMIFS(Rezepte!F:F,Rezepte!A:A,C1164)</f>
        <v>0</v>
      </c>
      <c r="E1164" s="41">
        <f>SUMIFS(Rezepte!G:G,Rezepte!A:A,C1164)</f>
        <v>0</v>
      </c>
      <c r="F1164" s="42" t="str">
        <f t="shared" si="2"/>
        <v>#DIV/0!</v>
      </c>
      <c r="G1164" s="38"/>
      <c r="H1164" s="38"/>
      <c r="I1164" s="38"/>
      <c r="J1164" s="38"/>
      <c r="K1164" s="38"/>
      <c r="L1164" s="38"/>
      <c r="M1164" s="38"/>
      <c r="N1164" s="38"/>
      <c r="O1164" s="38"/>
    </row>
    <row r="1165" hidden="1">
      <c r="A1165" s="38"/>
      <c r="B1165" s="38"/>
      <c r="C1165" s="39"/>
      <c r="D1165" s="40">
        <f>SUMIFS(Rezepte!F:F,Rezepte!A:A,C1165)</f>
        <v>0</v>
      </c>
      <c r="E1165" s="41">
        <f>SUMIFS(Rezepte!G:G,Rezepte!A:A,C1165)</f>
        <v>0</v>
      </c>
      <c r="F1165" s="42" t="str">
        <f t="shared" si="2"/>
        <v>#DIV/0!</v>
      </c>
      <c r="G1165" s="38"/>
      <c r="H1165" s="38"/>
      <c r="I1165" s="38"/>
      <c r="J1165" s="38"/>
      <c r="K1165" s="38"/>
      <c r="L1165" s="38"/>
      <c r="M1165" s="38"/>
      <c r="N1165" s="38"/>
      <c r="O1165" s="38"/>
    </row>
    <row r="1166" hidden="1">
      <c r="A1166" s="38"/>
      <c r="B1166" s="38"/>
      <c r="C1166" s="39"/>
      <c r="D1166" s="40">
        <f>SUMIFS(Rezepte!F:F,Rezepte!A:A,C1166)</f>
        <v>0</v>
      </c>
      <c r="E1166" s="41">
        <f>SUMIFS(Rezepte!G:G,Rezepte!A:A,C1166)</f>
        <v>0</v>
      </c>
      <c r="F1166" s="42" t="str">
        <f t="shared" si="2"/>
        <v>#DIV/0!</v>
      </c>
      <c r="G1166" s="38"/>
      <c r="H1166" s="38"/>
      <c r="I1166" s="38"/>
      <c r="J1166" s="38"/>
      <c r="K1166" s="38"/>
      <c r="L1166" s="38"/>
      <c r="M1166" s="38"/>
      <c r="N1166" s="38"/>
      <c r="O1166" s="38"/>
    </row>
    <row r="1167" hidden="1">
      <c r="A1167" s="38"/>
      <c r="B1167" s="38"/>
      <c r="C1167" s="39"/>
      <c r="D1167" s="40">
        <f>SUMIFS(Rezepte!F:F,Rezepte!A:A,C1167)</f>
        <v>0</v>
      </c>
      <c r="E1167" s="41">
        <f>SUMIFS(Rezepte!G:G,Rezepte!A:A,C1167)</f>
        <v>0</v>
      </c>
      <c r="F1167" s="42" t="str">
        <f t="shared" si="2"/>
        <v>#DIV/0!</v>
      </c>
      <c r="G1167" s="38"/>
      <c r="H1167" s="38"/>
      <c r="I1167" s="38"/>
      <c r="J1167" s="38"/>
      <c r="K1167" s="38"/>
      <c r="L1167" s="38"/>
      <c r="M1167" s="38"/>
      <c r="N1167" s="38"/>
      <c r="O1167" s="38"/>
    </row>
    <row r="1168" hidden="1">
      <c r="A1168" s="38"/>
      <c r="B1168" s="38"/>
      <c r="C1168" s="39"/>
      <c r="D1168" s="40">
        <f>SUMIFS(Rezepte!F:F,Rezepte!A:A,C1168)</f>
        <v>0</v>
      </c>
      <c r="E1168" s="41">
        <f>SUMIFS(Rezepte!G:G,Rezepte!A:A,C1168)</f>
        <v>0</v>
      </c>
      <c r="F1168" s="42" t="str">
        <f t="shared" si="2"/>
        <v>#DIV/0!</v>
      </c>
      <c r="G1168" s="38"/>
      <c r="H1168" s="38"/>
      <c r="I1168" s="38"/>
      <c r="J1168" s="38"/>
      <c r="K1168" s="38"/>
      <c r="L1168" s="38"/>
      <c r="M1168" s="38"/>
      <c r="N1168" s="38"/>
      <c r="O1168" s="38"/>
    </row>
    <row r="1169" hidden="1">
      <c r="A1169" s="38"/>
      <c r="B1169" s="38"/>
      <c r="C1169" s="39"/>
      <c r="D1169" s="40">
        <f>SUMIFS(Rezepte!F:F,Rezepte!A:A,C1169)</f>
        <v>0</v>
      </c>
      <c r="E1169" s="41">
        <f>SUMIFS(Rezepte!G:G,Rezepte!A:A,C1169)</f>
        <v>0</v>
      </c>
      <c r="F1169" s="42" t="str">
        <f t="shared" si="2"/>
        <v>#DIV/0!</v>
      </c>
      <c r="G1169" s="38"/>
      <c r="H1169" s="38"/>
      <c r="I1169" s="38"/>
      <c r="J1169" s="38"/>
      <c r="K1169" s="38"/>
      <c r="L1169" s="38"/>
      <c r="M1169" s="38"/>
      <c r="N1169" s="38"/>
      <c r="O1169" s="38"/>
    </row>
    <row r="1170" hidden="1">
      <c r="A1170" s="38"/>
      <c r="B1170" s="38"/>
      <c r="C1170" s="39"/>
      <c r="D1170" s="40">
        <f>SUMIFS(Rezepte!F:F,Rezepte!A:A,C1170)</f>
        <v>0</v>
      </c>
      <c r="E1170" s="41">
        <f>SUMIFS(Rezepte!G:G,Rezepte!A:A,C1170)</f>
        <v>0</v>
      </c>
      <c r="F1170" s="42" t="str">
        <f t="shared" si="2"/>
        <v>#DIV/0!</v>
      </c>
      <c r="G1170" s="38"/>
      <c r="H1170" s="38"/>
      <c r="I1170" s="38"/>
      <c r="J1170" s="38"/>
      <c r="K1170" s="38"/>
      <c r="L1170" s="38"/>
      <c r="M1170" s="38"/>
      <c r="N1170" s="38"/>
      <c r="O1170" s="38"/>
    </row>
    <row r="1171" hidden="1">
      <c r="A1171" s="38"/>
      <c r="B1171" s="38"/>
      <c r="C1171" s="39"/>
      <c r="D1171" s="40">
        <f>SUMIFS(Rezepte!F:F,Rezepte!A:A,C1171)</f>
        <v>0</v>
      </c>
      <c r="E1171" s="41">
        <f>SUMIFS(Rezepte!G:G,Rezepte!A:A,C1171)</f>
        <v>0</v>
      </c>
      <c r="F1171" s="42" t="str">
        <f t="shared" si="2"/>
        <v>#DIV/0!</v>
      </c>
      <c r="G1171" s="38"/>
      <c r="H1171" s="38"/>
      <c r="I1171" s="38"/>
      <c r="J1171" s="38"/>
      <c r="K1171" s="38"/>
      <c r="L1171" s="38"/>
      <c r="M1171" s="38"/>
      <c r="N1171" s="38"/>
      <c r="O1171" s="38"/>
    </row>
    <row r="1172" hidden="1">
      <c r="A1172" s="38"/>
      <c r="B1172" s="38"/>
      <c r="C1172" s="39"/>
      <c r="D1172" s="40">
        <f>SUMIFS(Rezepte!F:F,Rezepte!A:A,C1172)</f>
        <v>0</v>
      </c>
      <c r="E1172" s="41">
        <f>SUMIFS(Rezepte!G:G,Rezepte!A:A,C1172)</f>
        <v>0</v>
      </c>
      <c r="F1172" s="42" t="str">
        <f t="shared" si="2"/>
        <v>#DIV/0!</v>
      </c>
      <c r="G1172" s="38"/>
      <c r="H1172" s="38"/>
      <c r="I1172" s="38"/>
      <c r="J1172" s="38"/>
      <c r="K1172" s="38"/>
      <c r="L1172" s="38"/>
      <c r="M1172" s="38"/>
      <c r="N1172" s="38"/>
      <c r="O1172" s="38"/>
    </row>
    <row r="1173" hidden="1">
      <c r="A1173" s="38"/>
      <c r="B1173" s="38"/>
      <c r="C1173" s="39"/>
      <c r="D1173" s="40">
        <f>SUMIFS(Rezepte!F:F,Rezepte!A:A,C1173)</f>
        <v>0</v>
      </c>
      <c r="E1173" s="41">
        <f>SUMIFS(Rezepte!G:G,Rezepte!A:A,C1173)</f>
        <v>0</v>
      </c>
      <c r="F1173" s="42" t="str">
        <f t="shared" si="2"/>
        <v>#DIV/0!</v>
      </c>
      <c r="G1173" s="38"/>
      <c r="H1173" s="38"/>
      <c r="I1173" s="38"/>
      <c r="J1173" s="38"/>
      <c r="K1173" s="38"/>
      <c r="L1173" s="38"/>
      <c r="M1173" s="38"/>
      <c r="N1173" s="38"/>
      <c r="O1173" s="38"/>
    </row>
    <row r="1174" hidden="1">
      <c r="A1174" s="38"/>
      <c r="B1174" s="38"/>
      <c r="C1174" s="39"/>
      <c r="D1174" s="40">
        <f>SUMIFS(Rezepte!F:F,Rezepte!A:A,C1174)</f>
        <v>0</v>
      </c>
      <c r="E1174" s="41">
        <f>SUMIFS(Rezepte!G:G,Rezepte!A:A,C1174)</f>
        <v>0</v>
      </c>
      <c r="F1174" s="42" t="str">
        <f t="shared" si="2"/>
        <v>#DIV/0!</v>
      </c>
      <c r="G1174" s="38"/>
      <c r="H1174" s="38"/>
      <c r="I1174" s="38"/>
      <c r="J1174" s="38"/>
      <c r="K1174" s="38"/>
      <c r="L1174" s="38"/>
      <c r="M1174" s="38"/>
      <c r="N1174" s="38"/>
      <c r="O1174" s="38"/>
    </row>
    <row r="1175" hidden="1">
      <c r="A1175" s="38"/>
      <c r="B1175" s="38"/>
      <c r="C1175" s="39"/>
      <c r="D1175" s="40">
        <f>SUMIFS(Rezepte!F:F,Rezepte!A:A,C1175)</f>
        <v>0</v>
      </c>
      <c r="E1175" s="41">
        <f>SUMIFS(Rezepte!G:G,Rezepte!A:A,C1175)</f>
        <v>0</v>
      </c>
      <c r="F1175" s="42" t="str">
        <f t="shared" si="2"/>
        <v>#DIV/0!</v>
      </c>
      <c r="G1175" s="38"/>
      <c r="H1175" s="38"/>
      <c r="I1175" s="38"/>
      <c r="J1175" s="38"/>
      <c r="K1175" s="38"/>
      <c r="L1175" s="38"/>
      <c r="M1175" s="38"/>
      <c r="N1175" s="38"/>
      <c r="O1175" s="38"/>
    </row>
    <row r="1176" hidden="1">
      <c r="A1176" s="38"/>
      <c r="B1176" s="38"/>
      <c r="C1176" s="39"/>
      <c r="D1176" s="40">
        <f>SUMIFS(Rezepte!F:F,Rezepte!A:A,C1176)</f>
        <v>0</v>
      </c>
      <c r="E1176" s="41">
        <f>SUMIFS(Rezepte!G:G,Rezepte!A:A,C1176)</f>
        <v>0</v>
      </c>
      <c r="F1176" s="42" t="str">
        <f t="shared" si="2"/>
        <v>#DIV/0!</v>
      </c>
      <c r="G1176" s="38"/>
      <c r="H1176" s="38"/>
      <c r="I1176" s="38"/>
      <c r="J1176" s="38"/>
      <c r="K1176" s="38"/>
      <c r="L1176" s="38"/>
      <c r="M1176" s="38"/>
      <c r="N1176" s="38"/>
      <c r="O1176" s="38"/>
    </row>
    <row r="1177" hidden="1">
      <c r="A1177" s="38"/>
      <c r="B1177" s="38"/>
      <c r="C1177" s="39"/>
      <c r="D1177" s="40">
        <f>SUMIFS(Rezepte!F:F,Rezepte!A:A,C1177)</f>
        <v>0</v>
      </c>
      <c r="E1177" s="41">
        <f>SUMIFS(Rezepte!G:G,Rezepte!A:A,C1177)</f>
        <v>0</v>
      </c>
      <c r="F1177" s="42" t="str">
        <f t="shared" si="2"/>
        <v>#DIV/0!</v>
      </c>
      <c r="G1177" s="38"/>
      <c r="H1177" s="38"/>
      <c r="I1177" s="38"/>
      <c r="J1177" s="38"/>
      <c r="K1177" s="38"/>
      <c r="L1177" s="38"/>
      <c r="M1177" s="38"/>
      <c r="N1177" s="38"/>
      <c r="O1177" s="38"/>
    </row>
    <row r="1178" hidden="1">
      <c r="A1178" s="38"/>
      <c r="B1178" s="38"/>
      <c r="C1178" s="39"/>
      <c r="D1178" s="40">
        <f>SUMIFS(Rezepte!F:F,Rezepte!A:A,C1178)</f>
        <v>0</v>
      </c>
      <c r="E1178" s="41">
        <f>SUMIFS(Rezepte!G:G,Rezepte!A:A,C1178)</f>
        <v>0</v>
      </c>
      <c r="F1178" s="42" t="str">
        <f t="shared" si="2"/>
        <v>#DIV/0!</v>
      </c>
      <c r="G1178" s="38"/>
      <c r="H1178" s="38"/>
      <c r="I1178" s="38"/>
      <c r="J1178" s="38"/>
      <c r="K1178" s="38"/>
      <c r="L1178" s="38"/>
      <c r="M1178" s="38"/>
      <c r="N1178" s="38"/>
      <c r="O1178" s="38"/>
    </row>
    <row r="1179" hidden="1">
      <c r="A1179" s="38"/>
      <c r="B1179" s="38"/>
      <c r="C1179" s="39"/>
      <c r="D1179" s="40">
        <f>SUMIFS(Rezepte!F:F,Rezepte!A:A,C1179)</f>
        <v>0</v>
      </c>
      <c r="E1179" s="41">
        <f>SUMIFS(Rezepte!G:G,Rezepte!A:A,C1179)</f>
        <v>0</v>
      </c>
      <c r="F1179" s="42" t="str">
        <f t="shared" si="2"/>
        <v>#DIV/0!</v>
      </c>
      <c r="G1179" s="38"/>
      <c r="H1179" s="38"/>
      <c r="I1179" s="38"/>
      <c r="J1179" s="38"/>
      <c r="K1179" s="38"/>
      <c r="L1179" s="38"/>
      <c r="M1179" s="38"/>
      <c r="N1179" s="38"/>
      <c r="O1179" s="38"/>
    </row>
    <row r="1180" hidden="1">
      <c r="A1180" s="38"/>
      <c r="B1180" s="38"/>
      <c r="C1180" s="39"/>
      <c r="D1180" s="40">
        <f>SUMIFS(Rezepte!F:F,Rezepte!A:A,C1180)</f>
        <v>0</v>
      </c>
      <c r="E1180" s="41">
        <f>SUMIFS(Rezepte!G:G,Rezepte!A:A,C1180)</f>
        <v>0</v>
      </c>
      <c r="F1180" s="42" t="str">
        <f t="shared" si="2"/>
        <v>#DIV/0!</v>
      </c>
      <c r="G1180" s="38"/>
      <c r="H1180" s="38"/>
      <c r="I1180" s="38"/>
      <c r="J1180" s="38"/>
      <c r="K1180" s="38"/>
      <c r="L1180" s="38"/>
      <c r="M1180" s="38"/>
      <c r="N1180" s="38"/>
      <c r="O1180" s="38"/>
    </row>
    <row r="1181" hidden="1">
      <c r="A1181" s="38"/>
      <c r="B1181" s="38"/>
      <c r="C1181" s="39"/>
      <c r="D1181" s="40">
        <f>SUMIFS(Rezepte!F:F,Rezepte!A:A,C1181)</f>
        <v>0</v>
      </c>
      <c r="E1181" s="41">
        <f>SUMIFS(Rezepte!G:G,Rezepte!A:A,C1181)</f>
        <v>0</v>
      </c>
      <c r="F1181" s="42" t="str">
        <f t="shared" si="2"/>
        <v>#DIV/0!</v>
      </c>
      <c r="G1181" s="38"/>
      <c r="H1181" s="38"/>
      <c r="I1181" s="38"/>
      <c r="J1181" s="38"/>
      <c r="K1181" s="38"/>
      <c r="L1181" s="38"/>
      <c r="M1181" s="38"/>
      <c r="N1181" s="38"/>
      <c r="O1181" s="38"/>
    </row>
    <row r="1182" hidden="1">
      <c r="A1182" s="38"/>
      <c r="B1182" s="38"/>
      <c r="C1182" s="39"/>
      <c r="D1182" s="40">
        <f>SUMIFS(Rezepte!F:F,Rezepte!A:A,C1182)</f>
        <v>0</v>
      </c>
      <c r="E1182" s="41">
        <f>SUMIFS(Rezepte!G:G,Rezepte!A:A,C1182)</f>
        <v>0</v>
      </c>
      <c r="F1182" s="42" t="str">
        <f t="shared" si="2"/>
        <v>#DIV/0!</v>
      </c>
      <c r="G1182" s="38"/>
      <c r="H1182" s="38"/>
      <c r="I1182" s="38"/>
      <c r="J1182" s="38"/>
      <c r="K1182" s="38"/>
      <c r="L1182" s="38"/>
      <c r="M1182" s="38"/>
      <c r="N1182" s="38"/>
      <c r="O1182" s="38"/>
    </row>
    <row r="1183" hidden="1">
      <c r="A1183" s="38"/>
      <c r="B1183" s="38"/>
      <c r="C1183" s="39"/>
      <c r="D1183" s="40">
        <f>SUMIFS(Rezepte!F:F,Rezepte!A:A,C1183)</f>
        <v>0</v>
      </c>
      <c r="E1183" s="41">
        <f>SUMIFS(Rezepte!G:G,Rezepte!A:A,C1183)</f>
        <v>0</v>
      </c>
      <c r="F1183" s="42" t="str">
        <f t="shared" si="2"/>
        <v>#DIV/0!</v>
      </c>
      <c r="G1183" s="38"/>
      <c r="H1183" s="38"/>
      <c r="I1183" s="38"/>
      <c r="J1183" s="38"/>
      <c r="K1183" s="38"/>
      <c r="L1183" s="38"/>
      <c r="M1183" s="38"/>
      <c r="N1183" s="38"/>
      <c r="O1183" s="38"/>
    </row>
    <row r="1184" hidden="1">
      <c r="A1184" s="38"/>
      <c r="B1184" s="38"/>
      <c r="C1184" s="39"/>
      <c r="D1184" s="40">
        <f>SUMIFS(Rezepte!F:F,Rezepte!A:A,C1184)</f>
        <v>0</v>
      </c>
      <c r="E1184" s="41">
        <f>SUMIFS(Rezepte!G:G,Rezepte!A:A,C1184)</f>
        <v>0</v>
      </c>
      <c r="F1184" s="42" t="str">
        <f t="shared" si="2"/>
        <v>#DIV/0!</v>
      </c>
      <c r="G1184" s="38"/>
      <c r="H1184" s="38"/>
      <c r="I1184" s="38"/>
      <c r="J1184" s="38"/>
      <c r="K1184" s="38"/>
      <c r="L1184" s="38"/>
      <c r="M1184" s="38"/>
      <c r="N1184" s="38"/>
      <c r="O1184" s="38"/>
    </row>
    <row r="1185" hidden="1">
      <c r="A1185" s="38"/>
      <c r="B1185" s="38"/>
      <c r="C1185" s="39"/>
      <c r="D1185" s="40">
        <f>SUMIFS(Rezepte!F:F,Rezepte!A:A,C1185)</f>
        <v>0</v>
      </c>
      <c r="E1185" s="41">
        <f>SUMIFS(Rezepte!G:G,Rezepte!A:A,C1185)</f>
        <v>0</v>
      </c>
      <c r="F1185" s="42" t="str">
        <f t="shared" si="2"/>
        <v>#DIV/0!</v>
      </c>
      <c r="G1185" s="38"/>
      <c r="H1185" s="38"/>
      <c r="I1185" s="38"/>
      <c r="J1185" s="38"/>
      <c r="K1185" s="38"/>
      <c r="L1185" s="38"/>
      <c r="M1185" s="38"/>
      <c r="N1185" s="38"/>
      <c r="O1185" s="38"/>
    </row>
    <row r="1186" hidden="1">
      <c r="A1186" s="38"/>
      <c r="B1186" s="38"/>
      <c r="C1186" s="39"/>
      <c r="D1186" s="40">
        <f>SUMIFS(Rezepte!F:F,Rezepte!A:A,C1186)</f>
        <v>0</v>
      </c>
      <c r="E1186" s="41">
        <f>SUMIFS(Rezepte!G:G,Rezepte!A:A,C1186)</f>
        <v>0</v>
      </c>
      <c r="F1186" s="42" t="str">
        <f t="shared" si="2"/>
        <v>#DIV/0!</v>
      </c>
      <c r="G1186" s="38"/>
      <c r="H1186" s="38"/>
      <c r="I1186" s="38"/>
      <c r="J1186" s="38"/>
      <c r="K1186" s="38"/>
      <c r="L1186" s="38"/>
      <c r="M1186" s="38"/>
      <c r="N1186" s="38"/>
      <c r="O1186" s="38"/>
    </row>
    <row r="1187" hidden="1">
      <c r="A1187" s="38"/>
      <c r="B1187" s="38"/>
      <c r="C1187" s="39"/>
      <c r="D1187" s="40">
        <f>SUMIFS(Rezepte!F:F,Rezepte!A:A,C1187)</f>
        <v>0</v>
      </c>
      <c r="E1187" s="41">
        <f>SUMIFS(Rezepte!G:G,Rezepte!A:A,C1187)</f>
        <v>0</v>
      </c>
      <c r="F1187" s="42" t="str">
        <f t="shared" si="2"/>
        <v>#DIV/0!</v>
      </c>
      <c r="G1187" s="38"/>
      <c r="H1187" s="38"/>
      <c r="I1187" s="38"/>
      <c r="J1187" s="38"/>
      <c r="K1187" s="38"/>
      <c r="L1187" s="38"/>
      <c r="M1187" s="38"/>
      <c r="N1187" s="38"/>
      <c r="O1187" s="38"/>
    </row>
    <row r="1188" hidden="1">
      <c r="A1188" s="38"/>
      <c r="B1188" s="38"/>
      <c r="C1188" s="39"/>
      <c r="D1188" s="40">
        <f>SUMIFS(Rezepte!F:F,Rezepte!A:A,C1188)</f>
        <v>0</v>
      </c>
      <c r="E1188" s="41">
        <f>SUMIFS(Rezepte!G:G,Rezepte!A:A,C1188)</f>
        <v>0</v>
      </c>
      <c r="F1188" s="42" t="str">
        <f t="shared" si="2"/>
        <v>#DIV/0!</v>
      </c>
      <c r="G1188" s="38"/>
      <c r="H1188" s="38"/>
      <c r="I1188" s="38"/>
      <c r="J1188" s="38"/>
      <c r="K1188" s="38"/>
      <c r="L1188" s="38"/>
      <c r="M1188" s="38"/>
      <c r="N1188" s="38"/>
      <c r="O1188" s="38"/>
    </row>
    <row r="1189" hidden="1">
      <c r="A1189" s="38"/>
      <c r="B1189" s="38"/>
      <c r="C1189" s="39"/>
      <c r="D1189" s="40">
        <f>SUMIFS(Rezepte!F:F,Rezepte!A:A,C1189)</f>
        <v>0</v>
      </c>
      <c r="E1189" s="41">
        <f>SUMIFS(Rezepte!G:G,Rezepte!A:A,C1189)</f>
        <v>0</v>
      </c>
      <c r="F1189" s="42" t="str">
        <f t="shared" si="2"/>
        <v>#DIV/0!</v>
      </c>
      <c r="G1189" s="38"/>
      <c r="H1189" s="38"/>
      <c r="I1189" s="38"/>
      <c r="J1189" s="38"/>
      <c r="K1189" s="38"/>
      <c r="L1189" s="38"/>
      <c r="M1189" s="38"/>
      <c r="N1189" s="38"/>
      <c r="O1189" s="38"/>
    </row>
    <row r="1190" hidden="1">
      <c r="A1190" s="38"/>
      <c r="B1190" s="38"/>
      <c r="C1190" s="39"/>
      <c r="D1190" s="40">
        <f>SUMIFS(Rezepte!F:F,Rezepte!A:A,C1190)</f>
        <v>0</v>
      </c>
      <c r="E1190" s="41">
        <f>SUMIFS(Rezepte!G:G,Rezepte!A:A,C1190)</f>
        <v>0</v>
      </c>
      <c r="F1190" s="42" t="str">
        <f t="shared" si="2"/>
        <v>#DIV/0!</v>
      </c>
      <c r="G1190" s="38"/>
      <c r="H1190" s="38"/>
      <c r="I1190" s="38"/>
      <c r="J1190" s="38"/>
      <c r="K1190" s="38"/>
      <c r="L1190" s="38"/>
      <c r="M1190" s="38"/>
      <c r="N1190" s="38"/>
      <c r="O1190" s="38"/>
    </row>
    <row r="1191" hidden="1">
      <c r="A1191" s="38"/>
      <c r="B1191" s="38"/>
      <c r="C1191" s="39"/>
      <c r="D1191" s="40">
        <f>SUMIFS(Rezepte!F:F,Rezepte!A:A,C1191)</f>
        <v>0</v>
      </c>
      <c r="E1191" s="41">
        <f>SUMIFS(Rezepte!G:G,Rezepte!A:A,C1191)</f>
        <v>0</v>
      </c>
      <c r="F1191" s="42" t="str">
        <f t="shared" si="2"/>
        <v>#DIV/0!</v>
      </c>
      <c r="G1191" s="38"/>
      <c r="H1191" s="38"/>
      <c r="I1191" s="38"/>
      <c r="J1191" s="38"/>
      <c r="K1191" s="38"/>
      <c r="L1191" s="38"/>
      <c r="M1191" s="38"/>
      <c r="N1191" s="38"/>
      <c r="O1191" s="38"/>
    </row>
    <row r="1192" hidden="1">
      <c r="A1192" s="38"/>
      <c r="B1192" s="38"/>
      <c r="C1192" s="39"/>
      <c r="D1192" s="40">
        <f>SUMIFS(Rezepte!F:F,Rezepte!A:A,C1192)</f>
        <v>0</v>
      </c>
      <c r="E1192" s="41">
        <f>SUMIFS(Rezepte!G:G,Rezepte!A:A,C1192)</f>
        <v>0</v>
      </c>
      <c r="F1192" s="42" t="str">
        <f t="shared" si="2"/>
        <v>#DIV/0!</v>
      </c>
      <c r="G1192" s="38"/>
      <c r="H1192" s="38"/>
      <c r="I1192" s="38"/>
      <c r="J1192" s="38"/>
      <c r="K1192" s="38"/>
      <c r="L1192" s="38"/>
      <c r="M1192" s="38"/>
      <c r="N1192" s="38"/>
      <c r="O1192" s="38"/>
    </row>
    <row r="1193" hidden="1">
      <c r="A1193" s="38"/>
      <c r="B1193" s="38"/>
      <c r="C1193" s="39"/>
      <c r="D1193" s="40">
        <f>SUMIFS(Rezepte!F:F,Rezepte!A:A,C1193)</f>
        <v>0</v>
      </c>
      <c r="E1193" s="41">
        <f>SUMIFS(Rezepte!G:G,Rezepte!A:A,C1193)</f>
        <v>0</v>
      </c>
      <c r="F1193" s="42" t="str">
        <f t="shared" si="2"/>
        <v>#DIV/0!</v>
      </c>
      <c r="G1193" s="38"/>
      <c r="H1193" s="38"/>
      <c r="I1193" s="38"/>
      <c r="J1193" s="38"/>
      <c r="K1193" s="38"/>
      <c r="L1193" s="38"/>
      <c r="M1193" s="38"/>
      <c r="N1193" s="38"/>
      <c r="O1193" s="38"/>
    </row>
    <row r="1194" hidden="1">
      <c r="A1194" s="38"/>
      <c r="B1194" s="38"/>
      <c r="C1194" s="39"/>
      <c r="D1194" s="40">
        <f>SUMIFS(Rezepte!F:F,Rezepte!A:A,C1194)</f>
        <v>0</v>
      </c>
      <c r="E1194" s="41">
        <f>SUMIFS(Rezepte!G:G,Rezepte!A:A,C1194)</f>
        <v>0</v>
      </c>
      <c r="F1194" s="42" t="str">
        <f t="shared" si="2"/>
        <v>#DIV/0!</v>
      </c>
      <c r="G1194" s="38"/>
      <c r="H1194" s="38"/>
      <c r="I1194" s="38"/>
      <c r="J1194" s="38"/>
      <c r="K1194" s="38"/>
      <c r="L1194" s="38"/>
      <c r="M1194" s="38"/>
      <c r="N1194" s="38"/>
      <c r="O1194" s="38"/>
    </row>
    <row r="1195" hidden="1">
      <c r="A1195" s="38"/>
      <c r="B1195" s="38"/>
      <c r="C1195" s="39"/>
      <c r="D1195" s="40">
        <f>SUMIFS(Rezepte!F:F,Rezepte!A:A,C1195)</f>
        <v>0</v>
      </c>
      <c r="E1195" s="41">
        <f>SUMIFS(Rezepte!G:G,Rezepte!A:A,C1195)</f>
        <v>0</v>
      </c>
      <c r="F1195" s="42" t="str">
        <f t="shared" si="2"/>
        <v>#DIV/0!</v>
      </c>
      <c r="G1195" s="38"/>
      <c r="H1195" s="38"/>
      <c r="I1195" s="38"/>
      <c r="J1195" s="38"/>
      <c r="K1195" s="38"/>
      <c r="L1195" s="38"/>
      <c r="M1195" s="38"/>
      <c r="N1195" s="38"/>
      <c r="O1195" s="38"/>
    </row>
    <row r="1196" hidden="1">
      <c r="A1196" s="38"/>
      <c r="B1196" s="38"/>
      <c r="C1196" s="39"/>
      <c r="D1196" s="40">
        <f>SUMIFS(Rezepte!F:F,Rezepte!A:A,C1196)</f>
        <v>0</v>
      </c>
      <c r="E1196" s="41">
        <f>SUMIFS(Rezepte!G:G,Rezepte!A:A,C1196)</f>
        <v>0</v>
      </c>
      <c r="F1196" s="42" t="str">
        <f t="shared" si="2"/>
        <v>#DIV/0!</v>
      </c>
      <c r="G1196" s="38"/>
      <c r="H1196" s="38"/>
      <c r="I1196" s="38"/>
      <c r="J1196" s="38"/>
      <c r="K1196" s="38"/>
      <c r="L1196" s="38"/>
      <c r="M1196" s="38"/>
      <c r="N1196" s="38"/>
      <c r="O1196" s="38"/>
    </row>
    <row r="1197" hidden="1">
      <c r="A1197" s="38"/>
      <c r="B1197" s="38"/>
      <c r="C1197" s="39"/>
      <c r="D1197" s="40">
        <f>SUMIFS(Rezepte!F:F,Rezepte!A:A,C1197)</f>
        <v>0</v>
      </c>
      <c r="E1197" s="41">
        <f>SUMIFS(Rezepte!G:G,Rezepte!A:A,C1197)</f>
        <v>0</v>
      </c>
      <c r="F1197" s="42" t="str">
        <f t="shared" si="2"/>
        <v>#DIV/0!</v>
      </c>
      <c r="G1197" s="38"/>
      <c r="H1197" s="38"/>
      <c r="I1197" s="38"/>
      <c r="J1197" s="38"/>
      <c r="K1197" s="38"/>
      <c r="L1197" s="38"/>
      <c r="M1197" s="38"/>
      <c r="N1197" s="38"/>
      <c r="O1197" s="38"/>
    </row>
    <row r="1198" hidden="1">
      <c r="A1198" s="38"/>
      <c r="B1198" s="38"/>
      <c r="C1198" s="39"/>
      <c r="D1198" s="40">
        <f>SUMIFS(Rezepte!F:F,Rezepte!A:A,C1198)</f>
        <v>0</v>
      </c>
      <c r="E1198" s="41">
        <f>SUMIFS(Rezepte!G:G,Rezepte!A:A,C1198)</f>
        <v>0</v>
      </c>
      <c r="F1198" s="42" t="str">
        <f t="shared" si="2"/>
        <v>#DIV/0!</v>
      </c>
      <c r="G1198" s="38"/>
      <c r="H1198" s="38"/>
      <c r="I1198" s="38"/>
      <c r="J1198" s="38"/>
      <c r="K1198" s="38"/>
      <c r="L1198" s="38"/>
      <c r="M1198" s="38"/>
      <c r="N1198" s="38"/>
      <c r="O1198" s="38"/>
    </row>
    <row r="1199" hidden="1">
      <c r="A1199" s="38"/>
      <c r="B1199" s="38"/>
      <c r="C1199" s="39"/>
      <c r="D1199" s="40">
        <f>SUMIFS(Rezepte!F:F,Rezepte!A:A,C1199)</f>
        <v>0</v>
      </c>
      <c r="E1199" s="41">
        <f>SUMIFS(Rezepte!G:G,Rezepte!A:A,C1199)</f>
        <v>0</v>
      </c>
      <c r="F1199" s="42" t="str">
        <f t="shared" si="2"/>
        <v>#DIV/0!</v>
      </c>
      <c r="G1199" s="38"/>
      <c r="H1199" s="38"/>
      <c r="I1199" s="38"/>
      <c r="J1199" s="38"/>
      <c r="K1199" s="38"/>
      <c r="L1199" s="38"/>
      <c r="M1199" s="38"/>
      <c r="N1199" s="38"/>
      <c r="O1199" s="38"/>
    </row>
    <row r="1200" hidden="1">
      <c r="A1200" s="38"/>
      <c r="B1200" s="38"/>
      <c r="C1200" s="39"/>
      <c r="D1200" s="40">
        <f>SUMIFS(Rezepte!F:F,Rezepte!A:A,C1200)</f>
        <v>0</v>
      </c>
      <c r="E1200" s="41">
        <f>SUMIFS(Rezepte!G:G,Rezepte!A:A,C1200)</f>
        <v>0</v>
      </c>
      <c r="F1200" s="42" t="str">
        <f t="shared" si="2"/>
        <v>#DIV/0!</v>
      </c>
      <c r="G1200" s="38"/>
      <c r="H1200" s="38"/>
      <c r="I1200" s="38"/>
      <c r="J1200" s="38"/>
      <c r="K1200" s="38"/>
      <c r="L1200" s="38"/>
      <c r="M1200" s="38"/>
      <c r="N1200" s="38"/>
      <c r="O1200" s="38"/>
    </row>
    <row r="1201" hidden="1">
      <c r="A1201" s="38"/>
      <c r="B1201" s="38"/>
      <c r="C1201" s="39"/>
      <c r="D1201" s="40">
        <f>SUMIFS(Rezepte!F:F,Rezepte!A:A,C1201)</f>
        <v>0</v>
      </c>
      <c r="E1201" s="41">
        <f>SUMIFS(Rezepte!G:G,Rezepte!A:A,C1201)</f>
        <v>0</v>
      </c>
      <c r="F1201" s="42" t="str">
        <f t="shared" si="2"/>
        <v>#DIV/0!</v>
      </c>
      <c r="G1201" s="38"/>
      <c r="H1201" s="38"/>
      <c r="I1201" s="38"/>
      <c r="J1201" s="38"/>
      <c r="K1201" s="38"/>
      <c r="L1201" s="38"/>
      <c r="M1201" s="38"/>
      <c r="N1201" s="38"/>
      <c r="O1201" s="38"/>
    </row>
    <row r="1202" hidden="1">
      <c r="A1202" s="38"/>
      <c r="B1202" s="38"/>
      <c r="C1202" s="39"/>
      <c r="D1202" s="40">
        <f>SUMIFS(Rezepte!F:F,Rezepte!A:A,C1202)</f>
        <v>0</v>
      </c>
      <c r="E1202" s="41">
        <f>SUMIFS(Rezepte!G:G,Rezepte!A:A,C1202)</f>
        <v>0</v>
      </c>
      <c r="F1202" s="42" t="str">
        <f t="shared" si="2"/>
        <v>#DIV/0!</v>
      </c>
      <c r="G1202" s="38"/>
      <c r="H1202" s="38"/>
      <c r="I1202" s="38"/>
      <c r="J1202" s="38"/>
      <c r="K1202" s="38"/>
      <c r="L1202" s="38"/>
      <c r="M1202" s="38"/>
      <c r="N1202" s="38"/>
      <c r="O1202" s="38"/>
    </row>
    <row r="1203" hidden="1">
      <c r="A1203" s="38"/>
      <c r="B1203" s="38"/>
      <c r="C1203" s="39"/>
      <c r="D1203" s="40">
        <f>SUMIFS(Rezepte!F:F,Rezepte!A:A,C1203)</f>
        <v>0</v>
      </c>
      <c r="E1203" s="41">
        <f>SUMIFS(Rezepte!G:G,Rezepte!A:A,C1203)</f>
        <v>0</v>
      </c>
      <c r="F1203" s="42" t="str">
        <f t="shared" si="2"/>
        <v>#DIV/0!</v>
      </c>
      <c r="G1203" s="38"/>
      <c r="H1203" s="38"/>
      <c r="I1203" s="38"/>
      <c r="J1203" s="38"/>
      <c r="K1203" s="38"/>
      <c r="L1203" s="38"/>
      <c r="M1203" s="38"/>
      <c r="N1203" s="38"/>
      <c r="O1203" s="38"/>
    </row>
    <row r="1204" hidden="1">
      <c r="A1204" s="38"/>
      <c r="B1204" s="38"/>
      <c r="C1204" s="39"/>
      <c r="D1204" s="40">
        <f>SUMIFS(Rezepte!F:F,Rezepte!A:A,C1204)</f>
        <v>0</v>
      </c>
      <c r="E1204" s="41">
        <f>SUMIFS(Rezepte!G:G,Rezepte!A:A,C1204)</f>
        <v>0</v>
      </c>
      <c r="F1204" s="42" t="str">
        <f t="shared" si="2"/>
        <v>#DIV/0!</v>
      </c>
      <c r="G1204" s="38"/>
      <c r="H1204" s="38"/>
      <c r="I1204" s="38"/>
      <c r="J1204" s="38"/>
      <c r="K1204" s="38"/>
      <c r="L1204" s="38"/>
      <c r="M1204" s="38"/>
      <c r="N1204" s="38"/>
      <c r="O1204" s="38"/>
    </row>
    <row r="1205" hidden="1">
      <c r="A1205" s="38"/>
      <c r="B1205" s="38"/>
      <c r="C1205" s="39"/>
      <c r="D1205" s="40">
        <f>SUMIFS(Rezepte!F:F,Rezepte!A:A,C1205)</f>
        <v>0</v>
      </c>
      <c r="E1205" s="41">
        <f>SUMIFS(Rezepte!G:G,Rezepte!A:A,C1205)</f>
        <v>0</v>
      </c>
      <c r="F1205" s="42" t="str">
        <f t="shared" si="2"/>
        <v>#DIV/0!</v>
      </c>
      <c r="G1205" s="38"/>
      <c r="H1205" s="38"/>
      <c r="I1205" s="38"/>
      <c r="J1205" s="38"/>
      <c r="K1205" s="38"/>
      <c r="L1205" s="38"/>
      <c r="M1205" s="38"/>
      <c r="N1205" s="38"/>
      <c r="O1205" s="38"/>
    </row>
    <row r="1206" hidden="1">
      <c r="A1206" s="38"/>
      <c r="B1206" s="38"/>
      <c r="C1206" s="39"/>
      <c r="D1206" s="40">
        <f>SUMIFS(Rezepte!F:F,Rezepte!A:A,C1206)</f>
        <v>0</v>
      </c>
      <c r="E1206" s="41">
        <f>SUMIFS(Rezepte!G:G,Rezepte!A:A,C1206)</f>
        <v>0</v>
      </c>
      <c r="F1206" s="42" t="str">
        <f t="shared" si="2"/>
        <v>#DIV/0!</v>
      </c>
      <c r="G1206" s="38"/>
      <c r="H1206" s="38"/>
      <c r="I1206" s="38"/>
      <c r="J1206" s="38"/>
      <c r="K1206" s="38"/>
      <c r="L1206" s="38"/>
      <c r="M1206" s="38"/>
      <c r="N1206" s="38"/>
      <c r="O1206" s="38"/>
    </row>
    <row r="1207" hidden="1">
      <c r="A1207" s="38"/>
      <c r="B1207" s="38"/>
      <c r="C1207" s="39"/>
      <c r="D1207" s="40">
        <f>SUMIFS(Rezepte!F:F,Rezepte!A:A,C1207)</f>
        <v>0</v>
      </c>
      <c r="E1207" s="41">
        <f>SUMIFS(Rezepte!G:G,Rezepte!A:A,C1207)</f>
        <v>0</v>
      </c>
      <c r="F1207" s="42" t="str">
        <f t="shared" si="2"/>
        <v>#DIV/0!</v>
      </c>
      <c r="G1207" s="38"/>
      <c r="H1207" s="38"/>
      <c r="I1207" s="38"/>
      <c r="J1207" s="38"/>
      <c r="K1207" s="38"/>
      <c r="L1207" s="38"/>
      <c r="M1207" s="38"/>
      <c r="N1207" s="38"/>
      <c r="O1207" s="38"/>
    </row>
    <row r="1208" hidden="1">
      <c r="A1208" s="38"/>
      <c r="B1208" s="38"/>
      <c r="C1208" s="39"/>
      <c r="D1208" s="40">
        <f>SUMIFS(Rezepte!F:F,Rezepte!A:A,C1208)</f>
        <v>0</v>
      </c>
      <c r="E1208" s="41">
        <f>SUMIFS(Rezepte!G:G,Rezepte!A:A,C1208)</f>
        <v>0</v>
      </c>
      <c r="F1208" s="42" t="str">
        <f t="shared" si="2"/>
        <v>#DIV/0!</v>
      </c>
      <c r="G1208" s="38"/>
      <c r="H1208" s="38"/>
      <c r="I1208" s="38"/>
      <c r="J1208" s="38"/>
      <c r="K1208" s="38"/>
      <c r="L1208" s="38"/>
      <c r="M1208" s="38"/>
      <c r="N1208" s="38"/>
      <c r="O1208" s="38"/>
    </row>
    <row r="1209" hidden="1">
      <c r="A1209" s="38"/>
      <c r="B1209" s="38"/>
      <c r="C1209" s="39"/>
      <c r="D1209" s="40">
        <f>SUMIFS(Rezepte!F:F,Rezepte!A:A,C1209)</f>
        <v>0</v>
      </c>
      <c r="E1209" s="41">
        <f>SUMIFS(Rezepte!G:G,Rezepte!A:A,C1209)</f>
        <v>0</v>
      </c>
      <c r="F1209" s="42" t="str">
        <f t="shared" si="2"/>
        <v>#DIV/0!</v>
      </c>
      <c r="G1209" s="38"/>
      <c r="H1209" s="38"/>
      <c r="I1209" s="38"/>
      <c r="J1209" s="38"/>
      <c r="K1209" s="38"/>
      <c r="L1209" s="38"/>
      <c r="M1209" s="38"/>
      <c r="N1209" s="38"/>
      <c r="O1209" s="38"/>
    </row>
    <row r="1210" hidden="1">
      <c r="A1210" s="38"/>
      <c r="B1210" s="38"/>
      <c r="C1210" s="39"/>
      <c r="D1210" s="40">
        <f>SUMIFS(Rezepte!F:F,Rezepte!A:A,C1210)</f>
        <v>0</v>
      </c>
      <c r="E1210" s="41">
        <f>SUMIFS(Rezepte!G:G,Rezepte!A:A,C1210)</f>
        <v>0</v>
      </c>
      <c r="F1210" s="42" t="str">
        <f t="shared" si="2"/>
        <v>#DIV/0!</v>
      </c>
      <c r="G1210" s="38"/>
      <c r="H1210" s="38"/>
      <c r="I1210" s="38"/>
      <c r="J1210" s="38"/>
      <c r="K1210" s="38"/>
      <c r="L1210" s="38"/>
      <c r="M1210" s="38"/>
      <c r="N1210" s="38"/>
      <c r="O1210" s="38"/>
    </row>
    <row r="1211" hidden="1">
      <c r="A1211" s="38"/>
      <c r="B1211" s="38"/>
      <c r="C1211" s="39"/>
      <c r="D1211" s="40">
        <f>SUMIFS(Rezepte!F:F,Rezepte!A:A,C1211)</f>
        <v>0</v>
      </c>
      <c r="E1211" s="41">
        <f>SUMIFS(Rezepte!G:G,Rezepte!A:A,C1211)</f>
        <v>0</v>
      </c>
      <c r="F1211" s="42" t="str">
        <f t="shared" si="2"/>
        <v>#DIV/0!</v>
      </c>
      <c r="G1211" s="38"/>
      <c r="H1211" s="38"/>
      <c r="I1211" s="38"/>
      <c r="J1211" s="38"/>
      <c r="K1211" s="38"/>
      <c r="L1211" s="38"/>
      <c r="M1211" s="38"/>
      <c r="N1211" s="38"/>
      <c r="O1211" s="38"/>
    </row>
    <row r="1212" hidden="1">
      <c r="A1212" s="38"/>
      <c r="B1212" s="38"/>
      <c r="C1212" s="39"/>
      <c r="D1212" s="40">
        <f>SUMIFS(Rezepte!F:F,Rezepte!A:A,C1212)</f>
        <v>0</v>
      </c>
      <c r="E1212" s="41">
        <f>SUMIFS(Rezepte!G:G,Rezepte!A:A,C1212)</f>
        <v>0</v>
      </c>
      <c r="F1212" s="42" t="str">
        <f t="shared" si="2"/>
        <v>#DIV/0!</v>
      </c>
      <c r="G1212" s="38"/>
      <c r="H1212" s="38"/>
      <c r="I1212" s="38"/>
      <c r="J1212" s="38"/>
      <c r="K1212" s="38"/>
      <c r="L1212" s="38"/>
      <c r="M1212" s="38"/>
      <c r="N1212" s="38"/>
      <c r="O1212" s="38"/>
    </row>
    <row r="1213" hidden="1">
      <c r="A1213" s="38"/>
      <c r="B1213" s="38"/>
      <c r="C1213" s="39"/>
      <c r="D1213" s="40">
        <f>SUMIFS(Rezepte!F:F,Rezepte!A:A,C1213)</f>
        <v>0</v>
      </c>
      <c r="E1213" s="41">
        <f>SUMIFS(Rezepte!G:G,Rezepte!A:A,C1213)</f>
        <v>0</v>
      </c>
      <c r="F1213" s="42" t="str">
        <f t="shared" si="2"/>
        <v>#DIV/0!</v>
      </c>
      <c r="G1213" s="38"/>
      <c r="H1213" s="38"/>
      <c r="I1213" s="38"/>
      <c r="J1213" s="38"/>
      <c r="K1213" s="38"/>
      <c r="L1213" s="38"/>
      <c r="M1213" s="38"/>
      <c r="N1213" s="38"/>
      <c r="O1213" s="38"/>
    </row>
    <row r="1214" hidden="1">
      <c r="A1214" s="38"/>
      <c r="B1214" s="38"/>
      <c r="C1214" s="39"/>
      <c r="D1214" s="40">
        <f>SUMIFS(Rezepte!F:F,Rezepte!A:A,C1214)</f>
        <v>0</v>
      </c>
      <c r="E1214" s="41">
        <f>SUMIFS(Rezepte!G:G,Rezepte!A:A,C1214)</f>
        <v>0</v>
      </c>
      <c r="F1214" s="42" t="str">
        <f t="shared" si="2"/>
        <v>#DIV/0!</v>
      </c>
      <c r="G1214" s="38"/>
      <c r="H1214" s="38"/>
      <c r="I1214" s="38"/>
      <c r="J1214" s="38"/>
      <c r="K1214" s="38"/>
      <c r="L1214" s="38"/>
      <c r="M1214" s="38"/>
      <c r="N1214" s="38"/>
      <c r="O1214" s="38"/>
    </row>
    <row r="1215" hidden="1">
      <c r="A1215" s="38"/>
      <c r="B1215" s="38"/>
      <c r="C1215" s="39"/>
      <c r="D1215" s="40">
        <f>SUMIFS(Rezepte!F:F,Rezepte!A:A,C1215)</f>
        <v>0</v>
      </c>
      <c r="E1215" s="41">
        <f>SUMIFS(Rezepte!G:G,Rezepte!A:A,C1215)</f>
        <v>0</v>
      </c>
      <c r="F1215" s="42" t="str">
        <f t="shared" si="2"/>
        <v>#DIV/0!</v>
      </c>
      <c r="G1215" s="38"/>
      <c r="H1215" s="38"/>
      <c r="I1215" s="38"/>
      <c r="J1215" s="38"/>
      <c r="K1215" s="38"/>
      <c r="L1215" s="38"/>
      <c r="M1215" s="38"/>
      <c r="N1215" s="38"/>
      <c r="O1215" s="38"/>
    </row>
    <row r="1216" hidden="1">
      <c r="A1216" s="38"/>
      <c r="B1216" s="38"/>
      <c r="C1216" s="39"/>
      <c r="D1216" s="40">
        <f>SUMIFS(Rezepte!F:F,Rezepte!A:A,C1216)</f>
        <v>0</v>
      </c>
      <c r="E1216" s="41">
        <f>SUMIFS(Rezepte!G:G,Rezepte!A:A,C1216)</f>
        <v>0</v>
      </c>
      <c r="F1216" s="42" t="str">
        <f t="shared" si="2"/>
        <v>#DIV/0!</v>
      </c>
      <c r="G1216" s="38"/>
      <c r="H1216" s="38"/>
      <c r="I1216" s="38"/>
      <c r="J1216" s="38"/>
      <c r="K1216" s="38"/>
      <c r="L1216" s="38"/>
      <c r="M1216" s="38"/>
      <c r="N1216" s="38"/>
      <c r="O1216" s="38"/>
    </row>
    <row r="1217" hidden="1">
      <c r="A1217" s="38"/>
      <c r="B1217" s="38"/>
      <c r="C1217" s="39"/>
      <c r="D1217" s="40">
        <f>SUMIFS(Rezepte!F:F,Rezepte!A:A,C1217)</f>
        <v>0</v>
      </c>
      <c r="E1217" s="41">
        <f>SUMIFS(Rezepte!G:G,Rezepte!A:A,C1217)</f>
        <v>0</v>
      </c>
      <c r="F1217" s="42" t="str">
        <f t="shared" si="2"/>
        <v>#DIV/0!</v>
      </c>
      <c r="G1217" s="38"/>
      <c r="H1217" s="38"/>
      <c r="I1217" s="38"/>
      <c r="J1217" s="38"/>
      <c r="K1217" s="38"/>
      <c r="L1217" s="38"/>
      <c r="M1217" s="38"/>
      <c r="N1217" s="38"/>
      <c r="O1217" s="38"/>
    </row>
    <row r="1218" hidden="1">
      <c r="A1218" s="38"/>
      <c r="B1218" s="38"/>
      <c r="C1218" s="39"/>
      <c r="D1218" s="40">
        <f>SUMIFS(Rezepte!F:F,Rezepte!A:A,C1218)</f>
        <v>0</v>
      </c>
      <c r="E1218" s="41">
        <f>SUMIFS(Rezepte!G:G,Rezepte!A:A,C1218)</f>
        <v>0</v>
      </c>
      <c r="F1218" s="42" t="str">
        <f t="shared" si="2"/>
        <v>#DIV/0!</v>
      </c>
      <c r="G1218" s="38"/>
      <c r="H1218" s="38"/>
      <c r="I1218" s="38"/>
      <c r="J1218" s="38"/>
      <c r="K1218" s="38"/>
      <c r="L1218" s="38"/>
      <c r="M1218" s="38"/>
      <c r="N1218" s="38"/>
      <c r="O1218" s="38"/>
    </row>
    <row r="1219" hidden="1">
      <c r="A1219" s="38"/>
      <c r="B1219" s="38"/>
      <c r="C1219" s="39"/>
      <c r="D1219" s="40">
        <f>SUMIFS(Rezepte!F:F,Rezepte!A:A,C1219)</f>
        <v>0</v>
      </c>
      <c r="E1219" s="41">
        <f>SUMIFS(Rezepte!G:G,Rezepte!A:A,C1219)</f>
        <v>0</v>
      </c>
      <c r="F1219" s="42" t="str">
        <f t="shared" si="2"/>
        <v>#DIV/0!</v>
      </c>
      <c r="G1219" s="38"/>
      <c r="H1219" s="38"/>
      <c r="I1219" s="38"/>
      <c r="J1219" s="38"/>
      <c r="K1219" s="38"/>
      <c r="L1219" s="38"/>
      <c r="M1219" s="38"/>
      <c r="N1219" s="38"/>
      <c r="O1219" s="38"/>
    </row>
    <row r="1220" hidden="1">
      <c r="A1220" s="38"/>
      <c r="B1220" s="38"/>
      <c r="C1220" s="39"/>
      <c r="D1220" s="40">
        <f>SUMIFS(Rezepte!F:F,Rezepte!A:A,C1220)</f>
        <v>0</v>
      </c>
      <c r="E1220" s="41">
        <f>SUMIFS(Rezepte!G:G,Rezepte!A:A,C1220)</f>
        <v>0</v>
      </c>
      <c r="F1220" s="42" t="str">
        <f t="shared" si="2"/>
        <v>#DIV/0!</v>
      </c>
      <c r="G1220" s="38"/>
      <c r="H1220" s="38"/>
      <c r="I1220" s="38"/>
      <c r="J1220" s="38"/>
      <c r="K1220" s="38"/>
      <c r="L1220" s="38"/>
      <c r="M1220" s="38"/>
      <c r="N1220" s="38"/>
      <c r="O1220" s="38"/>
    </row>
    <row r="1221" hidden="1">
      <c r="A1221" s="38"/>
      <c r="B1221" s="38"/>
      <c r="C1221" s="39"/>
      <c r="D1221" s="40">
        <f>SUMIFS(Rezepte!F:F,Rezepte!A:A,C1221)</f>
        <v>0</v>
      </c>
      <c r="E1221" s="41">
        <f>SUMIFS(Rezepte!G:G,Rezepte!A:A,C1221)</f>
        <v>0</v>
      </c>
      <c r="F1221" s="42" t="str">
        <f t="shared" si="2"/>
        <v>#DIV/0!</v>
      </c>
      <c r="G1221" s="38"/>
      <c r="H1221" s="38"/>
      <c r="I1221" s="38"/>
      <c r="J1221" s="38"/>
      <c r="K1221" s="38"/>
      <c r="L1221" s="38"/>
      <c r="M1221" s="38"/>
      <c r="N1221" s="38"/>
      <c r="O1221" s="38"/>
    </row>
    <row r="1222" hidden="1">
      <c r="A1222" s="38"/>
      <c r="B1222" s="38"/>
      <c r="C1222" s="39"/>
      <c r="D1222" s="40">
        <f>SUMIFS(Rezepte!F:F,Rezepte!A:A,C1222)</f>
        <v>0</v>
      </c>
      <c r="E1222" s="41">
        <f>SUMIFS(Rezepte!G:G,Rezepte!A:A,C1222)</f>
        <v>0</v>
      </c>
      <c r="F1222" s="42" t="str">
        <f t="shared" si="2"/>
        <v>#DIV/0!</v>
      </c>
      <c r="G1222" s="38"/>
      <c r="H1222" s="38"/>
      <c r="I1222" s="38"/>
      <c r="J1222" s="38"/>
      <c r="K1222" s="38"/>
      <c r="L1222" s="38"/>
      <c r="M1222" s="38"/>
      <c r="N1222" s="38"/>
      <c r="O1222" s="38"/>
    </row>
    <row r="1223" hidden="1">
      <c r="A1223" s="38"/>
      <c r="B1223" s="38"/>
      <c r="C1223" s="39"/>
      <c r="D1223" s="40">
        <f>SUMIFS(Rezepte!F:F,Rezepte!A:A,C1223)</f>
        <v>0</v>
      </c>
      <c r="E1223" s="41">
        <f>SUMIFS(Rezepte!G:G,Rezepte!A:A,C1223)</f>
        <v>0</v>
      </c>
      <c r="F1223" s="42" t="str">
        <f t="shared" si="2"/>
        <v>#DIV/0!</v>
      </c>
      <c r="G1223" s="38"/>
      <c r="H1223" s="38"/>
      <c r="I1223" s="38"/>
      <c r="J1223" s="38"/>
      <c r="K1223" s="38"/>
      <c r="L1223" s="38"/>
      <c r="M1223" s="38"/>
      <c r="N1223" s="38"/>
      <c r="O1223" s="38"/>
    </row>
    <row r="1224" hidden="1">
      <c r="A1224" s="38"/>
      <c r="B1224" s="38"/>
      <c r="C1224" s="39"/>
      <c r="D1224" s="40">
        <f>SUMIFS(Rezepte!F:F,Rezepte!A:A,C1224)</f>
        <v>0</v>
      </c>
      <c r="E1224" s="41">
        <f>SUMIFS(Rezepte!G:G,Rezepte!A:A,C1224)</f>
        <v>0</v>
      </c>
      <c r="F1224" s="42" t="str">
        <f t="shared" si="2"/>
        <v>#DIV/0!</v>
      </c>
      <c r="G1224" s="38"/>
      <c r="H1224" s="38"/>
      <c r="I1224" s="38"/>
      <c r="J1224" s="38"/>
      <c r="K1224" s="38"/>
      <c r="L1224" s="38"/>
      <c r="M1224" s="38"/>
      <c r="N1224" s="38"/>
      <c r="O1224" s="38"/>
    </row>
    <row r="1225" hidden="1">
      <c r="A1225" s="38"/>
      <c r="B1225" s="38"/>
      <c r="C1225" s="39"/>
      <c r="D1225" s="40">
        <f>SUMIFS(Rezepte!F:F,Rezepte!A:A,C1225)</f>
        <v>0</v>
      </c>
      <c r="E1225" s="41">
        <f>SUMIFS(Rezepte!G:G,Rezepte!A:A,C1225)</f>
        <v>0</v>
      </c>
      <c r="F1225" s="42" t="str">
        <f t="shared" si="2"/>
        <v>#DIV/0!</v>
      </c>
      <c r="G1225" s="38"/>
      <c r="H1225" s="38"/>
      <c r="I1225" s="38"/>
      <c r="J1225" s="38"/>
      <c r="K1225" s="38"/>
      <c r="L1225" s="38"/>
      <c r="M1225" s="38"/>
      <c r="N1225" s="38"/>
      <c r="O1225" s="38"/>
    </row>
    <row r="1226" hidden="1">
      <c r="A1226" s="38"/>
      <c r="B1226" s="38"/>
      <c r="C1226" s="39"/>
      <c r="D1226" s="40">
        <f>SUMIFS(Rezepte!F:F,Rezepte!A:A,C1226)</f>
        <v>0</v>
      </c>
      <c r="E1226" s="41">
        <f>SUMIFS(Rezepte!G:G,Rezepte!A:A,C1226)</f>
        <v>0</v>
      </c>
      <c r="F1226" s="42" t="str">
        <f t="shared" si="2"/>
        <v>#DIV/0!</v>
      </c>
      <c r="G1226" s="38"/>
      <c r="H1226" s="38"/>
      <c r="I1226" s="38"/>
      <c r="J1226" s="38"/>
      <c r="K1226" s="38"/>
      <c r="L1226" s="38"/>
      <c r="M1226" s="38"/>
      <c r="N1226" s="38"/>
      <c r="O1226" s="38"/>
    </row>
    <row r="1227" hidden="1">
      <c r="A1227" s="38"/>
      <c r="B1227" s="38"/>
      <c r="C1227" s="39"/>
      <c r="D1227" s="40">
        <f>SUMIFS(Rezepte!F:F,Rezepte!A:A,C1227)</f>
        <v>0</v>
      </c>
      <c r="E1227" s="41">
        <f>SUMIFS(Rezepte!G:G,Rezepte!A:A,C1227)</f>
        <v>0</v>
      </c>
      <c r="F1227" s="42" t="str">
        <f t="shared" si="2"/>
        <v>#DIV/0!</v>
      </c>
      <c r="G1227" s="38"/>
      <c r="H1227" s="38"/>
      <c r="I1227" s="38"/>
      <c r="J1227" s="38"/>
      <c r="K1227" s="38"/>
      <c r="L1227" s="38"/>
      <c r="M1227" s="38"/>
      <c r="N1227" s="38"/>
      <c r="O1227" s="38"/>
    </row>
    <row r="1228" hidden="1">
      <c r="A1228" s="38"/>
      <c r="B1228" s="38"/>
      <c r="C1228" s="39"/>
      <c r="D1228" s="40">
        <f>SUMIFS(Rezepte!F:F,Rezepte!A:A,C1228)</f>
        <v>0</v>
      </c>
      <c r="E1228" s="41">
        <f>SUMIFS(Rezepte!G:G,Rezepte!A:A,C1228)</f>
        <v>0</v>
      </c>
      <c r="F1228" s="42" t="str">
        <f t="shared" si="2"/>
        <v>#DIV/0!</v>
      </c>
      <c r="G1228" s="38"/>
      <c r="H1228" s="38"/>
      <c r="I1228" s="38"/>
      <c r="J1228" s="38"/>
      <c r="K1228" s="38"/>
      <c r="L1228" s="38"/>
      <c r="M1228" s="38"/>
      <c r="N1228" s="38"/>
      <c r="O1228" s="38"/>
    </row>
    <row r="1229" hidden="1">
      <c r="A1229" s="38"/>
      <c r="B1229" s="38"/>
      <c r="C1229" s="39"/>
      <c r="D1229" s="40">
        <f>SUMIFS(Rezepte!F:F,Rezepte!A:A,C1229)</f>
        <v>0</v>
      </c>
      <c r="E1229" s="41">
        <f>SUMIFS(Rezepte!G:G,Rezepte!A:A,C1229)</f>
        <v>0</v>
      </c>
      <c r="F1229" s="42" t="str">
        <f t="shared" si="2"/>
        <v>#DIV/0!</v>
      </c>
      <c r="G1229" s="38"/>
      <c r="H1229" s="38"/>
      <c r="I1229" s="38"/>
      <c r="J1229" s="38"/>
      <c r="K1229" s="38"/>
      <c r="L1229" s="38"/>
      <c r="M1229" s="38"/>
      <c r="N1229" s="38"/>
      <c r="O1229" s="38"/>
    </row>
    <row r="1230" hidden="1">
      <c r="A1230" s="38"/>
      <c r="B1230" s="38"/>
      <c r="C1230" s="39"/>
      <c r="D1230" s="40">
        <f>SUMIFS(Rezepte!F:F,Rezepte!A:A,C1230)</f>
        <v>0</v>
      </c>
      <c r="E1230" s="41">
        <f>SUMIFS(Rezepte!G:G,Rezepte!A:A,C1230)</f>
        <v>0</v>
      </c>
      <c r="F1230" s="42" t="str">
        <f t="shared" si="2"/>
        <v>#DIV/0!</v>
      </c>
      <c r="G1230" s="38"/>
      <c r="H1230" s="38"/>
      <c r="I1230" s="38"/>
      <c r="J1230" s="38"/>
      <c r="K1230" s="38"/>
      <c r="L1230" s="38"/>
      <c r="M1230" s="38"/>
      <c r="N1230" s="38"/>
      <c r="O1230" s="38"/>
    </row>
    <row r="1231" hidden="1">
      <c r="A1231" s="38"/>
      <c r="B1231" s="38"/>
      <c r="C1231" s="39"/>
      <c r="D1231" s="40">
        <f>SUMIFS(Rezepte!F:F,Rezepte!A:A,C1231)</f>
        <v>0</v>
      </c>
      <c r="E1231" s="41">
        <f>SUMIFS(Rezepte!G:G,Rezepte!A:A,C1231)</f>
        <v>0</v>
      </c>
      <c r="F1231" s="42" t="str">
        <f t="shared" si="2"/>
        <v>#DIV/0!</v>
      </c>
      <c r="G1231" s="38"/>
      <c r="H1231" s="38"/>
      <c r="I1231" s="38"/>
      <c r="J1231" s="38"/>
      <c r="K1231" s="38"/>
      <c r="L1231" s="38"/>
      <c r="M1231" s="38"/>
      <c r="N1231" s="38"/>
      <c r="O1231" s="38"/>
    </row>
    <row r="1232" hidden="1">
      <c r="A1232" s="38"/>
      <c r="B1232" s="38"/>
      <c r="C1232" s="39"/>
      <c r="D1232" s="40">
        <f>SUMIFS(Rezepte!F:F,Rezepte!A:A,C1232)</f>
        <v>0</v>
      </c>
      <c r="E1232" s="41">
        <f>SUMIFS(Rezepte!G:G,Rezepte!A:A,C1232)</f>
        <v>0</v>
      </c>
      <c r="F1232" s="42" t="str">
        <f t="shared" si="2"/>
        <v>#DIV/0!</v>
      </c>
      <c r="G1232" s="38"/>
      <c r="H1232" s="38"/>
      <c r="I1232" s="38"/>
      <c r="J1232" s="38"/>
      <c r="K1232" s="38"/>
      <c r="L1232" s="38"/>
      <c r="M1232" s="38"/>
      <c r="N1232" s="38"/>
      <c r="O1232" s="38"/>
    </row>
    <row r="1233" hidden="1">
      <c r="A1233" s="38"/>
      <c r="B1233" s="38"/>
      <c r="C1233" s="39"/>
      <c r="D1233" s="40">
        <f>SUMIFS(Rezepte!F:F,Rezepte!A:A,C1233)</f>
        <v>0</v>
      </c>
      <c r="E1233" s="41">
        <f>SUMIFS(Rezepte!G:G,Rezepte!A:A,C1233)</f>
        <v>0</v>
      </c>
      <c r="F1233" s="42" t="str">
        <f t="shared" si="2"/>
        <v>#DIV/0!</v>
      </c>
      <c r="G1233" s="38"/>
      <c r="H1233" s="38"/>
      <c r="I1233" s="38"/>
      <c r="J1233" s="38"/>
      <c r="K1233" s="38"/>
      <c r="L1233" s="38"/>
      <c r="M1233" s="38"/>
      <c r="N1233" s="38"/>
      <c r="O1233" s="38"/>
    </row>
    <row r="1234" hidden="1">
      <c r="A1234" s="38"/>
      <c r="B1234" s="38"/>
      <c r="C1234" s="39"/>
      <c r="D1234" s="40">
        <f>SUMIFS(Rezepte!F:F,Rezepte!A:A,C1234)</f>
        <v>0</v>
      </c>
      <c r="E1234" s="41">
        <f>SUMIFS(Rezepte!G:G,Rezepte!A:A,C1234)</f>
        <v>0</v>
      </c>
      <c r="F1234" s="42" t="str">
        <f t="shared" si="2"/>
        <v>#DIV/0!</v>
      </c>
      <c r="G1234" s="38"/>
      <c r="H1234" s="38"/>
      <c r="I1234" s="38"/>
      <c r="J1234" s="38"/>
      <c r="K1234" s="38"/>
      <c r="L1234" s="38"/>
      <c r="M1234" s="38"/>
      <c r="N1234" s="38"/>
      <c r="O1234" s="38"/>
    </row>
    <row r="1235" hidden="1">
      <c r="A1235" s="38"/>
      <c r="B1235" s="38"/>
      <c r="C1235" s="39"/>
      <c r="D1235" s="40">
        <f>SUMIFS(Rezepte!F:F,Rezepte!A:A,C1235)</f>
        <v>0</v>
      </c>
      <c r="E1235" s="41">
        <f>SUMIFS(Rezepte!G:G,Rezepte!A:A,C1235)</f>
        <v>0</v>
      </c>
      <c r="F1235" s="42" t="str">
        <f t="shared" si="2"/>
        <v>#DIV/0!</v>
      </c>
      <c r="G1235" s="38"/>
      <c r="H1235" s="38"/>
      <c r="I1235" s="38"/>
      <c r="J1235" s="38"/>
      <c r="K1235" s="38"/>
      <c r="L1235" s="38"/>
      <c r="M1235" s="38"/>
      <c r="N1235" s="38"/>
      <c r="O1235" s="38"/>
    </row>
    <row r="1236" hidden="1">
      <c r="A1236" s="38"/>
      <c r="B1236" s="38"/>
      <c r="C1236" s="39"/>
      <c r="D1236" s="40">
        <f>SUMIFS(Rezepte!F:F,Rezepte!A:A,C1236)</f>
        <v>0</v>
      </c>
      <c r="E1236" s="41">
        <f>SUMIFS(Rezepte!G:G,Rezepte!A:A,C1236)</f>
        <v>0</v>
      </c>
      <c r="F1236" s="42" t="str">
        <f t="shared" si="2"/>
        <v>#DIV/0!</v>
      </c>
      <c r="G1236" s="38"/>
      <c r="H1236" s="38"/>
      <c r="I1236" s="38"/>
      <c r="J1236" s="38"/>
      <c r="K1236" s="38"/>
      <c r="L1236" s="38"/>
      <c r="M1236" s="38"/>
      <c r="N1236" s="38"/>
      <c r="O1236" s="38"/>
    </row>
    <row r="1237" hidden="1">
      <c r="A1237" s="38"/>
      <c r="B1237" s="38"/>
      <c r="C1237" s="39"/>
      <c r="D1237" s="40">
        <f>SUMIFS(Rezepte!F:F,Rezepte!A:A,C1237)</f>
        <v>0</v>
      </c>
      <c r="E1237" s="41">
        <f>SUMIFS(Rezepte!G:G,Rezepte!A:A,C1237)</f>
        <v>0</v>
      </c>
      <c r="F1237" s="42" t="str">
        <f t="shared" si="2"/>
        <v>#DIV/0!</v>
      </c>
      <c r="G1237" s="38"/>
      <c r="H1237" s="38"/>
      <c r="I1237" s="38"/>
      <c r="J1237" s="38"/>
      <c r="K1237" s="38"/>
      <c r="L1237" s="38"/>
      <c r="M1237" s="38"/>
      <c r="N1237" s="38"/>
      <c r="O1237" s="38"/>
    </row>
    <row r="1238" hidden="1">
      <c r="A1238" s="38"/>
      <c r="B1238" s="38"/>
      <c r="C1238" s="39"/>
      <c r="D1238" s="40">
        <f>SUMIFS(Rezepte!F:F,Rezepte!A:A,C1238)</f>
        <v>0</v>
      </c>
      <c r="E1238" s="41">
        <f>SUMIFS(Rezepte!G:G,Rezepte!A:A,C1238)</f>
        <v>0</v>
      </c>
      <c r="F1238" s="42" t="str">
        <f t="shared" si="2"/>
        <v>#DIV/0!</v>
      </c>
      <c r="G1238" s="38"/>
      <c r="H1238" s="38"/>
      <c r="I1238" s="38"/>
      <c r="J1238" s="38"/>
      <c r="K1238" s="38"/>
      <c r="L1238" s="38"/>
      <c r="M1238" s="38"/>
      <c r="N1238" s="38"/>
      <c r="O1238" s="38"/>
    </row>
    <row r="1239" hidden="1">
      <c r="A1239" s="38"/>
      <c r="B1239" s="38"/>
      <c r="C1239" s="39"/>
      <c r="D1239" s="40">
        <f>SUMIFS(Rezepte!F:F,Rezepte!A:A,C1239)</f>
        <v>0</v>
      </c>
      <c r="E1239" s="41">
        <f>SUMIFS(Rezepte!G:G,Rezepte!A:A,C1239)</f>
        <v>0</v>
      </c>
      <c r="F1239" s="42" t="str">
        <f t="shared" si="2"/>
        <v>#DIV/0!</v>
      </c>
      <c r="G1239" s="38"/>
      <c r="H1239" s="38"/>
      <c r="I1239" s="38"/>
      <c r="J1239" s="38"/>
      <c r="K1239" s="38"/>
      <c r="L1239" s="38"/>
      <c r="M1239" s="38"/>
      <c r="N1239" s="38"/>
      <c r="O1239" s="38"/>
    </row>
    <row r="1240" hidden="1">
      <c r="A1240" s="38"/>
      <c r="B1240" s="38"/>
      <c r="C1240" s="39"/>
      <c r="D1240" s="40">
        <f>SUMIFS(Rezepte!F:F,Rezepte!A:A,C1240)</f>
        <v>0</v>
      </c>
      <c r="E1240" s="41">
        <f>SUMIFS(Rezepte!G:G,Rezepte!A:A,C1240)</f>
        <v>0</v>
      </c>
      <c r="F1240" s="42" t="str">
        <f t="shared" si="2"/>
        <v>#DIV/0!</v>
      </c>
      <c r="G1240" s="38"/>
      <c r="H1240" s="38"/>
      <c r="I1240" s="38"/>
      <c r="J1240" s="38"/>
      <c r="K1240" s="38"/>
      <c r="L1240" s="38"/>
      <c r="M1240" s="38"/>
      <c r="N1240" s="38"/>
      <c r="O1240" s="38"/>
    </row>
    <row r="1241" hidden="1">
      <c r="A1241" s="38"/>
      <c r="B1241" s="38"/>
      <c r="C1241" s="39"/>
      <c r="D1241" s="40">
        <f>SUMIFS(Rezepte!F:F,Rezepte!A:A,C1241)</f>
        <v>0</v>
      </c>
      <c r="E1241" s="41">
        <f>SUMIFS(Rezepte!G:G,Rezepte!A:A,C1241)</f>
        <v>0</v>
      </c>
      <c r="F1241" s="42" t="str">
        <f t="shared" si="2"/>
        <v>#DIV/0!</v>
      </c>
      <c r="G1241" s="38"/>
      <c r="H1241" s="38"/>
      <c r="I1241" s="38"/>
      <c r="J1241" s="38"/>
      <c r="K1241" s="38"/>
      <c r="L1241" s="38"/>
      <c r="M1241" s="38"/>
      <c r="N1241" s="38"/>
      <c r="O1241" s="38"/>
    </row>
    <row r="1242" hidden="1">
      <c r="A1242" s="38"/>
      <c r="B1242" s="38"/>
      <c r="C1242" s="39"/>
      <c r="D1242" s="40">
        <f>SUMIFS(Rezepte!F:F,Rezepte!A:A,C1242)</f>
        <v>0</v>
      </c>
      <c r="E1242" s="41">
        <f>SUMIFS(Rezepte!G:G,Rezepte!A:A,C1242)</f>
        <v>0</v>
      </c>
      <c r="F1242" s="42" t="str">
        <f t="shared" si="2"/>
        <v>#DIV/0!</v>
      </c>
      <c r="G1242" s="38"/>
      <c r="H1242" s="38"/>
      <c r="I1242" s="38"/>
      <c r="J1242" s="38"/>
      <c r="K1242" s="38"/>
      <c r="L1242" s="38"/>
      <c r="M1242" s="38"/>
      <c r="N1242" s="38"/>
      <c r="O1242" s="38"/>
    </row>
    <row r="1243" hidden="1">
      <c r="A1243" s="38"/>
      <c r="B1243" s="38"/>
      <c r="C1243" s="39"/>
      <c r="D1243" s="40">
        <f>SUMIFS(Rezepte!F:F,Rezepte!A:A,C1243)</f>
        <v>0</v>
      </c>
      <c r="E1243" s="41">
        <f>SUMIFS(Rezepte!G:G,Rezepte!A:A,C1243)</f>
        <v>0</v>
      </c>
      <c r="F1243" s="42" t="str">
        <f t="shared" si="2"/>
        <v>#DIV/0!</v>
      </c>
      <c r="G1243" s="38"/>
      <c r="H1243" s="38"/>
      <c r="I1243" s="38"/>
      <c r="J1243" s="38"/>
      <c r="K1243" s="38"/>
      <c r="L1243" s="38"/>
      <c r="M1243" s="38"/>
      <c r="N1243" s="38"/>
      <c r="O1243" s="38"/>
    </row>
    <row r="1244" hidden="1">
      <c r="A1244" s="38"/>
      <c r="B1244" s="38"/>
      <c r="C1244" s="39"/>
      <c r="D1244" s="40">
        <f>SUMIFS(Rezepte!F:F,Rezepte!A:A,C1244)</f>
        <v>0</v>
      </c>
      <c r="E1244" s="41">
        <f>SUMIFS(Rezepte!G:G,Rezepte!A:A,C1244)</f>
        <v>0</v>
      </c>
      <c r="F1244" s="42" t="str">
        <f t="shared" si="2"/>
        <v>#DIV/0!</v>
      </c>
      <c r="G1244" s="38"/>
      <c r="H1244" s="38"/>
      <c r="I1244" s="38"/>
      <c r="J1244" s="38"/>
      <c r="K1244" s="38"/>
      <c r="L1244" s="38"/>
      <c r="M1244" s="38"/>
      <c r="N1244" s="38"/>
      <c r="O1244" s="38"/>
    </row>
    <row r="1245" hidden="1">
      <c r="A1245" s="38"/>
      <c r="B1245" s="38"/>
      <c r="C1245" s="39"/>
      <c r="D1245" s="40">
        <f>SUMIFS(Rezepte!F:F,Rezepte!A:A,C1245)</f>
        <v>0</v>
      </c>
      <c r="E1245" s="41">
        <f>SUMIFS(Rezepte!G:G,Rezepte!A:A,C1245)</f>
        <v>0</v>
      </c>
      <c r="F1245" s="42" t="str">
        <f t="shared" si="2"/>
        <v>#DIV/0!</v>
      </c>
      <c r="G1245" s="38"/>
      <c r="H1245" s="38"/>
      <c r="I1245" s="38"/>
      <c r="J1245" s="38"/>
      <c r="K1245" s="38"/>
      <c r="L1245" s="38"/>
      <c r="M1245" s="38"/>
      <c r="N1245" s="38"/>
      <c r="O1245" s="38"/>
    </row>
    <row r="1246" hidden="1">
      <c r="A1246" s="38"/>
      <c r="B1246" s="38"/>
      <c r="C1246" s="39"/>
      <c r="D1246" s="40">
        <f>SUMIFS(Rezepte!F:F,Rezepte!A:A,C1246)</f>
        <v>0</v>
      </c>
      <c r="E1246" s="41">
        <f>SUMIFS(Rezepte!G:G,Rezepte!A:A,C1246)</f>
        <v>0</v>
      </c>
      <c r="F1246" s="42" t="str">
        <f t="shared" si="2"/>
        <v>#DIV/0!</v>
      </c>
      <c r="G1246" s="38"/>
      <c r="H1246" s="38"/>
      <c r="I1246" s="38"/>
      <c r="J1246" s="38"/>
      <c r="K1246" s="38"/>
      <c r="L1246" s="38"/>
      <c r="M1246" s="38"/>
      <c r="N1246" s="38"/>
      <c r="O1246" s="38"/>
    </row>
    <row r="1247" hidden="1">
      <c r="A1247" s="38"/>
      <c r="B1247" s="38"/>
      <c r="C1247" s="39"/>
      <c r="D1247" s="40">
        <f>SUMIFS(Rezepte!F:F,Rezepte!A:A,C1247)</f>
        <v>0</v>
      </c>
      <c r="E1247" s="41">
        <f>SUMIFS(Rezepte!G:G,Rezepte!A:A,C1247)</f>
        <v>0</v>
      </c>
      <c r="F1247" s="42" t="str">
        <f t="shared" si="2"/>
        <v>#DIV/0!</v>
      </c>
      <c r="G1247" s="38"/>
      <c r="H1247" s="38"/>
      <c r="I1247" s="38"/>
      <c r="J1247" s="38"/>
      <c r="K1247" s="38"/>
      <c r="L1247" s="38"/>
      <c r="M1247" s="38"/>
      <c r="N1247" s="38"/>
      <c r="O1247" s="38"/>
    </row>
    <row r="1248" hidden="1">
      <c r="A1248" s="38"/>
      <c r="B1248" s="38"/>
      <c r="C1248" s="39"/>
      <c r="D1248" s="40">
        <f>SUMIFS(Rezepte!F:F,Rezepte!A:A,C1248)</f>
        <v>0</v>
      </c>
      <c r="E1248" s="41">
        <f>SUMIFS(Rezepte!G:G,Rezepte!A:A,C1248)</f>
        <v>0</v>
      </c>
      <c r="F1248" s="42" t="str">
        <f t="shared" si="2"/>
        <v>#DIV/0!</v>
      </c>
      <c r="G1248" s="38"/>
      <c r="H1248" s="38"/>
      <c r="I1248" s="38"/>
      <c r="J1248" s="38"/>
      <c r="K1248" s="38"/>
      <c r="L1248" s="38"/>
      <c r="M1248" s="38"/>
      <c r="N1248" s="38"/>
      <c r="O1248" s="38"/>
    </row>
    <row r="1249" hidden="1">
      <c r="A1249" s="38"/>
      <c r="B1249" s="38"/>
      <c r="C1249" s="39"/>
      <c r="D1249" s="40">
        <f>SUMIFS(Rezepte!F:F,Rezepte!A:A,C1249)</f>
        <v>0</v>
      </c>
      <c r="E1249" s="41">
        <f>SUMIFS(Rezepte!G:G,Rezepte!A:A,C1249)</f>
        <v>0</v>
      </c>
      <c r="F1249" s="42" t="str">
        <f t="shared" si="2"/>
        <v>#DIV/0!</v>
      </c>
      <c r="G1249" s="38"/>
      <c r="H1249" s="38"/>
      <c r="I1249" s="38"/>
      <c r="J1249" s="38"/>
      <c r="K1249" s="38"/>
      <c r="L1249" s="38"/>
      <c r="M1249" s="38"/>
      <c r="N1249" s="38"/>
      <c r="O1249" s="38"/>
    </row>
    <row r="1250" hidden="1">
      <c r="A1250" s="38"/>
      <c r="B1250" s="38"/>
      <c r="C1250" s="39"/>
      <c r="D1250" s="40">
        <f>SUMIFS(Rezepte!F:F,Rezepte!A:A,C1250)</f>
        <v>0</v>
      </c>
      <c r="E1250" s="41">
        <f>SUMIFS(Rezepte!G:G,Rezepte!A:A,C1250)</f>
        <v>0</v>
      </c>
      <c r="F1250" s="42" t="str">
        <f t="shared" si="2"/>
        <v>#DIV/0!</v>
      </c>
      <c r="G1250" s="38"/>
      <c r="H1250" s="38"/>
      <c r="I1250" s="38"/>
      <c r="J1250" s="38"/>
      <c r="K1250" s="38"/>
      <c r="L1250" s="38"/>
      <c r="M1250" s="38"/>
      <c r="N1250" s="38"/>
      <c r="O1250" s="38"/>
    </row>
    <row r="1251" hidden="1">
      <c r="A1251" s="38"/>
      <c r="B1251" s="38"/>
      <c r="C1251" s="39"/>
      <c r="D1251" s="40">
        <f>SUMIFS(Rezepte!F:F,Rezepte!A:A,C1251)</f>
        <v>0</v>
      </c>
      <c r="E1251" s="41">
        <f>SUMIFS(Rezepte!G:G,Rezepte!A:A,C1251)</f>
        <v>0</v>
      </c>
      <c r="F1251" s="42" t="str">
        <f t="shared" si="2"/>
        <v>#DIV/0!</v>
      </c>
      <c r="G1251" s="38"/>
      <c r="H1251" s="38"/>
      <c r="I1251" s="38"/>
      <c r="J1251" s="38"/>
      <c r="K1251" s="38"/>
      <c r="L1251" s="38"/>
      <c r="M1251" s="38"/>
      <c r="N1251" s="38"/>
      <c r="O1251" s="38"/>
    </row>
    <row r="1252" hidden="1">
      <c r="A1252" s="38"/>
      <c r="B1252" s="38"/>
      <c r="C1252" s="39"/>
      <c r="D1252" s="40">
        <f>SUMIFS(Rezepte!F:F,Rezepte!A:A,C1252)</f>
        <v>0</v>
      </c>
      <c r="E1252" s="41">
        <f>SUMIFS(Rezepte!G:G,Rezepte!A:A,C1252)</f>
        <v>0</v>
      </c>
      <c r="F1252" s="42" t="str">
        <f t="shared" si="2"/>
        <v>#DIV/0!</v>
      </c>
      <c r="G1252" s="38"/>
      <c r="H1252" s="38"/>
      <c r="I1252" s="38"/>
      <c r="J1252" s="38"/>
      <c r="K1252" s="38"/>
      <c r="L1252" s="38"/>
      <c r="M1252" s="38"/>
      <c r="N1252" s="38"/>
      <c r="O1252" s="38"/>
    </row>
    <row r="1253" hidden="1">
      <c r="A1253" s="38"/>
      <c r="B1253" s="38"/>
      <c r="C1253" s="39"/>
      <c r="D1253" s="40">
        <f>SUMIFS(Rezepte!F:F,Rezepte!A:A,C1253)</f>
        <v>0</v>
      </c>
      <c r="E1253" s="41">
        <f>SUMIFS(Rezepte!G:G,Rezepte!A:A,C1253)</f>
        <v>0</v>
      </c>
      <c r="F1253" s="42" t="str">
        <f t="shared" si="2"/>
        <v>#DIV/0!</v>
      </c>
      <c r="G1253" s="38"/>
      <c r="H1253" s="38"/>
      <c r="I1253" s="38"/>
      <c r="J1253" s="38"/>
      <c r="K1253" s="38"/>
      <c r="L1253" s="38"/>
      <c r="M1253" s="38"/>
      <c r="N1253" s="38"/>
      <c r="O1253" s="38"/>
    </row>
    <row r="1254" hidden="1">
      <c r="A1254" s="38"/>
      <c r="B1254" s="38"/>
      <c r="C1254" s="39"/>
      <c r="D1254" s="40">
        <f>SUMIFS(Rezepte!F:F,Rezepte!A:A,C1254)</f>
        <v>0</v>
      </c>
      <c r="E1254" s="41">
        <f>SUMIFS(Rezepte!G:G,Rezepte!A:A,C1254)</f>
        <v>0</v>
      </c>
      <c r="F1254" s="42" t="str">
        <f t="shared" si="2"/>
        <v>#DIV/0!</v>
      </c>
      <c r="G1254" s="38"/>
      <c r="H1254" s="38"/>
      <c r="I1254" s="38"/>
      <c r="J1254" s="38"/>
      <c r="K1254" s="38"/>
      <c r="L1254" s="38"/>
      <c r="M1254" s="38"/>
      <c r="N1254" s="38"/>
      <c r="O1254" s="38"/>
    </row>
    <row r="1255" hidden="1">
      <c r="A1255" s="38"/>
      <c r="B1255" s="38"/>
      <c r="C1255" s="39"/>
      <c r="D1255" s="40">
        <f>SUMIFS(Rezepte!F:F,Rezepte!A:A,C1255)</f>
        <v>0</v>
      </c>
      <c r="E1255" s="41">
        <f>SUMIFS(Rezepte!G:G,Rezepte!A:A,C1255)</f>
        <v>0</v>
      </c>
      <c r="F1255" s="42" t="str">
        <f t="shared" si="2"/>
        <v>#DIV/0!</v>
      </c>
      <c r="G1255" s="38"/>
      <c r="H1255" s="38"/>
      <c r="I1255" s="38"/>
      <c r="J1255" s="38"/>
      <c r="K1255" s="38"/>
      <c r="L1255" s="38"/>
      <c r="M1255" s="38"/>
      <c r="N1255" s="38"/>
      <c r="O1255" s="38"/>
    </row>
    <row r="1256" hidden="1">
      <c r="A1256" s="38"/>
      <c r="B1256" s="38"/>
      <c r="C1256" s="39"/>
      <c r="D1256" s="40">
        <f>SUMIFS(Rezepte!F:F,Rezepte!A:A,C1256)</f>
        <v>0</v>
      </c>
      <c r="E1256" s="41">
        <f>SUMIFS(Rezepte!G:G,Rezepte!A:A,C1256)</f>
        <v>0</v>
      </c>
      <c r="F1256" s="42" t="str">
        <f t="shared" si="2"/>
        <v>#DIV/0!</v>
      </c>
      <c r="G1256" s="38"/>
      <c r="H1256" s="38"/>
      <c r="I1256" s="38"/>
      <c r="J1256" s="38"/>
      <c r="K1256" s="38"/>
      <c r="L1256" s="38"/>
      <c r="M1256" s="38"/>
      <c r="N1256" s="38"/>
      <c r="O1256" s="38"/>
    </row>
    <row r="1257" hidden="1">
      <c r="A1257" s="38"/>
      <c r="B1257" s="38"/>
      <c r="C1257" s="39"/>
      <c r="D1257" s="40">
        <f>SUMIFS(Rezepte!F:F,Rezepte!A:A,C1257)</f>
        <v>0</v>
      </c>
      <c r="E1257" s="41">
        <f>SUMIFS(Rezepte!G:G,Rezepte!A:A,C1257)</f>
        <v>0</v>
      </c>
      <c r="F1257" s="42" t="str">
        <f t="shared" si="2"/>
        <v>#DIV/0!</v>
      </c>
      <c r="G1257" s="38"/>
      <c r="H1257" s="38"/>
      <c r="I1257" s="38"/>
      <c r="J1257" s="38"/>
      <c r="K1257" s="38"/>
      <c r="L1257" s="38"/>
      <c r="M1257" s="38"/>
      <c r="N1257" s="38"/>
      <c r="O1257" s="38"/>
    </row>
    <row r="1258" hidden="1">
      <c r="A1258" s="38"/>
      <c r="B1258" s="38"/>
      <c r="C1258" s="39"/>
      <c r="D1258" s="40">
        <f>SUMIFS(Rezepte!F:F,Rezepte!A:A,C1258)</f>
        <v>0</v>
      </c>
      <c r="E1258" s="41">
        <f>SUMIFS(Rezepte!G:G,Rezepte!A:A,C1258)</f>
        <v>0</v>
      </c>
      <c r="F1258" s="42" t="str">
        <f t="shared" si="2"/>
        <v>#DIV/0!</v>
      </c>
      <c r="G1258" s="38"/>
      <c r="H1258" s="38"/>
      <c r="I1258" s="38"/>
      <c r="J1258" s="38"/>
      <c r="K1258" s="38"/>
      <c r="L1258" s="38"/>
      <c r="M1258" s="38"/>
      <c r="N1258" s="38"/>
      <c r="O1258" s="38"/>
    </row>
    <row r="1259" hidden="1">
      <c r="A1259" s="38"/>
      <c r="B1259" s="38"/>
      <c r="C1259" s="39"/>
      <c r="D1259" s="40">
        <f>SUMIFS(Rezepte!F:F,Rezepte!A:A,C1259)</f>
        <v>0</v>
      </c>
      <c r="E1259" s="41">
        <f>SUMIFS(Rezepte!G:G,Rezepte!A:A,C1259)</f>
        <v>0</v>
      </c>
      <c r="F1259" s="42" t="str">
        <f t="shared" si="2"/>
        <v>#DIV/0!</v>
      </c>
      <c r="G1259" s="38"/>
      <c r="H1259" s="38"/>
      <c r="I1259" s="38"/>
      <c r="J1259" s="38"/>
      <c r="K1259" s="38"/>
      <c r="L1259" s="38"/>
      <c r="M1259" s="38"/>
      <c r="N1259" s="38"/>
      <c r="O1259" s="38"/>
    </row>
    <row r="1260" hidden="1">
      <c r="A1260" s="38"/>
      <c r="B1260" s="38"/>
      <c r="C1260" s="39"/>
      <c r="D1260" s="40">
        <f>SUMIFS(Rezepte!F:F,Rezepte!A:A,C1260)</f>
        <v>0</v>
      </c>
      <c r="E1260" s="41">
        <f>SUMIFS(Rezepte!G:G,Rezepte!A:A,C1260)</f>
        <v>0</v>
      </c>
      <c r="F1260" s="42" t="str">
        <f t="shared" si="2"/>
        <v>#DIV/0!</v>
      </c>
      <c r="G1260" s="38"/>
      <c r="H1260" s="38"/>
      <c r="I1260" s="38"/>
      <c r="J1260" s="38"/>
      <c r="K1260" s="38"/>
      <c r="L1260" s="38"/>
      <c r="M1260" s="38"/>
      <c r="N1260" s="38"/>
      <c r="O1260" s="38"/>
    </row>
    <row r="1261" hidden="1">
      <c r="A1261" s="38"/>
      <c r="B1261" s="38"/>
      <c r="C1261" s="39"/>
      <c r="D1261" s="40">
        <f>SUMIFS(Rezepte!F:F,Rezepte!A:A,C1261)</f>
        <v>0</v>
      </c>
      <c r="E1261" s="41">
        <f>SUMIFS(Rezepte!G:G,Rezepte!A:A,C1261)</f>
        <v>0</v>
      </c>
      <c r="F1261" s="42" t="str">
        <f t="shared" si="2"/>
        <v>#DIV/0!</v>
      </c>
      <c r="G1261" s="38"/>
      <c r="H1261" s="38"/>
      <c r="I1261" s="38"/>
      <c r="J1261" s="38"/>
      <c r="K1261" s="38"/>
      <c r="L1261" s="38"/>
      <c r="M1261" s="38"/>
      <c r="N1261" s="38"/>
      <c r="O1261" s="38"/>
    </row>
    <row r="1262" hidden="1">
      <c r="A1262" s="38"/>
      <c r="B1262" s="38"/>
      <c r="C1262" s="39"/>
      <c r="D1262" s="40">
        <f>SUMIFS(Rezepte!F:F,Rezepte!A:A,C1262)</f>
        <v>0</v>
      </c>
      <c r="E1262" s="41">
        <f>SUMIFS(Rezepte!G:G,Rezepte!A:A,C1262)</f>
        <v>0</v>
      </c>
      <c r="F1262" s="42" t="str">
        <f t="shared" si="2"/>
        <v>#DIV/0!</v>
      </c>
      <c r="G1262" s="38"/>
      <c r="H1262" s="38"/>
      <c r="I1262" s="38"/>
      <c r="J1262" s="38"/>
      <c r="K1262" s="38"/>
      <c r="L1262" s="38"/>
      <c r="M1262" s="38"/>
      <c r="N1262" s="38"/>
      <c r="O1262" s="38"/>
    </row>
    <row r="1263" hidden="1">
      <c r="A1263" s="38"/>
      <c r="B1263" s="38"/>
      <c r="C1263" s="39"/>
      <c r="D1263" s="40">
        <f>SUMIFS(Rezepte!F:F,Rezepte!A:A,C1263)</f>
        <v>0</v>
      </c>
      <c r="E1263" s="41">
        <f>SUMIFS(Rezepte!G:G,Rezepte!A:A,C1263)</f>
        <v>0</v>
      </c>
      <c r="F1263" s="42" t="str">
        <f t="shared" si="2"/>
        <v>#DIV/0!</v>
      </c>
      <c r="G1263" s="38"/>
      <c r="H1263" s="38"/>
      <c r="I1263" s="38"/>
      <c r="J1263" s="38"/>
      <c r="K1263" s="38"/>
      <c r="L1263" s="38"/>
      <c r="M1263" s="38"/>
      <c r="N1263" s="38"/>
      <c r="O1263" s="38"/>
    </row>
    <row r="1264" hidden="1">
      <c r="A1264" s="38"/>
      <c r="B1264" s="38"/>
      <c r="C1264" s="39"/>
      <c r="D1264" s="40">
        <f>SUMIFS(Rezepte!F:F,Rezepte!A:A,C1264)</f>
        <v>0</v>
      </c>
      <c r="E1264" s="41">
        <f>SUMIFS(Rezepte!G:G,Rezepte!A:A,C1264)</f>
        <v>0</v>
      </c>
      <c r="F1264" s="42" t="str">
        <f t="shared" si="2"/>
        <v>#DIV/0!</v>
      </c>
      <c r="G1264" s="38"/>
      <c r="H1264" s="38"/>
      <c r="I1264" s="38"/>
      <c r="J1264" s="38"/>
      <c r="K1264" s="38"/>
      <c r="L1264" s="38"/>
      <c r="M1264" s="38"/>
      <c r="N1264" s="38"/>
      <c r="O1264" s="38"/>
    </row>
    <row r="1265" hidden="1">
      <c r="A1265" s="38"/>
      <c r="B1265" s="38"/>
      <c r="C1265" s="39"/>
      <c r="D1265" s="40">
        <f>SUMIFS(Rezepte!F:F,Rezepte!A:A,C1265)</f>
        <v>0</v>
      </c>
      <c r="E1265" s="41">
        <f>SUMIFS(Rezepte!G:G,Rezepte!A:A,C1265)</f>
        <v>0</v>
      </c>
      <c r="F1265" s="42" t="str">
        <f t="shared" si="2"/>
        <v>#DIV/0!</v>
      </c>
      <c r="G1265" s="38"/>
      <c r="H1265" s="38"/>
      <c r="I1265" s="38"/>
      <c r="J1265" s="38"/>
      <c r="K1265" s="38"/>
      <c r="L1265" s="38"/>
      <c r="M1265" s="38"/>
      <c r="N1265" s="38"/>
      <c r="O1265" s="38"/>
    </row>
    <row r="1266" hidden="1">
      <c r="A1266" s="38"/>
      <c r="B1266" s="38"/>
      <c r="C1266" s="39"/>
      <c r="D1266" s="40">
        <f>SUMIFS(Rezepte!F:F,Rezepte!A:A,C1266)</f>
        <v>0</v>
      </c>
      <c r="E1266" s="41">
        <f>SUMIFS(Rezepte!G:G,Rezepte!A:A,C1266)</f>
        <v>0</v>
      </c>
      <c r="F1266" s="42" t="str">
        <f t="shared" si="2"/>
        <v>#DIV/0!</v>
      </c>
      <c r="G1266" s="38"/>
      <c r="H1266" s="38"/>
      <c r="I1266" s="38"/>
      <c r="J1266" s="38"/>
      <c r="K1266" s="38"/>
      <c r="L1266" s="38"/>
      <c r="M1266" s="38"/>
      <c r="N1266" s="38"/>
      <c r="O1266" s="38"/>
    </row>
    <row r="1267" hidden="1">
      <c r="A1267" s="38"/>
      <c r="B1267" s="38"/>
      <c r="C1267" s="39"/>
      <c r="D1267" s="40">
        <f>SUMIFS(Rezepte!F:F,Rezepte!A:A,C1267)</f>
        <v>0</v>
      </c>
      <c r="E1267" s="41">
        <f>SUMIFS(Rezepte!G:G,Rezepte!A:A,C1267)</f>
        <v>0</v>
      </c>
      <c r="F1267" s="42" t="str">
        <f t="shared" si="2"/>
        <v>#DIV/0!</v>
      </c>
      <c r="G1267" s="38"/>
      <c r="H1267" s="38"/>
      <c r="I1267" s="38"/>
      <c r="J1267" s="38"/>
      <c r="K1267" s="38"/>
      <c r="L1267" s="38"/>
      <c r="M1267" s="38"/>
      <c r="N1267" s="38"/>
      <c r="O1267" s="38"/>
    </row>
    <row r="1268" hidden="1">
      <c r="A1268" s="38"/>
      <c r="B1268" s="38"/>
      <c r="C1268" s="39"/>
      <c r="D1268" s="40">
        <f>SUMIFS(Rezepte!F:F,Rezepte!A:A,C1268)</f>
        <v>0</v>
      </c>
      <c r="E1268" s="41">
        <f>SUMIFS(Rezepte!G:G,Rezepte!A:A,C1268)</f>
        <v>0</v>
      </c>
      <c r="F1268" s="42" t="str">
        <f t="shared" si="2"/>
        <v>#DIV/0!</v>
      </c>
      <c r="G1268" s="38"/>
      <c r="H1268" s="38"/>
      <c r="I1268" s="38"/>
      <c r="J1268" s="38"/>
      <c r="K1268" s="38"/>
      <c r="L1268" s="38"/>
      <c r="M1268" s="38"/>
      <c r="N1268" s="38"/>
      <c r="O1268" s="38"/>
    </row>
    <row r="1269" hidden="1">
      <c r="A1269" s="38"/>
      <c r="B1269" s="38"/>
      <c r="C1269" s="39"/>
      <c r="D1269" s="40">
        <f>SUMIFS(Rezepte!F:F,Rezepte!A:A,C1269)</f>
        <v>0</v>
      </c>
      <c r="E1269" s="41">
        <f>SUMIFS(Rezepte!G:G,Rezepte!A:A,C1269)</f>
        <v>0</v>
      </c>
      <c r="F1269" s="42" t="str">
        <f t="shared" si="2"/>
        <v>#DIV/0!</v>
      </c>
      <c r="G1269" s="38"/>
      <c r="H1269" s="38"/>
      <c r="I1269" s="38"/>
      <c r="J1269" s="38"/>
      <c r="K1269" s="38"/>
      <c r="L1269" s="38"/>
      <c r="M1269" s="38"/>
      <c r="N1269" s="38"/>
      <c r="O1269" s="38"/>
    </row>
    <row r="1270" hidden="1">
      <c r="A1270" s="38"/>
      <c r="B1270" s="38"/>
      <c r="C1270" s="39"/>
      <c r="D1270" s="40">
        <f>SUMIFS(Rezepte!F:F,Rezepte!A:A,C1270)</f>
        <v>0</v>
      </c>
      <c r="E1270" s="41">
        <f>SUMIFS(Rezepte!G:G,Rezepte!A:A,C1270)</f>
        <v>0</v>
      </c>
      <c r="F1270" s="42" t="str">
        <f t="shared" si="2"/>
        <v>#DIV/0!</v>
      </c>
      <c r="G1270" s="38"/>
      <c r="H1270" s="38"/>
      <c r="I1270" s="38"/>
      <c r="J1270" s="38"/>
      <c r="K1270" s="38"/>
      <c r="L1270" s="38"/>
      <c r="M1270" s="38"/>
      <c r="N1270" s="38"/>
      <c r="O1270" s="38"/>
    </row>
    <row r="1271" hidden="1">
      <c r="A1271" s="38"/>
      <c r="B1271" s="38"/>
      <c r="C1271" s="39"/>
      <c r="D1271" s="40">
        <f>SUMIFS(Rezepte!F:F,Rezepte!A:A,C1271)</f>
        <v>0</v>
      </c>
      <c r="E1271" s="41">
        <f>SUMIFS(Rezepte!G:G,Rezepte!A:A,C1271)</f>
        <v>0</v>
      </c>
      <c r="F1271" s="42" t="str">
        <f t="shared" si="2"/>
        <v>#DIV/0!</v>
      </c>
      <c r="G1271" s="38"/>
      <c r="H1271" s="38"/>
      <c r="I1271" s="38"/>
      <c r="J1271" s="38"/>
      <c r="K1271" s="38"/>
      <c r="L1271" s="38"/>
      <c r="M1271" s="38"/>
      <c r="N1271" s="38"/>
      <c r="O1271" s="38"/>
    </row>
    <row r="1272" hidden="1">
      <c r="A1272" s="38"/>
      <c r="B1272" s="38"/>
      <c r="C1272" s="39"/>
      <c r="D1272" s="40">
        <f>SUMIFS(Rezepte!F:F,Rezepte!A:A,C1272)</f>
        <v>0</v>
      </c>
      <c r="E1272" s="41">
        <f>SUMIFS(Rezepte!G:G,Rezepte!A:A,C1272)</f>
        <v>0</v>
      </c>
      <c r="F1272" s="42" t="str">
        <f t="shared" si="2"/>
        <v>#DIV/0!</v>
      </c>
      <c r="G1272" s="38"/>
      <c r="H1272" s="38"/>
      <c r="I1272" s="38"/>
      <c r="J1272" s="38"/>
      <c r="K1272" s="38"/>
      <c r="L1272" s="38"/>
      <c r="M1272" s="38"/>
      <c r="N1272" s="38"/>
      <c r="O1272" s="38"/>
    </row>
    <row r="1273" hidden="1">
      <c r="A1273" s="38"/>
      <c r="B1273" s="38"/>
      <c r="C1273" s="39"/>
      <c r="D1273" s="40">
        <f>SUMIFS(Rezepte!F:F,Rezepte!A:A,C1273)</f>
        <v>0</v>
      </c>
      <c r="E1273" s="41">
        <f>SUMIFS(Rezepte!G:G,Rezepte!A:A,C1273)</f>
        <v>0</v>
      </c>
      <c r="F1273" s="42" t="str">
        <f t="shared" si="2"/>
        <v>#DIV/0!</v>
      </c>
      <c r="G1273" s="38"/>
      <c r="H1273" s="38"/>
      <c r="I1273" s="38"/>
      <c r="J1273" s="38"/>
      <c r="K1273" s="38"/>
      <c r="L1273" s="38"/>
      <c r="M1273" s="38"/>
      <c r="N1273" s="38"/>
      <c r="O1273" s="38"/>
    </row>
    <row r="1274" hidden="1">
      <c r="A1274" s="38"/>
      <c r="B1274" s="38"/>
      <c r="C1274" s="39"/>
      <c r="D1274" s="40">
        <f>SUMIFS(Rezepte!F:F,Rezepte!A:A,C1274)</f>
        <v>0</v>
      </c>
      <c r="E1274" s="41">
        <f>SUMIFS(Rezepte!G:G,Rezepte!A:A,C1274)</f>
        <v>0</v>
      </c>
      <c r="F1274" s="42" t="str">
        <f t="shared" si="2"/>
        <v>#DIV/0!</v>
      </c>
      <c r="G1274" s="38"/>
      <c r="H1274" s="38"/>
      <c r="I1274" s="38"/>
      <c r="J1274" s="38"/>
      <c r="K1274" s="38"/>
      <c r="L1274" s="38"/>
      <c r="M1274" s="38"/>
      <c r="N1274" s="38"/>
      <c r="O1274" s="38"/>
    </row>
    <row r="1275" hidden="1">
      <c r="A1275" s="38"/>
      <c r="B1275" s="38"/>
      <c r="C1275" s="39"/>
      <c r="D1275" s="40">
        <f>SUMIFS(Rezepte!F:F,Rezepte!A:A,C1275)</f>
        <v>0</v>
      </c>
      <c r="E1275" s="41">
        <f>SUMIFS(Rezepte!G:G,Rezepte!A:A,C1275)</f>
        <v>0</v>
      </c>
      <c r="F1275" s="42" t="str">
        <f t="shared" si="2"/>
        <v>#DIV/0!</v>
      </c>
      <c r="G1275" s="38"/>
      <c r="H1275" s="38"/>
      <c r="I1275" s="38"/>
      <c r="J1275" s="38"/>
      <c r="K1275" s="38"/>
      <c r="L1275" s="38"/>
      <c r="M1275" s="38"/>
      <c r="N1275" s="38"/>
      <c r="O1275" s="38"/>
    </row>
    <row r="1276" hidden="1">
      <c r="A1276" s="38"/>
      <c r="B1276" s="38"/>
      <c r="C1276" s="39"/>
      <c r="D1276" s="40">
        <f>SUMIFS(Rezepte!F:F,Rezepte!A:A,C1276)</f>
        <v>0</v>
      </c>
      <c r="E1276" s="41">
        <f>SUMIFS(Rezepte!G:G,Rezepte!A:A,C1276)</f>
        <v>0</v>
      </c>
      <c r="F1276" s="42" t="str">
        <f t="shared" si="2"/>
        <v>#DIV/0!</v>
      </c>
      <c r="G1276" s="38"/>
      <c r="H1276" s="38"/>
      <c r="I1276" s="38"/>
      <c r="J1276" s="38"/>
      <c r="K1276" s="38"/>
      <c r="L1276" s="38"/>
      <c r="M1276" s="38"/>
      <c r="N1276" s="38"/>
      <c r="O1276" s="38"/>
    </row>
    <row r="1277" hidden="1">
      <c r="A1277" s="38"/>
      <c r="B1277" s="38"/>
      <c r="C1277" s="39"/>
      <c r="D1277" s="40">
        <f>SUMIFS(Rezepte!F:F,Rezepte!A:A,C1277)</f>
        <v>0</v>
      </c>
      <c r="E1277" s="41">
        <f>SUMIFS(Rezepte!G:G,Rezepte!A:A,C1277)</f>
        <v>0</v>
      </c>
      <c r="F1277" s="42" t="str">
        <f t="shared" si="2"/>
        <v>#DIV/0!</v>
      </c>
      <c r="G1277" s="38"/>
      <c r="H1277" s="38"/>
      <c r="I1277" s="38"/>
      <c r="J1277" s="38"/>
      <c r="K1277" s="38"/>
      <c r="L1277" s="38"/>
      <c r="M1277" s="38"/>
      <c r="N1277" s="38"/>
      <c r="O1277" s="38"/>
    </row>
    <row r="1278" hidden="1">
      <c r="A1278" s="38"/>
      <c r="B1278" s="38"/>
      <c r="C1278" s="39"/>
      <c r="D1278" s="40">
        <f>SUMIFS(Rezepte!F:F,Rezepte!A:A,C1278)</f>
        <v>0</v>
      </c>
      <c r="E1278" s="41">
        <f>SUMIFS(Rezepte!G:G,Rezepte!A:A,C1278)</f>
        <v>0</v>
      </c>
      <c r="F1278" s="42" t="str">
        <f t="shared" si="2"/>
        <v>#DIV/0!</v>
      </c>
      <c r="G1278" s="38"/>
      <c r="H1278" s="38"/>
      <c r="I1278" s="38"/>
      <c r="J1278" s="38"/>
      <c r="K1278" s="38"/>
      <c r="L1278" s="38"/>
      <c r="M1278" s="38"/>
      <c r="N1278" s="38"/>
      <c r="O1278" s="38"/>
    </row>
    <row r="1279" hidden="1">
      <c r="A1279" s="38"/>
      <c r="B1279" s="38"/>
      <c r="C1279" s="39"/>
      <c r="D1279" s="40">
        <f>SUMIFS(Rezepte!F:F,Rezepte!A:A,C1279)</f>
        <v>0</v>
      </c>
      <c r="E1279" s="41">
        <f>SUMIFS(Rezepte!G:G,Rezepte!A:A,C1279)</f>
        <v>0</v>
      </c>
      <c r="F1279" s="42" t="str">
        <f t="shared" si="2"/>
        <v>#DIV/0!</v>
      </c>
      <c r="G1279" s="38"/>
      <c r="H1279" s="38"/>
      <c r="I1279" s="38"/>
      <c r="J1279" s="38"/>
      <c r="K1279" s="38"/>
      <c r="L1279" s="38"/>
      <c r="M1279" s="38"/>
      <c r="N1279" s="38"/>
      <c r="O1279" s="38"/>
    </row>
    <row r="1280" hidden="1">
      <c r="A1280" s="38"/>
      <c r="B1280" s="38"/>
      <c r="C1280" s="39"/>
      <c r="D1280" s="40">
        <f>SUMIFS(Rezepte!F:F,Rezepte!A:A,C1280)</f>
        <v>0</v>
      </c>
      <c r="E1280" s="41">
        <f>SUMIFS(Rezepte!G:G,Rezepte!A:A,C1280)</f>
        <v>0</v>
      </c>
      <c r="F1280" s="42" t="str">
        <f t="shared" si="2"/>
        <v>#DIV/0!</v>
      </c>
      <c r="G1280" s="38"/>
      <c r="H1280" s="38"/>
      <c r="I1280" s="38"/>
      <c r="J1280" s="38"/>
      <c r="K1280" s="38"/>
      <c r="L1280" s="38"/>
      <c r="M1280" s="38"/>
      <c r="N1280" s="38"/>
      <c r="O1280" s="38"/>
    </row>
    <row r="1281" hidden="1">
      <c r="A1281" s="38"/>
      <c r="B1281" s="38"/>
      <c r="C1281" s="39"/>
      <c r="D1281" s="40">
        <f>SUMIFS(Rezepte!F:F,Rezepte!A:A,C1281)</f>
        <v>0</v>
      </c>
      <c r="E1281" s="41">
        <f>SUMIFS(Rezepte!G:G,Rezepte!A:A,C1281)</f>
        <v>0</v>
      </c>
      <c r="F1281" s="42" t="str">
        <f t="shared" si="2"/>
        <v>#DIV/0!</v>
      </c>
      <c r="G1281" s="38"/>
      <c r="H1281" s="38"/>
      <c r="I1281" s="38"/>
      <c r="J1281" s="38"/>
      <c r="K1281" s="38"/>
      <c r="L1281" s="38"/>
      <c r="M1281" s="38"/>
      <c r="N1281" s="38"/>
      <c r="O1281" s="38"/>
    </row>
    <row r="1282" hidden="1">
      <c r="A1282" s="38"/>
      <c r="B1282" s="38"/>
      <c r="C1282" s="39"/>
      <c r="D1282" s="40">
        <f>SUMIFS(Rezepte!F:F,Rezepte!A:A,C1282)</f>
        <v>0</v>
      </c>
      <c r="E1282" s="41">
        <f>SUMIFS(Rezepte!G:G,Rezepte!A:A,C1282)</f>
        <v>0</v>
      </c>
      <c r="F1282" s="42" t="str">
        <f t="shared" si="2"/>
        <v>#DIV/0!</v>
      </c>
      <c r="G1282" s="38"/>
      <c r="H1282" s="38"/>
      <c r="I1282" s="38"/>
      <c r="J1282" s="38"/>
      <c r="K1282" s="38"/>
      <c r="L1282" s="38"/>
      <c r="M1282" s="38"/>
      <c r="N1282" s="38"/>
      <c r="O1282" s="38"/>
    </row>
    <row r="1283" hidden="1">
      <c r="A1283" s="38"/>
      <c r="B1283" s="38"/>
      <c r="C1283" s="39"/>
      <c r="D1283" s="40">
        <f>SUMIFS(Rezepte!F:F,Rezepte!A:A,C1283)</f>
        <v>0</v>
      </c>
      <c r="E1283" s="41">
        <f>SUMIFS(Rezepte!G:G,Rezepte!A:A,C1283)</f>
        <v>0</v>
      </c>
      <c r="F1283" s="42" t="str">
        <f t="shared" si="2"/>
        <v>#DIV/0!</v>
      </c>
      <c r="G1283" s="38"/>
      <c r="H1283" s="38"/>
      <c r="I1283" s="38"/>
      <c r="J1283" s="38"/>
      <c r="K1283" s="38"/>
      <c r="L1283" s="38"/>
      <c r="M1283" s="38"/>
      <c r="N1283" s="38"/>
      <c r="O1283" s="38"/>
    </row>
    <row r="1284" hidden="1">
      <c r="A1284" s="38"/>
      <c r="B1284" s="38"/>
      <c r="C1284" s="39"/>
      <c r="D1284" s="40">
        <f>SUMIFS(Rezepte!F:F,Rezepte!A:A,C1284)</f>
        <v>0</v>
      </c>
      <c r="E1284" s="41">
        <f>SUMIFS(Rezepte!G:G,Rezepte!A:A,C1284)</f>
        <v>0</v>
      </c>
      <c r="F1284" s="42" t="str">
        <f t="shared" si="2"/>
        <v>#DIV/0!</v>
      </c>
      <c r="G1284" s="38"/>
      <c r="H1284" s="38"/>
      <c r="I1284" s="38"/>
      <c r="J1284" s="38"/>
      <c r="K1284" s="38"/>
      <c r="L1284" s="38"/>
      <c r="M1284" s="38"/>
      <c r="N1284" s="38"/>
      <c r="O1284" s="38"/>
    </row>
    <row r="1285" hidden="1">
      <c r="A1285" s="38"/>
      <c r="B1285" s="38"/>
      <c r="C1285" s="39"/>
      <c r="D1285" s="40">
        <f>SUMIFS(Rezepte!F:F,Rezepte!A:A,C1285)</f>
        <v>0</v>
      </c>
      <c r="E1285" s="41">
        <f>SUMIFS(Rezepte!G:G,Rezepte!A:A,C1285)</f>
        <v>0</v>
      </c>
      <c r="F1285" s="42" t="str">
        <f t="shared" si="2"/>
        <v>#DIV/0!</v>
      </c>
      <c r="G1285" s="38"/>
      <c r="H1285" s="38"/>
      <c r="I1285" s="38"/>
      <c r="J1285" s="38"/>
      <c r="K1285" s="38"/>
      <c r="L1285" s="38"/>
      <c r="M1285" s="38"/>
      <c r="N1285" s="38"/>
      <c r="O1285" s="38"/>
    </row>
    <row r="1286" hidden="1">
      <c r="A1286" s="38"/>
      <c r="B1286" s="38"/>
      <c r="C1286" s="39"/>
      <c r="D1286" s="40">
        <f>SUMIFS(Rezepte!F:F,Rezepte!A:A,C1286)</f>
        <v>0</v>
      </c>
      <c r="E1286" s="41">
        <f>SUMIFS(Rezepte!G:G,Rezepte!A:A,C1286)</f>
        <v>0</v>
      </c>
      <c r="F1286" s="42" t="str">
        <f t="shared" si="2"/>
        <v>#DIV/0!</v>
      </c>
      <c r="G1286" s="38"/>
      <c r="H1286" s="38"/>
      <c r="I1286" s="38"/>
      <c r="J1286" s="38"/>
      <c r="K1286" s="38"/>
      <c r="L1286" s="38"/>
      <c r="M1286" s="38"/>
      <c r="N1286" s="38"/>
      <c r="O1286" s="38"/>
    </row>
    <row r="1287" hidden="1">
      <c r="A1287" s="38"/>
      <c r="B1287" s="38"/>
      <c r="C1287" s="39"/>
      <c r="D1287" s="40">
        <f>SUMIFS(Rezepte!F:F,Rezepte!A:A,C1287)</f>
        <v>0</v>
      </c>
      <c r="E1287" s="41">
        <f>SUMIFS(Rezepte!G:G,Rezepte!A:A,C1287)</f>
        <v>0</v>
      </c>
      <c r="F1287" s="42" t="str">
        <f t="shared" si="2"/>
        <v>#DIV/0!</v>
      </c>
      <c r="G1287" s="38"/>
      <c r="H1287" s="38"/>
      <c r="I1287" s="38"/>
      <c r="J1287" s="38"/>
      <c r="K1287" s="38"/>
      <c r="L1287" s="38"/>
      <c r="M1287" s="38"/>
      <c r="N1287" s="38"/>
      <c r="O1287" s="38"/>
    </row>
    <row r="1288" hidden="1">
      <c r="A1288" s="38"/>
      <c r="B1288" s="38"/>
      <c r="C1288" s="39"/>
      <c r="D1288" s="40">
        <f>SUMIFS(Rezepte!F:F,Rezepte!A:A,C1288)</f>
        <v>0</v>
      </c>
      <c r="E1288" s="41">
        <f>SUMIFS(Rezepte!G:G,Rezepte!A:A,C1288)</f>
        <v>0</v>
      </c>
      <c r="F1288" s="42" t="str">
        <f t="shared" si="2"/>
        <v>#DIV/0!</v>
      </c>
      <c r="G1288" s="38"/>
      <c r="H1288" s="38"/>
      <c r="I1288" s="38"/>
      <c r="J1288" s="38"/>
      <c r="K1288" s="38"/>
      <c r="L1288" s="38"/>
      <c r="M1288" s="38"/>
      <c r="N1288" s="38"/>
      <c r="O1288" s="38"/>
    </row>
    <row r="1289" hidden="1">
      <c r="A1289" s="38"/>
      <c r="B1289" s="38"/>
      <c r="C1289" s="39"/>
      <c r="D1289" s="40">
        <f>SUMIFS(Rezepte!F:F,Rezepte!A:A,C1289)</f>
        <v>0</v>
      </c>
      <c r="E1289" s="41">
        <f>SUMIFS(Rezepte!G:G,Rezepte!A:A,C1289)</f>
        <v>0</v>
      </c>
      <c r="F1289" s="42" t="str">
        <f t="shared" si="2"/>
        <v>#DIV/0!</v>
      </c>
      <c r="G1289" s="38"/>
      <c r="H1289" s="38"/>
      <c r="I1289" s="38"/>
      <c r="J1289" s="38"/>
      <c r="K1289" s="38"/>
      <c r="L1289" s="38"/>
      <c r="M1289" s="38"/>
      <c r="N1289" s="38"/>
      <c r="O1289" s="38"/>
    </row>
    <row r="1290" hidden="1">
      <c r="A1290" s="38"/>
      <c r="B1290" s="38"/>
      <c r="C1290" s="39"/>
      <c r="D1290" s="40">
        <f>SUMIFS(Rezepte!F:F,Rezepte!A:A,C1290)</f>
        <v>0</v>
      </c>
      <c r="E1290" s="41">
        <f>SUMIFS(Rezepte!G:G,Rezepte!A:A,C1290)</f>
        <v>0</v>
      </c>
      <c r="F1290" s="42" t="str">
        <f t="shared" si="2"/>
        <v>#DIV/0!</v>
      </c>
      <c r="G1290" s="38"/>
      <c r="H1290" s="38"/>
      <c r="I1290" s="38"/>
      <c r="J1290" s="38"/>
      <c r="K1290" s="38"/>
      <c r="L1290" s="38"/>
      <c r="M1290" s="38"/>
      <c r="N1290" s="38"/>
      <c r="O1290" s="38"/>
    </row>
    <row r="1291" hidden="1">
      <c r="A1291" s="38"/>
      <c r="B1291" s="38"/>
      <c r="C1291" s="39"/>
      <c r="D1291" s="40">
        <f>SUMIFS(Rezepte!F:F,Rezepte!A:A,C1291)</f>
        <v>0</v>
      </c>
      <c r="E1291" s="41">
        <f>SUMIFS(Rezepte!G:G,Rezepte!A:A,C1291)</f>
        <v>0</v>
      </c>
      <c r="F1291" s="42" t="str">
        <f t="shared" si="2"/>
        <v>#DIV/0!</v>
      </c>
      <c r="G1291" s="38"/>
      <c r="H1291" s="38"/>
      <c r="I1291" s="38"/>
      <c r="J1291" s="38"/>
      <c r="K1291" s="38"/>
      <c r="L1291" s="38"/>
      <c r="M1291" s="38"/>
      <c r="N1291" s="38"/>
      <c r="O1291" s="38"/>
    </row>
    <row r="1292" hidden="1">
      <c r="A1292" s="38"/>
      <c r="B1292" s="38"/>
      <c r="C1292" s="39"/>
      <c r="D1292" s="40">
        <f>SUMIFS(Rezepte!F:F,Rezepte!A:A,C1292)</f>
        <v>0</v>
      </c>
      <c r="E1292" s="41">
        <f>SUMIFS(Rezepte!G:G,Rezepte!A:A,C1292)</f>
        <v>0</v>
      </c>
      <c r="F1292" s="42" t="str">
        <f t="shared" si="2"/>
        <v>#DIV/0!</v>
      </c>
      <c r="G1292" s="38"/>
      <c r="H1292" s="38"/>
      <c r="I1292" s="38"/>
      <c r="J1292" s="38"/>
      <c r="K1292" s="38"/>
      <c r="L1292" s="38"/>
      <c r="M1292" s="38"/>
      <c r="N1292" s="38"/>
      <c r="O1292" s="38"/>
    </row>
    <row r="1293" hidden="1">
      <c r="A1293" s="38"/>
      <c r="B1293" s="38"/>
      <c r="C1293" s="39"/>
      <c r="D1293" s="40">
        <f>SUMIFS(Rezepte!F:F,Rezepte!A:A,C1293)</f>
        <v>0</v>
      </c>
      <c r="E1293" s="41">
        <f>SUMIFS(Rezepte!G:G,Rezepte!A:A,C1293)</f>
        <v>0</v>
      </c>
      <c r="F1293" s="42" t="str">
        <f t="shared" si="2"/>
        <v>#DIV/0!</v>
      </c>
      <c r="G1293" s="38"/>
      <c r="H1293" s="38"/>
      <c r="I1293" s="38"/>
      <c r="J1293" s="38"/>
      <c r="K1293" s="38"/>
      <c r="L1293" s="38"/>
      <c r="M1293" s="38"/>
      <c r="N1293" s="38"/>
      <c r="O1293" s="38"/>
    </row>
    <row r="1294" hidden="1">
      <c r="A1294" s="38"/>
      <c r="B1294" s="38"/>
      <c r="C1294" s="39"/>
      <c r="D1294" s="40">
        <f>SUMIFS(Rezepte!F:F,Rezepte!A:A,C1294)</f>
        <v>0</v>
      </c>
      <c r="E1294" s="41">
        <f>SUMIFS(Rezepte!G:G,Rezepte!A:A,C1294)</f>
        <v>0</v>
      </c>
      <c r="F1294" s="42" t="str">
        <f t="shared" si="2"/>
        <v>#DIV/0!</v>
      </c>
      <c r="G1294" s="38"/>
      <c r="H1294" s="38"/>
      <c r="I1294" s="38"/>
      <c r="J1294" s="38"/>
      <c r="K1294" s="38"/>
      <c r="L1294" s="38"/>
      <c r="M1294" s="38"/>
      <c r="N1294" s="38"/>
      <c r="O1294" s="38"/>
    </row>
    <row r="1295" hidden="1">
      <c r="A1295" s="38"/>
      <c r="B1295" s="38"/>
      <c r="C1295" s="39"/>
      <c r="D1295" s="40">
        <f>SUMIFS(Rezepte!F:F,Rezepte!A:A,C1295)</f>
        <v>0</v>
      </c>
      <c r="E1295" s="41">
        <f>SUMIFS(Rezepte!G:G,Rezepte!A:A,C1295)</f>
        <v>0</v>
      </c>
      <c r="F1295" s="42" t="str">
        <f t="shared" si="2"/>
        <v>#DIV/0!</v>
      </c>
      <c r="G1295" s="38"/>
      <c r="H1295" s="38"/>
      <c r="I1295" s="38"/>
      <c r="J1295" s="38"/>
      <c r="K1295" s="38"/>
      <c r="L1295" s="38"/>
      <c r="M1295" s="38"/>
      <c r="N1295" s="38"/>
      <c r="O1295" s="38"/>
    </row>
    <row r="1296" hidden="1">
      <c r="A1296" s="38"/>
      <c r="B1296" s="38"/>
      <c r="C1296" s="39"/>
      <c r="D1296" s="40">
        <f>SUMIFS(Rezepte!F:F,Rezepte!A:A,C1296)</f>
        <v>0</v>
      </c>
      <c r="E1296" s="41">
        <f>SUMIFS(Rezepte!G:G,Rezepte!A:A,C1296)</f>
        <v>0</v>
      </c>
      <c r="F1296" s="42" t="str">
        <f t="shared" si="2"/>
        <v>#DIV/0!</v>
      </c>
      <c r="G1296" s="38"/>
      <c r="H1296" s="38"/>
      <c r="I1296" s="38"/>
      <c r="J1296" s="38"/>
      <c r="K1296" s="38"/>
      <c r="L1296" s="38"/>
      <c r="M1296" s="38"/>
      <c r="N1296" s="38"/>
      <c r="O1296" s="38"/>
    </row>
    <row r="1297" hidden="1">
      <c r="A1297" s="38"/>
      <c r="B1297" s="38"/>
      <c r="C1297" s="39"/>
      <c r="D1297" s="40">
        <f>SUMIFS(Rezepte!F:F,Rezepte!A:A,C1297)</f>
        <v>0</v>
      </c>
      <c r="E1297" s="41">
        <f>SUMIFS(Rezepte!G:G,Rezepte!A:A,C1297)</f>
        <v>0</v>
      </c>
      <c r="F1297" s="42" t="str">
        <f t="shared" si="2"/>
        <v>#DIV/0!</v>
      </c>
      <c r="G1297" s="38"/>
      <c r="H1297" s="38"/>
      <c r="I1297" s="38"/>
      <c r="J1297" s="38"/>
      <c r="K1297" s="38"/>
      <c r="L1297" s="38"/>
      <c r="M1297" s="38"/>
      <c r="N1297" s="38"/>
      <c r="O1297" s="38"/>
    </row>
    <row r="1298" hidden="1">
      <c r="A1298" s="38"/>
      <c r="B1298" s="38"/>
      <c r="C1298" s="39"/>
      <c r="D1298" s="40">
        <f>SUMIFS(Rezepte!F:F,Rezepte!A:A,C1298)</f>
        <v>0</v>
      </c>
      <c r="E1298" s="41">
        <f>SUMIFS(Rezepte!G:G,Rezepte!A:A,C1298)</f>
        <v>0</v>
      </c>
      <c r="F1298" s="42" t="str">
        <f t="shared" si="2"/>
        <v>#DIV/0!</v>
      </c>
      <c r="G1298" s="38"/>
      <c r="H1298" s="38"/>
      <c r="I1298" s="38"/>
      <c r="J1298" s="38"/>
      <c r="K1298" s="38"/>
      <c r="L1298" s="38"/>
      <c r="M1298" s="38"/>
      <c r="N1298" s="38"/>
      <c r="O1298" s="38"/>
    </row>
    <row r="1299" hidden="1">
      <c r="A1299" s="38"/>
      <c r="B1299" s="38"/>
      <c r="C1299" s="39"/>
      <c r="D1299" s="40">
        <f>SUMIFS(Rezepte!F:F,Rezepte!A:A,C1299)</f>
        <v>0</v>
      </c>
      <c r="E1299" s="41">
        <f>SUMIFS(Rezepte!G:G,Rezepte!A:A,C1299)</f>
        <v>0</v>
      </c>
      <c r="F1299" s="42" t="str">
        <f t="shared" si="2"/>
        <v>#DIV/0!</v>
      </c>
      <c r="G1299" s="38"/>
      <c r="H1299" s="38"/>
      <c r="I1299" s="38"/>
      <c r="J1299" s="38"/>
      <c r="K1299" s="38"/>
      <c r="L1299" s="38"/>
      <c r="M1299" s="38"/>
      <c r="N1299" s="38"/>
      <c r="O1299" s="38"/>
    </row>
    <row r="1300" hidden="1">
      <c r="A1300" s="38"/>
      <c r="B1300" s="38"/>
      <c r="C1300" s="39"/>
      <c r="D1300" s="40">
        <f>SUMIFS(Rezepte!F:F,Rezepte!A:A,C1300)</f>
        <v>0</v>
      </c>
      <c r="E1300" s="41">
        <f>SUMIFS(Rezepte!G:G,Rezepte!A:A,C1300)</f>
        <v>0</v>
      </c>
      <c r="F1300" s="42" t="str">
        <f t="shared" si="2"/>
        <v>#DIV/0!</v>
      </c>
      <c r="G1300" s="38"/>
      <c r="H1300" s="38"/>
      <c r="I1300" s="38"/>
      <c r="J1300" s="38"/>
      <c r="K1300" s="38"/>
      <c r="L1300" s="38"/>
      <c r="M1300" s="38"/>
      <c r="N1300" s="38"/>
      <c r="O1300" s="38"/>
    </row>
    <row r="1301" hidden="1">
      <c r="A1301" s="38"/>
      <c r="B1301" s="38"/>
      <c r="C1301" s="39"/>
      <c r="D1301" s="40">
        <f>SUMIFS(Rezepte!F:F,Rezepte!A:A,C1301)</f>
        <v>0</v>
      </c>
      <c r="E1301" s="41">
        <f>SUMIFS(Rezepte!G:G,Rezepte!A:A,C1301)</f>
        <v>0</v>
      </c>
      <c r="F1301" s="42" t="str">
        <f t="shared" si="2"/>
        <v>#DIV/0!</v>
      </c>
      <c r="G1301" s="38"/>
      <c r="H1301" s="38"/>
      <c r="I1301" s="38"/>
      <c r="J1301" s="38"/>
      <c r="K1301" s="38"/>
      <c r="L1301" s="38"/>
      <c r="M1301" s="38"/>
      <c r="N1301" s="38"/>
      <c r="O1301" s="38"/>
    </row>
    <row r="1302" hidden="1">
      <c r="A1302" s="38"/>
      <c r="B1302" s="38"/>
      <c r="C1302" s="39"/>
      <c r="D1302" s="40">
        <f>SUMIFS(Rezepte!F:F,Rezepte!A:A,C1302)</f>
        <v>0</v>
      </c>
      <c r="E1302" s="41">
        <f>SUMIFS(Rezepte!G:G,Rezepte!A:A,C1302)</f>
        <v>0</v>
      </c>
      <c r="F1302" s="42" t="str">
        <f t="shared" si="2"/>
        <v>#DIV/0!</v>
      </c>
      <c r="G1302" s="38"/>
      <c r="H1302" s="38"/>
      <c r="I1302" s="38"/>
      <c r="J1302" s="38"/>
      <c r="K1302" s="38"/>
      <c r="L1302" s="38"/>
      <c r="M1302" s="38"/>
      <c r="N1302" s="38"/>
      <c r="O1302" s="38"/>
    </row>
    <row r="1303" hidden="1">
      <c r="A1303" s="38"/>
      <c r="B1303" s="38"/>
      <c r="C1303" s="39"/>
      <c r="D1303" s="40">
        <f>SUMIFS(Rezepte!F:F,Rezepte!A:A,C1303)</f>
        <v>0</v>
      </c>
      <c r="E1303" s="41">
        <f>SUMIFS(Rezepte!G:G,Rezepte!A:A,C1303)</f>
        <v>0</v>
      </c>
      <c r="F1303" s="42" t="str">
        <f t="shared" si="2"/>
        <v>#DIV/0!</v>
      </c>
      <c r="G1303" s="38"/>
      <c r="H1303" s="38"/>
      <c r="I1303" s="38"/>
      <c r="J1303" s="38"/>
      <c r="K1303" s="38"/>
      <c r="L1303" s="38"/>
      <c r="M1303" s="38"/>
      <c r="N1303" s="38"/>
      <c r="O1303" s="38"/>
    </row>
    <row r="1304" hidden="1">
      <c r="A1304" s="38"/>
      <c r="B1304" s="38"/>
      <c r="C1304" s="39"/>
      <c r="D1304" s="40">
        <f>SUMIFS(Rezepte!F:F,Rezepte!A:A,C1304)</f>
        <v>0</v>
      </c>
      <c r="E1304" s="41">
        <f>SUMIFS(Rezepte!G:G,Rezepte!A:A,C1304)</f>
        <v>0</v>
      </c>
      <c r="F1304" s="42" t="str">
        <f t="shared" si="2"/>
        <v>#DIV/0!</v>
      </c>
      <c r="G1304" s="38"/>
      <c r="H1304" s="38"/>
      <c r="I1304" s="38"/>
      <c r="J1304" s="38"/>
      <c r="K1304" s="38"/>
      <c r="L1304" s="38"/>
      <c r="M1304" s="38"/>
      <c r="N1304" s="38"/>
      <c r="O1304" s="38"/>
    </row>
    <row r="1305" hidden="1">
      <c r="A1305" s="38"/>
      <c r="B1305" s="38"/>
      <c r="C1305" s="39"/>
      <c r="D1305" s="40">
        <f>SUMIFS(Rezepte!F:F,Rezepte!A:A,C1305)</f>
        <v>0</v>
      </c>
      <c r="E1305" s="41">
        <f>SUMIFS(Rezepte!G:G,Rezepte!A:A,C1305)</f>
        <v>0</v>
      </c>
      <c r="F1305" s="42" t="str">
        <f t="shared" si="2"/>
        <v>#DIV/0!</v>
      </c>
      <c r="G1305" s="38"/>
      <c r="H1305" s="38"/>
      <c r="I1305" s="38"/>
      <c r="J1305" s="38"/>
      <c r="K1305" s="38"/>
      <c r="L1305" s="38"/>
      <c r="M1305" s="38"/>
      <c r="N1305" s="38"/>
      <c r="O1305" s="38"/>
    </row>
    <row r="1306" hidden="1">
      <c r="A1306" s="38"/>
      <c r="B1306" s="38"/>
      <c r="C1306" s="39"/>
      <c r="D1306" s="40">
        <f>SUMIFS(Rezepte!F:F,Rezepte!A:A,C1306)</f>
        <v>0</v>
      </c>
      <c r="E1306" s="41">
        <f>SUMIFS(Rezepte!G:G,Rezepte!A:A,C1306)</f>
        <v>0</v>
      </c>
      <c r="F1306" s="42" t="str">
        <f t="shared" si="2"/>
        <v>#DIV/0!</v>
      </c>
      <c r="G1306" s="38"/>
      <c r="H1306" s="38"/>
      <c r="I1306" s="38"/>
      <c r="J1306" s="38"/>
      <c r="K1306" s="38"/>
      <c r="L1306" s="38"/>
      <c r="M1306" s="38"/>
      <c r="N1306" s="38"/>
      <c r="O1306" s="38"/>
    </row>
    <row r="1307" hidden="1">
      <c r="A1307" s="38"/>
      <c r="B1307" s="38"/>
      <c r="C1307" s="39"/>
      <c r="D1307" s="40">
        <f>SUMIFS(Rezepte!F:F,Rezepte!A:A,C1307)</f>
        <v>0</v>
      </c>
      <c r="E1307" s="41">
        <f>SUMIFS(Rezepte!G:G,Rezepte!A:A,C1307)</f>
        <v>0</v>
      </c>
      <c r="F1307" s="42" t="str">
        <f t="shared" si="2"/>
        <v>#DIV/0!</v>
      </c>
      <c r="G1307" s="38"/>
      <c r="H1307" s="38"/>
      <c r="I1307" s="38"/>
      <c r="J1307" s="38"/>
      <c r="K1307" s="38"/>
      <c r="L1307" s="38"/>
      <c r="M1307" s="38"/>
      <c r="N1307" s="38"/>
      <c r="O1307" s="38"/>
    </row>
    <row r="1308" hidden="1">
      <c r="A1308" s="38"/>
      <c r="B1308" s="38"/>
      <c r="C1308" s="39"/>
      <c r="D1308" s="40">
        <f>SUMIFS(Rezepte!F:F,Rezepte!A:A,C1308)</f>
        <v>0</v>
      </c>
      <c r="E1308" s="41">
        <f>SUMIFS(Rezepte!G:G,Rezepte!A:A,C1308)</f>
        <v>0</v>
      </c>
      <c r="F1308" s="42" t="str">
        <f t="shared" si="2"/>
        <v>#DIV/0!</v>
      </c>
      <c r="G1308" s="38"/>
      <c r="H1308" s="38"/>
      <c r="I1308" s="38"/>
      <c r="J1308" s="38"/>
      <c r="K1308" s="38"/>
      <c r="L1308" s="38"/>
      <c r="M1308" s="38"/>
      <c r="N1308" s="38"/>
      <c r="O1308" s="38"/>
    </row>
  </sheetData>
  <autoFilter ref="$A$1:$F$244">
    <sortState ref="A1:F244">
      <sortCondition ref="C1:C244"/>
      <sortCondition ref="B1:B244"/>
      <sortCondition ref="A1:A244"/>
      <sortCondition descending="1" ref="F1:F244"/>
    </sortState>
  </autoFilter>
  <hyperlinks>
    <hyperlink r:id="rId1" ref="A131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1.63"/>
    <col customWidth="1" min="2" max="2" width="30.5"/>
    <col customWidth="1" min="3" max="3" width="9.88"/>
    <col customWidth="1" min="4" max="4" width="8.75"/>
    <col customWidth="1" min="5" max="5" width="10.0"/>
  </cols>
  <sheetData>
    <row r="1">
      <c r="A1" s="55" t="s">
        <v>0</v>
      </c>
      <c r="B1" s="55" t="s">
        <v>533</v>
      </c>
      <c r="C1" s="55" t="s">
        <v>534</v>
      </c>
      <c r="D1" s="55" t="s">
        <v>535</v>
      </c>
      <c r="E1" s="56" t="s">
        <v>536</v>
      </c>
      <c r="F1" s="57" t="s">
        <v>537</v>
      </c>
      <c r="G1" s="58" t="s">
        <v>538</v>
      </c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</row>
    <row r="2">
      <c r="A2" s="60" t="s">
        <v>18</v>
      </c>
      <c r="B2" s="61" t="s">
        <v>313</v>
      </c>
      <c r="C2" s="62">
        <v>80.0</v>
      </c>
      <c r="D2" s="63" t="s">
        <v>539</v>
      </c>
      <c r="E2" s="64">
        <v>0.0</v>
      </c>
      <c r="F2" s="65">
        <f t="shared" ref="F2:F1199" si="1">(1-E2)*C2</f>
        <v>80</v>
      </c>
      <c r="G2" s="66">
        <f>IF(B2&lt;&gt;"",VLOOKUP(B2,Zutaten!$C:$F,4,FALSE),"")*C2</f>
        <v>0.5</v>
      </c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</row>
    <row r="3">
      <c r="A3" s="60" t="s">
        <v>10</v>
      </c>
      <c r="B3" s="61" t="s">
        <v>169</v>
      </c>
      <c r="C3" s="62">
        <v>120.0</v>
      </c>
      <c r="D3" s="63" t="s">
        <v>539</v>
      </c>
      <c r="E3" s="64">
        <v>0.0</v>
      </c>
      <c r="F3" s="65">
        <f t="shared" si="1"/>
        <v>120</v>
      </c>
      <c r="G3" s="66">
        <f>IF(B3&lt;&gt;"",VLOOKUP(B3,Zutaten!$C:$F,4,FALSE),"")*C3</f>
        <v>1.777089928</v>
      </c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</row>
    <row r="4">
      <c r="A4" s="60" t="s">
        <v>10</v>
      </c>
      <c r="B4" s="61" t="s">
        <v>151</v>
      </c>
      <c r="C4" s="62">
        <v>40.0</v>
      </c>
      <c r="D4" s="63" t="s">
        <v>539</v>
      </c>
      <c r="E4" s="64">
        <v>0.0</v>
      </c>
      <c r="F4" s="65">
        <f t="shared" si="1"/>
        <v>40</v>
      </c>
      <c r="G4" s="66">
        <f>IF(B4&lt;&gt;"",VLOOKUP(B4,Zutaten!$C:$F,4,FALSE),"")*C4</f>
        <v>0.392294728</v>
      </c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</row>
    <row r="5">
      <c r="A5" s="60" t="s">
        <v>10</v>
      </c>
      <c r="B5" s="61" t="s">
        <v>519</v>
      </c>
      <c r="C5" s="62">
        <v>20.0</v>
      </c>
      <c r="D5" s="63" t="s">
        <v>539</v>
      </c>
      <c r="E5" s="64">
        <v>0.0</v>
      </c>
      <c r="F5" s="65">
        <f t="shared" si="1"/>
        <v>20</v>
      </c>
      <c r="G5" s="66">
        <f>IF(B5&lt;&gt;"",VLOOKUP(B5,Zutaten!$C:$F,4,FALSE),"")*C5</f>
        <v>0.4072</v>
      </c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</row>
    <row r="6">
      <c r="A6" s="60" t="s">
        <v>10</v>
      </c>
      <c r="B6" s="61" t="s">
        <v>133</v>
      </c>
      <c r="C6" s="62">
        <v>44.0</v>
      </c>
      <c r="D6" s="63" t="s">
        <v>539</v>
      </c>
      <c r="E6" s="64">
        <v>0.0</v>
      </c>
      <c r="F6" s="65">
        <f t="shared" si="1"/>
        <v>44</v>
      </c>
      <c r="G6" s="66">
        <f>IF(B6&lt;&gt;"",VLOOKUP(B6,Zutaten!$C:$F,4,FALSE),"")*C6</f>
        <v>0.1249105905</v>
      </c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</row>
    <row r="7">
      <c r="A7" s="60" t="s">
        <v>10</v>
      </c>
      <c r="B7" s="61" t="s">
        <v>411</v>
      </c>
      <c r="C7" s="62">
        <v>10.0</v>
      </c>
      <c r="D7" s="63" t="s">
        <v>539</v>
      </c>
      <c r="E7" s="64">
        <v>0.0</v>
      </c>
      <c r="F7" s="65">
        <f t="shared" si="1"/>
        <v>10</v>
      </c>
      <c r="G7" s="66">
        <f>IF(B7&lt;&gt;"",VLOOKUP(B7,Zutaten!$C:$F,4,FALSE),"")*C7</f>
        <v>0.26</v>
      </c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</row>
    <row r="8">
      <c r="A8" s="18" t="s">
        <v>13</v>
      </c>
      <c r="B8" s="18" t="s">
        <v>458</v>
      </c>
      <c r="C8" s="68">
        <f>2*170</f>
        <v>340</v>
      </c>
      <c r="D8" s="63" t="s">
        <v>539</v>
      </c>
      <c r="E8" s="64">
        <v>0.0</v>
      </c>
      <c r="F8" s="65">
        <f t="shared" si="1"/>
        <v>340</v>
      </c>
      <c r="G8" s="66">
        <f>IF(B8&lt;&gt;"",VLOOKUP(B8,Zutaten!$C:$F,4,FALSE),"")*C8</f>
        <v>2.8866</v>
      </c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</row>
    <row r="9">
      <c r="A9" s="18" t="s">
        <v>13</v>
      </c>
      <c r="B9" s="18" t="s">
        <v>313</v>
      </c>
      <c r="C9" s="68">
        <v>80.0</v>
      </c>
      <c r="D9" s="63" t="s">
        <v>539</v>
      </c>
      <c r="E9" s="64">
        <v>0.0</v>
      </c>
      <c r="F9" s="65">
        <f t="shared" si="1"/>
        <v>80</v>
      </c>
      <c r="G9" s="66">
        <f>IF(B9&lt;&gt;"",VLOOKUP(B9,Zutaten!$C:$F,4,FALSE),"")*C9</f>
        <v>0.5</v>
      </c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</row>
    <row r="10">
      <c r="A10" s="18" t="s">
        <v>13</v>
      </c>
      <c r="B10" s="18" t="s">
        <v>502</v>
      </c>
      <c r="C10" s="68">
        <v>60.0</v>
      </c>
      <c r="D10" s="63" t="s">
        <v>539</v>
      </c>
      <c r="E10" s="64">
        <v>0.0</v>
      </c>
      <c r="F10" s="65">
        <f t="shared" si="1"/>
        <v>60</v>
      </c>
      <c r="G10" s="66">
        <f>IF(B10&lt;&gt;"",VLOOKUP(B10,Zutaten!$C:$F,4,FALSE),"")*C10</f>
        <v>0.16578</v>
      </c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</row>
    <row r="11">
      <c r="A11" s="18" t="s">
        <v>13</v>
      </c>
      <c r="B11" s="18" t="s">
        <v>359</v>
      </c>
      <c r="C11" s="68">
        <v>20.0</v>
      </c>
      <c r="D11" s="63" t="s">
        <v>539</v>
      </c>
      <c r="E11" s="64">
        <v>0.0</v>
      </c>
      <c r="F11" s="65">
        <f t="shared" si="1"/>
        <v>20</v>
      </c>
      <c r="G11" s="66">
        <f>IF(B11&lt;&gt;"",VLOOKUP(B11,Zutaten!$C:$F,4,FALSE),"")*C11</f>
        <v>0.04160714286</v>
      </c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</row>
    <row r="12">
      <c r="A12" s="18" t="s">
        <v>13</v>
      </c>
      <c r="B12" s="18" t="s">
        <v>380</v>
      </c>
      <c r="C12" s="68">
        <v>20.0</v>
      </c>
      <c r="D12" s="63" t="s">
        <v>539</v>
      </c>
      <c r="E12" s="64">
        <v>0.0</v>
      </c>
      <c r="F12" s="65">
        <f t="shared" si="1"/>
        <v>20</v>
      </c>
      <c r="G12" s="66">
        <f>IF(B12&lt;&gt;"",VLOOKUP(B12,Zutaten!$C:$F,4,FALSE),"")*C12</f>
        <v>0.08282352941</v>
      </c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</row>
    <row r="13">
      <c r="A13" s="18" t="s">
        <v>13</v>
      </c>
      <c r="B13" s="18" t="s">
        <v>336</v>
      </c>
      <c r="C13" s="68">
        <v>20.0</v>
      </c>
      <c r="D13" s="63" t="s">
        <v>539</v>
      </c>
      <c r="E13" s="64">
        <v>0.0</v>
      </c>
      <c r="F13" s="65">
        <f t="shared" si="1"/>
        <v>20</v>
      </c>
      <c r="G13" s="66">
        <f>IF(B13&lt;&gt;"",VLOOKUP(B13,Zutaten!$C:$F,4,FALSE),"")*C13</f>
        <v>0.1278</v>
      </c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</row>
    <row r="14">
      <c r="A14" s="18" t="s">
        <v>13</v>
      </c>
      <c r="B14" s="18" t="s">
        <v>302</v>
      </c>
      <c r="C14" s="68">
        <v>50.0</v>
      </c>
      <c r="D14" s="63" t="s">
        <v>539</v>
      </c>
      <c r="E14" s="64">
        <v>0.0</v>
      </c>
      <c r="F14" s="65">
        <f t="shared" si="1"/>
        <v>50</v>
      </c>
      <c r="G14" s="66">
        <f>IF(B14&lt;&gt;"",VLOOKUP(B14,Zutaten!$C:$F,4,FALSE),"")*C14</f>
        <v>0.557</v>
      </c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</row>
    <row r="15">
      <c r="A15" s="18" t="s">
        <v>13</v>
      </c>
      <c r="B15" s="18" t="s">
        <v>25</v>
      </c>
      <c r="C15" s="68">
        <v>70.0</v>
      </c>
      <c r="D15" s="63" t="s">
        <v>539</v>
      </c>
      <c r="E15" s="64">
        <v>0.0</v>
      </c>
      <c r="F15" s="65">
        <f t="shared" si="1"/>
        <v>70</v>
      </c>
      <c r="G15" s="66">
        <f>IF(B15&lt;&gt;"",VLOOKUP(B15,Zutaten!$C:$F,4,FALSE),"")*C15</f>
        <v>0.5215005199</v>
      </c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</row>
    <row r="16">
      <c r="A16" s="18" t="s">
        <v>13</v>
      </c>
      <c r="B16" s="18" t="s">
        <v>202</v>
      </c>
      <c r="C16" s="68">
        <v>20.0</v>
      </c>
      <c r="D16" s="63" t="s">
        <v>539</v>
      </c>
      <c r="E16" s="64">
        <v>0.0</v>
      </c>
      <c r="F16" s="65">
        <f t="shared" si="1"/>
        <v>20</v>
      </c>
      <c r="G16" s="66">
        <f>IF(B16&lt;&gt;"",VLOOKUP(B16,Zutaten!$C:$F,4,FALSE),"")*C16</f>
        <v>0.05888280828</v>
      </c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</row>
    <row r="17">
      <c r="A17" s="18" t="s">
        <v>13</v>
      </c>
      <c r="B17" s="18" t="s">
        <v>123</v>
      </c>
      <c r="C17" s="68">
        <v>120.0</v>
      </c>
      <c r="D17" s="63" t="s">
        <v>539</v>
      </c>
      <c r="E17" s="64">
        <v>0.0</v>
      </c>
      <c r="F17" s="65">
        <f t="shared" si="1"/>
        <v>120</v>
      </c>
      <c r="G17" s="66">
        <f>IF(B17&lt;&gt;"",VLOOKUP(B17,Zutaten!$C:$F,4,FALSE),"")*C17</f>
        <v>0.680909902</v>
      </c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</row>
    <row r="18">
      <c r="A18" s="18" t="s">
        <v>17</v>
      </c>
      <c r="B18" s="18" t="s">
        <v>458</v>
      </c>
      <c r="C18" s="68">
        <v>170.0</v>
      </c>
      <c r="D18" s="63" t="s">
        <v>539</v>
      </c>
      <c r="E18" s="64">
        <v>0.0</v>
      </c>
      <c r="F18" s="65">
        <f t="shared" si="1"/>
        <v>170</v>
      </c>
      <c r="G18" s="66">
        <f>IF(B18&lt;&gt;"",VLOOKUP(B18,Zutaten!$C:$F,4,FALSE),"")*C18</f>
        <v>1.4433</v>
      </c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</row>
    <row r="19">
      <c r="A19" s="18" t="s">
        <v>17</v>
      </c>
      <c r="B19" s="18" t="s">
        <v>313</v>
      </c>
      <c r="C19" s="68">
        <v>80.0</v>
      </c>
      <c r="D19" s="63" t="s">
        <v>539</v>
      </c>
      <c r="E19" s="64">
        <v>0.0</v>
      </c>
      <c r="F19" s="65">
        <f t="shared" si="1"/>
        <v>80</v>
      </c>
      <c r="G19" s="66">
        <f>IF(B19&lt;&gt;"",VLOOKUP(B19,Zutaten!$C:$F,4,FALSE),"")*C19</f>
        <v>0.5</v>
      </c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</row>
    <row r="20">
      <c r="A20" s="18" t="s">
        <v>17</v>
      </c>
      <c r="B20" s="18" t="s">
        <v>502</v>
      </c>
      <c r="C20" s="68">
        <v>60.0</v>
      </c>
      <c r="D20" s="63" t="s">
        <v>539</v>
      </c>
      <c r="E20" s="64">
        <v>0.0</v>
      </c>
      <c r="F20" s="65">
        <f t="shared" si="1"/>
        <v>60</v>
      </c>
      <c r="G20" s="66">
        <f>IF(B20&lt;&gt;"",VLOOKUP(B20,Zutaten!$C:$F,4,FALSE),"")*C20</f>
        <v>0.16578</v>
      </c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</row>
    <row r="21">
      <c r="A21" s="18" t="s">
        <v>17</v>
      </c>
      <c r="B21" s="18" t="s">
        <v>359</v>
      </c>
      <c r="C21" s="68">
        <v>20.0</v>
      </c>
      <c r="D21" s="63" t="s">
        <v>539</v>
      </c>
      <c r="E21" s="64">
        <v>0.0</v>
      </c>
      <c r="F21" s="65">
        <f t="shared" si="1"/>
        <v>20</v>
      </c>
      <c r="G21" s="66">
        <f>IF(B21&lt;&gt;"",VLOOKUP(B21,Zutaten!$C:$F,4,FALSE),"")*C21</f>
        <v>0.04160714286</v>
      </c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</row>
    <row r="22">
      <c r="A22" s="18" t="s">
        <v>17</v>
      </c>
      <c r="B22" s="18" t="s">
        <v>380</v>
      </c>
      <c r="C22" s="68">
        <v>20.0</v>
      </c>
      <c r="D22" s="63" t="s">
        <v>539</v>
      </c>
      <c r="E22" s="64">
        <v>0.0</v>
      </c>
      <c r="F22" s="65">
        <f t="shared" si="1"/>
        <v>20</v>
      </c>
      <c r="G22" s="66">
        <f>IF(B22&lt;&gt;"",VLOOKUP(B22,Zutaten!$C:$F,4,FALSE),"")*C22</f>
        <v>0.08282352941</v>
      </c>
      <c r="H22" s="67"/>
      <c r="AC22" s="67"/>
    </row>
    <row r="23">
      <c r="A23" s="18" t="s">
        <v>17</v>
      </c>
      <c r="B23" s="18" t="s">
        <v>336</v>
      </c>
      <c r="C23" s="68">
        <v>20.0</v>
      </c>
      <c r="D23" s="63" t="s">
        <v>539</v>
      </c>
      <c r="E23" s="64">
        <v>0.0</v>
      </c>
      <c r="F23" s="65">
        <f t="shared" si="1"/>
        <v>20</v>
      </c>
      <c r="G23" s="66">
        <f>IF(B23&lt;&gt;"",VLOOKUP(B23,Zutaten!$C:$F,4,FALSE),"")*C23</f>
        <v>0.1278</v>
      </c>
      <c r="H23" s="67"/>
      <c r="AC23" s="67"/>
    </row>
    <row r="24">
      <c r="A24" s="18" t="s">
        <v>17</v>
      </c>
      <c r="B24" s="18" t="s">
        <v>302</v>
      </c>
      <c r="C24" s="68">
        <v>35.0</v>
      </c>
      <c r="D24" s="63" t="s">
        <v>539</v>
      </c>
      <c r="E24" s="64">
        <v>0.0</v>
      </c>
      <c r="F24" s="65">
        <f t="shared" si="1"/>
        <v>35</v>
      </c>
      <c r="G24" s="66">
        <f>IF(B24&lt;&gt;"",VLOOKUP(B24,Zutaten!$C:$F,4,FALSE),"")*C24</f>
        <v>0.3899</v>
      </c>
      <c r="H24" s="67"/>
      <c r="AC24" s="67"/>
    </row>
    <row r="25">
      <c r="A25" s="18" t="s">
        <v>17</v>
      </c>
      <c r="B25" s="18" t="s">
        <v>25</v>
      </c>
      <c r="C25" s="68">
        <v>70.0</v>
      </c>
      <c r="D25" s="63" t="s">
        <v>539</v>
      </c>
      <c r="E25" s="64">
        <v>0.0</v>
      </c>
      <c r="F25" s="65">
        <f t="shared" si="1"/>
        <v>70</v>
      </c>
      <c r="G25" s="66">
        <f>IF(B25&lt;&gt;"",VLOOKUP(B25,Zutaten!$C:$F,4,FALSE),"")*C25</f>
        <v>0.5215005199</v>
      </c>
      <c r="H25" s="67"/>
      <c r="AC25" s="67"/>
    </row>
    <row r="26">
      <c r="A26" s="18" t="s">
        <v>17</v>
      </c>
      <c r="B26" s="18" t="s">
        <v>202</v>
      </c>
      <c r="C26" s="68">
        <v>20.0</v>
      </c>
      <c r="D26" s="63" t="s">
        <v>539</v>
      </c>
      <c r="E26" s="64">
        <v>0.0</v>
      </c>
      <c r="F26" s="65">
        <f t="shared" si="1"/>
        <v>20</v>
      </c>
      <c r="G26" s="66">
        <f>IF(B26&lt;&gt;"",VLOOKUP(B26,Zutaten!$C:$F,4,FALSE),"")*C26</f>
        <v>0.05888280828</v>
      </c>
      <c r="H26" s="67"/>
      <c r="AC26" s="67"/>
    </row>
    <row r="27">
      <c r="A27" s="18" t="s">
        <v>17</v>
      </c>
      <c r="B27" s="18" t="s">
        <v>123</v>
      </c>
      <c r="C27" s="68">
        <v>120.0</v>
      </c>
      <c r="D27" s="63" t="s">
        <v>539</v>
      </c>
      <c r="E27" s="64">
        <v>0.0</v>
      </c>
      <c r="F27" s="65">
        <f t="shared" si="1"/>
        <v>120</v>
      </c>
      <c r="G27" s="66">
        <f>IF(B27&lt;&gt;"",VLOOKUP(B27,Zutaten!$C:$F,4,FALSE),"")*C27</f>
        <v>0.680909902</v>
      </c>
      <c r="H27" s="67"/>
      <c r="AC27" s="67"/>
    </row>
    <row r="28">
      <c r="A28" s="60" t="s">
        <v>15</v>
      </c>
      <c r="B28" s="61" t="s">
        <v>292</v>
      </c>
      <c r="C28" s="62">
        <v>1000.0</v>
      </c>
      <c r="D28" s="63" t="s">
        <v>540</v>
      </c>
      <c r="E28" s="64">
        <v>0.0</v>
      </c>
      <c r="F28" s="65">
        <f t="shared" si="1"/>
        <v>1000</v>
      </c>
      <c r="G28" s="66">
        <f>IF(B28&lt;&gt;"",VLOOKUP(B28,Zutaten!$C:$F,4,FALSE),"")*C28</f>
        <v>1.69</v>
      </c>
      <c r="H28" s="67"/>
      <c r="AC28" s="67"/>
    </row>
    <row r="29">
      <c r="A29" s="60" t="s">
        <v>15</v>
      </c>
      <c r="B29" s="61" t="s">
        <v>483</v>
      </c>
      <c r="C29" s="62">
        <v>500.0</v>
      </c>
      <c r="D29" s="63" t="s">
        <v>539</v>
      </c>
      <c r="E29" s="64">
        <v>0.0</v>
      </c>
      <c r="F29" s="65">
        <f t="shared" si="1"/>
        <v>500</v>
      </c>
      <c r="G29" s="66">
        <f>IF(B29&lt;&gt;"",VLOOKUP(B29,Zutaten!$C:$F,4,FALSE),"")*C29</f>
        <v>4.625</v>
      </c>
      <c r="H29" s="67"/>
      <c r="AC29" s="67"/>
    </row>
    <row r="30">
      <c r="A30" s="60" t="s">
        <v>15</v>
      </c>
      <c r="B30" s="61" t="s">
        <v>455</v>
      </c>
      <c r="C30" s="62">
        <v>2000.0</v>
      </c>
      <c r="D30" s="63" t="s">
        <v>540</v>
      </c>
      <c r="E30" s="64">
        <v>0.0</v>
      </c>
      <c r="F30" s="65">
        <f t="shared" si="1"/>
        <v>2000</v>
      </c>
      <c r="G30" s="66">
        <f>IF(B30&lt;&gt;"",VLOOKUP(B30,Zutaten!$C:$F,4,FALSE),"")*C30</f>
        <v>3.98</v>
      </c>
      <c r="H30" s="67"/>
      <c r="AC30" s="67"/>
    </row>
    <row r="31">
      <c r="A31" s="60" t="s">
        <v>15</v>
      </c>
      <c r="B31" s="61" t="s">
        <v>377</v>
      </c>
      <c r="C31" s="62">
        <v>500.0</v>
      </c>
      <c r="D31" s="63" t="s">
        <v>539</v>
      </c>
      <c r="E31" s="64">
        <v>0.0</v>
      </c>
      <c r="F31" s="65">
        <f t="shared" si="1"/>
        <v>500</v>
      </c>
      <c r="G31" s="66">
        <f>IF(B31&lt;&gt;"",VLOOKUP(B31,Zutaten!$C:$F,4,FALSE),"")*C31</f>
        <v>5.11</v>
      </c>
      <c r="H31" s="67"/>
      <c r="AC31" s="67"/>
    </row>
    <row r="32">
      <c r="A32" s="60" t="s">
        <v>15</v>
      </c>
      <c r="B32" s="61" t="s">
        <v>291</v>
      </c>
      <c r="C32" s="62">
        <v>500.0</v>
      </c>
      <c r="D32" s="63" t="s">
        <v>540</v>
      </c>
      <c r="E32" s="64">
        <v>0.0</v>
      </c>
      <c r="F32" s="65">
        <f t="shared" si="1"/>
        <v>500</v>
      </c>
      <c r="G32" s="66">
        <f>IF(B32&lt;&gt;"",VLOOKUP(B32,Zutaten!$C:$F,4,FALSE),"")*C32</f>
        <v>0.785</v>
      </c>
      <c r="H32" s="67"/>
      <c r="AC32" s="67"/>
    </row>
    <row r="33">
      <c r="A33" s="60" t="s">
        <v>15</v>
      </c>
      <c r="B33" s="61" t="s">
        <v>467</v>
      </c>
      <c r="C33" s="62">
        <v>20.0</v>
      </c>
      <c r="D33" s="63" t="s">
        <v>539</v>
      </c>
      <c r="E33" s="64">
        <v>0.0</v>
      </c>
      <c r="F33" s="65">
        <f t="shared" si="1"/>
        <v>20</v>
      </c>
      <c r="G33" s="66">
        <f>IF(B33&lt;&gt;"",VLOOKUP(B33,Zutaten!$C:$F,4,FALSE),"")*C33</f>
        <v>0.00736</v>
      </c>
      <c r="H33" s="67"/>
      <c r="AC33" s="67"/>
    </row>
    <row r="34">
      <c r="A34" s="18" t="s">
        <v>18</v>
      </c>
      <c r="B34" s="18" t="s">
        <v>153</v>
      </c>
      <c r="C34" s="68">
        <v>150.0</v>
      </c>
      <c r="D34" s="63" t="s">
        <v>539</v>
      </c>
      <c r="E34" s="64">
        <v>0.0</v>
      </c>
      <c r="F34" s="65">
        <f t="shared" si="1"/>
        <v>150</v>
      </c>
      <c r="G34" s="66">
        <f>IF(B34&lt;&gt;"",VLOOKUP(B34,Zutaten!$C:$F,4,FALSE),"")*C34</f>
        <v>0.9735</v>
      </c>
      <c r="H34" s="67"/>
      <c r="AC34" s="67"/>
    </row>
    <row r="35">
      <c r="A35" s="18" t="s">
        <v>18</v>
      </c>
      <c r="B35" s="67" t="s">
        <v>81</v>
      </c>
      <c r="C35" s="68">
        <v>10.0</v>
      </c>
      <c r="D35" s="63" t="s">
        <v>539</v>
      </c>
      <c r="E35" s="64">
        <v>0.0</v>
      </c>
      <c r="F35" s="65">
        <f t="shared" si="1"/>
        <v>10</v>
      </c>
      <c r="G35" s="66">
        <f>IF(B35&lt;&gt;"",VLOOKUP(B35,Zutaten!$C:$F,4,FALSE),"")*C35</f>
        <v>0.05447546485</v>
      </c>
      <c r="H35" s="67"/>
      <c r="AC35" s="67"/>
    </row>
    <row r="36">
      <c r="A36" s="18" t="s">
        <v>18</v>
      </c>
      <c r="B36" s="69" t="s">
        <v>313</v>
      </c>
      <c r="C36" s="68">
        <v>80.0</v>
      </c>
      <c r="D36" s="63" t="s">
        <v>539</v>
      </c>
      <c r="E36" s="64">
        <v>0.0</v>
      </c>
      <c r="F36" s="65">
        <f t="shared" si="1"/>
        <v>80</v>
      </c>
      <c r="G36" s="66">
        <f>IF(B36&lt;&gt;"",VLOOKUP(B36,Zutaten!$C:$F,4,FALSE),"")*C36</f>
        <v>0.5</v>
      </c>
      <c r="H36" s="67"/>
      <c r="AC36" s="67"/>
    </row>
    <row r="37">
      <c r="A37" s="18" t="s">
        <v>18</v>
      </c>
      <c r="B37" s="69" t="s">
        <v>133</v>
      </c>
      <c r="C37" s="68">
        <v>50.0</v>
      </c>
      <c r="D37" s="63" t="s">
        <v>539</v>
      </c>
      <c r="E37" s="64">
        <v>0.0</v>
      </c>
      <c r="F37" s="65">
        <f t="shared" si="1"/>
        <v>50</v>
      </c>
      <c r="G37" s="66">
        <f>IF(B37&lt;&gt;"",VLOOKUP(B37,Zutaten!$C:$F,4,FALSE),"")*C37</f>
        <v>0.1419438529</v>
      </c>
      <c r="H37" s="67"/>
      <c r="AC37" s="67"/>
    </row>
    <row r="38">
      <c r="A38" s="18" t="s">
        <v>18</v>
      </c>
      <c r="B38" s="63" t="s">
        <v>82</v>
      </c>
      <c r="C38" s="68">
        <v>40.0</v>
      </c>
      <c r="D38" s="63" t="s">
        <v>539</v>
      </c>
      <c r="E38" s="64">
        <v>0.0</v>
      </c>
      <c r="F38" s="65">
        <f t="shared" si="1"/>
        <v>40</v>
      </c>
      <c r="G38" s="66">
        <f>IF(B38&lt;&gt;"",VLOOKUP(B38,Zutaten!$C:$F,4,FALSE),"")*C38</f>
        <v>0.2621286957</v>
      </c>
      <c r="H38" s="67"/>
      <c r="AC38" s="67"/>
    </row>
    <row r="39">
      <c r="A39" s="18" t="s">
        <v>18</v>
      </c>
      <c r="B39" s="69" t="s">
        <v>464</v>
      </c>
      <c r="C39" s="68">
        <v>40.0</v>
      </c>
      <c r="D39" s="63" t="s">
        <v>539</v>
      </c>
      <c r="E39" s="64">
        <v>0.0</v>
      </c>
      <c r="F39" s="65">
        <f t="shared" si="1"/>
        <v>40</v>
      </c>
      <c r="G39" s="66">
        <f>IF(B39&lt;&gt;"",VLOOKUP(B39,Zutaten!$C:$F,4,FALSE),"")*C39</f>
        <v>0.04592</v>
      </c>
      <c r="H39" s="67"/>
      <c r="AC39" s="67"/>
    </row>
    <row r="40">
      <c r="A40" s="18" t="s">
        <v>18</v>
      </c>
      <c r="B40" s="69" t="s">
        <v>541</v>
      </c>
      <c r="C40" s="68">
        <v>12.0</v>
      </c>
      <c r="D40" s="63" t="s">
        <v>539</v>
      </c>
      <c r="E40" s="64">
        <v>0.0</v>
      </c>
      <c r="F40" s="65">
        <f t="shared" si="1"/>
        <v>12</v>
      </c>
      <c r="G40" s="66">
        <f>IF(B40&lt;&gt;"",VLOOKUP(B40,Zutaten!$C:$F,4,FALSE),"")*C40</f>
        <v>0.24432</v>
      </c>
      <c r="H40" s="67"/>
      <c r="AC40" s="67"/>
    </row>
    <row r="41">
      <c r="A41" s="18" t="s">
        <v>21</v>
      </c>
      <c r="B41" s="18" t="s">
        <v>313</v>
      </c>
      <c r="C41" s="68">
        <v>80.0</v>
      </c>
      <c r="D41" s="63" t="s">
        <v>539</v>
      </c>
      <c r="E41" s="64">
        <v>0.0</v>
      </c>
      <c r="F41" s="65">
        <f t="shared" si="1"/>
        <v>80</v>
      </c>
      <c r="G41" s="66">
        <f>IF(B41&lt;&gt;"",VLOOKUP(B41,Zutaten!$C:$F,4,FALSE),"")*C41</f>
        <v>0.5</v>
      </c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</row>
    <row r="42">
      <c r="A42" s="18" t="s">
        <v>21</v>
      </c>
      <c r="B42" s="18" t="s">
        <v>457</v>
      </c>
      <c r="C42" s="68">
        <v>170.0</v>
      </c>
      <c r="D42" s="63" t="s">
        <v>539</v>
      </c>
      <c r="E42" s="64">
        <v>0.0</v>
      </c>
      <c r="F42" s="65">
        <f t="shared" si="1"/>
        <v>170</v>
      </c>
      <c r="G42" s="66">
        <f>IF(B42&lt;&gt;"",VLOOKUP(B42,Zutaten!$C:$F,4,FALSE),"")*C42</f>
        <v>1.0183</v>
      </c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</row>
    <row r="43">
      <c r="A43" s="18" t="s">
        <v>21</v>
      </c>
      <c r="B43" s="18" t="s">
        <v>207</v>
      </c>
      <c r="C43" s="68">
        <v>80.0</v>
      </c>
      <c r="D43" s="63" t="s">
        <v>539</v>
      </c>
      <c r="E43" s="64">
        <v>0.0</v>
      </c>
      <c r="F43" s="65">
        <f t="shared" si="1"/>
        <v>80</v>
      </c>
      <c r="G43" s="66">
        <f>IF(B43&lt;&gt;"",VLOOKUP(B43,Zutaten!$C:$F,4,FALSE),"")*C43</f>
        <v>0.2514004375</v>
      </c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</row>
    <row r="44">
      <c r="A44" s="18" t="s">
        <v>21</v>
      </c>
      <c r="B44" s="18" t="s">
        <v>519</v>
      </c>
      <c r="C44" s="68">
        <v>40.0</v>
      </c>
      <c r="D44" s="63" t="s">
        <v>539</v>
      </c>
      <c r="E44" s="64">
        <v>0.0</v>
      </c>
      <c r="F44" s="65">
        <f t="shared" si="1"/>
        <v>40</v>
      </c>
      <c r="G44" s="66">
        <f>IF(B44&lt;&gt;"",VLOOKUP(B44,Zutaten!$C:$F,4,FALSE),"")*C44</f>
        <v>0.8144</v>
      </c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</row>
    <row r="45">
      <c r="A45" s="18" t="s">
        <v>21</v>
      </c>
      <c r="B45" s="18" t="s">
        <v>330</v>
      </c>
      <c r="C45" s="68">
        <v>20.0</v>
      </c>
      <c r="D45" s="63" t="s">
        <v>539</v>
      </c>
      <c r="E45" s="64">
        <v>0.0</v>
      </c>
      <c r="F45" s="65">
        <f t="shared" si="1"/>
        <v>20</v>
      </c>
      <c r="G45" s="66">
        <f>IF(B45&lt;&gt;"",VLOOKUP(B45,Zutaten!$C:$F,4,FALSE),"")*C45</f>
        <v>0.16</v>
      </c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</row>
    <row r="46">
      <c r="A46" s="60" t="s">
        <v>19</v>
      </c>
      <c r="B46" s="61" t="s">
        <v>502</v>
      </c>
      <c r="C46" s="63">
        <v>500.0</v>
      </c>
      <c r="D46" s="63" t="s">
        <v>539</v>
      </c>
      <c r="E46" s="64">
        <v>0.0</v>
      </c>
      <c r="F46" s="65">
        <f t="shared" si="1"/>
        <v>500</v>
      </c>
      <c r="G46" s="66">
        <f>IF(B46&lt;&gt;"",VLOOKUP(B46,Zutaten!$C:$F,4,FALSE),"")*C46</f>
        <v>1.3815</v>
      </c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</row>
    <row r="47">
      <c r="A47" s="60" t="s">
        <v>19</v>
      </c>
      <c r="B47" s="61" t="s">
        <v>298</v>
      </c>
      <c r="C47" s="63">
        <v>647.0</v>
      </c>
      <c r="D47" s="63" t="s">
        <v>539</v>
      </c>
      <c r="E47" s="64">
        <f>1-144/214</f>
        <v>0.3271028037</v>
      </c>
      <c r="F47" s="65">
        <f t="shared" si="1"/>
        <v>435.364486</v>
      </c>
      <c r="G47" s="66">
        <f>IF(B47&lt;&gt;"",VLOOKUP(B47,Zutaten!$C:$F,4,FALSE),"")*C47</f>
        <v>5.823</v>
      </c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</row>
    <row r="48">
      <c r="A48" s="60" t="s">
        <v>19</v>
      </c>
      <c r="B48" s="61" t="s">
        <v>527</v>
      </c>
      <c r="C48" s="63">
        <v>60.0</v>
      </c>
      <c r="D48" s="63" t="s">
        <v>540</v>
      </c>
      <c r="E48" s="64">
        <v>0.0</v>
      </c>
      <c r="F48" s="65">
        <f t="shared" si="1"/>
        <v>60</v>
      </c>
      <c r="G48" s="66">
        <f>IF(B48&lt;&gt;"",VLOOKUP(B48,Zutaten!$C:$F,4,FALSE),"")*C48</f>
        <v>0.144</v>
      </c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</row>
    <row r="49">
      <c r="A49" s="60" t="s">
        <v>19</v>
      </c>
      <c r="B49" s="61" t="s">
        <v>329</v>
      </c>
      <c r="C49" s="63">
        <v>3.0</v>
      </c>
      <c r="D49" s="63" t="s">
        <v>539</v>
      </c>
      <c r="E49" s="64">
        <v>0.0</v>
      </c>
      <c r="F49" s="65">
        <f t="shared" si="1"/>
        <v>3</v>
      </c>
      <c r="G49" s="66">
        <f>IF(B49&lt;&gt;"",VLOOKUP(B49,Zutaten!$C:$F,4,FALSE),"")*C49</f>
        <v>0.21</v>
      </c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</row>
    <row r="50">
      <c r="A50" s="60" t="s">
        <v>19</v>
      </c>
      <c r="B50" s="61" t="s">
        <v>404</v>
      </c>
      <c r="C50" s="63">
        <v>29.0</v>
      </c>
      <c r="D50" s="63" t="s">
        <v>539</v>
      </c>
      <c r="E50" s="64">
        <v>0.0</v>
      </c>
      <c r="F50" s="65">
        <f t="shared" si="1"/>
        <v>29</v>
      </c>
      <c r="G50" s="66">
        <f>IF(B50&lt;&gt;"",VLOOKUP(B50,Zutaten!$C:$F,4,FALSE),"")*C50</f>
        <v>0.203</v>
      </c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</row>
    <row r="51">
      <c r="A51" s="60" t="s">
        <v>19</v>
      </c>
      <c r="B51" s="61" t="s">
        <v>442</v>
      </c>
      <c r="C51" s="63">
        <v>1.0</v>
      </c>
      <c r="D51" s="63" t="s">
        <v>539</v>
      </c>
      <c r="E51" s="64">
        <v>0.0</v>
      </c>
      <c r="F51" s="65">
        <f t="shared" si="1"/>
        <v>1</v>
      </c>
      <c r="G51" s="66">
        <f>IF(B51&lt;&gt;"",VLOOKUP(B51,Zutaten!$C:$F,4,FALSE),"")*C51</f>
        <v>0.0324</v>
      </c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</row>
    <row r="52">
      <c r="A52" s="60" t="s">
        <v>19</v>
      </c>
      <c r="B52" s="61" t="s">
        <v>467</v>
      </c>
      <c r="C52" s="63">
        <v>9.0</v>
      </c>
      <c r="D52" s="63" t="s">
        <v>539</v>
      </c>
      <c r="E52" s="64">
        <v>0.0</v>
      </c>
      <c r="F52" s="65">
        <f t="shared" si="1"/>
        <v>9</v>
      </c>
      <c r="G52" s="66">
        <f>IF(B52&lt;&gt;"",VLOOKUP(B52,Zutaten!$C:$F,4,FALSE),"")*C52</f>
        <v>0.003312</v>
      </c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</row>
    <row r="53">
      <c r="A53" s="60" t="s">
        <v>20</v>
      </c>
      <c r="B53" s="61" t="s">
        <v>295</v>
      </c>
      <c r="C53" s="62">
        <v>2000.0</v>
      </c>
      <c r="D53" s="63" t="s">
        <v>539</v>
      </c>
      <c r="E53" s="64">
        <v>0.0</v>
      </c>
      <c r="F53" s="65">
        <f t="shared" si="1"/>
        <v>2000</v>
      </c>
      <c r="G53" s="66">
        <f>IF(B53&lt;&gt;"",VLOOKUP(B53,Zutaten!$C:$F,4,FALSE),"")*C53</f>
        <v>5.98</v>
      </c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</row>
    <row r="54">
      <c r="A54" s="60" t="s">
        <v>20</v>
      </c>
      <c r="B54" s="61" t="s">
        <v>436</v>
      </c>
      <c r="C54" s="62">
        <v>4000.0</v>
      </c>
      <c r="D54" s="63" t="s">
        <v>539</v>
      </c>
      <c r="E54" s="64">
        <v>0.0</v>
      </c>
      <c r="F54" s="65">
        <f t="shared" si="1"/>
        <v>4000</v>
      </c>
      <c r="G54" s="66">
        <f>IF(B54&lt;&gt;"",VLOOKUP(B54,Zutaten!$C:$F,4,FALSE),"")*C54</f>
        <v>30.568</v>
      </c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</row>
    <row r="55">
      <c r="A55" s="60" t="s">
        <v>20</v>
      </c>
      <c r="B55" s="61" t="s">
        <v>530</v>
      </c>
      <c r="C55" s="62">
        <v>2000.0</v>
      </c>
      <c r="D55" s="63" t="s">
        <v>539</v>
      </c>
      <c r="E55" s="64">
        <v>0.0</v>
      </c>
      <c r="F55" s="65">
        <f t="shared" si="1"/>
        <v>2000</v>
      </c>
      <c r="G55" s="66">
        <f>IF(B55&lt;&gt;"",VLOOKUP(B55,Zutaten!$C:$F,4,FALSE),"")*C55</f>
        <v>2.4</v>
      </c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</row>
    <row r="56">
      <c r="A56" s="60" t="s">
        <v>20</v>
      </c>
      <c r="B56" s="61" t="s">
        <v>428</v>
      </c>
      <c r="C56" s="62">
        <v>500.0</v>
      </c>
      <c r="D56" s="63" t="s">
        <v>540</v>
      </c>
      <c r="E56" s="64">
        <v>0.0</v>
      </c>
      <c r="F56" s="65">
        <f t="shared" si="1"/>
        <v>500</v>
      </c>
      <c r="G56" s="66">
        <f>IF(B56&lt;&gt;"",VLOOKUP(B56,Zutaten!$C:$F,4,FALSE),"")*C56</f>
        <v>4.32</v>
      </c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</row>
    <row r="57">
      <c r="A57" s="60" t="s">
        <v>20</v>
      </c>
      <c r="B57" s="61" t="s">
        <v>291</v>
      </c>
      <c r="C57" s="62">
        <v>250.0</v>
      </c>
      <c r="D57" s="63" t="s">
        <v>540</v>
      </c>
      <c r="E57" s="64">
        <v>0.0</v>
      </c>
      <c r="F57" s="65">
        <f t="shared" si="1"/>
        <v>250</v>
      </c>
      <c r="G57" s="66">
        <f>IF(B57&lt;&gt;"",VLOOKUP(B57,Zutaten!$C:$F,4,FALSE),"")*C57</f>
        <v>0.3925</v>
      </c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</row>
    <row r="58">
      <c r="A58" s="60" t="s">
        <v>20</v>
      </c>
      <c r="B58" s="61" t="s">
        <v>467</v>
      </c>
      <c r="C58" s="62">
        <v>30.0</v>
      </c>
      <c r="D58" s="63" t="s">
        <v>539</v>
      </c>
      <c r="E58" s="64">
        <v>0.0</v>
      </c>
      <c r="F58" s="65">
        <f t="shared" si="1"/>
        <v>30</v>
      </c>
      <c r="G58" s="66">
        <f>IF(B58&lt;&gt;"",VLOOKUP(B58,Zutaten!$C:$F,4,FALSE),"")*C58</f>
        <v>0.01104</v>
      </c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</row>
    <row r="59">
      <c r="A59" s="60" t="s">
        <v>20</v>
      </c>
      <c r="B59" s="61" t="s">
        <v>528</v>
      </c>
      <c r="C59" s="62">
        <v>10.0</v>
      </c>
      <c r="D59" s="63" t="s">
        <v>539</v>
      </c>
      <c r="E59" s="64">
        <v>0.0</v>
      </c>
      <c r="F59" s="65">
        <f t="shared" si="1"/>
        <v>10</v>
      </c>
      <c r="G59" s="66">
        <f>IF(B59&lt;&gt;"",VLOOKUP(B59,Zutaten!$C:$F,4,FALSE),"")*C59</f>
        <v>0.0144</v>
      </c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</row>
    <row r="60">
      <c r="A60" s="60" t="s">
        <v>20</v>
      </c>
      <c r="B60" s="61" t="s">
        <v>461</v>
      </c>
      <c r="C60" s="62">
        <v>5.0</v>
      </c>
      <c r="D60" s="63" t="s">
        <v>539</v>
      </c>
      <c r="E60" s="64">
        <v>0.0</v>
      </c>
      <c r="F60" s="65">
        <f t="shared" si="1"/>
        <v>5</v>
      </c>
      <c r="G60" s="66">
        <f>IF(B60&lt;&gt;"",VLOOKUP(B60,Zutaten!$C:$F,4,FALSE),"")*C60</f>
        <v>1.048571429</v>
      </c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</row>
    <row r="61">
      <c r="A61" s="18" t="s">
        <v>23</v>
      </c>
      <c r="B61" s="18" t="s">
        <v>277</v>
      </c>
      <c r="C61" s="68">
        <v>200.0</v>
      </c>
      <c r="D61" s="63" t="s">
        <v>539</v>
      </c>
      <c r="E61" s="64">
        <v>0.0</v>
      </c>
      <c r="F61" s="65">
        <f t="shared" si="1"/>
        <v>200</v>
      </c>
      <c r="G61" s="66">
        <f>IF(B61&lt;&gt;"",VLOOKUP(B61,Zutaten!$C:$F,4,FALSE),"")*C61</f>
        <v>1.011927778</v>
      </c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</row>
    <row r="62">
      <c r="A62" s="60" t="s">
        <v>22</v>
      </c>
      <c r="B62" s="61" t="s">
        <v>455</v>
      </c>
      <c r="C62" s="62">
        <v>4000.0</v>
      </c>
      <c r="D62" s="63" t="s">
        <v>540</v>
      </c>
      <c r="E62" s="64">
        <v>0.0</v>
      </c>
      <c r="F62" s="65">
        <f t="shared" si="1"/>
        <v>4000</v>
      </c>
      <c r="G62" s="66">
        <f>IF(B62&lt;&gt;"",VLOOKUP(B62,Zutaten!$C:$F,4,FALSE),"")*C62</f>
        <v>7.96</v>
      </c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</row>
    <row r="63">
      <c r="A63" s="60" t="s">
        <v>22</v>
      </c>
      <c r="B63" s="61" t="s">
        <v>510</v>
      </c>
      <c r="C63" s="62">
        <v>1000.0</v>
      </c>
      <c r="D63" s="63" t="s">
        <v>540</v>
      </c>
      <c r="E63" s="64">
        <v>0.0</v>
      </c>
      <c r="F63" s="65">
        <f t="shared" si="1"/>
        <v>1000</v>
      </c>
      <c r="G63" s="66">
        <f>IF(B63&lt;&gt;"",VLOOKUP(B63,Zutaten!$C:$F,4,FALSE),"")*C63</f>
        <v>4.64</v>
      </c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</row>
    <row r="64">
      <c r="A64" s="60" t="s">
        <v>22</v>
      </c>
      <c r="B64" s="61" t="s">
        <v>467</v>
      </c>
      <c r="C64" s="62">
        <v>30.0</v>
      </c>
      <c r="D64" s="63" t="s">
        <v>539</v>
      </c>
      <c r="E64" s="64">
        <v>0.0</v>
      </c>
      <c r="F64" s="65">
        <f t="shared" si="1"/>
        <v>30</v>
      </c>
      <c r="G64" s="66">
        <f>IF(B64&lt;&gt;"",VLOOKUP(B64,Zutaten!$C:$F,4,FALSE),"")*C64</f>
        <v>0.01104</v>
      </c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</row>
    <row r="65">
      <c r="A65" s="60" t="s">
        <v>22</v>
      </c>
      <c r="B65" s="61" t="s">
        <v>528</v>
      </c>
      <c r="C65" s="62">
        <v>10.0</v>
      </c>
      <c r="D65" s="63" t="s">
        <v>539</v>
      </c>
      <c r="E65" s="64">
        <v>0.0</v>
      </c>
      <c r="F65" s="65">
        <f t="shared" si="1"/>
        <v>10</v>
      </c>
      <c r="G65" s="66">
        <f>IF(B65&lt;&gt;"",VLOOKUP(B65,Zutaten!$C:$F,4,FALSE),"")*C65</f>
        <v>0.0144</v>
      </c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</row>
    <row r="66">
      <c r="A66" s="60" t="s">
        <v>22</v>
      </c>
      <c r="B66" s="61" t="s">
        <v>351</v>
      </c>
      <c r="C66" s="62">
        <v>100.0</v>
      </c>
      <c r="D66" s="63" t="s">
        <v>540</v>
      </c>
      <c r="E66" s="64">
        <v>0.0</v>
      </c>
      <c r="F66" s="65">
        <f t="shared" si="1"/>
        <v>100</v>
      </c>
      <c r="G66" s="66">
        <f>IF(B66&lt;&gt;"",VLOOKUP(B66,Zutaten!$C:$F,4,FALSE),"")*C66</f>
        <v>0.071</v>
      </c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</row>
    <row r="67">
      <c r="A67" s="60" t="s">
        <v>22</v>
      </c>
      <c r="B67" s="61" t="s">
        <v>306</v>
      </c>
      <c r="C67" s="62">
        <v>200.0</v>
      </c>
      <c r="D67" s="63" t="s">
        <v>539</v>
      </c>
      <c r="E67" s="64">
        <v>0.0</v>
      </c>
      <c r="F67" s="65">
        <f t="shared" si="1"/>
        <v>200</v>
      </c>
      <c r="G67" s="66">
        <f>IF(B67&lt;&gt;"",VLOOKUP(B67,Zutaten!$C:$F,4,FALSE),"")*C67</f>
        <v>2.5</v>
      </c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</row>
    <row r="68">
      <c r="A68" s="60" t="s">
        <v>24</v>
      </c>
      <c r="B68" s="61" t="s">
        <v>412</v>
      </c>
      <c r="C68" s="62">
        <v>250.0</v>
      </c>
      <c r="D68" s="63"/>
      <c r="E68" s="64">
        <v>0.0</v>
      </c>
      <c r="F68" s="65">
        <f t="shared" si="1"/>
        <v>250</v>
      </c>
      <c r="G68" s="66">
        <f>IF(B68&lt;&gt;"",VLOOKUP(B68,Zutaten!$C:$F,4,FALSE),"")*C68</f>
        <v>0.3781512605</v>
      </c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</row>
    <row r="69">
      <c r="A69" s="60" t="s">
        <v>24</v>
      </c>
      <c r="B69" s="61" t="s">
        <v>455</v>
      </c>
      <c r="C69" s="62">
        <v>1000.0</v>
      </c>
      <c r="D69" s="63"/>
      <c r="E69" s="64">
        <v>0.0</v>
      </c>
      <c r="F69" s="65">
        <f t="shared" si="1"/>
        <v>1000</v>
      </c>
      <c r="G69" s="66">
        <f>IF(B69&lt;&gt;"",VLOOKUP(B69,Zutaten!$C:$F,4,FALSE),"")*C69</f>
        <v>1.99</v>
      </c>
      <c r="H69" s="67"/>
      <c r="I69" s="63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</row>
    <row r="70">
      <c r="A70" s="60" t="s">
        <v>24</v>
      </c>
      <c r="B70" s="61" t="s">
        <v>307</v>
      </c>
      <c r="C70" s="62">
        <v>5.0</v>
      </c>
      <c r="D70" s="63"/>
      <c r="E70" s="64">
        <v>0.0</v>
      </c>
      <c r="F70" s="65">
        <f t="shared" si="1"/>
        <v>5</v>
      </c>
      <c r="G70" s="66">
        <f>IF(B70&lt;&gt;"",VLOOKUP(B70,Zutaten!$C:$F,4,FALSE),"")*C70</f>
        <v>0.4645378151</v>
      </c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</row>
    <row r="71">
      <c r="A71" s="60" t="s">
        <v>24</v>
      </c>
      <c r="B71" s="61" t="s">
        <v>467</v>
      </c>
      <c r="C71" s="62">
        <v>15.0</v>
      </c>
      <c r="D71" s="63"/>
      <c r="E71" s="64">
        <v>0.0</v>
      </c>
      <c r="F71" s="65">
        <f t="shared" si="1"/>
        <v>15</v>
      </c>
      <c r="G71" s="66">
        <f>IF(B71&lt;&gt;"",VLOOKUP(B71,Zutaten!$C:$F,4,FALSE),"")*C71</f>
        <v>0.00552</v>
      </c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</row>
    <row r="72">
      <c r="A72" s="60" t="s">
        <v>24</v>
      </c>
      <c r="B72" s="61" t="s">
        <v>528</v>
      </c>
      <c r="C72" s="62">
        <v>10.0</v>
      </c>
      <c r="D72" s="63"/>
      <c r="E72" s="64">
        <v>0.0</v>
      </c>
      <c r="F72" s="65">
        <f t="shared" si="1"/>
        <v>10</v>
      </c>
      <c r="G72" s="66">
        <f>IF(B72&lt;&gt;"",VLOOKUP(B72,Zutaten!$C:$F,4,FALSE),"")*C72</f>
        <v>0.0144</v>
      </c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</row>
    <row r="73">
      <c r="A73" s="60" t="s">
        <v>24</v>
      </c>
      <c r="B73" s="61" t="s">
        <v>394</v>
      </c>
      <c r="C73" s="62">
        <v>8.0</v>
      </c>
      <c r="D73" s="63"/>
      <c r="E73" s="64">
        <v>0.0</v>
      </c>
      <c r="F73" s="65">
        <f t="shared" si="1"/>
        <v>8</v>
      </c>
      <c r="G73" s="66">
        <f>IF(B73&lt;&gt;"",VLOOKUP(B73,Zutaten!$C:$F,4,FALSE),"")*C73</f>
        <v>0.06722689076</v>
      </c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</row>
    <row r="74">
      <c r="A74" s="60" t="s">
        <v>24</v>
      </c>
      <c r="B74" s="61" t="s">
        <v>527</v>
      </c>
      <c r="C74" s="62">
        <v>20.0</v>
      </c>
      <c r="D74" s="63"/>
      <c r="E74" s="64">
        <v>0.0</v>
      </c>
      <c r="F74" s="65">
        <f t="shared" si="1"/>
        <v>20</v>
      </c>
      <c r="G74" s="66">
        <f>IF(B74&lt;&gt;"",VLOOKUP(B74,Zutaten!$C:$F,4,FALSE),"")*C74</f>
        <v>0.048</v>
      </c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</row>
    <row r="75">
      <c r="A75" s="70" t="s">
        <v>27</v>
      </c>
      <c r="B75" s="71" t="s">
        <v>458</v>
      </c>
      <c r="C75" s="72">
        <v>170.0</v>
      </c>
      <c r="D75" s="63" t="s">
        <v>539</v>
      </c>
      <c r="E75" s="64">
        <v>0.0</v>
      </c>
      <c r="F75" s="65">
        <f t="shared" si="1"/>
        <v>170</v>
      </c>
      <c r="G75" s="66">
        <f>IF(B75&lt;&gt;"",VLOOKUP(B75,Zutaten!$C:$F,4,FALSE),"")*C75</f>
        <v>1.4433</v>
      </c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</row>
    <row r="76">
      <c r="A76" s="70" t="s">
        <v>27</v>
      </c>
      <c r="B76" s="71" t="s">
        <v>313</v>
      </c>
      <c r="C76" s="72">
        <v>80.0</v>
      </c>
      <c r="D76" s="63" t="s">
        <v>539</v>
      </c>
      <c r="E76" s="64">
        <v>0.0</v>
      </c>
      <c r="F76" s="65">
        <f t="shared" si="1"/>
        <v>80</v>
      </c>
      <c r="G76" s="66">
        <f>IF(B76&lt;&gt;"",VLOOKUP(B76,Zutaten!$C:$F,4,FALSE),"")*C76</f>
        <v>0.5</v>
      </c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</row>
    <row r="77">
      <c r="A77" s="18" t="s">
        <v>28</v>
      </c>
      <c r="B77" s="18" t="s">
        <v>458</v>
      </c>
      <c r="C77" s="68">
        <v>170.0</v>
      </c>
      <c r="D77" s="63" t="s">
        <v>539</v>
      </c>
      <c r="E77" s="64">
        <v>0.0</v>
      </c>
      <c r="F77" s="65">
        <f t="shared" si="1"/>
        <v>170</v>
      </c>
      <c r="G77" s="66">
        <f>IF(B77&lt;&gt;"",VLOOKUP(B77,Zutaten!$C:$F,4,FALSE),"")*C77</f>
        <v>1.4433</v>
      </c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</row>
    <row r="78">
      <c r="A78" s="18" t="s">
        <v>28</v>
      </c>
      <c r="B78" s="18" t="s">
        <v>313</v>
      </c>
      <c r="C78" s="68">
        <v>80.0</v>
      </c>
      <c r="D78" s="63" t="s">
        <v>539</v>
      </c>
      <c r="E78" s="64">
        <v>0.0</v>
      </c>
      <c r="F78" s="65">
        <f t="shared" si="1"/>
        <v>80</v>
      </c>
      <c r="G78" s="66">
        <f>IF(B78&lt;&gt;"",VLOOKUP(B78,Zutaten!$C:$F,4,FALSE),"")*C78</f>
        <v>0.5</v>
      </c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</row>
    <row r="79">
      <c r="A79" s="18" t="s">
        <v>28</v>
      </c>
      <c r="B79" s="18" t="s">
        <v>336</v>
      </c>
      <c r="C79" s="68">
        <v>10.0</v>
      </c>
      <c r="D79" s="63" t="s">
        <v>539</v>
      </c>
      <c r="E79" s="64">
        <v>0.0</v>
      </c>
      <c r="F79" s="65">
        <f t="shared" si="1"/>
        <v>10</v>
      </c>
      <c r="G79" s="66">
        <f>IF(B79&lt;&gt;"",VLOOKUP(B79,Zutaten!$C:$F,4,FALSE),"")*C79</f>
        <v>0.0639</v>
      </c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</row>
    <row r="80">
      <c r="A80" s="18" t="s">
        <v>28</v>
      </c>
      <c r="B80" s="18" t="s">
        <v>502</v>
      </c>
      <c r="C80" s="68">
        <v>60.0</v>
      </c>
      <c r="D80" s="63" t="s">
        <v>539</v>
      </c>
      <c r="E80" s="64">
        <v>0.0</v>
      </c>
      <c r="F80" s="65">
        <f t="shared" si="1"/>
        <v>60</v>
      </c>
      <c r="G80" s="66">
        <f>IF(B80&lt;&gt;"",VLOOKUP(B80,Zutaten!$C:$F,4,FALSE),"")*C80</f>
        <v>0.16578</v>
      </c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</row>
    <row r="81">
      <c r="A81" s="18" t="s">
        <v>28</v>
      </c>
      <c r="B81" s="18" t="s">
        <v>359</v>
      </c>
      <c r="C81" s="68">
        <v>20.0</v>
      </c>
      <c r="D81" s="63" t="s">
        <v>539</v>
      </c>
      <c r="E81" s="64">
        <v>0.0</v>
      </c>
      <c r="F81" s="65">
        <f t="shared" si="1"/>
        <v>20</v>
      </c>
      <c r="G81" s="66">
        <f>IF(B81&lt;&gt;"",VLOOKUP(B81,Zutaten!$C:$F,4,FALSE),"")*C81</f>
        <v>0.04160714286</v>
      </c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</row>
    <row r="82">
      <c r="A82" s="18" t="s">
        <v>28</v>
      </c>
      <c r="B82" s="18" t="s">
        <v>380</v>
      </c>
      <c r="C82" s="68">
        <v>20.0</v>
      </c>
      <c r="D82" s="63" t="s">
        <v>539</v>
      </c>
      <c r="E82" s="64">
        <v>0.0</v>
      </c>
      <c r="F82" s="65">
        <f t="shared" si="1"/>
        <v>20</v>
      </c>
      <c r="G82" s="66">
        <f>IF(B82&lt;&gt;"",VLOOKUP(B82,Zutaten!$C:$F,4,FALSE),"")*C82</f>
        <v>0.08282352941</v>
      </c>
      <c r="H82" s="67"/>
      <c r="I82" s="63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</row>
    <row r="83">
      <c r="A83" s="18" t="s">
        <v>28</v>
      </c>
      <c r="B83" s="18" t="s">
        <v>302</v>
      </c>
      <c r="C83" s="68">
        <v>35.0</v>
      </c>
      <c r="D83" s="63" t="s">
        <v>539</v>
      </c>
      <c r="E83" s="64">
        <v>0.0</v>
      </c>
      <c r="F83" s="65">
        <f t="shared" si="1"/>
        <v>35</v>
      </c>
      <c r="G83" s="66">
        <f>IF(B83&lt;&gt;"",VLOOKUP(B83,Zutaten!$C:$F,4,FALSE),"")*C83</f>
        <v>0.3899</v>
      </c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</row>
    <row r="84">
      <c r="A84" s="18" t="s">
        <v>28</v>
      </c>
      <c r="B84" s="18" t="s">
        <v>25</v>
      </c>
      <c r="C84" s="68">
        <v>50.0</v>
      </c>
      <c r="D84" s="63" t="s">
        <v>539</v>
      </c>
      <c r="E84" s="64">
        <v>0.0</v>
      </c>
      <c r="F84" s="65">
        <f t="shared" si="1"/>
        <v>50</v>
      </c>
      <c r="G84" s="66">
        <f>IF(B84&lt;&gt;"",VLOOKUP(B84,Zutaten!$C:$F,4,FALSE),"")*C84</f>
        <v>0.3725003714</v>
      </c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</row>
    <row r="85">
      <c r="A85" s="18" t="s">
        <v>28</v>
      </c>
      <c r="B85" s="18" t="s">
        <v>202</v>
      </c>
      <c r="C85" s="68">
        <v>20.0</v>
      </c>
      <c r="D85" s="63" t="s">
        <v>539</v>
      </c>
      <c r="E85" s="64">
        <v>0.0</v>
      </c>
      <c r="F85" s="65">
        <f t="shared" si="1"/>
        <v>20</v>
      </c>
      <c r="G85" s="66">
        <f>IF(B85&lt;&gt;"",VLOOKUP(B85,Zutaten!$C:$F,4,FALSE),"")*C85</f>
        <v>0.05888280828</v>
      </c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</row>
    <row r="86">
      <c r="A86" s="61" t="s">
        <v>25</v>
      </c>
      <c r="B86" s="61" t="s">
        <v>505</v>
      </c>
      <c r="C86" s="62">
        <v>4000.0</v>
      </c>
      <c r="D86" s="63" t="s">
        <v>539</v>
      </c>
      <c r="E86" s="64">
        <v>0.0</v>
      </c>
      <c r="F86" s="65">
        <f t="shared" si="1"/>
        <v>4000</v>
      </c>
      <c r="G86" s="66">
        <f>IF(B86&lt;&gt;"",VLOOKUP(B86,Zutaten!$C:$F,4,FALSE),"")*C86</f>
        <v>11.4</v>
      </c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</row>
    <row r="87">
      <c r="A87" s="61" t="s">
        <v>25</v>
      </c>
      <c r="B87" s="61" t="s">
        <v>482</v>
      </c>
      <c r="C87" s="62">
        <v>2000.0</v>
      </c>
      <c r="D87" s="63" t="s">
        <v>539</v>
      </c>
      <c r="E87" s="64">
        <v>0.0</v>
      </c>
      <c r="F87" s="65">
        <f t="shared" si="1"/>
        <v>2000</v>
      </c>
      <c r="G87" s="66">
        <f>IF(B87&lt;&gt;"",VLOOKUP(B87,Zutaten!$C:$F,4,FALSE),"")*C87</f>
        <v>6.44</v>
      </c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</row>
    <row r="88">
      <c r="A88" s="61" t="s">
        <v>25</v>
      </c>
      <c r="B88" s="61" t="s">
        <v>322</v>
      </c>
      <c r="C88" s="62">
        <v>400.0</v>
      </c>
      <c r="D88" s="63" t="s">
        <v>539</v>
      </c>
      <c r="E88" s="64">
        <v>0.0</v>
      </c>
      <c r="F88" s="65">
        <f t="shared" si="1"/>
        <v>400</v>
      </c>
      <c r="G88" s="66">
        <f>IF(B88&lt;&gt;"",VLOOKUP(B88,Zutaten!$C:$F,4,FALSE),"")*C88</f>
        <v>3.515294118</v>
      </c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</row>
    <row r="89">
      <c r="A89" s="61" t="s">
        <v>25</v>
      </c>
      <c r="B89" s="61" t="s">
        <v>406</v>
      </c>
      <c r="C89" s="62">
        <v>592.0</v>
      </c>
      <c r="D89" s="63" t="s">
        <v>540</v>
      </c>
      <c r="E89" s="64">
        <v>0.0</v>
      </c>
      <c r="F89" s="65">
        <f t="shared" si="1"/>
        <v>592</v>
      </c>
      <c r="G89" s="66">
        <f>IF(B89&lt;&gt;"",VLOOKUP(B89,Zutaten!$C:$F,4,FALSE),"")*C89</f>
        <v>23.8</v>
      </c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</row>
    <row r="90">
      <c r="A90" s="61" t="s">
        <v>25</v>
      </c>
      <c r="B90" s="61" t="s">
        <v>388</v>
      </c>
      <c r="C90" s="62">
        <v>2000.0</v>
      </c>
      <c r="D90" s="63" t="s">
        <v>539</v>
      </c>
      <c r="E90" s="64">
        <v>0.0</v>
      </c>
      <c r="F90" s="65">
        <f t="shared" si="1"/>
        <v>2000</v>
      </c>
      <c r="G90" s="66">
        <f>IF(B90&lt;&gt;"",VLOOKUP(B90,Zutaten!$C:$F,4,FALSE),"")*C90</f>
        <v>37.24</v>
      </c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</row>
    <row r="91">
      <c r="A91" s="61" t="s">
        <v>25</v>
      </c>
      <c r="B91" s="61" t="s">
        <v>377</v>
      </c>
      <c r="C91" s="62">
        <v>2000.0</v>
      </c>
      <c r="D91" s="63" t="s">
        <v>539</v>
      </c>
      <c r="E91" s="64">
        <v>0.0</v>
      </c>
      <c r="F91" s="65">
        <f t="shared" si="1"/>
        <v>2000</v>
      </c>
      <c r="G91" s="66">
        <f>IF(B91&lt;&gt;"",VLOOKUP(B91,Zutaten!$C:$F,4,FALSE),"")*C91</f>
        <v>20.44</v>
      </c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</row>
    <row r="92">
      <c r="A92" s="61" t="s">
        <v>25</v>
      </c>
      <c r="B92" s="61" t="s">
        <v>445</v>
      </c>
      <c r="C92" s="62">
        <v>2000.0</v>
      </c>
      <c r="D92" s="63" t="s">
        <v>539</v>
      </c>
      <c r="E92" s="64">
        <v>0.0</v>
      </c>
      <c r="F92" s="65">
        <f t="shared" si="1"/>
        <v>2000</v>
      </c>
      <c r="G92" s="66">
        <f>IF(B92&lt;&gt;"",VLOOKUP(B92,Zutaten!$C:$F,4,FALSE),"")*C92</f>
        <v>8.933333333</v>
      </c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</row>
    <row r="93">
      <c r="A93" s="61" t="s">
        <v>25</v>
      </c>
      <c r="B93" s="61" t="s">
        <v>442</v>
      </c>
      <c r="C93" s="62">
        <v>50.0</v>
      </c>
      <c r="D93" s="63" t="s">
        <v>539</v>
      </c>
      <c r="E93" s="64">
        <v>0.0</v>
      </c>
      <c r="F93" s="65">
        <f t="shared" si="1"/>
        <v>50</v>
      </c>
      <c r="G93" s="66">
        <f>IF(B93&lt;&gt;"",VLOOKUP(B93,Zutaten!$C:$F,4,FALSE),"")*C93</f>
        <v>1.62</v>
      </c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</row>
    <row r="94">
      <c r="A94" s="61" t="s">
        <v>25</v>
      </c>
      <c r="B94" s="61" t="s">
        <v>434</v>
      </c>
      <c r="C94" s="62">
        <v>150.0</v>
      </c>
      <c r="D94" s="63" t="s">
        <v>539</v>
      </c>
      <c r="E94" s="64">
        <v>0.0</v>
      </c>
      <c r="F94" s="65">
        <f t="shared" si="1"/>
        <v>150</v>
      </c>
      <c r="G94" s="66">
        <f>IF(B94&lt;&gt;"",VLOOKUP(B94,Zutaten!$C:$F,4,FALSE),"")*C94</f>
        <v>4.327777778</v>
      </c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</row>
    <row r="95">
      <c r="A95" s="61" t="s">
        <v>25</v>
      </c>
      <c r="B95" s="61" t="s">
        <v>321</v>
      </c>
      <c r="C95" s="62">
        <v>10.0</v>
      </c>
      <c r="D95" s="63" t="s">
        <v>539</v>
      </c>
      <c r="E95" s="64">
        <v>0.0</v>
      </c>
      <c r="F95" s="65">
        <f t="shared" si="1"/>
        <v>10</v>
      </c>
      <c r="G95" s="66">
        <f>IF(B95&lt;&gt;"",VLOOKUP(B95,Zutaten!$C:$F,4,FALSE),"")*C95</f>
        <v>0.4294736842</v>
      </c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</row>
    <row r="96">
      <c r="A96" s="61" t="s">
        <v>25</v>
      </c>
      <c r="B96" s="61" t="s">
        <v>529</v>
      </c>
      <c r="C96" s="62">
        <v>150.0</v>
      </c>
      <c r="D96" s="63" t="s">
        <v>539</v>
      </c>
      <c r="E96" s="64">
        <v>0.0</v>
      </c>
      <c r="F96" s="65">
        <f t="shared" si="1"/>
        <v>150</v>
      </c>
      <c r="G96" s="66">
        <f>IF(B96&lt;&gt;"",VLOOKUP(B96,Zutaten!$C:$F,4,FALSE),"")*C96</f>
        <v>1.56</v>
      </c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</row>
    <row r="97">
      <c r="A97" s="61" t="s">
        <v>25</v>
      </c>
      <c r="B97" s="61" t="s">
        <v>393</v>
      </c>
      <c r="C97" s="62">
        <v>150.0</v>
      </c>
      <c r="D97" s="63" t="s">
        <v>539</v>
      </c>
      <c r="E97" s="64">
        <v>0.0</v>
      </c>
      <c r="F97" s="65">
        <f t="shared" si="1"/>
        <v>150</v>
      </c>
      <c r="G97" s="66">
        <f>IF(B97&lt;&gt;"",VLOOKUP(B97,Zutaten!$C:$F,4,FALSE),"")*C97</f>
        <v>3.19137931</v>
      </c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</row>
    <row r="98">
      <c r="A98" s="61" t="s">
        <v>25</v>
      </c>
      <c r="B98" s="61" t="s">
        <v>467</v>
      </c>
      <c r="C98" s="62">
        <v>100.0</v>
      </c>
      <c r="D98" s="63" t="s">
        <v>539</v>
      </c>
      <c r="E98" s="64">
        <v>0.0</v>
      </c>
      <c r="F98" s="65">
        <f t="shared" si="1"/>
        <v>100</v>
      </c>
      <c r="G98" s="66">
        <f>IF(B98&lt;&gt;"",VLOOKUP(B98,Zutaten!$C:$F,4,FALSE),"")*C98</f>
        <v>0.0368</v>
      </c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</row>
    <row r="99">
      <c r="A99" s="61" t="s">
        <v>25</v>
      </c>
      <c r="B99" s="61" t="s">
        <v>291</v>
      </c>
      <c r="C99" s="62">
        <v>4000.0</v>
      </c>
      <c r="D99" s="63" t="s">
        <v>540</v>
      </c>
      <c r="E99" s="64">
        <v>0.5</v>
      </c>
      <c r="F99" s="65">
        <f t="shared" si="1"/>
        <v>2000</v>
      </c>
      <c r="G99" s="66">
        <f>IF(B99&lt;&gt;"",VLOOKUP(B99,Zutaten!$C:$F,4,FALSE),"")*C99</f>
        <v>6.28</v>
      </c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</row>
    <row r="100">
      <c r="A100" s="61" t="s">
        <v>25</v>
      </c>
      <c r="B100" s="61" t="s">
        <v>521</v>
      </c>
      <c r="C100" s="62">
        <v>1400.0</v>
      </c>
      <c r="D100" s="63" t="s">
        <v>540</v>
      </c>
      <c r="E100" s="64">
        <v>0.5</v>
      </c>
      <c r="F100" s="65">
        <f t="shared" si="1"/>
        <v>700</v>
      </c>
      <c r="G100" s="66">
        <f>IF(B100&lt;&gt;"",VLOOKUP(B100,Zutaten!$C:$F,4,FALSE),"")*C100</f>
        <v>16.786</v>
      </c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</row>
    <row r="101">
      <c r="A101" s="61" t="s">
        <v>25</v>
      </c>
      <c r="B101" s="61" t="s">
        <v>459</v>
      </c>
      <c r="C101" s="62">
        <v>4000.0</v>
      </c>
      <c r="D101" s="63" t="s">
        <v>539</v>
      </c>
      <c r="E101" s="64">
        <v>0.0</v>
      </c>
      <c r="F101" s="65">
        <f t="shared" si="1"/>
        <v>4000</v>
      </c>
      <c r="G101" s="66">
        <f>IF(B101&lt;&gt;"",VLOOKUP(B101,Zutaten!$C:$F,4,FALSE),"")*C101</f>
        <v>9.68</v>
      </c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</row>
    <row r="102">
      <c r="A102" s="61" t="s">
        <v>25</v>
      </c>
      <c r="B102" s="61" t="s">
        <v>324</v>
      </c>
      <c r="C102" s="62">
        <v>2000.0</v>
      </c>
      <c r="D102" s="63" t="s">
        <v>540</v>
      </c>
      <c r="E102" s="64">
        <v>0.5</v>
      </c>
      <c r="F102" s="65">
        <f t="shared" si="1"/>
        <v>1000</v>
      </c>
      <c r="G102" s="66">
        <f>IF(B102&lt;&gt;"",VLOOKUP(B102,Zutaten!$C:$F,4,FALSE),"")*C102</f>
        <v>3.02</v>
      </c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</row>
    <row r="103">
      <c r="A103" s="61" t="s">
        <v>26</v>
      </c>
      <c r="B103" s="61" t="s">
        <v>505</v>
      </c>
      <c r="C103" s="62">
        <v>4000.0</v>
      </c>
      <c r="D103" s="63" t="s">
        <v>539</v>
      </c>
      <c r="E103" s="64">
        <v>0.0</v>
      </c>
      <c r="F103" s="65">
        <f t="shared" si="1"/>
        <v>4000</v>
      </c>
      <c r="G103" s="66">
        <f>IF(B103&lt;&gt;"",VLOOKUP(B103,Zutaten!$C:$F,4,FALSE),"")*C103</f>
        <v>11.4</v>
      </c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</row>
    <row r="104">
      <c r="A104" s="61" t="s">
        <v>26</v>
      </c>
      <c r="B104" s="61" t="s">
        <v>482</v>
      </c>
      <c r="C104" s="62">
        <v>2000.0</v>
      </c>
      <c r="D104" s="63" t="s">
        <v>539</v>
      </c>
      <c r="E104" s="64">
        <v>0.0</v>
      </c>
      <c r="F104" s="65">
        <f t="shared" si="1"/>
        <v>2000</v>
      </c>
      <c r="G104" s="66">
        <f>IF(B104&lt;&gt;"",VLOOKUP(B104,Zutaten!$C:$F,4,FALSE),"")*C104</f>
        <v>6.44</v>
      </c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</row>
    <row r="105">
      <c r="A105" s="61" t="s">
        <v>26</v>
      </c>
      <c r="B105" s="61" t="s">
        <v>322</v>
      </c>
      <c r="C105" s="62">
        <v>400.0</v>
      </c>
      <c r="D105" s="63" t="s">
        <v>539</v>
      </c>
      <c r="E105" s="64">
        <v>0.0</v>
      </c>
      <c r="F105" s="65">
        <f t="shared" si="1"/>
        <v>400</v>
      </c>
      <c r="G105" s="66">
        <f>IF(B105&lt;&gt;"",VLOOKUP(B105,Zutaten!$C:$F,4,FALSE),"")*C105</f>
        <v>3.515294118</v>
      </c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</row>
    <row r="106">
      <c r="A106" s="61" t="s">
        <v>26</v>
      </c>
      <c r="B106" s="61" t="s">
        <v>406</v>
      </c>
      <c r="C106" s="62">
        <v>592.0</v>
      </c>
      <c r="D106" s="63" t="s">
        <v>540</v>
      </c>
      <c r="E106" s="64">
        <v>0.0</v>
      </c>
      <c r="F106" s="65">
        <f t="shared" si="1"/>
        <v>592</v>
      </c>
      <c r="G106" s="66">
        <f>IF(B106&lt;&gt;"",VLOOKUP(B106,Zutaten!$C:$F,4,FALSE),"")*C106</f>
        <v>23.8</v>
      </c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</row>
    <row r="107">
      <c r="A107" s="61" t="s">
        <v>26</v>
      </c>
      <c r="B107" s="61" t="s">
        <v>388</v>
      </c>
      <c r="C107" s="62">
        <v>2000.0</v>
      </c>
      <c r="D107" s="63" t="s">
        <v>539</v>
      </c>
      <c r="E107" s="64">
        <v>0.0</v>
      </c>
      <c r="F107" s="65">
        <f t="shared" si="1"/>
        <v>2000</v>
      </c>
      <c r="G107" s="66">
        <f>IF(B107&lt;&gt;"",VLOOKUP(B107,Zutaten!$C:$F,4,FALSE),"")*C107</f>
        <v>37.24</v>
      </c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</row>
    <row r="108">
      <c r="A108" s="61" t="s">
        <v>26</v>
      </c>
      <c r="B108" s="61" t="s">
        <v>377</v>
      </c>
      <c r="C108" s="62">
        <v>2000.0</v>
      </c>
      <c r="D108" s="63" t="s">
        <v>539</v>
      </c>
      <c r="E108" s="64">
        <v>0.0</v>
      </c>
      <c r="F108" s="65">
        <f t="shared" si="1"/>
        <v>2000</v>
      </c>
      <c r="G108" s="66">
        <f>IF(B108&lt;&gt;"",VLOOKUP(B108,Zutaten!$C:$F,4,FALSE),"")*C108</f>
        <v>20.44</v>
      </c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</row>
    <row r="109">
      <c r="A109" s="61" t="s">
        <v>26</v>
      </c>
      <c r="B109" s="61" t="s">
        <v>445</v>
      </c>
      <c r="C109" s="62">
        <v>2000.0</v>
      </c>
      <c r="D109" s="63" t="s">
        <v>539</v>
      </c>
      <c r="E109" s="64">
        <v>0.0</v>
      </c>
      <c r="F109" s="65">
        <f t="shared" si="1"/>
        <v>2000</v>
      </c>
      <c r="G109" s="66">
        <f>IF(B109&lt;&gt;"",VLOOKUP(B109,Zutaten!$C:$F,4,FALSE),"")*C109</f>
        <v>8.933333333</v>
      </c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</row>
    <row r="110">
      <c r="A110" s="61" t="s">
        <v>26</v>
      </c>
      <c r="B110" s="61" t="s">
        <v>442</v>
      </c>
      <c r="C110" s="62">
        <v>50.0</v>
      </c>
      <c r="D110" s="63" t="s">
        <v>539</v>
      </c>
      <c r="E110" s="64">
        <v>0.0</v>
      </c>
      <c r="F110" s="65">
        <f t="shared" si="1"/>
        <v>50</v>
      </c>
      <c r="G110" s="66">
        <f>IF(B110&lt;&gt;"",VLOOKUP(B110,Zutaten!$C:$F,4,FALSE),"")*C110</f>
        <v>1.62</v>
      </c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</row>
    <row r="111">
      <c r="A111" s="61" t="s">
        <v>26</v>
      </c>
      <c r="B111" s="61" t="s">
        <v>434</v>
      </c>
      <c r="C111" s="62">
        <v>150.0</v>
      </c>
      <c r="D111" s="63" t="s">
        <v>539</v>
      </c>
      <c r="E111" s="64">
        <v>0.0</v>
      </c>
      <c r="F111" s="65">
        <f t="shared" si="1"/>
        <v>150</v>
      </c>
      <c r="G111" s="66">
        <f>IF(B111&lt;&gt;"",VLOOKUP(B111,Zutaten!$C:$F,4,FALSE),"")*C111</f>
        <v>4.327777778</v>
      </c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</row>
    <row r="112">
      <c r="A112" s="61" t="s">
        <v>26</v>
      </c>
      <c r="B112" s="61" t="s">
        <v>321</v>
      </c>
      <c r="C112" s="62">
        <v>10.0</v>
      </c>
      <c r="D112" s="63" t="s">
        <v>539</v>
      </c>
      <c r="E112" s="64">
        <v>0.0</v>
      </c>
      <c r="F112" s="65">
        <f t="shared" si="1"/>
        <v>10</v>
      </c>
      <c r="G112" s="66">
        <f>IF(B112&lt;&gt;"",VLOOKUP(B112,Zutaten!$C:$F,4,FALSE),"")*C112</f>
        <v>0.4294736842</v>
      </c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</row>
    <row r="113">
      <c r="A113" s="61" t="s">
        <v>26</v>
      </c>
      <c r="B113" s="61" t="s">
        <v>529</v>
      </c>
      <c r="C113" s="62">
        <v>150.0</v>
      </c>
      <c r="D113" s="63" t="s">
        <v>539</v>
      </c>
      <c r="E113" s="64">
        <v>0.0</v>
      </c>
      <c r="F113" s="65">
        <f t="shared" si="1"/>
        <v>150</v>
      </c>
      <c r="G113" s="66">
        <f>IF(B113&lt;&gt;"",VLOOKUP(B113,Zutaten!$C:$F,4,FALSE),"")*C113</f>
        <v>1.56</v>
      </c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</row>
    <row r="114">
      <c r="A114" s="61" t="s">
        <v>26</v>
      </c>
      <c r="B114" s="61" t="s">
        <v>393</v>
      </c>
      <c r="C114" s="62">
        <v>150.0</v>
      </c>
      <c r="D114" s="63" t="s">
        <v>539</v>
      </c>
      <c r="E114" s="64">
        <v>0.0</v>
      </c>
      <c r="F114" s="65">
        <f t="shared" si="1"/>
        <v>150</v>
      </c>
      <c r="G114" s="66">
        <f>IF(B114&lt;&gt;"",VLOOKUP(B114,Zutaten!$C:$F,4,FALSE),"")*C114</f>
        <v>3.19137931</v>
      </c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</row>
    <row r="115">
      <c r="A115" s="61" t="s">
        <v>26</v>
      </c>
      <c r="B115" s="61" t="s">
        <v>467</v>
      </c>
      <c r="C115" s="62">
        <v>100.0</v>
      </c>
      <c r="D115" s="63" t="s">
        <v>539</v>
      </c>
      <c r="E115" s="64">
        <v>0.0</v>
      </c>
      <c r="F115" s="65">
        <f t="shared" si="1"/>
        <v>100</v>
      </c>
      <c r="G115" s="66">
        <f>IF(B115&lt;&gt;"",VLOOKUP(B115,Zutaten!$C:$F,4,FALSE),"")*C115</f>
        <v>0.0368</v>
      </c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</row>
    <row r="116">
      <c r="A116" s="61" t="s">
        <v>26</v>
      </c>
      <c r="B116" s="61" t="s">
        <v>291</v>
      </c>
      <c r="C116" s="62">
        <v>4000.0</v>
      </c>
      <c r="D116" s="63" t="s">
        <v>540</v>
      </c>
      <c r="E116" s="64">
        <v>0.0</v>
      </c>
      <c r="F116" s="65">
        <f t="shared" si="1"/>
        <v>4000</v>
      </c>
      <c r="G116" s="66">
        <f>IF(B116&lt;&gt;"",VLOOKUP(B116,Zutaten!$C:$F,4,FALSE),"")*C116</f>
        <v>6.28</v>
      </c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</row>
    <row r="117">
      <c r="A117" s="61" t="s">
        <v>26</v>
      </c>
      <c r="B117" s="61" t="s">
        <v>521</v>
      </c>
      <c r="C117" s="62">
        <v>1400.0</v>
      </c>
      <c r="D117" s="63" t="s">
        <v>540</v>
      </c>
      <c r="E117" s="64">
        <v>0.0</v>
      </c>
      <c r="F117" s="65">
        <f t="shared" si="1"/>
        <v>1400</v>
      </c>
      <c r="G117" s="66">
        <f>IF(B117&lt;&gt;"",VLOOKUP(B117,Zutaten!$C:$F,4,FALSE),"")*C117</f>
        <v>16.786</v>
      </c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</row>
    <row r="118">
      <c r="A118" s="61" t="s">
        <v>26</v>
      </c>
      <c r="B118" s="61" t="s">
        <v>459</v>
      </c>
      <c r="C118" s="62">
        <v>4000.0</v>
      </c>
      <c r="D118" s="63" t="s">
        <v>539</v>
      </c>
      <c r="E118" s="64">
        <v>0.0</v>
      </c>
      <c r="F118" s="65">
        <f t="shared" si="1"/>
        <v>4000</v>
      </c>
      <c r="G118" s="66">
        <f>IF(B118&lt;&gt;"",VLOOKUP(B118,Zutaten!$C:$F,4,FALSE),"")*C118</f>
        <v>9.68</v>
      </c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</row>
    <row r="119">
      <c r="A119" s="61" t="s">
        <v>26</v>
      </c>
      <c r="B119" s="61" t="s">
        <v>324</v>
      </c>
      <c r="C119" s="62">
        <v>2000.0</v>
      </c>
      <c r="D119" s="63" t="s">
        <v>540</v>
      </c>
      <c r="E119" s="64">
        <v>0.0</v>
      </c>
      <c r="F119" s="65">
        <f t="shared" si="1"/>
        <v>2000</v>
      </c>
      <c r="G119" s="66">
        <f>IF(B119&lt;&gt;"",VLOOKUP(B119,Zutaten!$C:$F,4,FALSE),"")*C119</f>
        <v>3.02</v>
      </c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</row>
    <row r="120">
      <c r="A120" s="61" t="s">
        <v>26</v>
      </c>
      <c r="B120" s="63" t="s">
        <v>425</v>
      </c>
      <c r="C120" s="63">
        <v>3.0</v>
      </c>
      <c r="D120" s="63" t="s">
        <v>539</v>
      </c>
      <c r="E120" s="64">
        <v>0.0</v>
      </c>
      <c r="F120" s="65">
        <f t="shared" si="1"/>
        <v>3</v>
      </c>
      <c r="G120" s="66">
        <f>IF(B120&lt;&gt;"",VLOOKUP(B120,Zutaten!$C:$F,4,FALSE),"")*C120</f>
        <v>0.18195</v>
      </c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</row>
    <row r="121">
      <c r="A121" s="61" t="s">
        <v>26</v>
      </c>
      <c r="B121" s="63" t="s">
        <v>495</v>
      </c>
      <c r="C121" s="63">
        <v>4.0</v>
      </c>
      <c r="D121" s="63" t="s">
        <v>539</v>
      </c>
      <c r="E121" s="64">
        <v>0.0</v>
      </c>
      <c r="F121" s="65">
        <f t="shared" si="1"/>
        <v>4</v>
      </c>
      <c r="G121" s="66">
        <f>IF(B121&lt;&gt;"",VLOOKUP(B121,Zutaten!$C:$F,4,FALSE),"")*C121</f>
        <v>0.05276595745</v>
      </c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</row>
    <row r="122">
      <c r="A122" s="61" t="s">
        <v>26</v>
      </c>
      <c r="B122" s="63" t="s">
        <v>512</v>
      </c>
      <c r="C122" s="63">
        <v>5.0</v>
      </c>
      <c r="D122" s="63" t="s">
        <v>539</v>
      </c>
      <c r="E122" s="64">
        <v>0.0</v>
      </c>
      <c r="F122" s="65">
        <f t="shared" si="1"/>
        <v>5</v>
      </c>
      <c r="G122" s="66">
        <f>IF(B122&lt;&gt;"",VLOOKUP(B122,Zutaten!$C:$F,4,FALSE),"")*C122</f>
        <v>0.1385</v>
      </c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</row>
    <row r="123">
      <c r="A123" s="61" t="s">
        <v>26</v>
      </c>
      <c r="B123" s="73" t="s">
        <v>407</v>
      </c>
      <c r="C123" s="63">
        <v>3.0</v>
      </c>
      <c r="D123" s="63" t="s">
        <v>539</v>
      </c>
      <c r="E123" s="64">
        <v>0.0</v>
      </c>
      <c r="F123" s="65">
        <f t="shared" si="1"/>
        <v>3</v>
      </c>
      <c r="G123" s="66">
        <f>IF(B123&lt;&gt;"",VLOOKUP(B123,Zutaten!$C:$F,4,FALSE),"")*C123</f>
        <v>0.2145</v>
      </c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</row>
    <row r="124">
      <c r="A124" s="61" t="s">
        <v>26</v>
      </c>
      <c r="B124" s="63" t="s">
        <v>382</v>
      </c>
      <c r="C124" s="63">
        <v>4.0</v>
      </c>
      <c r="D124" s="63" t="s">
        <v>539</v>
      </c>
      <c r="E124" s="64">
        <v>0.0</v>
      </c>
      <c r="F124" s="65">
        <f t="shared" si="1"/>
        <v>4</v>
      </c>
      <c r="G124" s="66">
        <f>IF(B124&lt;&gt;"",VLOOKUP(B124,Zutaten!$C:$F,4,FALSE),"")*C124</f>
        <v>0.6636</v>
      </c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</row>
    <row r="125">
      <c r="A125" s="61" t="s">
        <v>26</v>
      </c>
      <c r="B125" s="20" t="s">
        <v>327</v>
      </c>
      <c r="C125" s="63">
        <v>2000.0</v>
      </c>
      <c r="D125" s="63" t="s">
        <v>539</v>
      </c>
      <c r="E125" s="64">
        <v>0.0</v>
      </c>
      <c r="F125" s="65">
        <f t="shared" si="1"/>
        <v>2000</v>
      </c>
      <c r="G125" s="66">
        <f>IF(B125&lt;&gt;"",VLOOKUP(B125,Zutaten!$C:$F,4,FALSE),"")*C125</f>
        <v>26.58</v>
      </c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</row>
    <row r="126">
      <c r="A126" s="18" t="s">
        <v>29</v>
      </c>
      <c r="B126" s="18" t="s">
        <v>116</v>
      </c>
      <c r="C126" s="68">
        <v>10.0</v>
      </c>
      <c r="D126" s="63" t="s">
        <v>539</v>
      </c>
      <c r="E126" s="64">
        <v>0.0</v>
      </c>
      <c r="F126" s="65">
        <f t="shared" si="1"/>
        <v>10</v>
      </c>
      <c r="G126" s="66">
        <f>IF(B126&lt;&gt;"",VLOOKUP(B126,Zutaten!$C:$F,4,FALSE),"")*C126</f>
        <v>0.0399</v>
      </c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</row>
    <row r="127">
      <c r="A127" s="18" t="s">
        <v>33</v>
      </c>
      <c r="B127" s="18" t="s">
        <v>117</v>
      </c>
      <c r="C127" s="68">
        <v>10.0</v>
      </c>
      <c r="D127" s="63" t="s">
        <v>539</v>
      </c>
      <c r="E127" s="64">
        <v>0.0</v>
      </c>
      <c r="F127" s="65">
        <f t="shared" si="1"/>
        <v>10</v>
      </c>
      <c r="G127" s="66">
        <f>IF(B127&lt;&gt;"",VLOOKUP(B127,Zutaten!$C:$F,4,FALSE),"")*C127</f>
        <v>0.0509</v>
      </c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</row>
    <row r="128">
      <c r="A128" s="18" t="s">
        <v>35</v>
      </c>
      <c r="B128" s="18" t="s">
        <v>456</v>
      </c>
      <c r="C128" s="68">
        <v>500.0</v>
      </c>
      <c r="D128" s="63" t="s">
        <v>539</v>
      </c>
      <c r="E128" s="64">
        <v>0.0</v>
      </c>
      <c r="F128" s="65">
        <f t="shared" si="1"/>
        <v>500</v>
      </c>
      <c r="G128" s="66">
        <f>IF(B128&lt;&gt;"",VLOOKUP(B128,Zutaten!$C:$F,4,FALSE),"")*C128</f>
        <v>2.84</v>
      </c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</row>
    <row r="129">
      <c r="A129" s="18" t="s">
        <v>35</v>
      </c>
      <c r="B129" s="18" t="s">
        <v>448</v>
      </c>
      <c r="C129" s="68">
        <v>250.0</v>
      </c>
      <c r="D129" s="63" t="s">
        <v>539</v>
      </c>
      <c r="E129" s="64">
        <v>0.0</v>
      </c>
      <c r="F129" s="65">
        <f t="shared" si="1"/>
        <v>250</v>
      </c>
      <c r="G129" s="66">
        <f>IF(B129&lt;&gt;"",VLOOKUP(B129,Zutaten!$C:$F,4,FALSE),"")*C129</f>
        <v>0.7775</v>
      </c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</row>
    <row r="130">
      <c r="A130" s="18" t="s">
        <v>35</v>
      </c>
      <c r="B130" s="61" t="s">
        <v>440</v>
      </c>
      <c r="C130" s="68">
        <v>4.0</v>
      </c>
      <c r="D130" s="63" t="s">
        <v>539</v>
      </c>
      <c r="E130" s="64">
        <v>0.0</v>
      </c>
      <c r="F130" s="65">
        <f t="shared" si="1"/>
        <v>4</v>
      </c>
      <c r="G130" s="66">
        <f>IF(B130&lt;&gt;"",VLOOKUP(B130,Zutaten!$C:$F,4,FALSE),"")*C130</f>
        <v>0.0636</v>
      </c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</row>
    <row r="131">
      <c r="A131" s="18" t="s">
        <v>35</v>
      </c>
      <c r="B131" s="61" t="s">
        <v>25</v>
      </c>
      <c r="C131" s="68">
        <v>150.0</v>
      </c>
      <c r="D131" s="63" t="s">
        <v>539</v>
      </c>
      <c r="E131" s="64">
        <v>0.0</v>
      </c>
      <c r="F131" s="65">
        <f t="shared" si="1"/>
        <v>150</v>
      </c>
      <c r="G131" s="66">
        <f>IF(B131&lt;&gt;"",VLOOKUP(B131,Zutaten!$C:$F,4,FALSE),"")*C131</f>
        <v>1.117501114</v>
      </c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</row>
    <row r="132">
      <c r="A132" s="60" t="s">
        <v>30</v>
      </c>
      <c r="B132" s="18" t="s">
        <v>458</v>
      </c>
      <c r="C132" s="63">
        <v>12000.0</v>
      </c>
      <c r="D132" s="63" t="s">
        <v>539</v>
      </c>
      <c r="E132" s="64">
        <v>0.0</v>
      </c>
      <c r="F132" s="65">
        <f t="shared" si="1"/>
        <v>12000</v>
      </c>
      <c r="G132" s="66">
        <f>IF(B132&lt;&gt;"",VLOOKUP(B132,Zutaten!$C:$F,4,FALSE),"")*C132</f>
        <v>101.88</v>
      </c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</row>
    <row r="133">
      <c r="A133" s="60" t="s">
        <v>30</v>
      </c>
      <c r="B133" s="63" t="s">
        <v>25</v>
      </c>
      <c r="C133" s="63">
        <v>2000.0</v>
      </c>
      <c r="D133" s="63" t="s">
        <v>542</v>
      </c>
      <c r="E133" s="64">
        <v>0.0</v>
      </c>
      <c r="F133" s="65">
        <f t="shared" si="1"/>
        <v>2000</v>
      </c>
      <c r="G133" s="66">
        <f>IF(B133&lt;&gt;"",VLOOKUP(B133,Zutaten!$C:$F,4,FALSE),"")*C133</f>
        <v>14.90001486</v>
      </c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</row>
    <row r="134">
      <c r="A134" s="60" t="s">
        <v>30</v>
      </c>
      <c r="B134" s="20" t="s">
        <v>434</v>
      </c>
      <c r="C134" s="63">
        <v>10.0</v>
      </c>
      <c r="D134" s="63" t="s">
        <v>539</v>
      </c>
      <c r="E134" s="64">
        <v>0.0</v>
      </c>
      <c r="F134" s="65">
        <f t="shared" si="1"/>
        <v>10</v>
      </c>
      <c r="G134" s="66">
        <f>IF(B134&lt;&gt;"",VLOOKUP(B134,Zutaten!$C:$F,4,FALSE),"")*C134</f>
        <v>0.2885185185</v>
      </c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</row>
    <row r="135">
      <c r="A135" s="60" t="s">
        <v>30</v>
      </c>
      <c r="B135" s="20" t="s">
        <v>386</v>
      </c>
      <c r="C135" s="63">
        <v>50.0</v>
      </c>
      <c r="D135" s="63" t="s">
        <v>539</v>
      </c>
      <c r="E135" s="64">
        <v>0.0</v>
      </c>
      <c r="F135" s="65">
        <f t="shared" si="1"/>
        <v>50</v>
      </c>
      <c r="G135" s="66">
        <f>IF(B135&lt;&gt;"",VLOOKUP(B135,Zutaten!$C:$F,4,FALSE),"")*C135</f>
        <v>0.104</v>
      </c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</row>
    <row r="136">
      <c r="A136" s="60" t="s">
        <v>30</v>
      </c>
      <c r="B136" s="18" t="s">
        <v>518</v>
      </c>
      <c r="C136" s="63">
        <v>70.0</v>
      </c>
      <c r="D136" s="63" t="s">
        <v>539</v>
      </c>
      <c r="E136" s="64">
        <v>0.0</v>
      </c>
      <c r="F136" s="65">
        <f t="shared" si="1"/>
        <v>70</v>
      </c>
      <c r="G136" s="66">
        <f>IF(B136&lt;&gt;"",VLOOKUP(B136,Zutaten!$C:$F,4,FALSE),"")*C136</f>
        <v>0.05229</v>
      </c>
      <c r="H136" s="67"/>
      <c r="I136" s="63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</row>
    <row r="137">
      <c r="A137" s="60" t="s">
        <v>30</v>
      </c>
      <c r="B137" s="18" t="s">
        <v>510</v>
      </c>
      <c r="C137" s="63">
        <v>150.0</v>
      </c>
      <c r="D137" s="63" t="s">
        <v>539</v>
      </c>
      <c r="E137" s="64">
        <v>0.0</v>
      </c>
      <c r="F137" s="65">
        <f t="shared" si="1"/>
        <v>150</v>
      </c>
      <c r="G137" s="66">
        <f>IF(B137&lt;&gt;"",VLOOKUP(B137,Zutaten!$C:$F,4,FALSE),"")*C137</f>
        <v>0.696</v>
      </c>
      <c r="H137" s="67"/>
      <c r="I137" s="63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</row>
    <row r="138">
      <c r="A138" s="60" t="s">
        <v>30</v>
      </c>
      <c r="B138" s="20" t="s">
        <v>433</v>
      </c>
      <c r="C138" s="63">
        <v>500.0</v>
      </c>
      <c r="D138" s="63" t="s">
        <v>539</v>
      </c>
      <c r="E138" s="64">
        <v>0.0</v>
      </c>
      <c r="F138" s="65">
        <f t="shared" si="1"/>
        <v>500</v>
      </c>
      <c r="G138" s="66">
        <f>IF(B138&lt;&gt;"",VLOOKUP(B138,Zutaten!$C:$F,4,FALSE),"")*C138</f>
        <v>2.845</v>
      </c>
      <c r="H138" s="67"/>
      <c r="I138" s="63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</row>
    <row r="139">
      <c r="A139" s="60" t="s">
        <v>30</v>
      </c>
      <c r="B139" s="60" t="s">
        <v>243</v>
      </c>
      <c r="C139" s="68">
        <v>10.0</v>
      </c>
      <c r="D139" s="63" t="s">
        <v>539</v>
      </c>
      <c r="E139" s="64">
        <v>0.0</v>
      </c>
      <c r="F139" s="65">
        <f t="shared" si="1"/>
        <v>10</v>
      </c>
      <c r="G139" s="66">
        <f>IF(B139&lt;&gt;"",VLOOKUP(B139,Zutaten!$C:$F,4,FALSE),"")*C139</f>
        <v>0.02491089344</v>
      </c>
      <c r="H139" s="67"/>
      <c r="I139" s="63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</row>
    <row r="140">
      <c r="A140" s="60" t="s">
        <v>30</v>
      </c>
      <c r="B140" s="18" t="s">
        <v>467</v>
      </c>
      <c r="C140" s="63">
        <v>10.0</v>
      </c>
      <c r="D140" s="63" t="s">
        <v>539</v>
      </c>
      <c r="E140" s="64">
        <v>0.0</v>
      </c>
      <c r="F140" s="65">
        <f t="shared" si="1"/>
        <v>10</v>
      </c>
      <c r="G140" s="66">
        <f>IF(B140&lt;&gt;"",VLOOKUP(B140,Zutaten!$C:$F,4,FALSE),"")*C140</f>
        <v>0.00368</v>
      </c>
      <c r="H140" s="67"/>
      <c r="I140" s="63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</row>
    <row r="141">
      <c r="A141" s="63" t="s">
        <v>31</v>
      </c>
      <c r="B141" s="63" t="s">
        <v>309</v>
      </c>
      <c r="C141" s="63">
        <v>1000.0</v>
      </c>
      <c r="D141" s="63" t="s">
        <v>539</v>
      </c>
      <c r="E141" s="64">
        <v>0.0</v>
      </c>
      <c r="F141" s="65">
        <f t="shared" si="1"/>
        <v>1000</v>
      </c>
      <c r="G141" s="66">
        <f>IF(B141&lt;&gt;"",VLOOKUP(B141,Zutaten!$C:$F,4,FALSE),"")*C141</f>
        <v>2.5</v>
      </c>
      <c r="H141" s="67"/>
      <c r="I141" s="63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</row>
    <row r="142">
      <c r="A142" s="63" t="s">
        <v>31</v>
      </c>
      <c r="B142" s="63" t="s">
        <v>528</v>
      </c>
      <c r="C142" s="63">
        <v>500.0</v>
      </c>
      <c r="D142" s="63" t="s">
        <v>539</v>
      </c>
      <c r="E142" s="64">
        <v>0.0</v>
      </c>
      <c r="F142" s="65">
        <f t="shared" si="1"/>
        <v>500</v>
      </c>
      <c r="G142" s="66">
        <f>IF(B142&lt;&gt;"",VLOOKUP(B142,Zutaten!$C:$F,4,FALSE),"")*C142</f>
        <v>0.72</v>
      </c>
      <c r="H142" s="67"/>
      <c r="I142" s="63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</row>
    <row r="143">
      <c r="A143" s="63" t="s">
        <v>32</v>
      </c>
      <c r="B143" s="20" t="s">
        <v>395</v>
      </c>
      <c r="C143" s="63">
        <v>300.0</v>
      </c>
      <c r="D143" s="63" t="s">
        <v>539</v>
      </c>
      <c r="E143" s="64">
        <v>0.0</v>
      </c>
      <c r="F143" s="65">
        <f t="shared" si="1"/>
        <v>300</v>
      </c>
      <c r="G143" s="66">
        <f>IF(B143&lt;&gt;"",VLOOKUP(B143,Zutaten!$C:$F,4,FALSE),"")*C143</f>
        <v>1.14</v>
      </c>
      <c r="H143" s="67"/>
      <c r="I143" s="63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</row>
    <row r="144">
      <c r="A144" s="63" t="s">
        <v>32</v>
      </c>
      <c r="B144" s="18" t="s">
        <v>332</v>
      </c>
      <c r="C144" s="63">
        <v>300.0</v>
      </c>
      <c r="D144" s="63" t="s">
        <v>539</v>
      </c>
      <c r="E144" s="64">
        <v>0.0</v>
      </c>
      <c r="F144" s="65">
        <f t="shared" si="1"/>
        <v>300</v>
      </c>
      <c r="G144" s="66">
        <f>IF(B144&lt;&gt;"",VLOOKUP(B144,Zutaten!$C:$F,4,FALSE),"")*C144</f>
        <v>2.547</v>
      </c>
      <c r="H144" s="67"/>
      <c r="I144" s="63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</row>
    <row r="145">
      <c r="A145" s="63" t="s">
        <v>32</v>
      </c>
      <c r="B145" s="63" t="s">
        <v>528</v>
      </c>
      <c r="C145" s="63">
        <v>400.0</v>
      </c>
      <c r="D145" s="63" t="s">
        <v>539</v>
      </c>
      <c r="E145" s="64">
        <v>0.0</v>
      </c>
      <c r="F145" s="65">
        <f t="shared" si="1"/>
        <v>400</v>
      </c>
      <c r="G145" s="66">
        <f>IF(B145&lt;&gt;"",VLOOKUP(B145,Zutaten!$C:$F,4,FALSE),"")*C145</f>
        <v>0.576</v>
      </c>
      <c r="H145" s="67"/>
      <c r="I145" s="63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</row>
    <row r="146">
      <c r="A146" s="63" t="s">
        <v>32</v>
      </c>
      <c r="B146" s="63" t="s">
        <v>518</v>
      </c>
      <c r="C146" s="63">
        <v>200.0</v>
      </c>
      <c r="D146" s="63" t="s">
        <v>539</v>
      </c>
      <c r="E146" s="64">
        <v>0.0</v>
      </c>
      <c r="F146" s="65">
        <f t="shared" si="1"/>
        <v>200</v>
      </c>
      <c r="G146" s="66">
        <f>IF(B146&lt;&gt;"",VLOOKUP(B146,Zutaten!$C:$F,4,FALSE),"")*C146</f>
        <v>0.1494</v>
      </c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</row>
    <row r="147">
      <c r="A147" s="63" t="s">
        <v>32</v>
      </c>
      <c r="B147" s="18" t="s">
        <v>381</v>
      </c>
      <c r="C147" s="63">
        <v>100.0</v>
      </c>
      <c r="D147" s="63" t="s">
        <v>539</v>
      </c>
      <c r="E147" s="64">
        <v>0.0</v>
      </c>
      <c r="F147" s="65">
        <f t="shared" si="1"/>
        <v>100</v>
      </c>
      <c r="G147" s="66">
        <f>IF(B147&lt;&gt;"",VLOOKUP(B147,Zutaten!$C:$F,4,FALSE),"")*C147</f>
        <v>2.241</v>
      </c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</row>
    <row r="148">
      <c r="A148" s="63" t="s">
        <v>32</v>
      </c>
      <c r="B148" s="20" t="s">
        <v>386</v>
      </c>
      <c r="C148" s="63">
        <v>150.0</v>
      </c>
      <c r="D148" s="63" t="s">
        <v>539</v>
      </c>
      <c r="E148" s="64">
        <v>0.0</v>
      </c>
      <c r="F148" s="65">
        <f t="shared" si="1"/>
        <v>150</v>
      </c>
      <c r="G148" s="66">
        <f>IF(B148&lt;&gt;"",VLOOKUP(B148,Zutaten!$C:$F,4,FALSE),"")*C148</f>
        <v>0.312</v>
      </c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</row>
    <row r="149">
      <c r="A149" s="63" t="s">
        <v>32</v>
      </c>
      <c r="B149" s="63" t="s">
        <v>301</v>
      </c>
      <c r="C149" s="63">
        <v>40.0</v>
      </c>
      <c r="D149" s="63" t="s">
        <v>539</v>
      </c>
      <c r="E149" s="64">
        <v>0.0</v>
      </c>
      <c r="F149" s="65">
        <f t="shared" si="1"/>
        <v>40</v>
      </c>
      <c r="G149" s="66">
        <f>IF(B149&lt;&gt;"",VLOOKUP(B149,Zutaten!$C:$F,4,FALSE),"")*C149</f>
        <v>0.2596</v>
      </c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</row>
    <row r="150">
      <c r="A150" s="18" t="s">
        <v>36</v>
      </c>
      <c r="B150" s="18" t="s">
        <v>20</v>
      </c>
      <c r="C150" s="68">
        <v>190.0</v>
      </c>
      <c r="D150" s="63" t="s">
        <v>539</v>
      </c>
      <c r="E150" s="64">
        <v>0.0</v>
      </c>
      <c r="F150" s="65">
        <f t="shared" si="1"/>
        <v>190</v>
      </c>
      <c r="G150" s="66">
        <f>IF(B150&lt;&gt;"",VLOOKUP(B150,Zutaten!$C:$F,4,FALSE),"")*C150</f>
        <v>0.9664078649</v>
      </c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</row>
    <row r="151">
      <c r="A151" s="18" t="s">
        <v>36</v>
      </c>
      <c r="B151" s="18" t="s">
        <v>300</v>
      </c>
      <c r="C151" s="68">
        <v>20.0</v>
      </c>
      <c r="D151" s="63" t="s">
        <v>539</v>
      </c>
      <c r="E151" s="64">
        <v>0.0</v>
      </c>
      <c r="F151" s="65">
        <f t="shared" si="1"/>
        <v>20</v>
      </c>
      <c r="G151" s="66">
        <f>IF(B151&lt;&gt;"",VLOOKUP(B151,Zutaten!$C:$F,4,FALSE),"")*C151</f>
        <v>0.284</v>
      </c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</row>
    <row r="152">
      <c r="A152" s="18" t="s">
        <v>36</v>
      </c>
      <c r="B152" s="18" t="s">
        <v>543</v>
      </c>
      <c r="C152" s="68">
        <v>230.0</v>
      </c>
      <c r="D152" s="63" t="s">
        <v>539</v>
      </c>
      <c r="E152" s="64">
        <v>0.0</v>
      </c>
      <c r="F152" s="65">
        <f t="shared" si="1"/>
        <v>230</v>
      </c>
      <c r="G152" s="66">
        <f>IF(B152&lt;&gt;"",VLOOKUP(B152,Zutaten!$C:$F,4,FALSE),"")*C152</f>
        <v>2.557502372</v>
      </c>
      <c r="H152" s="67"/>
      <c r="I152" s="63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</row>
    <row r="153">
      <c r="A153" s="18" t="s">
        <v>36</v>
      </c>
      <c r="B153" s="18" t="s">
        <v>400</v>
      </c>
      <c r="C153" s="68">
        <v>5.0</v>
      </c>
      <c r="D153" s="63" t="s">
        <v>539</v>
      </c>
      <c r="E153" s="64">
        <v>0.0</v>
      </c>
      <c r="F153" s="65">
        <f t="shared" si="1"/>
        <v>5</v>
      </c>
      <c r="G153" s="66">
        <f>IF(B153&lt;&gt;"",VLOOKUP(B153,Zutaten!$C:$F,4,FALSE),"")*C153</f>
        <v>0.0716</v>
      </c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</row>
    <row r="154">
      <c r="A154" s="18" t="s">
        <v>36</v>
      </c>
      <c r="B154" s="18" t="s">
        <v>38</v>
      </c>
      <c r="C154" s="68">
        <v>130.0</v>
      </c>
      <c r="D154" s="63" t="s">
        <v>539</v>
      </c>
      <c r="E154" s="64">
        <v>0.0</v>
      </c>
      <c r="F154" s="65">
        <f t="shared" si="1"/>
        <v>130</v>
      </c>
      <c r="G154" s="66">
        <f>IF(B154&lt;&gt;"",VLOOKUP(B154,Zutaten!$C:$F,4,FALSE),"")*C154</f>
        <v>0.4628</v>
      </c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</row>
    <row r="155">
      <c r="A155" s="18" t="s">
        <v>36</v>
      </c>
      <c r="B155" s="60" t="s">
        <v>237</v>
      </c>
      <c r="C155" s="68">
        <v>20.0</v>
      </c>
      <c r="D155" s="63" t="s">
        <v>539</v>
      </c>
      <c r="E155" s="64">
        <v>0.0</v>
      </c>
      <c r="F155" s="65">
        <f t="shared" si="1"/>
        <v>20</v>
      </c>
      <c r="G155" s="66">
        <f>IF(B155&lt;&gt;"",VLOOKUP(B155,Zutaten!$C:$F,4,FALSE),"")*C155</f>
        <v>0.2071251515</v>
      </c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</row>
    <row r="156">
      <c r="A156" s="60" t="s">
        <v>34</v>
      </c>
      <c r="B156" s="61" t="s">
        <v>514</v>
      </c>
      <c r="C156" s="62">
        <v>150.0</v>
      </c>
      <c r="D156" s="63" t="s">
        <v>540</v>
      </c>
      <c r="E156" s="64">
        <v>0.0</v>
      </c>
      <c r="F156" s="65">
        <f t="shared" si="1"/>
        <v>150</v>
      </c>
      <c r="G156" s="74">
        <v>0.0</v>
      </c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</row>
    <row r="157">
      <c r="A157" s="60" t="s">
        <v>34</v>
      </c>
      <c r="B157" s="61" t="s">
        <v>402</v>
      </c>
      <c r="C157" s="62">
        <v>1000.0</v>
      </c>
      <c r="D157" s="63" t="s">
        <v>539</v>
      </c>
      <c r="E157" s="64">
        <v>0.0</v>
      </c>
      <c r="F157" s="65">
        <f t="shared" si="1"/>
        <v>1000</v>
      </c>
      <c r="G157" s="66">
        <f>IF(B157&lt;&gt;"",VLOOKUP(B157,Zutaten!$C:$F,4,FALSE),"")*C157</f>
        <v>14.44</v>
      </c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</row>
    <row r="158">
      <c r="A158" s="60" t="s">
        <v>34</v>
      </c>
      <c r="B158" s="61" t="s">
        <v>314</v>
      </c>
      <c r="C158" s="62">
        <v>500.0</v>
      </c>
      <c r="D158" s="63" t="s">
        <v>539</v>
      </c>
      <c r="E158" s="64">
        <v>0.0</v>
      </c>
      <c r="F158" s="65">
        <f t="shared" si="1"/>
        <v>500</v>
      </c>
      <c r="G158" s="66">
        <f>IF(B158&lt;&gt;"",VLOOKUP(B158,Zutaten!$C:$F,4,FALSE),"")*C158</f>
        <v>3.6</v>
      </c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</row>
    <row r="159">
      <c r="A159" s="60" t="s">
        <v>34</v>
      </c>
      <c r="B159" s="61" t="s">
        <v>510</v>
      </c>
      <c r="C159" s="62">
        <v>1000.0</v>
      </c>
      <c r="D159" s="63" t="s">
        <v>540</v>
      </c>
      <c r="E159" s="64">
        <v>0.0</v>
      </c>
      <c r="F159" s="65">
        <f t="shared" si="1"/>
        <v>1000</v>
      </c>
      <c r="G159" s="66">
        <f>IF(B159&lt;&gt;"",VLOOKUP(B159,Zutaten!$C:$F,4,FALSE),"")*C159</f>
        <v>4.64</v>
      </c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</row>
    <row r="160">
      <c r="A160" s="60" t="s">
        <v>34</v>
      </c>
      <c r="B160" s="61" t="s">
        <v>528</v>
      </c>
      <c r="C160" s="62">
        <v>400.0</v>
      </c>
      <c r="D160" s="63" t="s">
        <v>539</v>
      </c>
      <c r="E160" s="64">
        <v>0.0</v>
      </c>
      <c r="F160" s="65">
        <f t="shared" si="1"/>
        <v>400</v>
      </c>
      <c r="G160" s="66">
        <f>IF(B160&lt;&gt;"",VLOOKUP(B160,Zutaten!$C:$F,4,FALSE),"")*C160</f>
        <v>0.576</v>
      </c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</row>
    <row r="161">
      <c r="A161" s="60" t="s">
        <v>34</v>
      </c>
      <c r="B161" s="61" t="s">
        <v>511</v>
      </c>
      <c r="C161" s="62">
        <v>150.0</v>
      </c>
      <c r="D161" s="63" t="s">
        <v>540</v>
      </c>
      <c r="E161" s="64">
        <v>0.0</v>
      </c>
      <c r="F161" s="65">
        <f t="shared" si="1"/>
        <v>150</v>
      </c>
      <c r="G161" s="66">
        <f>IF(B161&lt;&gt;"",VLOOKUP(B161,Zutaten!$C:$F,4,FALSE),"")*C161</f>
        <v>0.1785</v>
      </c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</row>
    <row r="162">
      <c r="A162" s="60" t="s">
        <v>34</v>
      </c>
      <c r="B162" s="61" t="s">
        <v>518</v>
      </c>
      <c r="C162" s="62">
        <v>200.0</v>
      </c>
      <c r="D162" s="63" t="s">
        <v>539</v>
      </c>
      <c r="E162" s="64">
        <v>0.0</v>
      </c>
      <c r="F162" s="65">
        <f t="shared" si="1"/>
        <v>200</v>
      </c>
      <c r="G162" s="66">
        <f>IF(B162&lt;&gt;"",VLOOKUP(B162,Zutaten!$C:$F,4,FALSE),"")*C162</f>
        <v>0.1494</v>
      </c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</row>
    <row r="163">
      <c r="A163" s="60" t="s">
        <v>34</v>
      </c>
      <c r="B163" s="61" t="s">
        <v>513</v>
      </c>
      <c r="C163" s="62">
        <v>500.0</v>
      </c>
      <c r="D163" s="63" t="s">
        <v>539</v>
      </c>
      <c r="E163" s="64">
        <v>0.0</v>
      </c>
      <c r="F163" s="65">
        <f t="shared" si="1"/>
        <v>500</v>
      </c>
      <c r="G163" s="66">
        <f>IF(B163&lt;&gt;"",VLOOKUP(B163,Zutaten!$C:$F,4,FALSE),"")*C163</f>
        <v>5.64</v>
      </c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</row>
    <row r="164">
      <c r="A164" s="18" t="s">
        <v>37</v>
      </c>
      <c r="B164" s="18" t="s">
        <v>34</v>
      </c>
      <c r="C164" s="75">
        <f>3900/21</f>
        <v>185.7142857</v>
      </c>
      <c r="D164" s="63" t="s">
        <v>539</v>
      </c>
      <c r="E164" s="64">
        <v>0.0</v>
      </c>
      <c r="F164" s="65">
        <f t="shared" si="1"/>
        <v>185.7142857</v>
      </c>
      <c r="G164" s="66">
        <f>IF(B164&lt;&gt;"",VLOOKUP(B164,Zutaten!$C:$F,4,FALSE),"")*C164</f>
        <v>1.391614286</v>
      </c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</row>
    <row r="165">
      <c r="A165" s="18" t="s">
        <v>37</v>
      </c>
      <c r="B165" s="18" t="s">
        <v>117</v>
      </c>
      <c r="C165" s="68">
        <v>20.0</v>
      </c>
      <c r="D165" s="63" t="s">
        <v>539</v>
      </c>
      <c r="E165" s="64">
        <v>0.0</v>
      </c>
      <c r="F165" s="65">
        <f t="shared" si="1"/>
        <v>20</v>
      </c>
      <c r="G165" s="66">
        <f>IF(B165&lt;&gt;"",VLOOKUP(B165,Zutaten!$C:$F,4,FALSE),"")*C165</f>
        <v>0.1018</v>
      </c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</row>
    <row r="166">
      <c r="A166" s="18" t="s">
        <v>37</v>
      </c>
      <c r="B166" s="63" t="s">
        <v>242</v>
      </c>
      <c r="C166" s="68">
        <v>20.0</v>
      </c>
      <c r="D166" s="63" t="s">
        <v>539</v>
      </c>
      <c r="E166" s="64">
        <v>0.0</v>
      </c>
      <c r="F166" s="65">
        <f t="shared" si="1"/>
        <v>20</v>
      </c>
      <c r="G166" s="66">
        <f>IF(B166&lt;&gt;"",VLOOKUP(B166,Zutaten!$C:$F,4,FALSE),"")*C166</f>
        <v>0.07942857143</v>
      </c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</row>
    <row r="167">
      <c r="A167" s="70" t="s">
        <v>40</v>
      </c>
      <c r="B167" s="18" t="s">
        <v>272</v>
      </c>
      <c r="C167" s="68">
        <v>240.0</v>
      </c>
      <c r="D167" s="63" t="s">
        <v>539</v>
      </c>
      <c r="E167" s="64">
        <v>0.0</v>
      </c>
      <c r="F167" s="65">
        <f t="shared" si="1"/>
        <v>240</v>
      </c>
      <c r="G167" s="66">
        <f>IF(B167&lt;&gt;"",VLOOKUP(B167,Zutaten!$C:$F,4,FALSE),"")*C167</f>
        <v>0.9351872648</v>
      </c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</row>
    <row r="168">
      <c r="A168" s="70" t="s">
        <v>42</v>
      </c>
      <c r="B168" s="18" t="s">
        <v>272</v>
      </c>
      <c r="C168" s="68">
        <v>240.0</v>
      </c>
      <c r="D168" s="63" t="s">
        <v>539</v>
      </c>
      <c r="E168" s="64">
        <v>0.0</v>
      </c>
      <c r="F168" s="65">
        <f t="shared" si="1"/>
        <v>240</v>
      </c>
      <c r="G168" s="66">
        <f>IF(B168&lt;&gt;"",VLOOKUP(B168,Zutaten!$C:$F,4,FALSE),"")*C168</f>
        <v>0.9351872648</v>
      </c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</row>
    <row r="169">
      <c r="A169" s="70" t="s">
        <v>42</v>
      </c>
      <c r="B169" s="63" t="s">
        <v>226</v>
      </c>
      <c r="C169" s="68">
        <v>160.0</v>
      </c>
      <c r="D169" s="63" t="s">
        <v>539</v>
      </c>
      <c r="E169" s="64">
        <v>0.0</v>
      </c>
      <c r="F169" s="65">
        <f t="shared" si="1"/>
        <v>160</v>
      </c>
      <c r="G169" s="66">
        <f>IF(B169&lt;&gt;"",VLOOKUP(B169,Zutaten!$C:$F,4,FALSE),"")*C169</f>
        <v>0.3788</v>
      </c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</row>
    <row r="170">
      <c r="A170" s="60" t="s">
        <v>38</v>
      </c>
      <c r="B170" s="61" t="s">
        <v>38</v>
      </c>
      <c r="C170" s="62">
        <v>2000.0</v>
      </c>
      <c r="D170" s="63" t="s">
        <v>539</v>
      </c>
      <c r="E170" s="64">
        <v>0.0</v>
      </c>
      <c r="F170" s="65">
        <f t="shared" si="1"/>
        <v>2000</v>
      </c>
      <c r="G170" s="66">
        <f>IF(B170&lt;&gt;"",VLOOKUP(B170,Zutaten!$C:$F,4,FALSE),"")*C170</f>
        <v>7.12</v>
      </c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</row>
    <row r="171">
      <c r="A171" s="60" t="s">
        <v>38</v>
      </c>
      <c r="B171" s="61" t="s">
        <v>467</v>
      </c>
      <c r="C171" s="62">
        <v>40.0</v>
      </c>
      <c r="D171" s="63" t="s">
        <v>539</v>
      </c>
      <c r="E171" s="64">
        <v>0.0</v>
      </c>
      <c r="F171" s="65">
        <f t="shared" si="1"/>
        <v>40</v>
      </c>
      <c r="G171" s="66">
        <f>IF(B171&lt;&gt;"",VLOOKUP(B171,Zutaten!$C:$F,4,FALSE),"")*C171</f>
        <v>0.01472</v>
      </c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</row>
    <row r="172">
      <c r="A172" s="60" t="s">
        <v>38</v>
      </c>
      <c r="B172" s="61" t="s">
        <v>428</v>
      </c>
      <c r="C172" s="62">
        <v>30.0</v>
      </c>
      <c r="D172" s="63" t="s">
        <v>540</v>
      </c>
      <c r="E172" s="64">
        <v>0.0</v>
      </c>
      <c r="F172" s="65">
        <f t="shared" si="1"/>
        <v>30</v>
      </c>
      <c r="G172" s="66">
        <f>IF(B172&lt;&gt;"",VLOOKUP(B172,Zutaten!$C:$F,4,FALSE),"")*C172</f>
        <v>0.2592</v>
      </c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</row>
    <row r="173">
      <c r="A173" s="60" t="s">
        <v>38</v>
      </c>
      <c r="B173" s="61" t="s">
        <v>514</v>
      </c>
      <c r="C173" s="62">
        <v>2000.0</v>
      </c>
      <c r="D173" s="63" t="s">
        <v>540</v>
      </c>
      <c r="E173" s="64">
        <v>0.0</v>
      </c>
      <c r="F173" s="65">
        <f t="shared" si="1"/>
        <v>2000</v>
      </c>
      <c r="G173" s="66">
        <f>IF(B173&lt;&gt;"",VLOOKUP(B173,Zutaten!$C:$F,4,FALSE),"")*C173</f>
        <v>0.02</v>
      </c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</row>
    <row r="174">
      <c r="A174" s="60" t="s">
        <v>38</v>
      </c>
      <c r="B174" s="61" t="s">
        <v>437</v>
      </c>
      <c r="C174" s="62">
        <v>70.0</v>
      </c>
      <c r="D174" s="63" t="s">
        <v>539</v>
      </c>
      <c r="E174" s="64">
        <v>0.0</v>
      </c>
      <c r="F174" s="65">
        <f t="shared" si="1"/>
        <v>70</v>
      </c>
      <c r="G174" s="66">
        <f>IF(B174&lt;&gt;"",VLOOKUP(B174,Zutaten!$C:$F,4,FALSE),"")*C174</f>
        <v>1.211</v>
      </c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</row>
    <row r="175">
      <c r="A175" s="60" t="s">
        <v>38</v>
      </c>
      <c r="B175" s="61" t="s">
        <v>398</v>
      </c>
      <c r="C175" s="62">
        <v>30.0</v>
      </c>
      <c r="D175" s="63" t="s">
        <v>539</v>
      </c>
      <c r="E175" s="64">
        <v>0.0</v>
      </c>
      <c r="F175" s="65">
        <f t="shared" si="1"/>
        <v>30</v>
      </c>
      <c r="G175" s="66">
        <f>IF(B175&lt;&gt;"",VLOOKUP(B175,Zutaten!$C:$F,4,FALSE),"")*C175</f>
        <v>0.3246</v>
      </c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</row>
    <row r="176">
      <c r="A176" s="63" t="s">
        <v>39</v>
      </c>
      <c r="B176" s="63" t="s">
        <v>38</v>
      </c>
      <c r="C176" s="63">
        <v>3000.0</v>
      </c>
      <c r="D176" s="63" t="s">
        <v>539</v>
      </c>
      <c r="E176" s="64">
        <v>0.0</v>
      </c>
      <c r="F176" s="65">
        <f t="shared" si="1"/>
        <v>3000</v>
      </c>
      <c r="G176" s="66">
        <f>IF(B176&lt;&gt;"",VLOOKUP(B176,Zutaten!$C:$F,4,FALSE),"")*C176</f>
        <v>10.68</v>
      </c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</row>
    <row r="177">
      <c r="A177" s="63" t="s">
        <v>39</v>
      </c>
      <c r="B177" s="63" t="s">
        <v>434</v>
      </c>
      <c r="C177" s="63">
        <v>250.0</v>
      </c>
      <c r="D177" s="63" t="s">
        <v>539</v>
      </c>
      <c r="E177" s="64">
        <v>0.0</v>
      </c>
      <c r="F177" s="65">
        <f t="shared" si="1"/>
        <v>250</v>
      </c>
      <c r="G177" s="66">
        <f>IF(B177&lt;&gt;"",VLOOKUP(B177,Zutaten!$C:$F,4,FALSE),"")*C177</f>
        <v>7.212962963</v>
      </c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</row>
    <row r="178">
      <c r="A178" s="63" t="s">
        <v>39</v>
      </c>
      <c r="B178" s="63" t="s">
        <v>467</v>
      </c>
      <c r="C178" s="63">
        <v>20.0</v>
      </c>
      <c r="D178" s="63" t="s">
        <v>539</v>
      </c>
      <c r="E178" s="64">
        <v>0.0</v>
      </c>
      <c r="F178" s="65">
        <f t="shared" si="1"/>
        <v>20</v>
      </c>
      <c r="G178" s="66">
        <f>IF(B178&lt;&gt;"",VLOOKUP(B178,Zutaten!$C:$F,4,FALSE),"")*C178</f>
        <v>0.00736</v>
      </c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</row>
    <row r="179">
      <c r="A179" s="63" t="s">
        <v>39</v>
      </c>
      <c r="B179" s="63" t="s">
        <v>445</v>
      </c>
      <c r="C179" s="63">
        <v>1000.0</v>
      </c>
      <c r="D179" s="63" t="s">
        <v>539</v>
      </c>
      <c r="E179" s="64">
        <v>0.0</v>
      </c>
      <c r="F179" s="65">
        <f t="shared" si="1"/>
        <v>1000</v>
      </c>
      <c r="G179" s="66">
        <f>IF(B179&lt;&gt;"",VLOOKUP(B179,Zutaten!$C:$F,4,FALSE),"")*C179</f>
        <v>4.466666667</v>
      </c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</row>
    <row r="180">
      <c r="A180" s="18" t="s">
        <v>46</v>
      </c>
      <c r="B180" s="60" t="s">
        <v>101</v>
      </c>
      <c r="C180" s="68">
        <v>150.0</v>
      </c>
      <c r="D180" s="63" t="s">
        <v>539</v>
      </c>
      <c r="E180" s="64">
        <v>0.0</v>
      </c>
      <c r="F180" s="65">
        <f t="shared" si="1"/>
        <v>150</v>
      </c>
      <c r="G180" s="66">
        <f>IF(B180&lt;&gt;"",VLOOKUP(B180,Zutaten!$C:$F,4,FALSE),"")*C180</f>
        <v>0.9830411669</v>
      </c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</row>
    <row r="181">
      <c r="A181" s="18" t="s">
        <v>46</v>
      </c>
      <c r="B181" s="18" t="s">
        <v>313</v>
      </c>
      <c r="C181" s="68">
        <v>80.0</v>
      </c>
      <c r="D181" s="63" t="s">
        <v>539</v>
      </c>
      <c r="E181" s="64">
        <v>0.0</v>
      </c>
      <c r="F181" s="65">
        <f t="shared" si="1"/>
        <v>80</v>
      </c>
      <c r="G181" s="66">
        <f>IF(B181&lt;&gt;"",VLOOKUP(B181,Zutaten!$C:$F,4,FALSE),"")*C181</f>
        <v>0.5</v>
      </c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</row>
    <row r="182">
      <c r="A182" s="18" t="s">
        <v>46</v>
      </c>
      <c r="B182" s="18" t="s">
        <v>460</v>
      </c>
      <c r="C182" s="68">
        <v>30.0</v>
      </c>
      <c r="D182" s="63" t="s">
        <v>539</v>
      </c>
      <c r="E182" s="64">
        <v>0.0</v>
      </c>
      <c r="F182" s="65">
        <f t="shared" si="1"/>
        <v>30</v>
      </c>
      <c r="G182" s="66">
        <f>IF(B182&lt;&gt;"",VLOOKUP(B182,Zutaten!$C:$F,4,FALSE),"")*C182</f>
        <v>0.23364</v>
      </c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</row>
    <row r="183">
      <c r="A183" s="18" t="s">
        <v>46</v>
      </c>
      <c r="B183" s="18" t="s">
        <v>502</v>
      </c>
      <c r="C183" s="68">
        <v>60.0</v>
      </c>
      <c r="D183" s="63" t="s">
        <v>539</v>
      </c>
      <c r="E183" s="64">
        <v>0.0</v>
      </c>
      <c r="F183" s="65">
        <f t="shared" si="1"/>
        <v>60</v>
      </c>
      <c r="G183" s="66">
        <f>IF(B183&lt;&gt;"",VLOOKUP(B183,Zutaten!$C:$F,4,FALSE),"")*C183</f>
        <v>0.16578</v>
      </c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</row>
    <row r="184">
      <c r="A184" s="18" t="s">
        <v>46</v>
      </c>
      <c r="B184" s="18" t="s">
        <v>438</v>
      </c>
      <c r="C184" s="68">
        <v>15.0</v>
      </c>
      <c r="D184" s="63" t="s">
        <v>539</v>
      </c>
      <c r="E184" s="64">
        <v>0.0</v>
      </c>
      <c r="F184" s="65">
        <f t="shared" si="1"/>
        <v>15</v>
      </c>
      <c r="G184" s="66">
        <f>IF(B184&lt;&gt;"",VLOOKUP(B184,Zutaten!$C:$F,4,FALSE),"")*C184</f>
        <v>0.34785</v>
      </c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</row>
    <row r="185">
      <c r="A185" s="18" t="s">
        <v>46</v>
      </c>
      <c r="B185" s="18" t="s">
        <v>133</v>
      </c>
      <c r="C185" s="68">
        <v>50.0</v>
      </c>
      <c r="D185" s="63" t="s">
        <v>539</v>
      </c>
      <c r="E185" s="64">
        <v>0.0</v>
      </c>
      <c r="F185" s="65">
        <f t="shared" si="1"/>
        <v>50</v>
      </c>
      <c r="G185" s="66">
        <f>IF(B185&lt;&gt;"",VLOOKUP(B185,Zutaten!$C:$F,4,FALSE),"")*C185</f>
        <v>0.1419438529</v>
      </c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</row>
    <row r="186">
      <c r="A186" s="18" t="s">
        <v>46</v>
      </c>
      <c r="B186" s="18" t="s">
        <v>41</v>
      </c>
      <c r="C186" s="68">
        <v>35.0</v>
      </c>
      <c r="D186" s="63" t="s">
        <v>539</v>
      </c>
      <c r="E186" s="64">
        <v>0.0</v>
      </c>
      <c r="F186" s="65">
        <f t="shared" si="1"/>
        <v>35</v>
      </c>
      <c r="G186" s="66">
        <f>IF(B186&lt;&gt;"",VLOOKUP(B186,Zutaten!$C:$F,4,FALSE),"")*C186</f>
        <v>0.2133790701</v>
      </c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</row>
    <row r="187">
      <c r="A187" s="18" t="s">
        <v>41</v>
      </c>
      <c r="B187" s="18" t="s">
        <v>466</v>
      </c>
      <c r="C187" s="18">
        <v>4000.0</v>
      </c>
      <c r="D187" s="18" t="s">
        <v>540</v>
      </c>
      <c r="E187" s="64">
        <v>0.0</v>
      </c>
      <c r="F187" s="65">
        <f t="shared" si="1"/>
        <v>4000</v>
      </c>
      <c r="G187" s="66">
        <f>IF(B187&lt;&gt;"",VLOOKUP(B187,Zutaten!$C:$F,4,FALSE),"")*C187</f>
        <v>17.72</v>
      </c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</row>
    <row r="188">
      <c r="A188" s="18" t="s">
        <v>41</v>
      </c>
      <c r="B188" s="18" t="s">
        <v>482</v>
      </c>
      <c r="C188" s="18">
        <v>200.0</v>
      </c>
      <c r="D188" s="18" t="s">
        <v>539</v>
      </c>
      <c r="E188" s="64">
        <v>0.0</v>
      </c>
      <c r="F188" s="65">
        <f t="shared" si="1"/>
        <v>200</v>
      </c>
      <c r="G188" s="66">
        <f>IF(B188&lt;&gt;"",VLOOKUP(B188,Zutaten!$C:$F,4,FALSE),"")*C188</f>
        <v>0.644</v>
      </c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</row>
    <row r="189">
      <c r="A189" s="18" t="s">
        <v>41</v>
      </c>
      <c r="B189" s="18" t="s">
        <v>483</v>
      </c>
      <c r="C189" s="18">
        <v>400.0</v>
      </c>
      <c r="D189" s="18" t="s">
        <v>539</v>
      </c>
      <c r="E189" s="64">
        <v>0.0</v>
      </c>
      <c r="F189" s="65">
        <f t="shared" si="1"/>
        <v>400</v>
      </c>
      <c r="G189" s="66">
        <f>IF(B189&lt;&gt;"",VLOOKUP(B189,Zutaten!$C:$F,4,FALSE),"")*C189</f>
        <v>3.7</v>
      </c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</row>
    <row r="190">
      <c r="A190" s="18" t="s">
        <v>41</v>
      </c>
      <c r="B190" s="18" t="s">
        <v>467</v>
      </c>
      <c r="C190" s="18">
        <v>40.0</v>
      </c>
      <c r="D190" s="18" t="s">
        <v>539</v>
      </c>
      <c r="E190" s="64">
        <v>0.0</v>
      </c>
      <c r="F190" s="65">
        <f t="shared" si="1"/>
        <v>40</v>
      </c>
      <c r="G190" s="66">
        <f>IF(B190&lt;&gt;"",VLOOKUP(B190,Zutaten!$C:$F,4,FALSE),"")*C190</f>
        <v>0.01472</v>
      </c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</row>
    <row r="191">
      <c r="A191" s="18" t="s">
        <v>41</v>
      </c>
      <c r="B191" s="18" t="s">
        <v>528</v>
      </c>
      <c r="C191" s="18">
        <v>140.0</v>
      </c>
      <c r="D191" s="18" t="s">
        <v>539</v>
      </c>
      <c r="E191" s="64">
        <v>0.0</v>
      </c>
      <c r="F191" s="65">
        <f t="shared" si="1"/>
        <v>140</v>
      </c>
      <c r="G191" s="66">
        <f>IF(B191&lt;&gt;"",VLOOKUP(B191,Zutaten!$C:$F,4,FALSE),"")*C191</f>
        <v>0.2016</v>
      </c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</row>
    <row r="192">
      <c r="A192" s="18" t="s">
        <v>41</v>
      </c>
      <c r="B192" s="18" t="s">
        <v>438</v>
      </c>
      <c r="C192" s="18">
        <v>450.0</v>
      </c>
      <c r="D192" s="18" t="s">
        <v>539</v>
      </c>
      <c r="E192" s="64">
        <v>0.0</v>
      </c>
      <c r="F192" s="65">
        <f t="shared" si="1"/>
        <v>450</v>
      </c>
      <c r="G192" s="66">
        <f>IF(B192&lt;&gt;"",VLOOKUP(B192,Zutaten!$C:$F,4,FALSE),"")*C192</f>
        <v>10.4355</v>
      </c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</row>
    <row r="193">
      <c r="A193" s="18" t="s">
        <v>41</v>
      </c>
      <c r="B193" s="18" t="s">
        <v>428</v>
      </c>
      <c r="C193" s="18">
        <v>400.0</v>
      </c>
      <c r="D193" s="18" t="s">
        <v>539</v>
      </c>
      <c r="E193" s="64">
        <v>0.0</v>
      </c>
      <c r="F193" s="65">
        <f t="shared" si="1"/>
        <v>400</v>
      </c>
      <c r="G193" s="66">
        <f>IF(B193&lt;&gt;"",VLOOKUP(B193,Zutaten!$C:$F,4,FALSE),"")*C193</f>
        <v>3.456</v>
      </c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</row>
    <row r="194">
      <c r="A194" s="18" t="s">
        <v>41</v>
      </c>
      <c r="B194" s="18" t="s">
        <v>527</v>
      </c>
      <c r="C194" s="18">
        <v>500.0</v>
      </c>
      <c r="D194" s="18" t="s">
        <v>539</v>
      </c>
      <c r="E194" s="64">
        <v>0.0</v>
      </c>
      <c r="F194" s="65">
        <f t="shared" si="1"/>
        <v>500</v>
      </c>
      <c r="G194" s="66">
        <f>IF(B194&lt;&gt;"",VLOOKUP(B194,Zutaten!$C:$F,4,FALSE),"")*C194</f>
        <v>1.2</v>
      </c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</row>
    <row r="195">
      <c r="A195" s="18" t="s">
        <v>48</v>
      </c>
      <c r="B195" s="18" t="s">
        <v>115</v>
      </c>
      <c r="C195" s="68">
        <v>35.0</v>
      </c>
      <c r="D195" s="63" t="s">
        <v>539</v>
      </c>
      <c r="E195" s="64">
        <v>0.0</v>
      </c>
      <c r="F195" s="65">
        <f t="shared" si="1"/>
        <v>35</v>
      </c>
      <c r="G195" s="66">
        <f>IF(B195&lt;&gt;"",VLOOKUP(B195,Zutaten!$C:$F,4,FALSE),"")*C195</f>
        <v>0.4060669664</v>
      </c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</row>
    <row r="196">
      <c r="A196" s="18" t="s">
        <v>48</v>
      </c>
      <c r="B196" s="18" t="s">
        <v>460</v>
      </c>
      <c r="C196" s="68">
        <v>160.0</v>
      </c>
      <c r="D196" s="63" t="s">
        <v>539</v>
      </c>
      <c r="E196" s="64">
        <v>0.0</v>
      </c>
      <c r="F196" s="65">
        <f t="shared" si="1"/>
        <v>160</v>
      </c>
      <c r="G196" s="66">
        <f>IF(B196&lt;&gt;"",VLOOKUP(B196,Zutaten!$C:$F,4,FALSE),"")*C196</f>
        <v>1.24608</v>
      </c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</row>
    <row r="197">
      <c r="A197" s="18" t="s">
        <v>48</v>
      </c>
      <c r="B197" s="18" t="s">
        <v>41</v>
      </c>
      <c r="C197" s="68">
        <v>70.0</v>
      </c>
      <c r="D197" s="63" t="s">
        <v>539</v>
      </c>
      <c r="E197" s="64">
        <v>0.0</v>
      </c>
      <c r="F197" s="65">
        <f t="shared" si="1"/>
        <v>70</v>
      </c>
      <c r="G197" s="66">
        <f>IF(B197&lt;&gt;"",VLOOKUP(B197,Zutaten!$C:$F,4,FALSE),"")*C197</f>
        <v>0.4267581403</v>
      </c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</row>
    <row r="198">
      <c r="A198" s="18" t="s">
        <v>48</v>
      </c>
      <c r="B198" s="18" t="s">
        <v>438</v>
      </c>
      <c r="C198" s="68">
        <v>20.0</v>
      </c>
      <c r="D198" s="63" t="s">
        <v>539</v>
      </c>
      <c r="E198" s="64">
        <v>0.0</v>
      </c>
      <c r="F198" s="65">
        <f t="shared" si="1"/>
        <v>20</v>
      </c>
      <c r="G198" s="66">
        <f>IF(B198&lt;&gt;"",VLOOKUP(B198,Zutaten!$C:$F,4,FALSE),"")*C198</f>
        <v>0.4638</v>
      </c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</row>
    <row r="199">
      <c r="A199" s="18" t="s">
        <v>48</v>
      </c>
      <c r="B199" s="18" t="s">
        <v>447</v>
      </c>
      <c r="C199" s="68">
        <v>15.0</v>
      </c>
      <c r="D199" s="63" t="s">
        <v>539</v>
      </c>
      <c r="E199" s="64">
        <v>0.0</v>
      </c>
      <c r="F199" s="65">
        <f t="shared" si="1"/>
        <v>15</v>
      </c>
      <c r="G199" s="66">
        <f>IF(B199&lt;&gt;"",VLOOKUP(B199,Zutaten!$C:$F,4,FALSE),"")*C199</f>
        <v>0.62685</v>
      </c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</row>
    <row r="200">
      <c r="A200" s="18" t="s">
        <v>48</v>
      </c>
      <c r="B200" s="18" t="s">
        <v>102</v>
      </c>
      <c r="C200" s="68">
        <v>160.0</v>
      </c>
      <c r="D200" s="63" t="s">
        <v>539</v>
      </c>
      <c r="E200" s="64">
        <v>0.0</v>
      </c>
      <c r="F200" s="65">
        <f t="shared" si="1"/>
        <v>160</v>
      </c>
      <c r="G200" s="66">
        <f>IF(B200&lt;&gt;"",VLOOKUP(B200,Zutaten!$C:$F,4,FALSE),"")*C200</f>
        <v>0.9884270866</v>
      </c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</row>
    <row r="201">
      <c r="A201" s="18" t="s">
        <v>48</v>
      </c>
      <c r="B201" s="18" t="s">
        <v>61</v>
      </c>
      <c r="C201" s="68">
        <v>25.0</v>
      </c>
      <c r="D201" s="63" t="s">
        <v>539</v>
      </c>
      <c r="E201" s="64">
        <v>0.0</v>
      </c>
      <c r="F201" s="65">
        <f t="shared" si="1"/>
        <v>25</v>
      </c>
      <c r="G201" s="66">
        <f>IF(B201&lt;&gt;"",VLOOKUP(B201,Zutaten!$C:$F,4,FALSE),"")*C201</f>
        <v>0.161975023</v>
      </c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</row>
    <row r="202">
      <c r="A202" s="18" t="s">
        <v>43</v>
      </c>
      <c r="B202" s="18" t="s">
        <v>315</v>
      </c>
      <c r="C202" s="68">
        <v>16.0</v>
      </c>
      <c r="D202" s="63" t="s">
        <v>539</v>
      </c>
      <c r="E202" s="64">
        <v>0.0</v>
      </c>
      <c r="F202" s="65">
        <f t="shared" si="1"/>
        <v>16</v>
      </c>
      <c r="G202" s="66">
        <f>IF(B202&lt;&gt;"",VLOOKUP(B202,Zutaten!$C:$F,4,FALSE),"")*C202</f>
        <v>0.21376</v>
      </c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</row>
    <row r="203">
      <c r="A203" s="18" t="s">
        <v>43</v>
      </c>
      <c r="B203" s="18" t="s">
        <v>511</v>
      </c>
      <c r="C203" s="68">
        <v>300.0</v>
      </c>
      <c r="D203" s="63" t="s">
        <v>539</v>
      </c>
      <c r="E203" s="64">
        <v>0.0</v>
      </c>
      <c r="F203" s="65">
        <f t="shared" si="1"/>
        <v>300</v>
      </c>
      <c r="G203" s="66">
        <f>IF(B203&lt;&gt;"",VLOOKUP(B203,Zutaten!$C:$F,4,FALSE),"")*C203</f>
        <v>0.357</v>
      </c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</row>
    <row r="204">
      <c r="A204" s="20" t="s">
        <v>45</v>
      </c>
      <c r="B204" s="20" t="s">
        <v>317</v>
      </c>
      <c r="C204" s="63">
        <v>1500.0</v>
      </c>
      <c r="D204" s="63" t="s">
        <v>539</v>
      </c>
      <c r="E204" s="64">
        <v>0.5</v>
      </c>
      <c r="F204" s="65">
        <f t="shared" si="1"/>
        <v>750</v>
      </c>
      <c r="G204" s="66">
        <f>IF(B204&lt;&gt;"",VLOOKUP(B204,Zutaten!$C:$F,4,FALSE),"")*C204</f>
        <v>7.893</v>
      </c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</row>
    <row r="205">
      <c r="A205" s="20" t="s">
        <v>45</v>
      </c>
      <c r="B205" s="61" t="s">
        <v>392</v>
      </c>
      <c r="C205" s="63">
        <v>50.0</v>
      </c>
      <c r="D205" s="63" t="s">
        <v>539</v>
      </c>
      <c r="E205" s="64">
        <v>0.0</v>
      </c>
      <c r="F205" s="65">
        <f t="shared" si="1"/>
        <v>50</v>
      </c>
      <c r="G205" s="66">
        <f>IF(B205&lt;&gt;"",VLOOKUP(B205,Zutaten!$C:$F,4,FALSE),"")*C205</f>
        <v>0.3396</v>
      </c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</row>
    <row r="206">
      <c r="A206" s="20" t="s">
        <v>45</v>
      </c>
      <c r="B206" s="76" t="s">
        <v>500</v>
      </c>
      <c r="C206" s="63">
        <v>4.0</v>
      </c>
      <c r="D206" s="63" t="s">
        <v>539</v>
      </c>
      <c r="E206" s="64">
        <v>0.0</v>
      </c>
      <c r="F206" s="65">
        <f t="shared" si="1"/>
        <v>4</v>
      </c>
      <c r="G206" s="66">
        <f>IF(B206&lt;&gt;"",VLOOKUP(B206,Zutaten!$C:$F,4,FALSE),"")*C206</f>
        <v>1.147733333</v>
      </c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</row>
    <row r="207">
      <c r="A207" s="20" t="s">
        <v>45</v>
      </c>
      <c r="B207" s="20" t="s">
        <v>442</v>
      </c>
      <c r="C207" s="63">
        <v>5.0</v>
      </c>
      <c r="D207" s="63" t="s">
        <v>539</v>
      </c>
      <c r="E207" s="64">
        <v>0.0</v>
      </c>
      <c r="F207" s="65">
        <f t="shared" si="1"/>
        <v>5</v>
      </c>
      <c r="G207" s="66">
        <f>IF(B207&lt;&gt;"",VLOOKUP(B207,Zutaten!$C:$F,4,FALSE),"")*C207</f>
        <v>0.162</v>
      </c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</row>
    <row r="208">
      <c r="A208" s="20" t="s">
        <v>45</v>
      </c>
      <c r="B208" s="63" t="s">
        <v>544</v>
      </c>
      <c r="C208" s="63">
        <v>250.0</v>
      </c>
      <c r="D208" s="63" t="s">
        <v>539</v>
      </c>
      <c r="E208" s="64">
        <v>0.0</v>
      </c>
      <c r="F208" s="65">
        <f t="shared" si="1"/>
        <v>250</v>
      </c>
      <c r="G208" s="66">
        <f>IF(B208&lt;&gt;"",VLOOKUP(B208,Zutaten!$C:$F,4,FALSE),"")*C208</f>
        <v>1.8</v>
      </c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</row>
    <row r="209">
      <c r="A209" s="20" t="s">
        <v>45</v>
      </c>
      <c r="B209" s="63" t="s">
        <v>545</v>
      </c>
      <c r="C209" s="63">
        <v>5.0</v>
      </c>
      <c r="D209" s="63" t="s">
        <v>539</v>
      </c>
      <c r="E209" s="64">
        <v>0.0</v>
      </c>
      <c r="F209" s="65">
        <f t="shared" si="1"/>
        <v>5</v>
      </c>
      <c r="G209" s="66">
        <f>IF(B209&lt;&gt;"",VLOOKUP(B209,Zutaten!$C:$F,4,FALSE),"")*C209</f>
        <v>0.00184</v>
      </c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</row>
    <row r="210">
      <c r="A210" s="18" t="s">
        <v>49</v>
      </c>
      <c r="B210" s="18" t="s">
        <v>458</v>
      </c>
      <c r="C210" s="68">
        <v>170.0</v>
      </c>
      <c r="D210" s="63" t="s">
        <v>539</v>
      </c>
      <c r="E210" s="64">
        <v>0.0</v>
      </c>
      <c r="F210" s="65">
        <f t="shared" si="1"/>
        <v>170</v>
      </c>
      <c r="G210" s="66">
        <f>IF(B210&lt;&gt;"",VLOOKUP(B210,Zutaten!$C:$F,4,FALSE),"")*C210</f>
        <v>1.4433</v>
      </c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</row>
    <row r="211">
      <c r="A211" s="18" t="s">
        <v>49</v>
      </c>
      <c r="B211" s="18" t="s">
        <v>313</v>
      </c>
      <c r="C211" s="68">
        <v>80.0</v>
      </c>
      <c r="D211" s="63" t="s">
        <v>539</v>
      </c>
      <c r="E211" s="64">
        <v>0.0</v>
      </c>
      <c r="F211" s="65">
        <f t="shared" si="1"/>
        <v>80</v>
      </c>
      <c r="G211" s="66">
        <f>IF(B211&lt;&gt;"",VLOOKUP(B211,Zutaten!$C:$F,4,FALSE),"")*C211</f>
        <v>0.5</v>
      </c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</row>
    <row r="212">
      <c r="A212" s="18" t="s">
        <v>49</v>
      </c>
      <c r="B212" s="18" t="s">
        <v>336</v>
      </c>
      <c r="C212" s="68">
        <v>10.0</v>
      </c>
      <c r="D212" s="63" t="s">
        <v>539</v>
      </c>
      <c r="E212" s="64">
        <v>0.0</v>
      </c>
      <c r="F212" s="65">
        <f t="shared" si="1"/>
        <v>10</v>
      </c>
      <c r="G212" s="66">
        <f>IF(B212&lt;&gt;"",VLOOKUP(B212,Zutaten!$C:$F,4,FALSE),"")*C212</f>
        <v>0.0639</v>
      </c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</row>
    <row r="213">
      <c r="A213" s="18" t="s">
        <v>49</v>
      </c>
      <c r="B213" s="18" t="s">
        <v>502</v>
      </c>
      <c r="C213" s="68">
        <v>60.0</v>
      </c>
      <c r="D213" s="63" t="s">
        <v>539</v>
      </c>
      <c r="E213" s="64">
        <v>0.0</v>
      </c>
      <c r="F213" s="65">
        <f t="shared" si="1"/>
        <v>60</v>
      </c>
      <c r="G213" s="66">
        <f>IF(B213&lt;&gt;"",VLOOKUP(B213,Zutaten!$C:$F,4,FALSE),"")*C213</f>
        <v>0.16578</v>
      </c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</row>
    <row r="214">
      <c r="A214" s="18" t="s">
        <v>49</v>
      </c>
      <c r="B214" s="18" t="s">
        <v>318</v>
      </c>
      <c r="C214" s="68">
        <v>20.0</v>
      </c>
      <c r="D214" s="63" t="s">
        <v>539</v>
      </c>
      <c r="E214" s="64">
        <v>0.0</v>
      </c>
      <c r="F214" s="65">
        <f t="shared" si="1"/>
        <v>20</v>
      </c>
      <c r="G214" s="66">
        <f>IF(B214&lt;&gt;"",VLOOKUP(B214,Zutaten!$C:$F,4,FALSE),"")*C214</f>
        <v>0.2278</v>
      </c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</row>
    <row r="215">
      <c r="A215" s="18" t="s">
        <v>49</v>
      </c>
      <c r="B215" s="18" t="s">
        <v>202</v>
      </c>
      <c r="C215" s="68">
        <v>20.0</v>
      </c>
      <c r="D215" s="63" t="s">
        <v>539</v>
      </c>
      <c r="E215" s="64">
        <v>0.0</v>
      </c>
      <c r="F215" s="65">
        <f t="shared" si="1"/>
        <v>20</v>
      </c>
      <c r="G215" s="66">
        <f>IF(B215&lt;&gt;"",VLOOKUP(B215,Zutaten!$C:$F,4,FALSE),"")*C215</f>
        <v>0.05888280828</v>
      </c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</row>
    <row r="216">
      <c r="A216" s="18" t="s">
        <v>49</v>
      </c>
      <c r="B216" s="18" t="s">
        <v>359</v>
      </c>
      <c r="C216" s="68">
        <v>20.0</v>
      </c>
      <c r="D216" s="63" t="s">
        <v>539</v>
      </c>
      <c r="E216" s="64">
        <v>0.0</v>
      </c>
      <c r="F216" s="65">
        <f t="shared" si="1"/>
        <v>20</v>
      </c>
      <c r="G216" s="66">
        <f>IF(B216&lt;&gt;"",VLOOKUP(B216,Zutaten!$C:$F,4,FALSE),"")*C216</f>
        <v>0.04160714286</v>
      </c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</row>
    <row r="217">
      <c r="A217" s="18" t="s">
        <v>49</v>
      </c>
      <c r="B217" s="18" t="s">
        <v>114</v>
      </c>
      <c r="C217" s="68">
        <v>50.0</v>
      </c>
      <c r="D217" s="63" t="s">
        <v>539</v>
      </c>
      <c r="E217" s="64">
        <v>0.0</v>
      </c>
      <c r="F217" s="65">
        <f t="shared" si="1"/>
        <v>50</v>
      </c>
      <c r="G217" s="66">
        <f>IF(B217&lt;&gt;"",VLOOKUP(B217,Zutaten!$C:$F,4,FALSE),"")*C217</f>
        <v>0.1561015088</v>
      </c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</row>
    <row r="218">
      <c r="A218" s="60" t="s">
        <v>47</v>
      </c>
      <c r="B218" s="61" t="s">
        <v>458</v>
      </c>
      <c r="C218" s="62">
        <v>5000.0</v>
      </c>
      <c r="D218" s="63" t="s">
        <v>539</v>
      </c>
      <c r="E218" s="64">
        <v>0.0</v>
      </c>
      <c r="F218" s="65">
        <f t="shared" si="1"/>
        <v>5000</v>
      </c>
      <c r="G218" s="66">
        <f>IF(B218&lt;&gt;"",VLOOKUP(B218,Zutaten!$C:$F,4,FALSE),"")*C218</f>
        <v>42.45</v>
      </c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</row>
    <row r="219">
      <c r="A219" s="60" t="s">
        <v>47</v>
      </c>
      <c r="B219" s="61" t="s">
        <v>504</v>
      </c>
      <c r="C219" s="62">
        <v>4000.0</v>
      </c>
      <c r="D219" s="63" t="s">
        <v>539</v>
      </c>
      <c r="E219" s="64">
        <v>0.0</v>
      </c>
      <c r="F219" s="65">
        <f t="shared" si="1"/>
        <v>4000</v>
      </c>
      <c r="G219" s="66">
        <f>IF(B219&lt;&gt;"",VLOOKUP(B219,Zutaten!$C:$F,4,FALSE),"")*C219</f>
        <v>2.143396226</v>
      </c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</row>
    <row r="220">
      <c r="A220" s="60" t="s">
        <v>47</v>
      </c>
      <c r="B220" s="61" t="s">
        <v>530</v>
      </c>
      <c r="C220" s="62">
        <v>2000.0</v>
      </c>
      <c r="D220" s="63" t="s">
        <v>539</v>
      </c>
      <c r="E220" s="64">
        <v>0.0</v>
      </c>
      <c r="F220" s="65">
        <f t="shared" si="1"/>
        <v>2000</v>
      </c>
      <c r="G220" s="66">
        <f>IF(B220&lt;&gt;"",VLOOKUP(B220,Zutaten!$C:$F,4,FALSE),"")*C220</f>
        <v>2.4</v>
      </c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</row>
    <row r="221">
      <c r="A221" s="60" t="s">
        <v>47</v>
      </c>
      <c r="B221" s="61" t="s">
        <v>392</v>
      </c>
      <c r="C221" s="62">
        <v>72.0</v>
      </c>
      <c r="D221" s="63" t="s">
        <v>539</v>
      </c>
      <c r="E221" s="64">
        <v>0.0</v>
      </c>
      <c r="F221" s="65">
        <f t="shared" si="1"/>
        <v>72</v>
      </c>
      <c r="G221" s="66">
        <f>IF(B221&lt;&gt;"",VLOOKUP(B221,Zutaten!$C:$F,4,FALSE),"")*C221</f>
        <v>0.489024</v>
      </c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</row>
    <row r="222">
      <c r="A222" s="60" t="s">
        <v>47</v>
      </c>
      <c r="B222" s="61" t="s">
        <v>321</v>
      </c>
      <c r="C222" s="62">
        <v>20.0</v>
      </c>
      <c r="D222" s="63" t="s">
        <v>539</v>
      </c>
      <c r="E222" s="64">
        <v>0.0</v>
      </c>
      <c r="F222" s="65">
        <f t="shared" si="1"/>
        <v>20</v>
      </c>
      <c r="G222" s="66">
        <f>IF(B222&lt;&gt;"",VLOOKUP(B222,Zutaten!$C:$F,4,FALSE),"")*C222</f>
        <v>0.8589473684</v>
      </c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</row>
    <row r="223">
      <c r="A223" s="60" t="s">
        <v>47</v>
      </c>
      <c r="B223" s="61" t="s">
        <v>428</v>
      </c>
      <c r="C223" s="62">
        <v>100.0</v>
      </c>
      <c r="D223" s="63" t="s">
        <v>540</v>
      </c>
      <c r="E223" s="64">
        <v>0.0</v>
      </c>
      <c r="F223" s="65">
        <f t="shared" si="1"/>
        <v>100</v>
      </c>
      <c r="G223" s="66">
        <f>IF(B223&lt;&gt;"",VLOOKUP(B223,Zutaten!$C:$F,4,FALSE),"")*C223</f>
        <v>0.864</v>
      </c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</row>
    <row r="224">
      <c r="A224" s="60" t="s">
        <v>47</v>
      </c>
      <c r="B224" s="61" t="s">
        <v>398</v>
      </c>
      <c r="C224" s="62">
        <v>50.0</v>
      </c>
      <c r="D224" s="63" t="s">
        <v>539</v>
      </c>
      <c r="E224" s="64">
        <v>0.0</v>
      </c>
      <c r="F224" s="65">
        <f t="shared" si="1"/>
        <v>50</v>
      </c>
      <c r="G224" s="66">
        <f>IF(B224&lt;&gt;"",VLOOKUP(B224,Zutaten!$C:$F,4,FALSE),"")*C224</f>
        <v>0.541</v>
      </c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</row>
    <row r="225">
      <c r="A225" s="60" t="s">
        <v>47</v>
      </c>
      <c r="B225" s="61" t="s">
        <v>431</v>
      </c>
      <c r="C225" s="62">
        <v>50.0</v>
      </c>
      <c r="D225" s="63" t="s">
        <v>539</v>
      </c>
      <c r="E225" s="64">
        <v>0.0</v>
      </c>
      <c r="F225" s="65">
        <f t="shared" si="1"/>
        <v>50</v>
      </c>
      <c r="G225" s="66">
        <f>IF(B225&lt;&gt;"",VLOOKUP(B225,Zutaten!$C:$F,4,FALSE),"")*C225</f>
        <v>1.114705882</v>
      </c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</row>
    <row r="226">
      <c r="A226" s="60" t="s">
        <v>47</v>
      </c>
      <c r="B226" s="61" t="s">
        <v>434</v>
      </c>
      <c r="C226" s="62">
        <v>50.0</v>
      </c>
      <c r="D226" s="63" t="s">
        <v>539</v>
      </c>
      <c r="E226" s="64">
        <v>0.0</v>
      </c>
      <c r="F226" s="65">
        <f t="shared" si="1"/>
        <v>50</v>
      </c>
      <c r="G226" s="66">
        <f>IF(B226&lt;&gt;"",VLOOKUP(B226,Zutaten!$C:$F,4,FALSE),"")*C226</f>
        <v>1.442592593</v>
      </c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</row>
    <row r="227">
      <c r="A227" s="60" t="s">
        <v>47</v>
      </c>
      <c r="B227" s="61" t="s">
        <v>316</v>
      </c>
      <c r="C227" s="62">
        <v>20.0</v>
      </c>
      <c r="D227" s="63" t="s">
        <v>539</v>
      </c>
      <c r="E227" s="64">
        <v>0.0</v>
      </c>
      <c r="F227" s="65">
        <f t="shared" si="1"/>
        <v>20</v>
      </c>
      <c r="G227" s="66">
        <f>IF(B227&lt;&gt;"",VLOOKUP(B227,Zutaten!$C:$F,4,FALSE),"")*C227</f>
        <v>0.5984615385</v>
      </c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</row>
    <row r="228">
      <c r="A228" s="60" t="s">
        <v>47</v>
      </c>
      <c r="B228" s="61" t="s">
        <v>467</v>
      </c>
      <c r="C228" s="62">
        <v>30.0</v>
      </c>
      <c r="D228" s="63" t="s">
        <v>539</v>
      </c>
      <c r="E228" s="64">
        <v>0.0</v>
      </c>
      <c r="F228" s="65">
        <f t="shared" si="1"/>
        <v>30</v>
      </c>
      <c r="G228" s="66">
        <f>IF(B228&lt;&gt;"",VLOOKUP(B228,Zutaten!$C:$F,4,FALSE),"")*C228</f>
        <v>0.01104</v>
      </c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</row>
    <row r="229">
      <c r="A229" s="60" t="s">
        <v>47</v>
      </c>
      <c r="B229" s="61" t="s">
        <v>442</v>
      </c>
      <c r="C229" s="62">
        <v>20.0</v>
      </c>
      <c r="D229" s="63" t="s">
        <v>539</v>
      </c>
      <c r="E229" s="64">
        <v>0.0</v>
      </c>
      <c r="F229" s="65">
        <f t="shared" si="1"/>
        <v>20</v>
      </c>
      <c r="G229" s="66">
        <f>IF(B229&lt;&gt;"",VLOOKUP(B229,Zutaten!$C:$F,4,FALSE),"")*C229</f>
        <v>0.648</v>
      </c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</row>
    <row r="230">
      <c r="A230" s="18" t="s">
        <v>52</v>
      </c>
      <c r="B230" s="18" t="s">
        <v>458</v>
      </c>
      <c r="C230" s="68">
        <v>170.0</v>
      </c>
      <c r="D230" s="63" t="s">
        <v>539</v>
      </c>
      <c r="E230" s="64">
        <v>0.0</v>
      </c>
      <c r="F230" s="65">
        <f t="shared" si="1"/>
        <v>170</v>
      </c>
      <c r="G230" s="66">
        <f>IF(B230&lt;&gt;"",VLOOKUP(B230,Zutaten!$C:$F,4,FALSE),"")*C230</f>
        <v>1.4433</v>
      </c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</row>
    <row r="231">
      <c r="A231" s="18" t="s">
        <v>52</v>
      </c>
      <c r="B231" s="18" t="s">
        <v>313</v>
      </c>
      <c r="C231" s="68">
        <v>80.0</v>
      </c>
      <c r="D231" s="63" t="s">
        <v>539</v>
      </c>
      <c r="E231" s="64">
        <v>0.0</v>
      </c>
      <c r="F231" s="65">
        <f t="shared" si="1"/>
        <v>80</v>
      </c>
      <c r="G231" s="66">
        <f>IF(B231&lt;&gt;"",VLOOKUP(B231,Zutaten!$C:$F,4,FALSE),"")*C231</f>
        <v>0.5</v>
      </c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</row>
    <row r="232">
      <c r="A232" s="18" t="s">
        <v>52</v>
      </c>
      <c r="B232" s="18" t="s">
        <v>546</v>
      </c>
      <c r="C232" s="68">
        <v>160.0</v>
      </c>
      <c r="D232" s="63" t="s">
        <v>539</v>
      </c>
      <c r="E232" s="64">
        <v>0.0</v>
      </c>
      <c r="F232" s="65">
        <f t="shared" si="1"/>
        <v>160</v>
      </c>
      <c r="G232" s="66">
        <f>IF(B232&lt;&gt;"",VLOOKUP(B232,Zutaten!$C:$F,4,FALSE),"")*C232</f>
        <v>0.7509452171</v>
      </c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</row>
    <row r="233">
      <c r="A233" s="18" t="s">
        <v>52</v>
      </c>
      <c r="B233" s="18" t="s">
        <v>380</v>
      </c>
      <c r="C233" s="68">
        <v>20.0</v>
      </c>
      <c r="D233" s="63" t="s">
        <v>539</v>
      </c>
      <c r="E233" s="64">
        <v>0.0</v>
      </c>
      <c r="F233" s="65">
        <f t="shared" si="1"/>
        <v>20</v>
      </c>
      <c r="G233" s="66">
        <f>IF(B233&lt;&gt;"",VLOOKUP(B233,Zutaten!$C:$F,4,FALSE),"")*C233</f>
        <v>0.08282352941</v>
      </c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</row>
    <row r="234">
      <c r="A234" s="18" t="s">
        <v>52</v>
      </c>
      <c r="B234" s="61" t="s">
        <v>55</v>
      </c>
      <c r="C234" s="68">
        <v>50.0</v>
      </c>
      <c r="D234" s="63" t="s">
        <v>539</v>
      </c>
      <c r="E234" s="64">
        <v>0.0</v>
      </c>
      <c r="F234" s="65">
        <f t="shared" si="1"/>
        <v>50</v>
      </c>
      <c r="G234" s="66">
        <f>IF(B234&lt;&gt;"",VLOOKUP(B234,Zutaten!$C:$F,4,FALSE),"")*C234</f>
        <v>0.3389684807</v>
      </c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</row>
    <row r="235">
      <c r="A235" s="18" t="s">
        <v>52</v>
      </c>
      <c r="B235" s="18" t="s">
        <v>460</v>
      </c>
      <c r="C235" s="68">
        <v>35.0</v>
      </c>
      <c r="D235" s="63" t="s">
        <v>539</v>
      </c>
      <c r="E235" s="64">
        <v>0.0</v>
      </c>
      <c r="F235" s="65">
        <f t="shared" si="1"/>
        <v>35</v>
      </c>
      <c r="G235" s="66">
        <f>IF(B235&lt;&gt;"",VLOOKUP(B235,Zutaten!$C:$F,4,FALSE),"")*C235</f>
        <v>0.27258</v>
      </c>
      <c r="H235" s="67"/>
      <c r="I235" s="63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</row>
    <row r="236">
      <c r="A236" s="18" t="s">
        <v>52</v>
      </c>
      <c r="B236" s="18" t="s">
        <v>469</v>
      </c>
      <c r="C236" s="68">
        <v>20.0</v>
      </c>
      <c r="D236" s="63" t="s">
        <v>539</v>
      </c>
      <c r="E236" s="64">
        <v>0.0</v>
      </c>
      <c r="F236" s="65">
        <f t="shared" si="1"/>
        <v>20</v>
      </c>
      <c r="G236" s="66">
        <f>IF(B236&lt;&gt;"",VLOOKUP(B236,Zutaten!$C:$F,4,FALSE),"")*C236</f>
        <v>0.2213333333</v>
      </c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</row>
    <row r="237">
      <c r="A237" s="18" t="s">
        <v>53</v>
      </c>
      <c r="B237" s="18" t="s">
        <v>546</v>
      </c>
      <c r="C237" s="68">
        <v>280.0</v>
      </c>
      <c r="D237" s="63" t="s">
        <v>539</v>
      </c>
      <c r="E237" s="64">
        <v>0.0</v>
      </c>
      <c r="F237" s="65">
        <f t="shared" si="1"/>
        <v>280</v>
      </c>
      <c r="G237" s="66">
        <f>IF(B237&lt;&gt;"",VLOOKUP(B237,Zutaten!$C:$F,4,FALSE),"")*C237</f>
        <v>1.31415413</v>
      </c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</row>
    <row r="238">
      <c r="A238" s="18" t="s">
        <v>53</v>
      </c>
      <c r="B238" s="18" t="s">
        <v>229</v>
      </c>
      <c r="C238" s="68">
        <v>100.0</v>
      </c>
      <c r="D238" s="63" t="s">
        <v>539</v>
      </c>
      <c r="E238" s="64">
        <v>0.0</v>
      </c>
      <c r="F238" s="65">
        <f t="shared" si="1"/>
        <v>100</v>
      </c>
      <c r="G238" s="66">
        <f>IF(B238&lt;&gt;"",VLOOKUP(B238,Zutaten!$C:$F,4,FALSE),"")*C238</f>
        <v>0.3887395731</v>
      </c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</row>
    <row r="239">
      <c r="A239" s="18" t="s">
        <v>53</v>
      </c>
      <c r="B239" s="18" t="s">
        <v>448</v>
      </c>
      <c r="C239" s="68">
        <v>250.0</v>
      </c>
      <c r="D239" s="63" t="s">
        <v>539</v>
      </c>
      <c r="E239" s="64">
        <v>0.0</v>
      </c>
      <c r="F239" s="65">
        <f t="shared" si="1"/>
        <v>250</v>
      </c>
      <c r="G239" s="66">
        <f>IF(B239&lt;&gt;"",VLOOKUP(B239,Zutaten!$C:$F,4,FALSE),"")*C239</f>
        <v>0.7775</v>
      </c>
      <c r="H239" s="63" t="s">
        <v>547</v>
      </c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</row>
    <row r="240">
      <c r="A240" s="60" t="s">
        <v>50</v>
      </c>
      <c r="B240" s="61" t="s">
        <v>516</v>
      </c>
      <c r="C240" s="62">
        <v>4000.0</v>
      </c>
      <c r="D240" s="63" t="s">
        <v>539</v>
      </c>
      <c r="E240" s="64">
        <v>0.0</v>
      </c>
      <c r="F240" s="65">
        <f t="shared" si="1"/>
        <v>4000</v>
      </c>
      <c r="G240" s="66">
        <f>IF(B240&lt;&gt;"",VLOOKUP(B240,Zutaten!$C:$F,4,FALSE),"")*C240</f>
        <v>4.252</v>
      </c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</row>
    <row r="241">
      <c r="A241" s="60" t="s">
        <v>50</v>
      </c>
      <c r="B241" s="61" t="s">
        <v>383</v>
      </c>
      <c r="C241" s="62">
        <v>1000.0</v>
      </c>
      <c r="D241" s="63" t="s">
        <v>539</v>
      </c>
      <c r="E241" s="64">
        <v>0.0</v>
      </c>
      <c r="F241" s="65">
        <f t="shared" si="1"/>
        <v>1000</v>
      </c>
      <c r="G241" s="66">
        <f>IF(B241&lt;&gt;"",VLOOKUP(B241,Zutaten!$C:$F,4,FALSE),"")*C241</f>
        <v>1.18</v>
      </c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</row>
    <row r="242">
      <c r="A242" s="60" t="s">
        <v>50</v>
      </c>
      <c r="B242" s="61" t="s">
        <v>441</v>
      </c>
      <c r="C242" s="62">
        <v>250.0</v>
      </c>
      <c r="D242" s="63" t="s">
        <v>539</v>
      </c>
      <c r="E242" s="64">
        <v>0.0</v>
      </c>
      <c r="F242" s="65">
        <f t="shared" si="1"/>
        <v>250</v>
      </c>
      <c r="G242" s="66">
        <f>IF(B242&lt;&gt;"",VLOOKUP(B242,Zutaten!$C:$F,4,FALSE),"")*C242</f>
        <v>2.38</v>
      </c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</row>
    <row r="243">
      <c r="A243" s="60" t="s">
        <v>50</v>
      </c>
      <c r="B243" s="61" t="s">
        <v>467</v>
      </c>
      <c r="C243" s="62">
        <v>20.0</v>
      </c>
      <c r="D243" s="63" t="s">
        <v>539</v>
      </c>
      <c r="E243" s="64">
        <v>0.0</v>
      </c>
      <c r="F243" s="65">
        <f t="shared" si="1"/>
        <v>20</v>
      </c>
      <c r="G243" s="66">
        <f>IF(B243&lt;&gt;"",VLOOKUP(B243,Zutaten!$C:$F,4,FALSE),"")*C243</f>
        <v>0.00736</v>
      </c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</row>
    <row r="244">
      <c r="A244" s="60" t="s">
        <v>50</v>
      </c>
      <c r="B244" s="61" t="s">
        <v>528</v>
      </c>
      <c r="C244" s="62">
        <v>50.0</v>
      </c>
      <c r="D244" s="63" t="s">
        <v>539</v>
      </c>
      <c r="E244" s="64">
        <v>0.0</v>
      </c>
      <c r="F244" s="65">
        <f t="shared" si="1"/>
        <v>50</v>
      </c>
      <c r="G244" s="66">
        <f>IF(B244&lt;&gt;"",VLOOKUP(B244,Zutaten!$C:$F,4,FALSE),"")*C244</f>
        <v>0.072</v>
      </c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</row>
    <row r="245">
      <c r="A245" s="60" t="s">
        <v>50</v>
      </c>
      <c r="B245" s="61" t="s">
        <v>66</v>
      </c>
      <c r="C245" s="62">
        <v>2000.0</v>
      </c>
      <c r="D245" s="63" t="s">
        <v>540</v>
      </c>
      <c r="E245" s="64">
        <v>0.0</v>
      </c>
      <c r="F245" s="65">
        <f t="shared" si="1"/>
        <v>2000</v>
      </c>
      <c r="G245" s="66">
        <f>IF(B245&lt;&gt;"",VLOOKUP(B245,Zutaten!$C:$F,4,FALSE),"")*C245</f>
        <v>4.773364244</v>
      </c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</row>
    <row r="246">
      <c r="A246" s="29" t="s">
        <v>51</v>
      </c>
      <c r="B246" s="63" t="s">
        <v>354</v>
      </c>
      <c r="C246" s="63">
        <v>1200.0</v>
      </c>
      <c r="D246" s="63" t="s">
        <v>539</v>
      </c>
      <c r="E246" s="64">
        <v>0.0</v>
      </c>
      <c r="F246" s="65">
        <f t="shared" si="1"/>
        <v>1200</v>
      </c>
      <c r="G246" s="66">
        <f>IF(B246&lt;&gt;"",VLOOKUP(B246,Zutaten!$C:$F,4,FALSE),"")*C246</f>
        <v>5.96</v>
      </c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</row>
    <row r="247">
      <c r="A247" s="29" t="s">
        <v>51</v>
      </c>
      <c r="B247" s="20" t="s">
        <v>528</v>
      </c>
      <c r="C247" s="63">
        <v>270.0</v>
      </c>
      <c r="D247" s="63" t="s">
        <v>539</v>
      </c>
      <c r="E247" s="64">
        <v>0.0</v>
      </c>
      <c r="F247" s="65">
        <f t="shared" si="1"/>
        <v>270</v>
      </c>
      <c r="G247" s="66">
        <f>IF(B247&lt;&gt;"",VLOOKUP(B247,Zutaten!$C:$F,4,FALSE),"")*C247</f>
        <v>0.3888</v>
      </c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</row>
    <row r="248">
      <c r="A248" s="29" t="s">
        <v>51</v>
      </c>
      <c r="B248" s="77" t="s">
        <v>518</v>
      </c>
      <c r="C248" s="63">
        <v>40.0</v>
      </c>
      <c r="D248" s="63" t="s">
        <v>539</v>
      </c>
      <c r="E248" s="64">
        <v>0.0</v>
      </c>
      <c r="F248" s="65">
        <f t="shared" si="1"/>
        <v>40</v>
      </c>
      <c r="G248" s="66">
        <f>IF(B248&lt;&gt;"",VLOOKUP(B248,Zutaten!$C:$F,4,FALSE),"")*C248</f>
        <v>0.02988</v>
      </c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</row>
    <row r="249">
      <c r="A249" s="29" t="s">
        <v>51</v>
      </c>
      <c r="B249" s="63" t="s">
        <v>527</v>
      </c>
      <c r="C249" s="63">
        <v>25.0</v>
      </c>
      <c r="D249" s="63" t="s">
        <v>540</v>
      </c>
      <c r="E249" s="64">
        <v>0.0</v>
      </c>
      <c r="F249" s="65">
        <f t="shared" si="1"/>
        <v>25</v>
      </c>
      <c r="G249" s="66">
        <f>IF(B249&lt;&gt;"",VLOOKUP(B249,Zutaten!$C:$F,4,FALSE),"")*C249</f>
        <v>0.06</v>
      </c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</row>
    <row r="250">
      <c r="A250" s="29" t="s">
        <v>51</v>
      </c>
      <c r="B250" s="61" t="s">
        <v>510</v>
      </c>
      <c r="C250" s="63">
        <v>200.0</v>
      </c>
      <c r="D250" s="63" t="s">
        <v>540</v>
      </c>
      <c r="E250" s="64">
        <v>0.0</v>
      </c>
      <c r="F250" s="65">
        <f t="shared" si="1"/>
        <v>200</v>
      </c>
      <c r="G250" s="66">
        <f>IF(B250&lt;&gt;"",VLOOKUP(B250,Zutaten!$C:$F,4,FALSE),"")*C250</f>
        <v>0.928</v>
      </c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</row>
    <row r="251">
      <c r="A251" s="29" t="s">
        <v>51</v>
      </c>
      <c r="B251" s="77" t="s">
        <v>509</v>
      </c>
      <c r="C251" s="63">
        <v>30.0</v>
      </c>
      <c r="D251" s="63" t="s">
        <v>539</v>
      </c>
      <c r="E251" s="64">
        <v>0.0</v>
      </c>
      <c r="F251" s="65">
        <f t="shared" si="1"/>
        <v>30</v>
      </c>
      <c r="G251" s="66">
        <f>IF(B251&lt;&gt;"",VLOOKUP(B251,Zutaten!$C:$F,4,FALSE),"")*C251</f>
        <v>0.1167</v>
      </c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</row>
    <row r="252">
      <c r="A252" s="29" t="s">
        <v>51</v>
      </c>
      <c r="B252" s="63" t="s">
        <v>332</v>
      </c>
      <c r="C252" s="63">
        <v>30.0</v>
      </c>
      <c r="D252" s="63" t="s">
        <v>540</v>
      </c>
      <c r="E252" s="64">
        <v>0.0</v>
      </c>
      <c r="F252" s="65">
        <f t="shared" si="1"/>
        <v>30</v>
      </c>
      <c r="G252" s="66">
        <f>IF(B252&lt;&gt;"",VLOOKUP(B252,Zutaten!$C:$F,4,FALSE),"")*C252</f>
        <v>0.2547</v>
      </c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</row>
    <row r="253">
      <c r="A253" s="29" t="s">
        <v>51</v>
      </c>
      <c r="B253" s="63" t="s">
        <v>548</v>
      </c>
      <c r="C253" s="63">
        <v>400.0</v>
      </c>
      <c r="D253" s="63" t="s">
        <v>539</v>
      </c>
      <c r="E253" s="64">
        <v>0.0</v>
      </c>
      <c r="F253" s="65">
        <f t="shared" si="1"/>
        <v>400</v>
      </c>
      <c r="G253" s="66">
        <f>IF(B253&lt;&gt;"",VLOOKUP(B253,Zutaten!$C:$F,4,FALSE),"")*C253</f>
        <v>1.816</v>
      </c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</row>
    <row r="254">
      <c r="A254" s="18" t="s">
        <v>56</v>
      </c>
      <c r="B254" s="18" t="s">
        <v>51</v>
      </c>
      <c r="C254" s="68">
        <f>2200/16</f>
        <v>137.5</v>
      </c>
      <c r="D254" s="63" t="s">
        <v>539</v>
      </c>
      <c r="E254" s="64">
        <v>0.0</v>
      </c>
      <c r="F254" s="65">
        <f t="shared" si="1"/>
        <v>137.5</v>
      </c>
      <c r="G254" s="66">
        <f>IF(B254&lt;&gt;"",VLOOKUP(B254,Zutaten!$C:$F,4,FALSE),"")*C254</f>
        <v>0.598490205</v>
      </c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</row>
    <row r="255">
      <c r="A255" s="18" t="s">
        <v>56</v>
      </c>
      <c r="B255" s="60" t="s">
        <v>54</v>
      </c>
      <c r="C255" s="68">
        <v>40.0</v>
      </c>
      <c r="D255" s="63" t="s">
        <v>539</v>
      </c>
      <c r="E255" s="64">
        <v>0.0</v>
      </c>
      <c r="F255" s="65">
        <f t="shared" si="1"/>
        <v>40</v>
      </c>
      <c r="G255" s="66">
        <f>IF(B255&lt;&gt;"",VLOOKUP(B255,Zutaten!$C:$F,4,FALSE),"")*C255</f>
        <v>0.1774328358</v>
      </c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</row>
    <row r="256">
      <c r="A256" s="18" t="s">
        <v>56</v>
      </c>
      <c r="B256" s="60" t="s">
        <v>143</v>
      </c>
      <c r="C256" s="75">
        <f>1555/(16*4)</f>
        <v>24.296875</v>
      </c>
      <c r="D256" s="63" t="s">
        <v>539</v>
      </c>
      <c r="E256" s="64">
        <v>0.0</v>
      </c>
      <c r="F256" s="65">
        <f t="shared" si="1"/>
        <v>24.296875</v>
      </c>
      <c r="G256" s="66">
        <f>IF(B256&lt;&gt;"",VLOOKUP(B256,Zutaten!$C:$F,4,FALSE),"")*C256</f>
        <v>0.1235546875</v>
      </c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</row>
    <row r="257">
      <c r="A257" s="18" t="s">
        <v>56</v>
      </c>
      <c r="B257" s="20" t="s">
        <v>372</v>
      </c>
      <c r="C257" s="68">
        <v>9.0</v>
      </c>
      <c r="D257" s="63" t="s">
        <v>539</v>
      </c>
      <c r="E257" s="64">
        <v>0.0</v>
      </c>
      <c r="F257" s="65">
        <f t="shared" si="1"/>
        <v>9</v>
      </c>
      <c r="G257" s="66">
        <f>IF(B257&lt;&gt;"",VLOOKUP(B257,Zutaten!$C:$F,4,FALSE),"")*C257</f>
        <v>0.21096</v>
      </c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</row>
    <row r="258">
      <c r="A258" s="18" t="s">
        <v>56</v>
      </c>
      <c r="B258" s="20" t="s">
        <v>109</v>
      </c>
      <c r="C258" s="68">
        <v>20.0</v>
      </c>
      <c r="D258" s="63" t="s">
        <v>539</v>
      </c>
      <c r="E258" s="64">
        <v>0.0</v>
      </c>
      <c r="F258" s="65">
        <f t="shared" si="1"/>
        <v>20</v>
      </c>
      <c r="G258" s="66">
        <f>IF(B258&lt;&gt;"",VLOOKUP(B258,Zutaten!$C:$F,4,FALSE),"")*C258</f>
        <v>0.0395</v>
      </c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</row>
    <row r="259">
      <c r="A259" s="61" t="s">
        <v>54</v>
      </c>
      <c r="B259" s="61" t="s">
        <v>470</v>
      </c>
      <c r="C259" s="63">
        <v>300.0</v>
      </c>
      <c r="D259" s="63" t="s">
        <v>539</v>
      </c>
      <c r="E259" s="64">
        <v>0.0</v>
      </c>
      <c r="F259" s="65">
        <f t="shared" si="1"/>
        <v>300</v>
      </c>
      <c r="G259" s="66">
        <f>IF(B259&lt;&gt;"",VLOOKUP(B259,Zutaten!$C:$F,4,FALSE),"")*C259</f>
        <v>1.362</v>
      </c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</row>
    <row r="260">
      <c r="A260" s="61" t="s">
        <v>54</v>
      </c>
      <c r="B260" s="61" t="s">
        <v>354</v>
      </c>
      <c r="C260" s="63">
        <v>300.0</v>
      </c>
      <c r="D260" s="63" t="s">
        <v>539</v>
      </c>
      <c r="E260" s="64">
        <v>0.0</v>
      </c>
      <c r="F260" s="65">
        <f t="shared" si="1"/>
        <v>300</v>
      </c>
      <c r="G260" s="66">
        <f>IF(B260&lt;&gt;"",VLOOKUP(B260,Zutaten!$C:$F,4,FALSE),"")*C260</f>
        <v>1.49</v>
      </c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</row>
    <row r="261">
      <c r="A261" s="61" t="s">
        <v>54</v>
      </c>
      <c r="B261" s="61" t="s">
        <v>528</v>
      </c>
      <c r="C261" s="63">
        <v>50.0</v>
      </c>
      <c r="D261" s="63" t="s">
        <v>539</v>
      </c>
      <c r="E261" s="64">
        <v>0.0</v>
      </c>
      <c r="F261" s="65">
        <f t="shared" si="1"/>
        <v>50</v>
      </c>
      <c r="G261" s="66">
        <f>IF(B261&lt;&gt;"",VLOOKUP(B261,Zutaten!$C:$F,4,FALSE),"")*C261</f>
        <v>0.072</v>
      </c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</row>
    <row r="262">
      <c r="A262" s="61" t="s">
        <v>54</v>
      </c>
      <c r="B262" s="61" t="s">
        <v>527</v>
      </c>
      <c r="C262" s="63">
        <v>20.0</v>
      </c>
      <c r="D262" s="63" t="s">
        <v>539</v>
      </c>
      <c r="E262" s="64">
        <v>0.0</v>
      </c>
      <c r="F262" s="65">
        <f t="shared" si="1"/>
        <v>20</v>
      </c>
      <c r="G262" s="66">
        <f>IF(B262&lt;&gt;"",VLOOKUP(B262,Zutaten!$C:$F,4,FALSE),"")*C262</f>
        <v>0.048</v>
      </c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</row>
    <row r="263">
      <c r="A263" s="18" t="s">
        <v>549</v>
      </c>
      <c r="B263" s="18" t="s">
        <v>51</v>
      </c>
      <c r="C263" s="68">
        <v>150.0</v>
      </c>
      <c r="D263" s="63" t="s">
        <v>539</v>
      </c>
      <c r="E263" s="64">
        <v>0.0</v>
      </c>
      <c r="F263" s="65">
        <f t="shared" si="1"/>
        <v>150</v>
      </c>
      <c r="G263" s="66">
        <f>IF(B263&lt;&gt;"",VLOOKUP(B263,Zutaten!$C:$F,4,FALSE),"")*C263</f>
        <v>0.6528984055</v>
      </c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</row>
    <row r="264">
      <c r="A264" s="18" t="s">
        <v>549</v>
      </c>
      <c r="B264" s="18" t="s">
        <v>143</v>
      </c>
      <c r="C264" s="68">
        <v>20.0</v>
      </c>
      <c r="D264" s="63" t="s">
        <v>539</v>
      </c>
      <c r="E264" s="64">
        <v>0.0</v>
      </c>
      <c r="F264" s="65">
        <f t="shared" si="1"/>
        <v>20</v>
      </c>
      <c r="G264" s="66">
        <f>IF(B264&lt;&gt;"",VLOOKUP(B264,Zutaten!$C:$F,4,FALSE),"")*C264</f>
        <v>0.1017041801</v>
      </c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</row>
    <row r="265">
      <c r="A265" s="18" t="s">
        <v>549</v>
      </c>
      <c r="B265" s="18" t="s">
        <v>326</v>
      </c>
      <c r="C265" s="68">
        <v>4.0</v>
      </c>
      <c r="D265" s="63" t="s">
        <v>539</v>
      </c>
      <c r="E265" s="64">
        <v>0.0</v>
      </c>
      <c r="F265" s="65">
        <f t="shared" si="1"/>
        <v>4</v>
      </c>
      <c r="G265" s="66">
        <f>IF(B265&lt;&gt;"",VLOOKUP(B265,Zutaten!$C:$F,4,FALSE),"")*C265</f>
        <v>0.052</v>
      </c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</row>
    <row r="266">
      <c r="A266" s="18" t="s">
        <v>549</v>
      </c>
      <c r="B266" s="18" t="s">
        <v>54</v>
      </c>
      <c r="C266" s="68">
        <v>60.0</v>
      </c>
      <c r="D266" s="63" t="s">
        <v>539</v>
      </c>
      <c r="E266" s="64">
        <v>0.0</v>
      </c>
      <c r="F266" s="65">
        <f t="shared" si="1"/>
        <v>60</v>
      </c>
      <c r="G266" s="66">
        <f>IF(B266&lt;&gt;"",VLOOKUP(B266,Zutaten!$C:$F,4,FALSE),"")*C266</f>
        <v>0.2661492537</v>
      </c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</row>
    <row r="267">
      <c r="A267" s="18" t="s">
        <v>549</v>
      </c>
      <c r="B267" s="20" t="s">
        <v>372</v>
      </c>
      <c r="C267" s="68">
        <v>5.0</v>
      </c>
      <c r="D267" s="63" t="s">
        <v>539</v>
      </c>
      <c r="E267" s="64">
        <v>0.0</v>
      </c>
      <c r="F267" s="65">
        <f t="shared" si="1"/>
        <v>5</v>
      </c>
      <c r="G267" s="66">
        <f>IF(B267&lt;&gt;"",VLOOKUP(B267,Zutaten!$C:$F,4,FALSE),"")*C267</f>
        <v>0.1172</v>
      </c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</row>
    <row r="268">
      <c r="A268" s="18" t="s">
        <v>549</v>
      </c>
      <c r="B268" s="20" t="s">
        <v>109</v>
      </c>
      <c r="C268" s="68">
        <v>10.0</v>
      </c>
      <c r="D268" s="63" t="s">
        <v>539</v>
      </c>
      <c r="E268" s="64">
        <v>0.0</v>
      </c>
      <c r="F268" s="65">
        <f t="shared" si="1"/>
        <v>10</v>
      </c>
      <c r="G268" s="66">
        <f>IF(B268&lt;&gt;"",VLOOKUP(B268,Zutaten!$C:$F,4,FALSE),"")*C268</f>
        <v>0.01975</v>
      </c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</row>
    <row r="269">
      <c r="A269" s="18" t="s">
        <v>549</v>
      </c>
      <c r="B269" s="60" t="s">
        <v>419</v>
      </c>
      <c r="C269" s="68">
        <f>100/40</f>
        <v>2.5</v>
      </c>
      <c r="D269" s="63" t="s">
        <v>539</v>
      </c>
      <c r="E269" s="64">
        <v>0.0</v>
      </c>
      <c r="F269" s="65">
        <f t="shared" si="1"/>
        <v>2.5</v>
      </c>
      <c r="G269" s="66">
        <f>IF(B269&lt;&gt;"",VLOOKUP(B269,Zutaten!$C:$F,4,FALSE),"")*C269</f>
        <v>0.06875</v>
      </c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</row>
    <row r="270">
      <c r="A270" s="61" t="s">
        <v>55</v>
      </c>
      <c r="B270" s="61" t="s">
        <v>328</v>
      </c>
      <c r="C270" s="63">
        <v>4000.0</v>
      </c>
      <c r="D270" s="63" t="s">
        <v>539</v>
      </c>
      <c r="E270" s="64">
        <v>0.0</v>
      </c>
      <c r="F270" s="65">
        <f t="shared" si="1"/>
        <v>4000</v>
      </c>
      <c r="G270" s="66">
        <f>IF(B270&lt;&gt;"",VLOOKUP(B270,Zutaten!$C:$F,4,FALSE),"")*C270</f>
        <v>27.16</v>
      </c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</row>
    <row r="271">
      <c r="A271" s="61" t="s">
        <v>55</v>
      </c>
      <c r="B271" s="63" t="s">
        <v>380</v>
      </c>
      <c r="C271" s="63">
        <v>300.0</v>
      </c>
      <c r="D271" s="63" t="s">
        <v>539</v>
      </c>
      <c r="E271" s="64">
        <v>0.0</v>
      </c>
      <c r="F271" s="65">
        <f t="shared" si="1"/>
        <v>300</v>
      </c>
      <c r="G271" s="66">
        <f>IF(B271&lt;&gt;"",VLOOKUP(B271,Zutaten!$C:$F,4,FALSE),"")*C271</f>
        <v>1.242352941</v>
      </c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</row>
    <row r="272">
      <c r="A272" s="61" t="s">
        <v>55</v>
      </c>
      <c r="B272" s="77" t="s">
        <v>396</v>
      </c>
      <c r="C272" s="63">
        <v>100.0</v>
      </c>
      <c r="D272" s="63" t="s">
        <v>539</v>
      </c>
      <c r="E272" s="64">
        <v>0.0</v>
      </c>
      <c r="F272" s="65">
        <f t="shared" si="1"/>
        <v>100</v>
      </c>
      <c r="G272" s="66">
        <f>IF(B272&lt;&gt;"",VLOOKUP(B272,Zutaten!$C:$F,4,FALSE),"")*C272</f>
        <v>2.73</v>
      </c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</row>
    <row r="273">
      <c r="A273" s="61" t="s">
        <v>55</v>
      </c>
      <c r="B273" s="63" t="s">
        <v>527</v>
      </c>
      <c r="C273" s="63">
        <v>200.0</v>
      </c>
      <c r="D273" s="63" t="s">
        <v>540</v>
      </c>
      <c r="E273" s="64">
        <v>0.0</v>
      </c>
      <c r="F273" s="65">
        <f t="shared" si="1"/>
        <v>200</v>
      </c>
      <c r="G273" s="66">
        <f>IF(B273&lt;&gt;"",VLOOKUP(B273,Zutaten!$C:$F,4,FALSE),"")*C273</f>
        <v>0.48</v>
      </c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</row>
    <row r="274">
      <c r="A274" s="61" t="s">
        <v>55</v>
      </c>
      <c r="B274" s="63" t="s">
        <v>528</v>
      </c>
      <c r="C274" s="63">
        <v>50.0</v>
      </c>
      <c r="D274" s="63" t="s">
        <v>539</v>
      </c>
      <c r="E274" s="64">
        <v>0.0</v>
      </c>
      <c r="F274" s="65">
        <f t="shared" si="1"/>
        <v>50</v>
      </c>
      <c r="G274" s="66">
        <f>IF(B274&lt;&gt;"",VLOOKUP(B274,Zutaten!$C:$F,4,FALSE),"")*C274</f>
        <v>0.072</v>
      </c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</row>
    <row r="275">
      <c r="A275" s="61" t="s">
        <v>55</v>
      </c>
      <c r="B275" s="61" t="s">
        <v>467</v>
      </c>
      <c r="C275" s="63">
        <v>25.0</v>
      </c>
      <c r="D275" s="63" t="s">
        <v>539</v>
      </c>
      <c r="E275" s="64">
        <v>0.0</v>
      </c>
      <c r="F275" s="65">
        <f t="shared" si="1"/>
        <v>25</v>
      </c>
      <c r="G275" s="66">
        <f>IF(B275&lt;&gt;"",VLOOKUP(B275,Zutaten!$C:$F,4,FALSE),"")*C275</f>
        <v>0.0092</v>
      </c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</row>
    <row r="276">
      <c r="A276" s="18" t="s">
        <v>57</v>
      </c>
      <c r="B276" s="18" t="s">
        <v>313</v>
      </c>
      <c r="C276" s="68">
        <v>80.0</v>
      </c>
      <c r="D276" s="63" t="s">
        <v>539</v>
      </c>
      <c r="E276" s="64">
        <v>0.0</v>
      </c>
      <c r="F276" s="65">
        <f t="shared" si="1"/>
        <v>80</v>
      </c>
      <c r="G276" s="66">
        <f>IF(B276&lt;&gt;"",VLOOKUP(B276,Zutaten!$C:$F,4,FALSE),"")*C276</f>
        <v>0.5</v>
      </c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</row>
    <row r="277">
      <c r="A277" s="18" t="s">
        <v>57</v>
      </c>
      <c r="B277" s="60" t="s">
        <v>163</v>
      </c>
      <c r="C277" s="68">
        <v>140.0</v>
      </c>
      <c r="D277" s="63" t="s">
        <v>539</v>
      </c>
      <c r="E277" s="64">
        <v>0.0</v>
      </c>
      <c r="F277" s="65">
        <f t="shared" si="1"/>
        <v>140</v>
      </c>
      <c r="G277" s="66">
        <f>IF(B277&lt;&gt;"",VLOOKUP(B277,Zutaten!$C:$F,4,FALSE),"")*C277</f>
        <v>1.368299057</v>
      </c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</row>
    <row r="278">
      <c r="A278" s="18" t="s">
        <v>57</v>
      </c>
      <c r="B278" s="60" t="s">
        <v>159</v>
      </c>
      <c r="C278" s="68">
        <v>80.0</v>
      </c>
      <c r="D278" s="63" t="s">
        <v>539</v>
      </c>
      <c r="E278" s="64">
        <v>0.0</v>
      </c>
      <c r="F278" s="65">
        <f t="shared" si="1"/>
        <v>80</v>
      </c>
      <c r="G278" s="66">
        <f>IF(B278&lt;&gt;"",VLOOKUP(B278,Zutaten!$C:$F,4,FALSE),"")*C278</f>
        <v>0.2530736881</v>
      </c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</row>
    <row r="279">
      <c r="A279" s="18" t="s">
        <v>57</v>
      </c>
      <c r="B279" s="18" t="s">
        <v>519</v>
      </c>
      <c r="C279" s="68">
        <v>40.0</v>
      </c>
      <c r="D279" s="63" t="s">
        <v>539</v>
      </c>
      <c r="E279" s="64">
        <v>0.0</v>
      </c>
      <c r="F279" s="65">
        <f t="shared" si="1"/>
        <v>40</v>
      </c>
      <c r="G279" s="66">
        <f>IF(B279&lt;&gt;"",VLOOKUP(B279,Zutaten!$C:$F,4,FALSE),"")*C279</f>
        <v>0.8144</v>
      </c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</row>
    <row r="280">
      <c r="A280" s="18" t="s">
        <v>57</v>
      </c>
      <c r="B280" s="18" t="s">
        <v>502</v>
      </c>
      <c r="C280" s="68">
        <v>20.0</v>
      </c>
      <c r="D280" s="63" t="s">
        <v>539</v>
      </c>
      <c r="E280" s="64">
        <v>0.0</v>
      </c>
      <c r="F280" s="65">
        <f t="shared" si="1"/>
        <v>20</v>
      </c>
      <c r="G280" s="66">
        <f>IF(B280&lt;&gt;"",VLOOKUP(B280,Zutaten!$C:$F,4,FALSE),"")*C280</f>
        <v>0.05526</v>
      </c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</row>
    <row r="281">
      <c r="A281" s="18" t="s">
        <v>57</v>
      </c>
      <c r="B281" s="18" t="s">
        <v>45</v>
      </c>
      <c r="C281" s="68">
        <v>80.0</v>
      </c>
      <c r="D281" s="63" t="s">
        <v>539</v>
      </c>
      <c r="E281" s="64">
        <v>0.0</v>
      </c>
      <c r="F281" s="65">
        <f t="shared" si="1"/>
        <v>80</v>
      </c>
      <c r="G281" s="66">
        <f>IF(B281&lt;&gt;"",VLOOKUP(B281,Zutaten!$C:$F,4,FALSE),"")*C281</f>
        <v>0.8529453634</v>
      </c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</row>
    <row r="282">
      <c r="A282" s="18" t="s">
        <v>58</v>
      </c>
      <c r="B282" s="18" t="s">
        <v>313</v>
      </c>
      <c r="C282" s="68">
        <v>80.0</v>
      </c>
      <c r="D282" s="63" t="s">
        <v>539</v>
      </c>
      <c r="E282" s="64">
        <v>0.0</v>
      </c>
      <c r="F282" s="65">
        <f t="shared" si="1"/>
        <v>80</v>
      </c>
      <c r="G282" s="66">
        <f>IF(B282&lt;&gt;"",VLOOKUP(B282,Zutaten!$C:$F,4,FALSE),"")*C282</f>
        <v>0.5</v>
      </c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</row>
    <row r="283">
      <c r="A283" s="18" t="s">
        <v>58</v>
      </c>
      <c r="B283" s="60" t="s">
        <v>163</v>
      </c>
      <c r="C283" s="68">
        <v>150.0</v>
      </c>
      <c r="D283" s="63" t="s">
        <v>539</v>
      </c>
      <c r="E283" s="64">
        <v>0.0</v>
      </c>
      <c r="F283" s="65">
        <f t="shared" si="1"/>
        <v>150</v>
      </c>
      <c r="G283" s="66">
        <f>IF(B283&lt;&gt;"",VLOOKUP(B283,Zutaten!$C:$F,4,FALSE),"")*C283</f>
        <v>1.466034704</v>
      </c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</row>
    <row r="284">
      <c r="A284" s="18" t="s">
        <v>58</v>
      </c>
      <c r="B284" s="60" t="s">
        <v>159</v>
      </c>
      <c r="C284" s="68">
        <v>80.0</v>
      </c>
      <c r="D284" s="63" t="s">
        <v>539</v>
      </c>
      <c r="E284" s="64">
        <v>0.0</v>
      </c>
      <c r="F284" s="65">
        <f t="shared" si="1"/>
        <v>80</v>
      </c>
      <c r="G284" s="66">
        <f>IF(B284&lt;&gt;"",VLOOKUP(B284,Zutaten!$C:$F,4,FALSE),"")*C284</f>
        <v>0.2530736881</v>
      </c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</row>
    <row r="285">
      <c r="A285" s="18" t="s">
        <v>58</v>
      </c>
      <c r="B285" s="18" t="s">
        <v>519</v>
      </c>
      <c r="C285" s="68">
        <v>40.0</v>
      </c>
      <c r="D285" s="63" t="s">
        <v>539</v>
      </c>
      <c r="E285" s="64">
        <v>0.0</v>
      </c>
      <c r="F285" s="65">
        <f t="shared" si="1"/>
        <v>40</v>
      </c>
      <c r="G285" s="66">
        <f>IF(B285&lt;&gt;"",VLOOKUP(B285,Zutaten!$C:$F,4,FALSE),"")*C285</f>
        <v>0.8144</v>
      </c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7"/>
    </row>
    <row r="286">
      <c r="A286" s="18" t="s">
        <v>58</v>
      </c>
      <c r="B286" s="18" t="s">
        <v>502</v>
      </c>
      <c r="C286" s="68">
        <v>20.0</v>
      </c>
      <c r="D286" s="63" t="s">
        <v>539</v>
      </c>
      <c r="E286" s="64">
        <v>0.0</v>
      </c>
      <c r="F286" s="65">
        <f t="shared" si="1"/>
        <v>20</v>
      </c>
      <c r="G286" s="66">
        <f>IF(B286&lt;&gt;"",VLOOKUP(B286,Zutaten!$C:$F,4,FALSE),"")*C286</f>
        <v>0.05526</v>
      </c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</row>
    <row r="287">
      <c r="A287" s="18" t="s">
        <v>58</v>
      </c>
      <c r="B287" s="18" t="s">
        <v>45</v>
      </c>
      <c r="C287" s="68">
        <v>80.0</v>
      </c>
      <c r="D287" s="63" t="s">
        <v>539</v>
      </c>
      <c r="E287" s="64">
        <v>0.0</v>
      </c>
      <c r="F287" s="65">
        <f t="shared" si="1"/>
        <v>80</v>
      </c>
      <c r="G287" s="66">
        <f>IF(B287&lt;&gt;"",VLOOKUP(B287,Zutaten!$C:$F,4,FALSE),"")*C287</f>
        <v>0.8529453634</v>
      </c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</row>
    <row r="288">
      <c r="A288" s="18" t="s">
        <v>58</v>
      </c>
      <c r="B288" s="18" t="s">
        <v>458</v>
      </c>
      <c r="C288" s="68">
        <v>170.0</v>
      </c>
      <c r="D288" s="63" t="s">
        <v>539</v>
      </c>
      <c r="E288" s="64">
        <v>0.0</v>
      </c>
      <c r="F288" s="65">
        <f t="shared" si="1"/>
        <v>170</v>
      </c>
      <c r="G288" s="66">
        <f>IF(B288&lt;&gt;"",VLOOKUP(B288,Zutaten!$C:$F,4,FALSE),"")*C288</f>
        <v>1.4433</v>
      </c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7"/>
    </row>
    <row r="289">
      <c r="A289" s="18" t="s">
        <v>59</v>
      </c>
      <c r="B289" s="60" t="s">
        <v>101</v>
      </c>
      <c r="C289" s="68">
        <v>190.0</v>
      </c>
      <c r="D289" s="63" t="s">
        <v>539</v>
      </c>
      <c r="E289" s="64">
        <v>0.0</v>
      </c>
      <c r="F289" s="65">
        <f t="shared" si="1"/>
        <v>190</v>
      </c>
      <c r="G289" s="66">
        <f>IF(B289&lt;&gt;"",VLOOKUP(B289,Zutaten!$C:$F,4,FALSE),"")*C289</f>
        <v>1.245185478</v>
      </c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</row>
    <row r="290">
      <c r="A290" s="63" t="s">
        <v>60</v>
      </c>
      <c r="B290" s="63" t="s">
        <v>154</v>
      </c>
      <c r="C290" s="68">
        <v>200.0</v>
      </c>
      <c r="D290" s="63" t="s">
        <v>539</v>
      </c>
      <c r="E290" s="64">
        <v>0.0</v>
      </c>
      <c r="F290" s="65">
        <f t="shared" si="1"/>
        <v>200</v>
      </c>
      <c r="G290" s="66">
        <f>IF(B290&lt;&gt;"",VLOOKUP(B290,Zutaten!$C:$F,4,FALSE),"")*C290</f>
        <v>2.214729241</v>
      </c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7"/>
    </row>
    <row r="291">
      <c r="A291" s="18" t="s">
        <v>62</v>
      </c>
      <c r="B291" s="63" t="s">
        <v>126</v>
      </c>
      <c r="C291" s="68">
        <v>250.0</v>
      </c>
      <c r="D291" s="63" t="s">
        <v>539</v>
      </c>
      <c r="E291" s="64">
        <v>0.0</v>
      </c>
      <c r="F291" s="65">
        <f t="shared" si="1"/>
        <v>250</v>
      </c>
      <c r="G291" s="66">
        <f>IF(B291&lt;&gt;"",VLOOKUP(B291,Zutaten!$C:$F,4,FALSE),"")*C291</f>
        <v>0.9657356902</v>
      </c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7"/>
    </row>
    <row r="292">
      <c r="A292" s="18" t="s">
        <v>62</v>
      </c>
      <c r="B292" s="63" t="s">
        <v>112</v>
      </c>
      <c r="C292" s="68">
        <v>55.0</v>
      </c>
      <c r="D292" s="63" t="s">
        <v>539</v>
      </c>
      <c r="E292" s="64">
        <v>0.0</v>
      </c>
      <c r="F292" s="65">
        <f t="shared" si="1"/>
        <v>55</v>
      </c>
      <c r="G292" s="66">
        <f>IF(B292&lt;&gt;"",VLOOKUP(B292,Zutaten!$C:$F,4,FALSE),"")*C292</f>
        <v>0.6603928571</v>
      </c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</row>
    <row r="293">
      <c r="A293" s="18" t="s">
        <v>63</v>
      </c>
      <c r="B293" s="18" t="s">
        <v>152</v>
      </c>
      <c r="C293" s="68">
        <v>190.0</v>
      </c>
      <c r="D293" s="63" t="s">
        <v>539</v>
      </c>
      <c r="E293" s="64">
        <v>0.0</v>
      </c>
      <c r="F293" s="65">
        <f t="shared" si="1"/>
        <v>190</v>
      </c>
      <c r="G293" s="66">
        <f>IF(B293&lt;&gt;"",VLOOKUP(B293,Zutaten!$C:$F,4,FALSE),"")*C293</f>
        <v>1.863802824</v>
      </c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</row>
    <row r="294">
      <c r="A294" s="63" t="s">
        <v>61</v>
      </c>
      <c r="B294" s="63" t="s">
        <v>313</v>
      </c>
      <c r="C294" s="63">
        <v>320.0</v>
      </c>
      <c r="D294" s="63" t="s">
        <v>539</v>
      </c>
      <c r="E294" s="64">
        <v>0.0</v>
      </c>
      <c r="F294" s="65">
        <f t="shared" si="1"/>
        <v>320</v>
      </c>
      <c r="G294" s="66">
        <f>IF(B294&lt;&gt;"",VLOOKUP(B294,Zutaten!$C:$F,4,FALSE),"")*C294</f>
        <v>2</v>
      </c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</row>
    <row r="295">
      <c r="A295" s="63" t="s">
        <v>61</v>
      </c>
      <c r="B295" s="63" t="s">
        <v>313</v>
      </c>
      <c r="C295" s="63">
        <v>500.0</v>
      </c>
      <c r="D295" s="63" t="s">
        <v>539</v>
      </c>
      <c r="E295" s="64">
        <v>0.0</v>
      </c>
      <c r="F295" s="65">
        <f t="shared" si="1"/>
        <v>500</v>
      </c>
      <c r="G295" s="66">
        <f>IF(B295&lt;&gt;"",VLOOKUP(B295,Zutaten!$C:$F,4,FALSE),"")*C295</f>
        <v>3.125</v>
      </c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</row>
    <row r="296">
      <c r="A296" s="63" t="s">
        <v>61</v>
      </c>
      <c r="B296" s="63" t="s">
        <v>314</v>
      </c>
      <c r="C296" s="63">
        <v>250.0</v>
      </c>
      <c r="D296" s="63" t="s">
        <v>539</v>
      </c>
      <c r="E296" s="64">
        <v>0.0</v>
      </c>
      <c r="F296" s="65">
        <f t="shared" si="1"/>
        <v>250</v>
      </c>
      <c r="G296" s="66">
        <f>IF(B296&lt;&gt;"",VLOOKUP(B296,Zutaten!$C:$F,4,FALSE),"")*C296</f>
        <v>1.8</v>
      </c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7"/>
    </row>
    <row r="297">
      <c r="A297" s="63" t="s">
        <v>61</v>
      </c>
      <c r="B297" s="63" t="s">
        <v>392</v>
      </c>
      <c r="C297" s="63">
        <v>5.0</v>
      </c>
      <c r="D297" s="63" t="s">
        <v>539</v>
      </c>
      <c r="E297" s="64">
        <v>0.0</v>
      </c>
      <c r="F297" s="65">
        <f t="shared" si="1"/>
        <v>5</v>
      </c>
      <c r="G297" s="66">
        <f>IF(B297&lt;&gt;"",VLOOKUP(B297,Zutaten!$C:$F,4,FALSE),"")*C297</f>
        <v>0.03396</v>
      </c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</row>
    <row r="298">
      <c r="A298" s="63" t="s">
        <v>61</v>
      </c>
      <c r="B298" s="63" t="s">
        <v>441</v>
      </c>
      <c r="C298" s="63">
        <v>3.0</v>
      </c>
      <c r="D298" s="63" t="s">
        <v>539</v>
      </c>
      <c r="E298" s="64">
        <v>0.0</v>
      </c>
      <c r="F298" s="65">
        <f t="shared" si="1"/>
        <v>3</v>
      </c>
      <c r="G298" s="66">
        <f>IF(B298&lt;&gt;"",VLOOKUP(B298,Zutaten!$C:$F,4,FALSE),"")*C298</f>
        <v>0.02856</v>
      </c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7"/>
    </row>
    <row r="299">
      <c r="A299" s="63" t="s">
        <v>61</v>
      </c>
      <c r="B299" s="63" t="s">
        <v>442</v>
      </c>
      <c r="C299" s="63">
        <v>2.0</v>
      </c>
      <c r="D299" s="63" t="s">
        <v>539</v>
      </c>
      <c r="E299" s="64">
        <v>0.0</v>
      </c>
      <c r="F299" s="65">
        <f t="shared" si="1"/>
        <v>2</v>
      </c>
      <c r="G299" s="66">
        <f>IF(B299&lt;&gt;"",VLOOKUP(B299,Zutaten!$C:$F,4,FALSE),"")*C299</f>
        <v>0.0648</v>
      </c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7"/>
    </row>
    <row r="300">
      <c r="A300" s="63" t="s">
        <v>61</v>
      </c>
      <c r="B300" s="63" t="s">
        <v>467</v>
      </c>
      <c r="C300" s="63">
        <v>4.0</v>
      </c>
      <c r="D300" s="63" t="s">
        <v>539</v>
      </c>
      <c r="E300" s="64">
        <v>0.0</v>
      </c>
      <c r="F300" s="65">
        <f t="shared" si="1"/>
        <v>4</v>
      </c>
      <c r="G300" s="66">
        <f>IF(B300&lt;&gt;"",VLOOKUP(B300,Zutaten!$C:$F,4,FALSE),"")*C300</f>
        <v>0.001472</v>
      </c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7"/>
    </row>
    <row r="301">
      <c r="A301" s="63" t="s">
        <v>61</v>
      </c>
      <c r="B301" s="63" t="s">
        <v>467</v>
      </c>
      <c r="C301" s="63">
        <v>5.0</v>
      </c>
      <c r="D301" s="63" t="s">
        <v>539</v>
      </c>
      <c r="E301" s="64">
        <v>0.0</v>
      </c>
      <c r="F301" s="65">
        <f t="shared" si="1"/>
        <v>5</v>
      </c>
      <c r="G301" s="66">
        <f>IF(B301&lt;&gt;"",VLOOKUP(B301,Zutaten!$C:$F,4,FALSE),"")*C301</f>
        <v>0.00184</v>
      </c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7"/>
    </row>
    <row r="302">
      <c r="A302" s="60" t="s">
        <v>64</v>
      </c>
      <c r="B302" s="61" t="s">
        <v>176</v>
      </c>
      <c r="C302" s="62">
        <v>150.0</v>
      </c>
      <c r="D302" s="63"/>
      <c r="E302" s="64">
        <v>0.0</v>
      </c>
      <c r="F302" s="65">
        <f t="shared" si="1"/>
        <v>150</v>
      </c>
      <c r="G302" s="66">
        <f>IF(B302&lt;&gt;"",VLOOKUP(B302,Zutaten!$C:$F,4,FALSE),"")*C302</f>
        <v>0.4127461505</v>
      </c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7"/>
    </row>
    <row r="303">
      <c r="A303" s="60" t="s">
        <v>64</v>
      </c>
      <c r="B303" s="61" t="s">
        <v>24</v>
      </c>
      <c r="C303" s="62">
        <v>70.0</v>
      </c>
      <c r="D303" s="63"/>
      <c r="E303" s="64">
        <v>0.0</v>
      </c>
      <c r="F303" s="65">
        <f t="shared" si="1"/>
        <v>70</v>
      </c>
      <c r="G303" s="66">
        <f>IF(B303&lt;&gt;"",VLOOKUP(B303,Zutaten!$C:$F,4,FALSE),"")*C303</f>
        <v>0.1588291419</v>
      </c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7"/>
    </row>
    <row r="304">
      <c r="A304" s="60" t="s">
        <v>64</v>
      </c>
      <c r="B304" s="61" t="s">
        <v>180</v>
      </c>
      <c r="C304" s="62">
        <v>50.0</v>
      </c>
      <c r="D304" s="63"/>
      <c r="E304" s="64">
        <v>0.0</v>
      </c>
      <c r="F304" s="65">
        <f t="shared" si="1"/>
        <v>50</v>
      </c>
      <c r="G304" s="66">
        <f>IF(B304&lt;&gt;"",VLOOKUP(B304,Zutaten!$C:$F,4,FALSE),"")*C304</f>
        <v>0.1841625169</v>
      </c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</row>
    <row r="305">
      <c r="A305" s="60" t="s">
        <v>64</v>
      </c>
      <c r="B305" s="61" t="s">
        <v>519</v>
      </c>
      <c r="C305" s="62">
        <v>20.0</v>
      </c>
      <c r="D305" s="63"/>
      <c r="E305" s="64">
        <v>0.0</v>
      </c>
      <c r="F305" s="65">
        <f t="shared" si="1"/>
        <v>20</v>
      </c>
      <c r="G305" s="66">
        <f>IF(B305&lt;&gt;"",VLOOKUP(B305,Zutaten!$C:$F,4,FALSE),"")*C305</f>
        <v>0.4072</v>
      </c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7"/>
    </row>
    <row r="306">
      <c r="A306" s="18" t="s">
        <v>65</v>
      </c>
      <c r="B306" s="18" t="s">
        <v>458</v>
      </c>
      <c r="C306" s="68">
        <v>170.0</v>
      </c>
      <c r="D306" s="63" t="s">
        <v>539</v>
      </c>
      <c r="E306" s="64">
        <v>0.0</v>
      </c>
      <c r="F306" s="65">
        <f t="shared" si="1"/>
        <v>170</v>
      </c>
      <c r="G306" s="66">
        <f>IF(B306&lt;&gt;"",VLOOKUP(B306,Zutaten!$C:$F,4,FALSE),"")*C306</f>
        <v>1.4433</v>
      </c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</row>
    <row r="307">
      <c r="A307" s="18" t="s">
        <v>65</v>
      </c>
      <c r="B307" s="18" t="s">
        <v>313</v>
      </c>
      <c r="C307" s="68">
        <v>80.0</v>
      </c>
      <c r="D307" s="63" t="s">
        <v>539</v>
      </c>
      <c r="E307" s="64">
        <v>0.0</v>
      </c>
      <c r="F307" s="65">
        <f t="shared" si="1"/>
        <v>80</v>
      </c>
      <c r="G307" s="66">
        <f>IF(B307&lt;&gt;"",VLOOKUP(B307,Zutaten!$C:$F,4,FALSE),"")*C307</f>
        <v>0.5</v>
      </c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</row>
    <row r="308">
      <c r="A308" s="18" t="s">
        <v>65</v>
      </c>
      <c r="B308" s="18" t="s">
        <v>454</v>
      </c>
      <c r="C308" s="68">
        <v>50.0</v>
      </c>
      <c r="D308" s="63" t="s">
        <v>539</v>
      </c>
      <c r="E308" s="64">
        <v>0.0</v>
      </c>
      <c r="F308" s="65">
        <f t="shared" si="1"/>
        <v>50</v>
      </c>
      <c r="G308" s="66">
        <f>IF(B308&lt;&gt;"",VLOOKUP(B308,Zutaten!$C:$F,4,FALSE),"")*C308</f>
        <v>0.66125</v>
      </c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</row>
    <row r="309">
      <c r="A309" s="18" t="s">
        <v>65</v>
      </c>
      <c r="B309" s="18" t="s">
        <v>359</v>
      </c>
      <c r="C309" s="68">
        <v>20.0</v>
      </c>
      <c r="D309" s="63" t="s">
        <v>539</v>
      </c>
      <c r="E309" s="64">
        <v>0.0</v>
      </c>
      <c r="F309" s="65">
        <f t="shared" si="1"/>
        <v>20</v>
      </c>
      <c r="G309" s="66">
        <f>IF(B309&lt;&gt;"",VLOOKUP(B309,Zutaten!$C:$F,4,FALSE),"")*C309</f>
        <v>0.04160714286</v>
      </c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</row>
    <row r="310">
      <c r="A310" s="18" t="s">
        <v>65</v>
      </c>
      <c r="B310" s="18" t="s">
        <v>170</v>
      </c>
      <c r="C310" s="68">
        <v>15.0</v>
      </c>
      <c r="D310" s="63" t="s">
        <v>539</v>
      </c>
      <c r="E310" s="64">
        <v>0.0</v>
      </c>
      <c r="F310" s="65">
        <f t="shared" si="1"/>
        <v>15</v>
      </c>
      <c r="G310" s="66">
        <f>IF(B310&lt;&gt;"",VLOOKUP(B310,Zutaten!$C:$F,4,FALSE),"")*C310</f>
        <v>0.01632737705</v>
      </c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  <c r="AC310" s="67"/>
    </row>
    <row r="311">
      <c r="A311" s="18" t="s">
        <v>65</v>
      </c>
      <c r="B311" s="60" t="s">
        <v>282</v>
      </c>
      <c r="C311" s="68">
        <v>50.0</v>
      </c>
      <c r="D311" s="63" t="s">
        <v>539</v>
      </c>
      <c r="E311" s="64">
        <v>0.0</v>
      </c>
      <c r="F311" s="65">
        <f t="shared" si="1"/>
        <v>50</v>
      </c>
      <c r="G311" s="66">
        <f>IF(B311&lt;&gt;"",VLOOKUP(B311,Zutaten!$C:$F,4,FALSE),"")*C311</f>
        <v>0.1782986093</v>
      </c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7"/>
    </row>
    <row r="312">
      <c r="A312" s="18" t="s">
        <v>65</v>
      </c>
      <c r="B312" s="18" t="s">
        <v>336</v>
      </c>
      <c r="C312" s="68">
        <v>20.0</v>
      </c>
      <c r="D312" s="63" t="s">
        <v>539</v>
      </c>
      <c r="E312" s="64">
        <v>0.0</v>
      </c>
      <c r="F312" s="65">
        <f t="shared" si="1"/>
        <v>20</v>
      </c>
      <c r="G312" s="66">
        <f>IF(B312&lt;&gt;"",VLOOKUP(B312,Zutaten!$C:$F,4,FALSE),"")*C312</f>
        <v>0.1278</v>
      </c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</row>
    <row r="313">
      <c r="A313" s="18" t="s">
        <v>67</v>
      </c>
      <c r="B313" s="18" t="s">
        <v>210</v>
      </c>
      <c r="C313" s="68">
        <v>50.0</v>
      </c>
      <c r="D313" s="63" t="s">
        <v>539</v>
      </c>
      <c r="E313" s="64">
        <v>0.0</v>
      </c>
      <c r="F313" s="65">
        <f t="shared" si="1"/>
        <v>50</v>
      </c>
      <c r="G313" s="66">
        <f>IF(B313&lt;&gt;"",VLOOKUP(B313,Zutaten!$C:$F,4,FALSE),"")*C313</f>
        <v>0.2747234014</v>
      </c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</row>
    <row r="314">
      <c r="A314" s="18" t="s">
        <v>67</v>
      </c>
      <c r="B314" s="18" t="s">
        <v>313</v>
      </c>
      <c r="C314" s="68">
        <v>80.0</v>
      </c>
      <c r="D314" s="63" t="s">
        <v>539</v>
      </c>
      <c r="E314" s="64">
        <v>0.0</v>
      </c>
      <c r="F314" s="65">
        <f t="shared" si="1"/>
        <v>80</v>
      </c>
      <c r="G314" s="66">
        <f>IF(B314&lt;&gt;"",VLOOKUP(B314,Zutaten!$C:$F,4,FALSE),"")*C314</f>
        <v>0.5</v>
      </c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</row>
    <row r="315">
      <c r="A315" s="18" t="s">
        <v>67</v>
      </c>
      <c r="B315" s="18" t="s">
        <v>458</v>
      </c>
      <c r="C315" s="68">
        <v>170.0</v>
      </c>
      <c r="D315" s="63" t="s">
        <v>539</v>
      </c>
      <c r="E315" s="64">
        <v>0.0</v>
      </c>
      <c r="F315" s="65">
        <f t="shared" si="1"/>
        <v>170</v>
      </c>
      <c r="G315" s="66">
        <f>IF(B315&lt;&gt;"",VLOOKUP(B315,Zutaten!$C:$F,4,FALSE),"")*C315</f>
        <v>1.4433</v>
      </c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</row>
    <row r="316">
      <c r="A316" s="18" t="s">
        <v>67</v>
      </c>
      <c r="B316" s="18" t="s">
        <v>469</v>
      </c>
      <c r="C316" s="68">
        <v>50.0</v>
      </c>
      <c r="D316" s="63" t="s">
        <v>539</v>
      </c>
      <c r="E316" s="64">
        <v>0.0</v>
      </c>
      <c r="F316" s="65">
        <f t="shared" si="1"/>
        <v>50</v>
      </c>
      <c r="G316" s="66">
        <f>IF(B316&lt;&gt;"",VLOOKUP(B316,Zutaten!$C:$F,4,FALSE),"")*C316</f>
        <v>0.5533333333</v>
      </c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</row>
    <row r="317">
      <c r="A317" s="18" t="s">
        <v>67</v>
      </c>
      <c r="B317" s="18" t="s">
        <v>336</v>
      </c>
      <c r="C317" s="68">
        <v>20.0</v>
      </c>
      <c r="D317" s="63" t="s">
        <v>539</v>
      </c>
      <c r="E317" s="64">
        <v>0.0</v>
      </c>
      <c r="F317" s="65">
        <f t="shared" si="1"/>
        <v>20</v>
      </c>
      <c r="G317" s="66">
        <f>IF(B317&lt;&gt;"",VLOOKUP(B317,Zutaten!$C:$F,4,FALSE),"")*C317</f>
        <v>0.1278</v>
      </c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</row>
    <row r="318">
      <c r="A318" s="18" t="s">
        <v>67</v>
      </c>
      <c r="B318" s="18" t="s">
        <v>25</v>
      </c>
      <c r="C318" s="68">
        <v>30.0</v>
      </c>
      <c r="D318" s="63" t="s">
        <v>539</v>
      </c>
      <c r="E318" s="64">
        <v>0.0</v>
      </c>
      <c r="F318" s="65">
        <f t="shared" si="1"/>
        <v>30</v>
      </c>
      <c r="G318" s="66">
        <f>IF(B318&lt;&gt;"",VLOOKUP(B318,Zutaten!$C:$F,4,FALSE),"")*C318</f>
        <v>0.2235002228</v>
      </c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</row>
    <row r="319">
      <c r="A319" s="18" t="s">
        <v>69</v>
      </c>
      <c r="B319" s="18" t="s">
        <v>458</v>
      </c>
      <c r="C319" s="68">
        <v>340.0</v>
      </c>
      <c r="D319" s="63" t="s">
        <v>539</v>
      </c>
      <c r="E319" s="64">
        <v>0.0</v>
      </c>
      <c r="F319" s="65">
        <f t="shared" si="1"/>
        <v>340</v>
      </c>
      <c r="G319" s="66">
        <f>IF(B319&lt;&gt;"",VLOOKUP(B319,Zutaten!$C:$F,4,FALSE),"")*C319</f>
        <v>2.8866</v>
      </c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</row>
    <row r="320">
      <c r="A320" s="18" t="s">
        <v>69</v>
      </c>
      <c r="B320" s="18" t="s">
        <v>313</v>
      </c>
      <c r="C320" s="68">
        <v>80.0</v>
      </c>
      <c r="D320" s="63" t="s">
        <v>539</v>
      </c>
      <c r="E320" s="64">
        <v>0.0</v>
      </c>
      <c r="F320" s="65">
        <f t="shared" si="1"/>
        <v>80</v>
      </c>
      <c r="G320" s="66">
        <f>IF(B320&lt;&gt;"",VLOOKUP(B320,Zutaten!$C:$F,4,FALSE),"")*C320</f>
        <v>0.5</v>
      </c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</row>
    <row r="321">
      <c r="A321" s="18" t="s">
        <v>69</v>
      </c>
      <c r="B321" s="18" t="s">
        <v>318</v>
      </c>
      <c r="C321" s="68">
        <v>40.0</v>
      </c>
      <c r="D321" s="63" t="s">
        <v>539</v>
      </c>
      <c r="E321" s="64">
        <v>0.0</v>
      </c>
      <c r="F321" s="65">
        <f t="shared" si="1"/>
        <v>40</v>
      </c>
      <c r="G321" s="66">
        <f>IF(B321&lt;&gt;"",VLOOKUP(B321,Zutaten!$C:$F,4,FALSE),"")*C321</f>
        <v>0.4556</v>
      </c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</row>
    <row r="322">
      <c r="A322" s="18" t="s">
        <v>69</v>
      </c>
      <c r="B322" s="18" t="s">
        <v>336</v>
      </c>
      <c r="C322" s="68">
        <v>20.0</v>
      </c>
      <c r="D322" s="63" t="s">
        <v>539</v>
      </c>
      <c r="E322" s="64">
        <v>0.0</v>
      </c>
      <c r="F322" s="65">
        <f t="shared" si="1"/>
        <v>20</v>
      </c>
      <c r="G322" s="66">
        <f>IF(B322&lt;&gt;"",VLOOKUP(B322,Zutaten!$C:$F,4,FALSE),"")*C322</f>
        <v>0.1278</v>
      </c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</row>
    <row r="323">
      <c r="A323" s="18" t="s">
        <v>69</v>
      </c>
      <c r="B323" s="18" t="s">
        <v>505</v>
      </c>
      <c r="C323" s="68">
        <v>50.0</v>
      </c>
      <c r="D323" s="63" t="s">
        <v>539</v>
      </c>
      <c r="E323" s="64">
        <v>0.0</v>
      </c>
      <c r="F323" s="65">
        <f t="shared" si="1"/>
        <v>50</v>
      </c>
      <c r="G323" s="66">
        <f>IF(B323&lt;&gt;"",VLOOKUP(B323,Zutaten!$C:$F,4,FALSE),"")*C323</f>
        <v>0.1425</v>
      </c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</row>
    <row r="324">
      <c r="A324" s="18" t="s">
        <v>69</v>
      </c>
      <c r="B324" s="18" t="s">
        <v>502</v>
      </c>
      <c r="C324" s="68">
        <v>60.0</v>
      </c>
      <c r="D324" s="63" t="s">
        <v>539</v>
      </c>
      <c r="E324" s="64">
        <v>0.0</v>
      </c>
      <c r="F324" s="65">
        <f t="shared" si="1"/>
        <v>60</v>
      </c>
      <c r="G324" s="66">
        <f>IF(B324&lt;&gt;"",VLOOKUP(B324,Zutaten!$C:$F,4,FALSE),"")*C324</f>
        <v>0.16578</v>
      </c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</row>
    <row r="325">
      <c r="A325" s="18" t="s">
        <v>69</v>
      </c>
      <c r="B325" s="18" t="s">
        <v>359</v>
      </c>
      <c r="C325" s="68">
        <v>20.0</v>
      </c>
      <c r="D325" s="63" t="s">
        <v>539</v>
      </c>
      <c r="E325" s="64">
        <v>0.0</v>
      </c>
      <c r="F325" s="65">
        <f t="shared" si="1"/>
        <v>20</v>
      </c>
      <c r="G325" s="66">
        <f>IF(B325&lt;&gt;"",VLOOKUP(B325,Zutaten!$C:$F,4,FALSE),"")*C325</f>
        <v>0.04160714286</v>
      </c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</row>
    <row r="326">
      <c r="A326" s="18" t="s">
        <v>69</v>
      </c>
      <c r="B326" s="18" t="s">
        <v>133</v>
      </c>
      <c r="C326" s="68">
        <v>50.0</v>
      </c>
      <c r="D326" s="63" t="s">
        <v>539</v>
      </c>
      <c r="E326" s="64">
        <v>0.0</v>
      </c>
      <c r="F326" s="65">
        <f t="shared" si="1"/>
        <v>50</v>
      </c>
      <c r="G326" s="66">
        <f>IF(B326&lt;&gt;"",VLOOKUP(B326,Zutaten!$C:$F,4,FALSE),"")*C326</f>
        <v>0.1419438529</v>
      </c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</row>
    <row r="327">
      <c r="A327" s="18" t="s">
        <v>69</v>
      </c>
      <c r="B327" s="18" t="s">
        <v>302</v>
      </c>
      <c r="C327" s="68">
        <v>50.0</v>
      </c>
      <c r="D327" s="63" t="s">
        <v>539</v>
      </c>
      <c r="E327" s="64">
        <v>0.0</v>
      </c>
      <c r="F327" s="65">
        <f t="shared" si="1"/>
        <v>50</v>
      </c>
      <c r="G327" s="66">
        <f>IF(B327&lt;&gt;"",VLOOKUP(B327,Zutaten!$C:$F,4,FALSE),"")*C327</f>
        <v>0.557</v>
      </c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</row>
    <row r="328">
      <c r="A328" s="18" t="s">
        <v>70</v>
      </c>
      <c r="B328" s="18" t="s">
        <v>458</v>
      </c>
      <c r="C328" s="68">
        <v>170.0</v>
      </c>
      <c r="D328" s="63" t="s">
        <v>539</v>
      </c>
      <c r="E328" s="64">
        <v>0.0</v>
      </c>
      <c r="F328" s="65">
        <f t="shared" si="1"/>
        <v>170</v>
      </c>
      <c r="G328" s="66">
        <f>IF(B328&lt;&gt;"",VLOOKUP(B328,Zutaten!$C:$F,4,FALSE),"")*C328</f>
        <v>1.4433</v>
      </c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</row>
    <row r="329">
      <c r="A329" s="18" t="s">
        <v>70</v>
      </c>
      <c r="B329" s="18" t="s">
        <v>313</v>
      </c>
      <c r="C329" s="68">
        <v>80.0</v>
      </c>
      <c r="D329" s="63" t="s">
        <v>539</v>
      </c>
      <c r="E329" s="64">
        <v>0.0</v>
      </c>
      <c r="F329" s="65">
        <f t="shared" si="1"/>
        <v>80</v>
      </c>
      <c r="G329" s="66">
        <f>IF(B329&lt;&gt;"",VLOOKUP(B329,Zutaten!$C:$F,4,FALSE),"")*C329</f>
        <v>0.5</v>
      </c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</row>
    <row r="330">
      <c r="A330" s="18" t="s">
        <v>70</v>
      </c>
      <c r="B330" s="18" t="s">
        <v>318</v>
      </c>
      <c r="C330" s="68">
        <v>20.0</v>
      </c>
      <c r="D330" s="63" t="s">
        <v>539</v>
      </c>
      <c r="E330" s="64">
        <v>0.0</v>
      </c>
      <c r="F330" s="65">
        <f t="shared" si="1"/>
        <v>20</v>
      </c>
      <c r="G330" s="66">
        <f>IF(B330&lt;&gt;"",VLOOKUP(B330,Zutaten!$C:$F,4,FALSE),"")*C330</f>
        <v>0.2278</v>
      </c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</row>
    <row r="331">
      <c r="A331" s="18" t="s">
        <v>70</v>
      </c>
      <c r="B331" s="18" t="s">
        <v>336</v>
      </c>
      <c r="C331" s="68">
        <v>20.0</v>
      </c>
      <c r="D331" s="63" t="s">
        <v>539</v>
      </c>
      <c r="E331" s="64">
        <v>0.0</v>
      </c>
      <c r="F331" s="65">
        <f t="shared" si="1"/>
        <v>20</v>
      </c>
      <c r="G331" s="66">
        <f>IF(B331&lt;&gt;"",VLOOKUP(B331,Zutaten!$C:$F,4,FALSE),"")*C331</f>
        <v>0.1278</v>
      </c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</row>
    <row r="332">
      <c r="A332" s="18" t="s">
        <v>70</v>
      </c>
      <c r="B332" s="18" t="s">
        <v>505</v>
      </c>
      <c r="C332" s="68">
        <v>50.0</v>
      </c>
      <c r="D332" s="63" t="s">
        <v>539</v>
      </c>
      <c r="E332" s="64">
        <v>0.0</v>
      </c>
      <c r="F332" s="65">
        <f t="shared" si="1"/>
        <v>50</v>
      </c>
      <c r="G332" s="66">
        <f>IF(B332&lt;&gt;"",VLOOKUP(B332,Zutaten!$C:$F,4,FALSE),"")*C332</f>
        <v>0.1425</v>
      </c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</row>
    <row r="333">
      <c r="A333" s="18" t="s">
        <v>70</v>
      </c>
      <c r="B333" s="18" t="s">
        <v>502</v>
      </c>
      <c r="C333" s="68">
        <v>60.0</v>
      </c>
      <c r="D333" s="63" t="s">
        <v>539</v>
      </c>
      <c r="E333" s="64">
        <v>0.0</v>
      </c>
      <c r="F333" s="65">
        <f t="shared" si="1"/>
        <v>60</v>
      </c>
      <c r="G333" s="66">
        <f>IF(B333&lt;&gt;"",VLOOKUP(B333,Zutaten!$C:$F,4,FALSE),"")*C333</f>
        <v>0.16578</v>
      </c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7"/>
    </row>
    <row r="334">
      <c r="A334" s="18" t="s">
        <v>70</v>
      </c>
      <c r="B334" s="18" t="s">
        <v>359</v>
      </c>
      <c r="C334" s="68">
        <v>20.0</v>
      </c>
      <c r="D334" s="63" t="s">
        <v>539</v>
      </c>
      <c r="E334" s="64">
        <v>0.0</v>
      </c>
      <c r="F334" s="65">
        <f t="shared" si="1"/>
        <v>20</v>
      </c>
      <c r="G334" s="66">
        <f>IF(B334&lt;&gt;"",VLOOKUP(B334,Zutaten!$C:$F,4,FALSE),"")*C334</f>
        <v>0.04160714286</v>
      </c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7"/>
    </row>
    <row r="335">
      <c r="A335" s="18" t="s">
        <v>70</v>
      </c>
      <c r="B335" s="18" t="s">
        <v>133</v>
      </c>
      <c r="C335" s="68">
        <v>50.0</v>
      </c>
      <c r="D335" s="63" t="s">
        <v>539</v>
      </c>
      <c r="E335" s="64">
        <v>0.0</v>
      </c>
      <c r="F335" s="65">
        <f t="shared" si="1"/>
        <v>50</v>
      </c>
      <c r="G335" s="66">
        <f>IF(B335&lt;&gt;"",VLOOKUP(B335,Zutaten!$C:$F,4,FALSE),"")*C335</f>
        <v>0.1419438529</v>
      </c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</row>
    <row r="336">
      <c r="A336" s="18" t="s">
        <v>70</v>
      </c>
      <c r="B336" s="18" t="s">
        <v>302</v>
      </c>
      <c r="C336" s="68">
        <v>50.0</v>
      </c>
      <c r="D336" s="63" t="s">
        <v>539</v>
      </c>
      <c r="E336" s="64">
        <v>0.0</v>
      </c>
      <c r="F336" s="65">
        <f t="shared" si="1"/>
        <v>50</v>
      </c>
      <c r="G336" s="66">
        <f>IF(B336&lt;&gt;"",VLOOKUP(B336,Zutaten!$C:$F,4,FALSE),"")*C336</f>
        <v>0.557</v>
      </c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</row>
    <row r="337">
      <c r="A337" s="60" t="s">
        <v>66</v>
      </c>
      <c r="B337" s="61" t="s">
        <v>133</v>
      </c>
      <c r="C337" s="62">
        <v>2000.0</v>
      </c>
      <c r="D337" s="63" t="s">
        <v>539</v>
      </c>
      <c r="E337" s="64">
        <v>0.0</v>
      </c>
      <c r="F337" s="65">
        <f t="shared" si="1"/>
        <v>2000</v>
      </c>
      <c r="G337" s="66">
        <f>IF(B337&lt;&gt;"",VLOOKUP(B337,Zutaten!$C:$F,4,FALSE),"")*C337</f>
        <v>5.677754114</v>
      </c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7"/>
    </row>
    <row r="338">
      <c r="A338" s="60" t="s">
        <v>66</v>
      </c>
      <c r="B338" s="61" t="s">
        <v>291</v>
      </c>
      <c r="C338" s="62">
        <v>1000.0</v>
      </c>
      <c r="D338" s="63" t="s">
        <v>540</v>
      </c>
      <c r="E338" s="64">
        <v>0.0</v>
      </c>
      <c r="F338" s="65">
        <f t="shared" si="1"/>
        <v>1000</v>
      </c>
      <c r="G338" s="66">
        <f>IF(B338&lt;&gt;"",VLOOKUP(B338,Zutaten!$C:$F,4,FALSE),"")*C338</f>
        <v>1.57</v>
      </c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</row>
    <row r="339">
      <c r="A339" s="60" t="s">
        <v>66</v>
      </c>
      <c r="B339" s="61" t="s">
        <v>467</v>
      </c>
      <c r="C339" s="62">
        <v>20.0</v>
      </c>
      <c r="D339" s="63" t="s">
        <v>539</v>
      </c>
      <c r="E339" s="64">
        <v>0.0</v>
      </c>
      <c r="F339" s="65">
        <f t="shared" si="1"/>
        <v>20</v>
      </c>
      <c r="G339" s="66">
        <f>IF(B339&lt;&gt;"",VLOOKUP(B339,Zutaten!$C:$F,4,FALSE),"")*C339</f>
        <v>0.00736</v>
      </c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7"/>
    </row>
    <row r="340">
      <c r="A340" s="60" t="s">
        <v>66</v>
      </c>
      <c r="B340" s="61" t="s">
        <v>528</v>
      </c>
      <c r="C340" s="62">
        <v>50.0</v>
      </c>
      <c r="D340" s="63" t="s">
        <v>539</v>
      </c>
      <c r="E340" s="64">
        <v>0.0</v>
      </c>
      <c r="F340" s="65">
        <f t="shared" si="1"/>
        <v>50</v>
      </c>
      <c r="G340" s="66">
        <f>IF(B340&lt;&gt;"",VLOOKUP(B340,Zutaten!$C:$F,4,FALSE),"")*C340</f>
        <v>0.072</v>
      </c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  <c r="AC340" s="67"/>
    </row>
    <row r="341">
      <c r="A341" s="18" t="s">
        <v>71</v>
      </c>
      <c r="B341" s="18" t="s">
        <v>159</v>
      </c>
      <c r="C341" s="68">
        <v>34.0</v>
      </c>
      <c r="D341" s="63" t="s">
        <v>539</v>
      </c>
      <c r="E341" s="64">
        <v>0.0</v>
      </c>
      <c r="F341" s="65">
        <f t="shared" si="1"/>
        <v>34</v>
      </c>
      <c r="G341" s="66">
        <f>IF(B341&lt;&gt;"",VLOOKUP(B341,Zutaten!$C:$F,4,FALSE),"")*C341</f>
        <v>0.1075563175</v>
      </c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7"/>
    </row>
    <row r="342">
      <c r="A342" s="18" t="s">
        <v>71</v>
      </c>
      <c r="B342" s="18" t="s">
        <v>519</v>
      </c>
      <c r="C342" s="68">
        <v>13.0</v>
      </c>
      <c r="D342" s="63" t="s">
        <v>539</v>
      </c>
      <c r="E342" s="64">
        <v>0.0</v>
      </c>
      <c r="F342" s="65">
        <f t="shared" si="1"/>
        <v>13</v>
      </c>
      <c r="G342" s="66">
        <f>IF(B342&lt;&gt;"",VLOOKUP(B342,Zutaten!$C:$F,4,FALSE),"")*C342</f>
        <v>0.26468</v>
      </c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7"/>
    </row>
    <row r="343">
      <c r="A343" s="18" t="s">
        <v>71</v>
      </c>
      <c r="B343" s="18" t="s">
        <v>19</v>
      </c>
      <c r="C343" s="68">
        <v>60.0</v>
      </c>
      <c r="D343" s="63" t="s">
        <v>539</v>
      </c>
      <c r="E343" s="64">
        <v>0.0</v>
      </c>
      <c r="F343" s="65">
        <f t="shared" si="1"/>
        <v>60</v>
      </c>
      <c r="G343" s="66">
        <f>IF(B343&lt;&gt;"",VLOOKUP(B343,Zutaten!$C:$F,4,FALSE),"")*C343</f>
        <v>0.450982009</v>
      </c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7"/>
    </row>
    <row r="344">
      <c r="A344" s="18" t="s">
        <v>71</v>
      </c>
      <c r="B344" s="18" t="s">
        <v>171</v>
      </c>
      <c r="C344" s="68">
        <v>20.0</v>
      </c>
      <c r="D344" s="63" t="s">
        <v>539</v>
      </c>
      <c r="E344" s="64">
        <v>0.0</v>
      </c>
      <c r="F344" s="65">
        <f t="shared" si="1"/>
        <v>20</v>
      </c>
      <c r="G344" s="66">
        <f>IF(B344&lt;&gt;"",VLOOKUP(B344,Zutaten!$C:$F,4,FALSE),"")*C344</f>
        <v>0.1075341082</v>
      </c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7"/>
    </row>
    <row r="345">
      <c r="A345" s="18" t="s">
        <v>71</v>
      </c>
      <c r="B345" s="18" t="s">
        <v>170</v>
      </c>
      <c r="C345" s="68">
        <v>20.0</v>
      </c>
      <c r="D345" s="63" t="s">
        <v>539</v>
      </c>
      <c r="E345" s="64">
        <v>0.0</v>
      </c>
      <c r="F345" s="65">
        <f t="shared" si="1"/>
        <v>20</v>
      </c>
      <c r="G345" s="66">
        <f>IF(B345&lt;&gt;"",VLOOKUP(B345,Zutaten!$C:$F,4,FALSE),"")*C345</f>
        <v>0.02176983607</v>
      </c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7"/>
    </row>
    <row r="346">
      <c r="A346" s="18" t="s">
        <v>71</v>
      </c>
      <c r="B346" s="18" t="s">
        <v>331</v>
      </c>
      <c r="C346" s="68">
        <v>1.0</v>
      </c>
      <c r="D346" s="63" t="s">
        <v>550</v>
      </c>
      <c r="E346" s="64">
        <v>0.0</v>
      </c>
      <c r="F346" s="65">
        <f t="shared" si="1"/>
        <v>1</v>
      </c>
      <c r="G346" s="66">
        <f>IF(B346&lt;&gt;"",VLOOKUP(B346,Zutaten!$C:$F,4,FALSE),"")*C346</f>
        <v>0.3697478992</v>
      </c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7"/>
    </row>
    <row r="347">
      <c r="A347" s="18" t="s">
        <v>71</v>
      </c>
      <c r="B347" s="18" t="s">
        <v>446</v>
      </c>
      <c r="C347" s="68">
        <v>170.0</v>
      </c>
      <c r="D347" s="63" t="s">
        <v>539</v>
      </c>
      <c r="E347" s="64">
        <v>0.0</v>
      </c>
      <c r="F347" s="65">
        <f t="shared" si="1"/>
        <v>170</v>
      </c>
      <c r="G347" s="66">
        <f>IF(B347&lt;&gt;"",VLOOKUP(B347,Zutaten!$C:$F,4,FALSE),"")*C347</f>
        <v>1.87</v>
      </c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7"/>
    </row>
    <row r="348">
      <c r="A348" s="63" t="s">
        <v>68</v>
      </c>
      <c r="B348" s="78" t="s">
        <v>464</v>
      </c>
      <c r="C348" s="63">
        <v>2000.0</v>
      </c>
      <c r="D348" s="63" t="s">
        <v>539</v>
      </c>
      <c r="E348" s="64">
        <v>0.0</v>
      </c>
      <c r="F348" s="65">
        <f t="shared" si="1"/>
        <v>2000</v>
      </c>
      <c r="G348" s="66">
        <f>IF(B348&lt;&gt;"",VLOOKUP(B348,Zutaten!$C:$F,4,FALSE),"")*C348</f>
        <v>2.296</v>
      </c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</row>
    <row r="349">
      <c r="A349" s="63" t="s">
        <v>68</v>
      </c>
      <c r="B349" s="67" t="s">
        <v>551</v>
      </c>
      <c r="C349" s="63">
        <v>50.0</v>
      </c>
      <c r="D349" s="63" t="s">
        <v>539</v>
      </c>
      <c r="E349" s="64">
        <v>0.0</v>
      </c>
      <c r="F349" s="65">
        <f t="shared" si="1"/>
        <v>50</v>
      </c>
      <c r="G349" s="66">
        <f>IF(B349&lt;&gt;"",VLOOKUP(B349,Zutaten!$C:$F,4,FALSE),"")*C349</f>
        <v>0.559</v>
      </c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7"/>
    </row>
    <row r="350">
      <c r="A350" s="63" t="s">
        <v>68</v>
      </c>
      <c r="B350" s="67" t="s">
        <v>552</v>
      </c>
      <c r="C350" s="63">
        <v>10.0</v>
      </c>
      <c r="D350" s="63" t="s">
        <v>539</v>
      </c>
      <c r="E350" s="64">
        <v>0.0</v>
      </c>
      <c r="F350" s="65">
        <f t="shared" si="1"/>
        <v>10</v>
      </c>
      <c r="G350" s="66">
        <f>IF(B350&lt;&gt;"",VLOOKUP(B350,Zutaten!$C:$F,4,FALSE),"")*C350</f>
        <v>0.0539</v>
      </c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</row>
    <row r="351">
      <c r="A351" s="63" t="s">
        <v>68</v>
      </c>
      <c r="B351" s="78" t="s">
        <v>321</v>
      </c>
      <c r="C351" s="63">
        <v>2.0</v>
      </c>
      <c r="D351" s="63" t="s">
        <v>539</v>
      </c>
      <c r="E351" s="64">
        <v>0.0</v>
      </c>
      <c r="F351" s="65">
        <f t="shared" si="1"/>
        <v>2</v>
      </c>
      <c r="G351" s="66">
        <f>IF(B351&lt;&gt;"",VLOOKUP(B351,Zutaten!$C:$F,4,FALSE),"")*C351</f>
        <v>0.08589473684</v>
      </c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7"/>
    </row>
    <row r="352">
      <c r="A352" s="63" t="s">
        <v>68</v>
      </c>
      <c r="B352" s="67" t="s">
        <v>545</v>
      </c>
      <c r="C352" s="63">
        <v>25.0</v>
      </c>
      <c r="D352" s="63" t="s">
        <v>539</v>
      </c>
      <c r="E352" s="64">
        <v>0.0</v>
      </c>
      <c r="F352" s="65">
        <f t="shared" si="1"/>
        <v>25</v>
      </c>
      <c r="G352" s="66">
        <f>IF(B352&lt;&gt;"",VLOOKUP(B352,Zutaten!$C:$F,4,FALSE),"")*C352</f>
        <v>0.0092</v>
      </c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7"/>
    </row>
    <row r="353">
      <c r="A353" s="63" t="s">
        <v>68</v>
      </c>
      <c r="B353" s="67" t="s">
        <v>553</v>
      </c>
      <c r="C353" s="63">
        <v>200.0</v>
      </c>
      <c r="D353" s="63" t="s">
        <v>539</v>
      </c>
      <c r="E353" s="64">
        <v>0.0</v>
      </c>
      <c r="F353" s="65">
        <f t="shared" si="1"/>
        <v>200</v>
      </c>
      <c r="G353" s="66">
        <f>IF(B353&lt;&gt;"",VLOOKUP(B353,Zutaten!$C:$F,4,FALSE),"")*C353</f>
        <v>0.288</v>
      </c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7"/>
    </row>
    <row r="354">
      <c r="A354" s="18" t="s">
        <v>72</v>
      </c>
      <c r="B354" s="63" t="s">
        <v>226</v>
      </c>
      <c r="C354" s="68">
        <v>250.0</v>
      </c>
      <c r="D354" s="63" t="s">
        <v>539</v>
      </c>
      <c r="E354" s="64">
        <v>0.0</v>
      </c>
      <c r="F354" s="65">
        <f t="shared" si="1"/>
        <v>250</v>
      </c>
      <c r="G354" s="66">
        <f>IF(B354&lt;&gt;"",VLOOKUP(B354,Zutaten!$C:$F,4,FALSE),"")*C354</f>
        <v>0.591875</v>
      </c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7"/>
    </row>
    <row r="355">
      <c r="A355" s="18" t="s">
        <v>72</v>
      </c>
      <c r="B355" s="18" t="s">
        <v>326</v>
      </c>
      <c r="C355" s="68">
        <v>5.0</v>
      </c>
      <c r="D355" s="63" t="s">
        <v>539</v>
      </c>
      <c r="E355" s="64">
        <v>0.0</v>
      </c>
      <c r="F355" s="65">
        <f t="shared" si="1"/>
        <v>5</v>
      </c>
      <c r="G355" s="66">
        <f>IF(B355&lt;&gt;"",VLOOKUP(B355,Zutaten!$C:$F,4,FALSE),"")*C355</f>
        <v>0.065</v>
      </c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7"/>
    </row>
    <row r="356">
      <c r="A356" s="18" t="s">
        <v>72</v>
      </c>
      <c r="B356" s="18" t="s">
        <v>391</v>
      </c>
      <c r="C356" s="68">
        <v>15.0</v>
      </c>
      <c r="D356" s="63" t="s">
        <v>539</v>
      </c>
      <c r="E356" s="64">
        <v>0.0</v>
      </c>
      <c r="F356" s="65">
        <f t="shared" si="1"/>
        <v>15</v>
      </c>
      <c r="G356" s="66">
        <f>IF(B356&lt;&gt;"",VLOOKUP(B356,Zutaten!$C:$F,4,FALSE),"")*C356</f>
        <v>0.2002994012</v>
      </c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7"/>
    </row>
    <row r="357">
      <c r="A357" s="18" t="s">
        <v>72</v>
      </c>
      <c r="B357" s="60" t="s">
        <v>203</v>
      </c>
      <c r="C357" s="68">
        <v>10.0</v>
      </c>
      <c r="D357" s="63" t="s">
        <v>539</v>
      </c>
      <c r="E357" s="64">
        <v>0.0</v>
      </c>
      <c r="F357" s="65">
        <f t="shared" si="1"/>
        <v>10</v>
      </c>
      <c r="G357" s="66">
        <f>IF(B357&lt;&gt;"",VLOOKUP(B357,Zutaten!$C:$F,4,FALSE),"")*C357</f>
        <v>0.06723870968</v>
      </c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7"/>
    </row>
    <row r="358">
      <c r="A358" s="18" t="s">
        <v>73</v>
      </c>
      <c r="B358" s="18" t="s">
        <v>349</v>
      </c>
      <c r="C358" s="68">
        <v>0.0</v>
      </c>
      <c r="D358" s="63" t="s">
        <v>539</v>
      </c>
      <c r="E358" s="64">
        <v>0.0</v>
      </c>
      <c r="F358" s="65">
        <f t="shared" si="1"/>
        <v>0</v>
      </c>
      <c r="G358" s="66">
        <f>IF(B358&lt;&gt;"",VLOOKUP(B358,Zutaten!$C:$F,4,FALSE),"")*C358</f>
        <v>0</v>
      </c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7"/>
    </row>
    <row r="359">
      <c r="A359" s="18" t="s">
        <v>73</v>
      </c>
      <c r="B359" s="18" t="s">
        <v>373</v>
      </c>
      <c r="C359" s="68">
        <v>0.0</v>
      </c>
      <c r="D359" s="63" t="s">
        <v>539</v>
      </c>
      <c r="E359" s="64">
        <v>0.0</v>
      </c>
      <c r="F359" s="65">
        <f t="shared" si="1"/>
        <v>0</v>
      </c>
      <c r="G359" s="66">
        <f>IF(B359&lt;&gt;"",VLOOKUP(B359,Zutaten!$C:$F,4,FALSE),"")*C359</f>
        <v>0</v>
      </c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7"/>
    </row>
    <row r="360">
      <c r="A360" s="18" t="s">
        <v>73</v>
      </c>
      <c r="B360" s="18" t="s">
        <v>372</v>
      </c>
      <c r="C360" s="68">
        <v>40.0</v>
      </c>
      <c r="D360" s="63" t="s">
        <v>539</v>
      </c>
      <c r="E360" s="64">
        <v>0.0</v>
      </c>
      <c r="F360" s="65">
        <f t="shared" si="1"/>
        <v>40</v>
      </c>
      <c r="G360" s="66">
        <f>IF(B360&lt;&gt;"",VLOOKUP(B360,Zutaten!$C:$F,4,FALSE),"")*C360</f>
        <v>0.9376</v>
      </c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7"/>
    </row>
    <row r="361">
      <c r="A361" s="18" t="s">
        <v>73</v>
      </c>
      <c r="B361" s="18" t="s">
        <v>109</v>
      </c>
      <c r="C361" s="68">
        <v>10.0</v>
      </c>
      <c r="D361" s="63" t="s">
        <v>539</v>
      </c>
      <c r="E361" s="64">
        <v>0.0</v>
      </c>
      <c r="F361" s="65">
        <f t="shared" si="1"/>
        <v>10</v>
      </c>
      <c r="G361" s="66">
        <f>IF(B361&lt;&gt;"",VLOOKUP(B361,Zutaten!$C:$F,4,FALSE),"")*C361</f>
        <v>0.01975</v>
      </c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7"/>
    </row>
    <row r="362">
      <c r="A362" s="18" t="s">
        <v>73</v>
      </c>
      <c r="B362" s="63" t="s">
        <v>226</v>
      </c>
      <c r="C362" s="68">
        <v>250.0</v>
      </c>
      <c r="D362" s="63" t="s">
        <v>539</v>
      </c>
      <c r="E362" s="64">
        <v>0.0</v>
      </c>
      <c r="F362" s="65">
        <f t="shared" si="1"/>
        <v>250</v>
      </c>
      <c r="G362" s="66">
        <f>IF(B362&lt;&gt;"",VLOOKUP(B362,Zutaten!$C:$F,4,FALSE),"")*C362</f>
        <v>0.591875</v>
      </c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</row>
    <row r="363">
      <c r="A363" s="18" t="s">
        <v>74</v>
      </c>
      <c r="B363" s="63" t="s">
        <v>226</v>
      </c>
      <c r="C363" s="68">
        <v>250.0</v>
      </c>
      <c r="D363" s="63" t="s">
        <v>539</v>
      </c>
      <c r="E363" s="64">
        <v>0.0</v>
      </c>
      <c r="F363" s="65">
        <f t="shared" si="1"/>
        <v>250</v>
      </c>
      <c r="G363" s="66">
        <f>IF(B363&lt;&gt;"",VLOOKUP(B363,Zutaten!$C:$F,4,FALSE),"")*C363</f>
        <v>0.591875</v>
      </c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7"/>
    </row>
    <row r="364">
      <c r="A364" s="18" t="s">
        <v>74</v>
      </c>
      <c r="B364" s="63" t="s">
        <v>132</v>
      </c>
      <c r="C364" s="68">
        <v>80.0</v>
      </c>
      <c r="D364" s="63" t="s">
        <v>539</v>
      </c>
      <c r="E364" s="64">
        <v>0.0</v>
      </c>
      <c r="F364" s="65">
        <f t="shared" si="1"/>
        <v>80</v>
      </c>
      <c r="G364" s="66">
        <f>IF(B364&lt;&gt;"",VLOOKUP(B364,Zutaten!$C:$F,4,FALSE),"")*C364</f>
        <v>0.2630133207</v>
      </c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</row>
    <row r="365">
      <c r="A365" s="18" t="s">
        <v>74</v>
      </c>
      <c r="B365" s="63" t="s">
        <v>429</v>
      </c>
      <c r="C365" s="68">
        <v>25.0</v>
      </c>
      <c r="D365" s="63" t="s">
        <v>539</v>
      </c>
      <c r="E365" s="64">
        <v>0.0</v>
      </c>
      <c r="F365" s="65">
        <f t="shared" si="1"/>
        <v>25</v>
      </c>
      <c r="G365" s="66">
        <f>IF(B365&lt;&gt;"",VLOOKUP(B365,Zutaten!$C:$F,4,FALSE),"")*C365</f>
        <v>0.07475</v>
      </c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</row>
    <row r="366">
      <c r="A366" s="18" t="s">
        <v>75</v>
      </c>
      <c r="B366" s="63" t="s">
        <v>226</v>
      </c>
      <c r="C366" s="68">
        <v>250.0</v>
      </c>
      <c r="D366" s="63" t="s">
        <v>539</v>
      </c>
      <c r="E366" s="64">
        <v>0.0</v>
      </c>
      <c r="F366" s="65">
        <f t="shared" si="1"/>
        <v>250</v>
      </c>
      <c r="G366" s="66">
        <f>IF(B366&lt;&gt;"",VLOOKUP(B366,Zutaten!$C:$F,4,FALSE),"")*C366</f>
        <v>0.591875</v>
      </c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</row>
    <row r="367">
      <c r="A367" s="18" t="s">
        <v>75</v>
      </c>
      <c r="B367" s="18" t="s">
        <v>117</v>
      </c>
      <c r="C367" s="68">
        <v>10.0</v>
      </c>
      <c r="D367" s="63" t="s">
        <v>539</v>
      </c>
      <c r="E367" s="64">
        <v>0.0</v>
      </c>
      <c r="F367" s="65">
        <f t="shared" si="1"/>
        <v>10</v>
      </c>
      <c r="G367" s="66">
        <f>IF(B367&lt;&gt;"",VLOOKUP(B367,Zutaten!$C:$F,4,FALSE),"")*C367</f>
        <v>0.0509</v>
      </c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</row>
    <row r="368">
      <c r="A368" s="18" t="s">
        <v>75</v>
      </c>
      <c r="B368" s="18" t="s">
        <v>117</v>
      </c>
      <c r="C368" s="68">
        <v>10.0</v>
      </c>
      <c r="D368" s="63" t="s">
        <v>539</v>
      </c>
      <c r="E368" s="64">
        <v>0.0</v>
      </c>
      <c r="F368" s="65">
        <f t="shared" si="1"/>
        <v>10</v>
      </c>
      <c r="G368" s="66">
        <f>IF(B368&lt;&gt;"",VLOOKUP(B368,Zutaten!$C:$F,4,FALSE),"")*C368</f>
        <v>0.0509</v>
      </c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</row>
    <row r="369">
      <c r="A369" s="18" t="s">
        <v>75</v>
      </c>
      <c r="B369" s="18" t="s">
        <v>242</v>
      </c>
      <c r="C369" s="68">
        <v>5.0</v>
      </c>
      <c r="D369" s="63" t="s">
        <v>539</v>
      </c>
      <c r="E369" s="64">
        <v>0.0</v>
      </c>
      <c r="F369" s="65">
        <f t="shared" si="1"/>
        <v>5</v>
      </c>
      <c r="G369" s="66">
        <f>IF(B369&lt;&gt;"",VLOOKUP(B369,Zutaten!$C:$F,4,FALSE),"")*C369</f>
        <v>0.01985714286</v>
      </c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7"/>
    </row>
    <row r="370">
      <c r="A370" s="18" t="s">
        <v>76</v>
      </c>
      <c r="B370" s="18" t="s">
        <v>226</v>
      </c>
      <c r="C370" s="68">
        <v>250.0</v>
      </c>
      <c r="D370" s="63" t="s">
        <v>539</v>
      </c>
      <c r="E370" s="64">
        <v>0.0</v>
      </c>
      <c r="F370" s="65">
        <f t="shared" si="1"/>
        <v>250</v>
      </c>
      <c r="G370" s="66">
        <f>IF(B370&lt;&gt;"",VLOOKUP(B370,Zutaten!$C:$F,4,FALSE),"")*C370</f>
        <v>0.591875</v>
      </c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7"/>
    </row>
    <row r="371">
      <c r="A371" s="18" t="s">
        <v>76</v>
      </c>
      <c r="B371" s="18" t="s">
        <v>432</v>
      </c>
      <c r="C371" s="68">
        <v>20.0</v>
      </c>
      <c r="D371" s="63" t="s">
        <v>539</v>
      </c>
      <c r="E371" s="64">
        <v>0.0</v>
      </c>
      <c r="F371" s="65">
        <f t="shared" si="1"/>
        <v>20</v>
      </c>
      <c r="G371" s="66">
        <f>IF(B371&lt;&gt;"",VLOOKUP(B371,Zutaten!$C:$F,4,FALSE),"")*C371</f>
        <v>0.2204545455</v>
      </c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  <c r="AC371" s="67"/>
    </row>
    <row r="372">
      <c r="A372" s="18" t="s">
        <v>76</v>
      </c>
      <c r="B372" s="18" t="s">
        <v>474</v>
      </c>
      <c r="C372" s="68">
        <v>10.0</v>
      </c>
      <c r="D372" s="63" t="s">
        <v>539</v>
      </c>
      <c r="E372" s="64">
        <v>0.0</v>
      </c>
      <c r="F372" s="65">
        <f t="shared" si="1"/>
        <v>10</v>
      </c>
      <c r="G372" s="66">
        <f>IF(B372&lt;&gt;"",VLOOKUP(B372,Zutaten!$C:$F,4,FALSE),"")*C372</f>
        <v>0.09266666667</v>
      </c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  <c r="AC372" s="67"/>
    </row>
    <row r="373">
      <c r="A373" s="18" t="s">
        <v>76</v>
      </c>
      <c r="B373" s="18" t="s">
        <v>109</v>
      </c>
      <c r="C373" s="68">
        <v>10.0</v>
      </c>
      <c r="D373" s="63" t="s">
        <v>539</v>
      </c>
      <c r="E373" s="64">
        <v>0.0</v>
      </c>
      <c r="F373" s="65">
        <f t="shared" si="1"/>
        <v>10</v>
      </c>
      <c r="G373" s="66">
        <f>IF(B373&lt;&gt;"",VLOOKUP(B373,Zutaten!$C:$F,4,FALSE),"")*C373</f>
        <v>0.01975</v>
      </c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  <c r="AC373" s="67"/>
    </row>
    <row r="374">
      <c r="A374" s="18" t="s">
        <v>83</v>
      </c>
      <c r="B374" s="63" t="s">
        <v>226</v>
      </c>
      <c r="C374" s="68">
        <v>250.0</v>
      </c>
      <c r="D374" s="63" t="s">
        <v>539</v>
      </c>
      <c r="E374" s="64">
        <v>0.0</v>
      </c>
      <c r="F374" s="65">
        <f t="shared" si="1"/>
        <v>250</v>
      </c>
      <c r="G374" s="66">
        <f>IF(B374&lt;&gt;"",VLOOKUP(B374,Zutaten!$C:$F,4,FALSE),"")*C374</f>
        <v>0.591875</v>
      </c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  <c r="AC374" s="67"/>
    </row>
    <row r="375">
      <c r="A375" s="18" t="s">
        <v>83</v>
      </c>
      <c r="B375" s="18" t="s">
        <v>444</v>
      </c>
      <c r="C375" s="68">
        <v>40.0</v>
      </c>
      <c r="D375" s="63" t="s">
        <v>539</v>
      </c>
      <c r="E375" s="64">
        <v>0.0</v>
      </c>
      <c r="F375" s="65">
        <f t="shared" si="1"/>
        <v>40</v>
      </c>
      <c r="G375" s="66">
        <f>IF(B375&lt;&gt;"",VLOOKUP(B375,Zutaten!$C:$F,4,FALSE),"")*C375</f>
        <v>0.17172</v>
      </c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  <c r="AC375" s="67"/>
    </row>
    <row r="376">
      <c r="A376" s="18" t="s">
        <v>83</v>
      </c>
      <c r="B376" s="18" t="s">
        <v>242</v>
      </c>
      <c r="C376" s="68">
        <v>9.0</v>
      </c>
      <c r="D376" s="63" t="s">
        <v>539</v>
      </c>
      <c r="E376" s="64">
        <v>0.0</v>
      </c>
      <c r="F376" s="65">
        <f t="shared" si="1"/>
        <v>9</v>
      </c>
      <c r="G376" s="66">
        <f>IF(B376&lt;&gt;"",VLOOKUP(B376,Zutaten!$C:$F,4,FALSE),"")*C376</f>
        <v>0.03574285714</v>
      </c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  <c r="AC376" s="67"/>
    </row>
    <row r="377">
      <c r="A377" s="18" t="s">
        <v>84</v>
      </c>
      <c r="B377" s="63" t="s">
        <v>226</v>
      </c>
      <c r="C377" s="68">
        <v>250.0</v>
      </c>
      <c r="D377" s="63" t="s">
        <v>539</v>
      </c>
      <c r="E377" s="64">
        <v>0.0</v>
      </c>
      <c r="F377" s="65">
        <f t="shared" si="1"/>
        <v>250</v>
      </c>
      <c r="G377" s="66">
        <f>IF(B377&lt;&gt;"",VLOOKUP(B377,Zutaten!$C:$F,4,FALSE),"")*C377</f>
        <v>0.591875</v>
      </c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  <c r="AC377" s="67"/>
    </row>
    <row r="378">
      <c r="A378" s="18" t="s">
        <v>84</v>
      </c>
      <c r="B378" s="18" t="s">
        <v>34</v>
      </c>
      <c r="C378" s="68">
        <v>20.0</v>
      </c>
      <c r="D378" s="63" t="s">
        <v>539</v>
      </c>
      <c r="E378" s="64">
        <v>0.0</v>
      </c>
      <c r="F378" s="65">
        <f t="shared" si="1"/>
        <v>20</v>
      </c>
      <c r="G378" s="66">
        <f>IF(B378&lt;&gt;"",VLOOKUP(B378,Zutaten!$C:$F,4,FALSE),"")*C378</f>
        <v>0.1498661538</v>
      </c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  <c r="AC378" s="67"/>
    </row>
    <row r="379">
      <c r="A379" s="18" t="s">
        <v>84</v>
      </c>
      <c r="B379" s="18" t="s">
        <v>242</v>
      </c>
      <c r="C379" s="68">
        <v>5.0</v>
      </c>
      <c r="D379" s="63" t="s">
        <v>539</v>
      </c>
      <c r="E379" s="64">
        <v>0.0</v>
      </c>
      <c r="F379" s="65">
        <f t="shared" si="1"/>
        <v>5</v>
      </c>
      <c r="G379" s="66">
        <f>IF(B379&lt;&gt;"",VLOOKUP(B379,Zutaten!$C:$F,4,FALSE),"")*C379</f>
        <v>0.01985714286</v>
      </c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  <c r="AC379" s="67"/>
    </row>
    <row r="380">
      <c r="A380" s="18" t="s">
        <v>84</v>
      </c>
      <c r="B380" s="60" t="s">
        <v>274</v>
      </c>
      <c r="C380" s="68">
        <v>5.0</v>
      </c>
      <c r="D380" s="63" t="s">
        <v>539</v>
      </c>
      <c r="E380" s="64">
        <v>0.0</v>
      </c>
      <c r="F380" s="65">
        <f t="shared" si="1"/>
        <v>5</v>
      </c>
      <c r="G380" s="66">
        <f>IF(B380&lt;&gt;"",VLOOKUP(B380,Zutaten!$C:$F,4,FALSE),"")*C380</f>
        <v>0.05805</v>
      </c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  <c r="AC380" s="67"/>
    </row>
    <row r="381">
      <c r="A381" s="70" t="s">
        <v>85</v>
      </c>
      <c r="B381" s="71" t="s">
        <v>511</v>
      </c>
      <c r="C381" s="72">
        <v>200.0</v>
      </c>
      <c r="D381" s="63" t="s">
        <v>539</v>
      </c>
      <c r="E381" s="64">
        <v>0.0</v>
      </c>
      <c r="F381" s="65">
        <f t="shared" si="1"/>
        <v>200</v>
      </c>
      <c r="G381" s="66">
        <f>IF(B381&lt;&gt;"",VLOOKUP(B381,Zutaten!$C:$F,4,FALSE),"")*C381</f>
        <v>0.238</v>
      </c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  <c r="AC381" s="67"/>
    </row>
    <row r="382">
      <c r="A382" s="70" t="s">
        <v>85</v>
      </c>
      <c r="B382" s="71" t="s">
        <v>226</v>
      </c>
      <c r="C382" s="72">
        <v>150.0</v>
      </c>
      <c r="D382" s="63" t="s">
        <v>539</v>
      </c>
      <c r="E382" s="64">
        <v>0.0</v>
      </c>
      <c r="F382" s="65">
        <f t="shared" si="1"/>
        <v>150</v>
      </c>
      <c r="G382" s="66">
        <f>IF(B382&lt;&gt;"",VLOOKUP(B382,Zutaten!$C:$F,4,FALSE),"")*C382</f>
        <v>0.355125</v>
      </c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  <c r="AC382" s="67"/>
    </row>
    <row r="383">
      <c r="A383" s="70" t="s">
        <v>85</v>
      </c>
      <c r="B383" s="71" t="s">
        <v>466</v>
      </c>
      <c r="C383" s="72">
        <v>30.0</v>
      </c>
      <c r="D383" s="63" t="s">
        <v>539</v>
      </c>
      <c r="E383" s="64">
        <v>0.0</v>
      </c>
      <c r="F383" s="65">
        <f t="shared" si="1"/>
        <v>30</v>
      </c>
      <c r="G383" s="66">
        <f>IF(B383&lt;&gt;"",VLOOKUP(B383,Zutaten!$C:$F,4,FALSE),"")*C383</f>
        <v>0.1329</v>
      </c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7"/>
    </row>
    <row r="384">
      <c r="A384" s="70" t="s">
        <v>85</v>
      </c>
      <c r="B384" s="71" t="s">
        <v>242</v>
      </c>
      <c r="C384" s="72">
        <v>30.0</v>
      </c>
      <c r="D384" s="63" t="s">
        <v>539</v>
      </c>
      <c r="E384" s="64">
        <v>0.0</v>
      </c>
      <c r="F384" s="65">
        <f t="shared" si="1"/>
        <v>30</v>
      </c>
      <c r="G384" s="66">
        <f>IF(B384&lt;&gt;"",VLOOKUP(B384,Zutaten!$C:$F,4,FALSE),"")*C384</f>
        <v>0.1191428571</v>
      </c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  <c r="AC384" s="67"/>
    </row>
    <row r="385">
      <c r="A385" s="70" t="s">
        <v>85</v>
      </c>
      <c r="B385" s="18" t="s">
        <v>305</v>
      </c>
      <c r="C385" s="68">
        <v>18.0</v>
      </c>
      <c r="D385" s="63" t="s">
        <v>539</v>
      </c>
      <c r="E385" s="64">
        <v>0.0</v>
      </c>
      <c r="F385" s="65">
        <f t="shared" si="1"/>
        <v>18</v>
      </c>
      <c r="G385" s="66">
        <f>IF(B385&lt;&gt;"",VLOOKUP(B385,Zutaten!$C:$F,4,FALSE),"")*C385</f>
        <v>0.324</v>
      </c>
      <c r="H385" s="63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  <c r="AC385" s="67"/>
    </row>
    <row r="386">
      <c r="A386" s="60" t="s">
        <v>77</v>
      </c>
      <c r="B386" s="61" t="s">
        <v>476</v>
      </c>
      <c r="C386" s="62">
        <v>60.0</v>
      </c>
      <c r="D386" s="63" t="s">
        <v>539</v>
      </c>
      <c r="E386" s="64">
        <v>0.0</v>
      </c>
      <c r="F386" s="65">
        <f t="shared" si="1"/>
        <v>60</v>
      </c>
      <c r="G386" s="66">
        <f>IF(B386&lt;&gt;"",VLOOKUP(B386,Zutaten!$C:$F,4,FALSE),"")*C386</f>
        <v>1.432</v>
      </c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7"/>
    </row>
    <row r="387">
      <c r="A387" s="60" t="s">
        <v>77</v>
      </c>
      <c r="B387" s="61" t="s">
        <v>528</v>
      </c>
      <c r="C387" s="62">
        <v>2500.0</v>
      </c>
      <c r="D387" s="63" t="s">
        <v>539</v>
      </c>
      <c r="E387" s="64">
        <v>0.0</v>
      </c>
      <c r="F387" s="65">
        <f t="shared" si="1"/>
        <v>2500</v>
      </c>
      <c r="G387" s="66">
        <f>IF(B387&lt;&gt;"",VLOOKUP(B387,Zutaten!$C:$F,4,FALSE),"")*C387</f>
        <v>3.6</v>
      </c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  <c r="AC387" s="67"/>
    </row>
    <row r="388">
      <c r="A388" s="60" t="s">
        <v>77</v>
      </c>
      <c r="B388" s="61" t="s">
        <v>527</v>
      </c>
      <c r="C388" s="62">
        <v>1000.0</v>
      </c>
      <c r="D388" s="63" t="s">
        <v>540</v>
      </c>
      <c r="E388" s="64">
        <v>0.0</v>
      </c>
      <c r="F388" s="65">
        <f t="shared" si="1"/>
        <v>1000</v>
      </c>
      <c r="G388" s="66">
        <f>IF(B388&lt;&gt;"",VLOOKUP(B388,Zutaten!$C:$F,4,FALSE),"")*C388</f>
        <v>2.4</v>
      </c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  <c r="AC388" s="67"/>
    </row>
    <row r="389">
      <c r="A389" s="60" t="s">
        <v>77</v>
      </c>
      <c r="B389" s="61" t="s">
        <v>514</v>
      </c>
      <c r="C389" s="62">
        <v>11000.0</v>
      </c>
      <c r="D389" s="63" t="s">
        <v>540</v>
      </c>
      <c r="E389" s="64">
        <v>0.0</v>
      </c>
      <c r="F389" s="65">
        <f t="shared" si="1"/>
        <v>11000</v>
      </c>
      <c r="G389" s="66">
        <f>IF(B389&lt;&gt;"",VLOOKUP(B389,Zutaten!$C:$F,4,FALSE),"")*C389</f>
        <v>0.11</v>
      </c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  <c r="AC389" s="67"/>
    </row>
    <row r="390">
      <c r="A390" s="79" t="s">
        <v>78</v>
      </c>
      <c r="B390" s="20" t="s">
        <v>349</v>
      </c>
      <c r="C390" s="80">
        <v>366.0</v>
      </c>
      <c r="D390" s="71" t="s">
        <v>539</v>
      </c>
      <c r="E390" s="64">
        <f>1-(366-16)/366</f>
        <v>0.04371584699</v>
      </c>
      <c r="F390" s="65">
        <f t="shared" si="1"/>
        <v>350</v>
      </c>
      <c r="G390" s="66">
        <f>IF(B390&lt;&gt;"",VLOOKUP(B390,Zutaten!$C:$F,4,FALSE),"")*C390</f>
        <v>2.928</v>
      </c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  <c r="AC390" s="67"/>
    </row>
    <row r="391">
      <c r="A391" s="71" t="s">
        <v>78</v>
      </c>
      <c r="B391" s="81" t="s">
        <v>321</v>
      </c>
      <c r="C391" s="80">
        <v>4.0</v>
      </c>
      <c r="D391" s="71" t="s">
        <v>539</v>
      </c>
      <c r="E391" s="64">
        <v>0.0</v>
      </c>
      <c r="F391" s="65">
        <f t="shared" si="1"/>
        <v>4</v>
      </c>
      <c r="G391" s="66">
        <f>IF(B391&lt;&gt;"",VLOOKUP(B391,Zutaten!$C:$F,4,FALSE),"")*C391</f>
        <v>0.1717894737</v>
      </c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  <c r="AC391" s="67"/>
    </row>
    <row r="392">
      <c r="A392" s="18" t="s">
        <v>79</v>
      </c>
      <c r="B392" s="63" t="s">
        <v>346</v>
      </c>
      <c r="C392" s="62">
        <v>1000.0</v>
      </c>
      <c r="D392" s="63" t="s">
        <v>539</v>
      </c>
      <c r="E392" s="64">
        <v>0.0</v>
      </c>
      <c r="F392" s="65">
        <f t="shared" si="1"/>
        <v>1000</v>
      </c>
      <c r="G392" s="66">
        <f>IF(B392&lt;&gt;"",VLOOKUP(B392,Zutaten!$C:$F,4,FALSE),"")*C392</f>
        <v>4.3</v>
      </c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7"/>
    </row>
    <row r="393">
      <c r="A393" s="18" t="s">
        <v>79</v>
      </c>
      <c r="B393" s="63" t="s">
        <v>419</v>
      </c>
      <c r="C393" s="62">
        <v>10.0</v>
      </c>
      <c r="D393" s="63" t="s">
        <v>539</v>
      </c>
      <c r="E393" s="64">
        <v>0.0</v>
      </c>
      <c r="F393" s="65">
        <f t="shared" si="1"/>
        <v>10</v>
      </c>
      <c r="G393" s="66">
        <f>IF(B393&lt;&gt;"",VLOOKUP(B393,Zutaten!$C:$F,4,FALSE),"")*C393</f>
        <v>0.275</v>
      </c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  <c r="AC393" s="67"/>
    </row>
    <row r="394">
      <c r="A394" s="18" t="s">
        <v>79</v>
      </c>
      <c r="B394" s="63" t="s">
        <v>314</v>
      </c>
      <c r="C394" s="62">
        <v>200.0</v>
      </c>
      <c r="D394" s="63" t="s">
        <v>539</v>
      </c>
      <c r="E394" s="64">
        <v>0.0</v>
      </c>
      <c r="F394" s="65">
        <f t="shared" si="1"/>
        <v>200</v>
      </c>
      <c r="G394" s="66">
        <f>IF(B394&lt;&gt;"",VLOOKUP(B394,Zutaten!$C:$F,4,FALSE),"")*C394</f>
        <v>1.44</v>
      </c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  <c r="AC394" s="67"/>
    </row>
    <row r="395">
      <c r="A395" s="18" t="s">
        <v>79</v>
      </c>
      <c r="B395" s="63" t="s">
        <v>467</v>
      </c>
      <c r="C395" s="62">
        <v>30.0</v>
      </c>
      <c r="D395" s="63" t="s">
        <v>539</v>
      </c>
      <c r="E395" s="64">
        <v>0.0</v>
      </c>
      <c r="F395" s="65">
        <f t="shared" si="1"/>
        <v>30</v>
      </c>
      <c r="G395" s="66">
        <f>IF(B395&lt;&gt;"",VLOOKUP(B395,Zutaten!$C:$F,4,FALSE),"")*C395</f>
        <v>0.01104</v>
      </c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  <c r="AC395" s="67"/>
    </row>
    <row r="396">
      <c r="A396" s="60" t="s">
        <v>80</v>
      </c>
      <c r="B396" s="61" t="s">
        <v>522</v>
      </c>
      <c r="C396" s="62">
        <v>1000.0</v>
      </c>
      <c r="D396" s="63" t="s">
        <v>539</v>
      </c>
      <c r="E396" s="64">
        <f>1-(1000-240)/1000</f>
        <v>0.24</v>
      </c>
      <c r="F396" s="65">
        <f t="shared" si="1"/>
        <v>760</v>
      </c>
      <c r="G396" s="66">
        <f>IF(B396&lt;&gt;"",VLOOKUP(B396,Zutaten!$C:$F,4,FALSE),"")*C396</f>
        <v>14.06</v>
      </c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  <c r="AC396" s="67"/>
    </row>
    <row r="397">
      <c r="A397" s="60" t="s">
        <v>80</v>
      </c>
      <c r="B397" s="61" t="s">
        <v>349</v>
      </c>
      <c r="C397" s="62">
        <v>488.0</v>
      </c>
      <c r="D397" s="63" t="s">
        <v>539</v>
      </c>
      <c r="E397" s="64">
        <f>1-(488-40)/488</f>
        <v>0.08196721311</v>
      </c>
      <c r="F397" s="65">
        <f t="shared" si="1"/>
        <v>448</v>
      </c>
      <c r="G397" s="66">
        <f>IF(B397&lt;&gt;"",VLOOKUP(B397,Zutaten!$C:$F,4,FALSE),"")*C397</f>
        <v>3.904</v>
      </c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  <c r="AC397" s="67"/>
    </row>
    <row r="398">
      <c r="A398" s="67" t="s">
        <v>81</v>
      </c>
      <c r="B398" s="78" t="s">
        <v>392</v>
      </c>
      <c r="C398" s="67">
        <v>100.0</v>
      </c>
      <c r="D398" s="63" t="s">
        <v>539</v>
      </c>
      <c r="E398" s="64">
        <v>0.0</v>
      </c>
      <c r="F398" s="65">
        <f t="shared" si="1"/>
        <v>100</v>
      </c>
      <c r="G398" s="66">
        <f>IF(B398&lt;&gt;"",VLOOKUP(B398,Zutaten!$C:$F,4,FALSE),"")*C398</f>
        <v>0.6792</v>
      </c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  <c r="AC398" s="67"/>
    </row>
    <row r="399">
      <c r="A399" s="67" t="s">
        <v>81</v>
      </c>
      <c r="B399" s="67" t="s">
        <v>554</v>
      </c>
      <c r="C399" s="67">
        <v>100.0</v>
      </c>
      <c r="D399" s="63" t="s">
        <v>539</v>
      </c>
      <c r="E399" s="64">
        <v>0.0</v>
      </c>
      <c r="F399" s="65">
        <f t="shared" si="1"/>
        <v>100</v>
      </c>
      <c r="G399" s="66">
        <f>IF(B399&lt;&gt;"",VLOOKUP(B399,Zutaten!$C:$F,4,FALSE),"")*C399</f>
        <v>2.559</v>
      </c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  <c r="AC399" s="67"/>
    </row>
    <row r="400">
      <c r="A400" s="67" t="s">
        <v>81</v>
      </c>
      <c r="B400" s="78" t="s">
        <v>396</v>
      </c>
      <c r="C400" s="67">
        <v>100.0</v>
      </c>
      <c r="D400" s="63" t="s">
        <v>539</v>
      </c>
      <c r="E400" s="64">
        <v>0.0</v>
      </c>
      <c r="F400" s="65">
        <f t="shared" si="1"/>
        <v>100</v>
      </c>
      <c r="G400" s="66">
        <f>IF(B400&lt;&gt;"",VLOOKUP(B400,Zutaten!$C:$F,4,FALSE),"")*C400</f>
        <v>2.73</v>
      </c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  <c r="AC400" s="67"/>
    </row>
    <row r="401">
      <c r="A401" s="67" t="s">
        <v>81</v>
      </c>
      <c r="B401" s="78" t="s">
        <v>455</v>
      </c>
      <c r="C401" s="67">
        <v>1500.0</v>
      </c>
      <c r="D401" s="63" t="s">
        <v>539</v>
      </c>
      <c r="E401" s="64">
        <v>0.0</v>
      </c>
      <c r="F401" s="65">
        <f t="shared" si="1"/>
        <v>1500</v>
      </c>
      <c r="G401" s="66">
        <f>IF(B401&lt;&gt;"",VLOOKUP(B401,Zutaten!$C:$F,4,FALSE),"")*C401</f>
        <v>2.985</v>
      </c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  <c r="AC401" s="67"/>
    </row>
    <row r="402">
      <c r="A402" s="67" t="s">
        <v>81</v>
      </c>
      <c r="B402" s="78" t="s">
        <v>378</v>
      </c>
      <c r="C402" s="67">
        <v>400.0</v>
      </c>
      <c r="D402" s="63" t="s">
        <v>539</v>
      </c>
      <c r="E402" s="64">
        <v>0.0</v>
      </c>
      <c r="F402" s="65">
        <f t="shared" si="1"/>
        <v>400</v>
      </c>
      <c r="G402" s="66">
        <f>IF(B402&lt;&gt;"",VLOOKUP(B402,Zutaten!$C:$F,4,FALSE),"")*C402</f>
        <v>3.0568</v>
      </c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  <c r="AC402" s="67"/>
    </row>
    <row r="403">
      <c r="A403" s="67" t="s">
        <v>81</v>
      </c>
      <c r="B403" s="78" t="s">
        <v>467</v>
      </c>
      <c r="C403" s="67">
        <v>5.0</v>
      </c>
      <c r="D403" s="63" t="s">
        <v>539</v>
      </c>
      <c r="E403" s="64">
        <v>0.0</v>
      </c>
      <c r="F403" s="65">
        <f t="shared" si="1"/>
        <v>5</v>
      </c>
      <c r="G403" s="66">
        <f>IF(B403&lt;&gt;"",VLOOKUP(B403,Zutaten!$C:$F,4,FALSE),"")*C403</f>
        <v>0.00184</v>
      </c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  <c r="AC403" s="67"/>
    </row>
    <row r="404">
      <c r="A404" s="63" t="s">
        <v>82</v>
      </c>
      <c r="B404" s="78" t="s">
        <v>350</v>
      </c>
      <c r="C404" s="67">
        <v>1000.0</v>
      </c>
      <c r="D404" s="63" t="s">
        <v>539</v>
      </c>
      <c r="E404" s="64">
        <v>0.0</v>
      </c>
      <c r="F404" s="65">
        <f t="shared" si="1"/>
        <v>1000</v>
      </c>
      <c r="G404" s="66">
        <f>IF(B404&lt;&gt;"",VLOOKUP(B404,Zutaten!$C:$F,4,FALSE),"")*C404</f>
        <v>8.53</v>
      </c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7"/>
    </row>
    <row r="405">
      <c r="A405" s="63" t="s">
        <v>82</v>
      </c>
      <c r="B405" s="78" t="s">
        <v>455</v>
      </c>
      <c r="C405" s="67">
        <v>500.0</v>
      </c>
      <c r="D405" s="63" t="s">
        <v>539</v>
      </c>
      <c r="E405" s="64">
        <v>0.0</v>
      </c>
      <c r="F405" s="65">
        <f t="shared" si="1"/>
        <v>500</v>
      </c>
      <c r="G405" s="66">
        <f>IF(B405&lt;&gt;"",VLOOKUP(B405,Zutaten!$C:$F,4,FALSE),"")*C405</f>
        <v>0.995</v>
      </c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  <c r="AC405" s="67"/>
    </row>
    <row r="406">
      <c r="A406" s="63" t="s">
        <v>82</v>
      </c>
      <c r="B406" s="67" t="s">
        <v>555</v>
      </c>
      <c r="C406" s="67">
        <v>100.0</v>
      </c>
      <c r="D406" s="63" t="s">
        <v>539</v>
      </c>
      <c r="E406" s="64">
        <v>0.0</v>
      </c>
      <c r="F406" s="65">
        <f t="shared" si="1"/>
        <v>100</v>
      </c>
      <c r="G406" s="66">
        <f>IF(B406&lt;&gt;"",VLOOKUP(B406,Zutaten!$C:$F,4,FALSE),"")*C406</f>
        <v>1.022</v>
      </c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  <c r="AC406" s="67"/>
    </row>
    <row r="407">
      <c r="A407" s="63" t="s">
        <v>82</v>
      </c>
      <c r="B407" s="67" t="s">
        <v>545</v>
      </c>
      <c r="C407" s="67">
        <v>10.0</v>
      </c>
      <c r="D407" s="63" t="s">
        <v>539</v>
      </c>
      <c r="E407" s="64">
        <v>0.0</v>
      </c>
      <c r="F407" s="65">
        <f t="shared" si="1"/>
        <v>10</v>
      </c>
      <c r="G407" s="66">
        <f>IF(B407&lt;&gt;"",VLOOKUP(B407,Zutaten!$C:$F,4,FALSE),"")*C407</f>
        <v>0.00368</v>
      </c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  <c r="AC407" s="67"/>
    </row>
    <row r="408">
      <c r="A408" s="18" t="s">
        <v>86</v>
      </c>
      <c r="B408" s="18" t="s">
        <v>168</v>
      </c>
      <c r="C408" s="68">
        <v>170.0</v>
      </c>
      <c r="D408" s="63" t="s">
        <v>539</v>
      </c>
      <c r="E408" s="64">
        <v>0.0</v>
      </c>
      <c r="F408" s="65">
        <f t="shared" si="1"/>
        <v>170</v>
      </c>
      <c r="G408" s="66">
        <f>IF(B408&lt;&gt;"",VLOOKUP(B408,Zutaten!$C:$F,4,FALSE),"")*C408</f>
        <v>1.449719803</v>
      </c>
      <c r="H408" s="63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  <c r="AC408" s="67"/>
    </row>
    <row r="409">
      <c r="A409" s="18" t="s">
        <v>86</v>
      </c>
      <c r="B409" s="18" t="s">
        <v>522</v>
      </c>
      <c r="C409" s="68">
        <v>50.0</v>
      </c>
      <c r="D409" s="63" t="s">
        <v>539</v>
      </c>
      <c r="E409" s="64">
        <v>0.0</v>
      </c>
      <c r="F409" s="65">
        <f t="shared" si="1"/>
        <v>50</v>
      </c>
      <c r="G409" s="66">
        <f>IF(B409&lt;&gt;"",VLOOKUP(B409,Zutaten!$C:$F,4,FALSE),"")*C409</f>
        <v>0.703</v>
      </c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  <c r="AC409" s="67"/>
    </row>
    <row r="410">
      <c r="A410" s="18" t="s">
        <v>86</v>
      </c>
      <c r="B410" s="18" t="s">
        <v>157</v>
      </c>
      <c r="C410" s="68">
        <v>15.0</v>
      </c>
      <c r="D410" s="63" t="s">
        <v>539</v>
      </c>
      <c r="E410" s="64">
        <v>0.0</v>
      </c>
      <c r="F410" s="65">
        <f t="shared" si="1"/>
        <v>15</v>
      </c>
      <c r="G410" s="66">
        <f>IF(B410&lt;&gt;"",VLOOKUP(B410,Zutaten!$C:$F,4,FALSE),"")*C410</f>
        <v>0.06709401316</v>
      </c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  <c r="AC410" s="67"/>
    </row>
    <row r="411">
      <c r="A411" s="18" t="s">
        <v>86</v>
      </c>
      <c r="B411" s="18" t="s">
        <v>202</v>
      </c>
      <c r="C411" s="68">
        <v>20.0</v>
      </c>
      <c r="D411" s="63" t="s">
        <v>539</v>
      </c>
      <c r="E411" s="64">
        <v>0.0</v>
      </c>
      <c r="F411" s="65">
        <f t="shared" si="1"/>
        <v>20</v>
      </c>
      <c r="G411" s="66">
        <f>IF(B411&lt;&gt;"",VLOOKUP(B411,Zutaten!$C:$F,4,FALSE),"")*C411</f>
        <v>0.05888280828</v>
      </c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  <c r="AC411" s="67"/>
    </row>
    <row r="412">
      <c r="A412" s="18" t="s">
        <v>86</v>
      </c>
      <c r="B412" s="18" t="s">
        <v>263</v>
      </c>
      <c r="C412" s="68">
        <v>50.0</v>
      </c>
      <c r="D412" s="63" t="s">
        <v>539</v>
      </c>
      <c r="E412" s="64">
        <v>0.0</v>
      </c>
      <c r="F412" s="65">
        <f t="shared" si="1"/>
        <v>50</v>
      </c>
      <c r="G412" s="66">
        <f>IF(B412&lt;&gt;"",VLOOKUP(B412,Zutaten!$C:$F,4,FALSE),"")*C412</f>
        <v>0.2618020389</v>
      </c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  <c r="AC412" s="67"/>
    </row>
    <row r="413">
      <c r="A413" s="18" t="s">
        <v>86</v>
      </c>
      <c r="B413" s="18" t="s">
        <v>313</v>
      </c>
      <c r="C413" s="68">
        <v>80.0</v>
      </c>
      <c r="D413" s="63" t="s">
        <v>539</v>
      </c>
      <c r="E413" s="64">
        <v>0.0</v>
      </c>
      <c r="F413" s="65">
        <f t="shared" si="1"/>
        <v>80</v>
      </c>
      <c r="G413" s="66">
        <f>IF(B413&lt;&gt;"",VLOOKUP(B413,Zutaten!$C:$F,4,FALSE),"")*C413</f>
        <v>0.5</v>
      </c>
      <c r="H413" s="63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  <c r="AC413" s="67"/>
    </row>
    <row r="414">
      <c r="A414" s="18" t="s">
        <v>86</v>
      </c>
      <c r="B414" s="18" t="s">
        <v>336</v>
      </c>
      <c r="C414" s="68">
        <v>20.0</v>
      </c>
      <c r="D414" s="63" t="s">
        <v>539</v>
      </c>
      <c r="E414" s="64">
        <v>0.0</v>
      </c>
      <c r="F414" s="65">
        <f t="shared" si="1"/>
        <v>20</v>
      </c>
      <c r="G414" s="66">
        <f>IF(B414&lt;&gt;"",VLOOKUP(B414,Zutaten!$C:$F,4,FALSE),"")*C414</f>
        <v>0.1278</v>
      </c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  <c r="AC414" s="67"/>
    </row>
    <row r="415">
      <c r="A415" s="18" t="s">
        <v>87</v>
      </c>
      <c r="B415" s="63" t="s">
        <v>458</v>
      </c>
      <c r="C415" s="68">
        <v>170.0</v>
      </c>
      <c r="D415" s="63" t="s">
        <v>539</v>
      </c>
      <c r="E415" s="64">
        <v>0.0</v>
      </c>
      <c r="F415" s="65">
        <f t="shared" si="1"/>
        <v>170</v>
      </c>
      <c r="G415" s="66">
        <f>IF(B415&lt;&gt;"",VLOOKUP(B415,Zutaten!$C:$F,4,FALSE),"")*C415</f>
        <v>1.4433</v>
      </c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  <c r="AC415" s="67"/>
    </row>
    <row r="416">
      <c r="A416" s="18" t="s">
        <v>88</v>
      </c>
      <c r="B416" s="18" t="s">
        <v>39</v>
      </c>
      <c r="C416" s="68">
        <v>135.0</v>
      </c>
      <c r="D416" s="63" t="s">
        <v>539</v>
      </c>
      <c r="E416" s="64">
        <v>0.0</v>
      </c>
      <c r="F416" s="65">
        <f t="shared" si="1"/>
        <v>135</v>
      </c>
      <c r="G416" s="66">
        <f>IF(B416&lt;&gt;"",VLOOKUP(B416,Zutaten!$C:$F,4,FALSE),"")*C416</f>
        <v>0.7071530679</v>
      </c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  <c r="AC416" s="67"/>
    </row>
    <row r="417">
      <c r="A417" s="18" t="s">
        <v>89</v>
      </c>
      <c r="B417" s="60" t="s">
        <v>101</v>
      </c>
      <c r="C417" s="68">
        <v>150.0</v>
      </c>
      <c r="D417" s="63" t="s">
        <v>539</v>
      </c>
      <c r="E417" s="64">
        <v>0.0</v>
      </c>
      <c r="F417" s="65">
        <f t="shared" si="1"/>
        <v>150</v>
      </c>
      <c r="G417" s="66">
        <f>IF(B417&lt;&gt;"",VLOOKUP(B417,Zutaten!$C:$F,4,FALSE),"")*C417</f>
        <v>0.9830411669</v>
      </c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  <c r="AC417" s="67"/>
    </row>
    <row r="418">
      <c r="A418" s="18" t="s">
        <v>90</v>
      </c>
      <c r="B418" s="63" t="s">
        <v>276</v>
      </c>
      <c r="C418" s="68">
        <v>170.0</v>
      </c>
      <c r="D418" s="63" t="s">
        <v>539</v>
      </c>
      <c r="E418" s="64">
        <v>0.0</v>
      </c>
      <c r="F418" s="65">
        <f t="shared" si="1"/>
        <v>170</v>
      </c>
      <c r="G418" s="66">
        <f>IF(B418&lt;&gt;"",VLOOKUP(B418,Zutaten!$C:$F,4,FALSE),"")*C418</f>
        <v>1.751</v>
      </c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  <c r="AC418" s="67"/>
    </row>
    <row r="419">
      <c r="A419" s="18" t="s">
        <v>91</v>
      </c>
      <c r="B419" s="63" t="s">
        <v>313</v>
      </c>
      <c r="C419" s="68">
        <v>80.0</v>
      </c>
      <c r="D419" s="63" t="s">
        <v>539</v>
      </c>
      <c r="E419" s="64">
        <v>0.0</v>
      </c>
      <c r="F419" s="65">
        <f t="shared" si="1"/>
        <v>80</v>
      </c>
      <c r="G419" s="66">
        <f>IF(B419&lt;&gt;"",VLOOKUP(B419,Zutaten!$C:$F,4,FALSE),"")*C419</f>
        <v>0.5</v>
      </c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  <c r="AC419" s="67"/>
    </row>
    <row r="420">
      <c r="A420" s="18" t="s">
        <v>91</v>
      </c>
      <c r="B420" s="63" t="s">
        <v>167</v>
      </c>
      <c r="C420" s="68">
        <v>120.0</v>
      </c>
      <c r="D420" s="63" t="s">
        <v>539</v>
      </c>
      <c r="E420" s="64">
        <v>0.0</v>
      </c>
      <c r="F420" s="65">
        <f t="shared" si="1"/>
        <v>120</v>
      </c>
      <c r="G420" s="66">
        <f>IF(B420&lt;&gt;"",VLOOKUP(B420,Zutaten!$C:$F,4,FALSE),"")*C420</f>
        <v>0.3765593969</v>
      </c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  <c r="AC420" s="67"/>
    </row>
    <row r="421">
      <c r="A421" s="18" t="s">
        <v>91</v>
      </c>
      <c r="B421" s="63" t="s">
        <v>519</v>
      </c>
      <c r="C421" s="68">
        <v>19.0</v>
      </c>
      <c r="D421" s="63" t="s">
        <v>539</v>
      </c>
      <c r="E421" s="64">
        <v>0.0</v>
      </c>
      <c r="F421" s="65">
        <f t="shared" si="1"/>
        <v>19</v>
      </c>
      <c r="G421" s="66">
        <f>IF(B421&lt;&gt;"",VLOOKUP(B421,Zutaten!$C:$F,4,FALSE),"")*C421</f>
        <v>0.38684</v>
      </c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  <c r="AC421" s="67"/>
    </row>
    <row r="422">
      <c r="A422" s="18" t="s">
        <v>91</v>
      </c>
      <c r="B422" s="63" t="s">
        <v>462</v>
      </c>
      <c r="C422" s="68">
        <v>150.0</v>
      </c>
      <c r="D422" s="63" t="s">
        <v>539</v>
      </c>
      <c r="E422" s="64">
        <v>0.0</v>
      </c>
      <c r="F422" s="65">
        <f t="shared" si="1"/>
        <v>150</v>
      </c>
      <c r="G422" s="66">
        <f>IF(B422&lt;&gt;"",VLOOKUP(B422,Zutaten!$C:$F,4,FALSE),"")*C422</f>
        <v>0.9435</v>
      </c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  <c r="AC422" s="67"/>
    </row>
    <row r="423">
      <c r="A423" s="18" t="s">
        <v>91</v>
      </c>
      <c r="B423" s="63" t="s">
        <v>79</v>
      </c>
      <c r="C423" s="68">
        <v>50.0</v>
      </c>
      <c r="D423" s="63" t="s">
        <v>539</v>
      </c>
      <c r="E423" s="64">
        <v>0.0</v>
      </c>
      <c r="F423" s="65">
        <f t="shared" si="1"/>
        <v>50</v>
      </c>
      <c r="G423" s="66">
        <f>IF(B423&lt;&gt;"",VLOOKUP(B423,Zutaten!$C:$F,4,FALSE),"")*C423</f>
        <v>0.2429854839</v>
      </c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  <c r="AC423" s="67"/>
    </row>
    <row r="424">
      <c r="A424" s="18" t="s">
        <v>91</v>
      </c>
      <c r="B424" s="63" t="s">
        <v>130</v>
      </c>
      <c r="C424" s="68">
        <v>94.0</v>
      </c>
      <c r="D424" s="63" t="s">
        <v>539</v>
      </c>
      <c r="E424" s="64">
        <v>0.0</v>
      </c>
      <c r="F424" s="65">
        <f t="shared" si="1"/>
        <v>94</v>
      </c>
      <c r="G424" s="66">
        <f>IF(B424&lt;&gt;"",VLOOKUP(B424,Zutaten!$C:$F,4,FALSE),"")*C424</f>
        <v>0.1316711026</v>
      </c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  <c r="AC424" s="67"/>
    </row>
    <row r="425">
      <c r="A425" s="18" t="s">
        <v>91</v>
      </c>
      <c r="B425" s="63" t="s">
        <v>323</v>
      </c>
      <c r="C425" s="68">
        <v>30.0</v>
      </c>
      <c r="D425" s="63" t="s">
        <v>539</v>
      </c>
      <c r="E425" s="64">
        <v>0.0</v>
      </c>
      <c r="F425" s="65">
        <f t="shared" si="1"/>
        <v>30</v>
      </c>
      <c r="G425" s="66">
        <f>IF(B425&lt;&gt;"",VLOOKUP(B425,Zutaten!$C:$F,4,FALSE),"")*C425</f>
        <v>0.105</v>
      </c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  <c r="AC425" s="67"/>
    </row>
    <row r="426">
      <c r="A426" s="18" t="s">
        <v>92</v>
      </c>
      <c r="B426" s="63" t="s">
        <v>480</v>
      </c>
      <c r="C426" s="68">
        <v>220.0</v>
      </c>
      <c r="D426" s="63" t="s">
        <v>539</v>
      </c>
      <c r="E426" s="64">
        <v>0.0</v>
      </c>
      <c r="F426" s="65">
        <f t="shared" si="1"/>
        <v>220</v>
      </c>
      <c r="G426" s="66">
        <f>IF(B426&lt;&gt;"",VLOOKUP(B426,Zutaten!$C:$F,4,FALSE),"")*C426</f>
        <v>1.2958</v>
      </c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  <c r="AC426" s="67"/>
    </row>
    <row r="427">
      <c r="A427" s="18" t="s">
        <v>92</v>
      </c>
      <c r="B427" s="18" t="s">
        <v>380</v>
      </c>
      <c r="C427" s="68">
        <v>23.0</v>
      </c>
      <c r="D427" s="63" t="s">
        <v>539</v>
      </c>
      <c r="E427" s="64">
        <v>0.0</v>
      </c>
      <c r="F427" s="65">
        <f t="shared" si="1"/>
        <v>23</v>
      </c>
      <c r="G427" s="66">
        <f>IF(B427&lt;&gt;"",VLOOKUP(B427,Zutaten!$C:$F,4,FALSE),"")*C427</f>
        <v>0.09524705882</v>
      </c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  <c r="AC427" s="67"/>
    </row>
    <row r="428">
      <c r="A428" s="18" t="s">
        <v>92</v>
      </c>
      <c r="B428" s="61" t="s">
        <v>25</v>
      </c>
      <c r="C428" s="68">
        <v>20.0</v>
      </c>
      <c r="D428" s="63" t="s">
        <v>539</v>
      </c>
      <c r="E428" s="64">
        <v>0.0</v>
      </c>
      <c r="F428" s="65">
        <f t="shared" si="1"/>
        <v>20</v>
      </c>
      <c r="G428" s="66">
        <f>IF(B428&lt;&gt;"",VLOOKUP(B428,Zutaten!$C:$F,4,FALSE),"")*C428</f>
        <v>0.1490001486</v>
      </c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  <c r="AC428" s="67"/>
    </row>
    <row r="429">
      <c r="A429" s="18" t="s">
        <v>92</v>
      </c>
      <c r="B429" s="18" t="s">
        <v>210</v>
      </c>
      <c r="C429" s="68">
        <v>60.0</v>
      </c>
      <c r="D429" s="63" t="s">
        <v>539</v>
      </c>
      <c r="E429" s="64">
        <v>0.0</v>
      </c>
      <c r="F429" s="65">
        <f t="shared" si="1"/>
        <v>60</v>
      </c>
      <c r="G429" s="66">
        <f>IF(B429&lt;&gt;"",VLOOKUP(B429,Zutaten!$C:$F,4,FALSE),"")*C429</f>
        <v>0.3296680816</v>
      </c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  <c r="AC429" s="67"/>
    </row>
    <row r="430">
      <c r="A430" s="18" t="s">
        <v>92</v>
      </c>
      <c r="B430" s="18" t="s">
        <v>170</v>
      </c>
      <c r="C430" s="68">
        <v>6.0</v>
      </c>
      <c r="D430" s="63" t="s">
        <v>539</v>
      </c>
      <c r="E430" s="64">
        <v>0.0</v>
      </c>
      <c r="F430" s="65">
        <f t="shared" si="1"/>
        <v>6</v>
      </c>
      <c r="G430" s="66">
        <f>IF(B430&lt;&gt;"",VLOOKUP(B430,Zutaten!$C:$F,4,FALSE),"")*C430</f>
        <v>0.00653095082</v>
      </c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  <c r="AC430" s="67"/>
    </row>
    <row r="431">
      <c r="A431" s="18" t="s">
        <v>93</v>
      </c>
      <c r="B431" s="18" t="s">
        <v>156</v>
      </c>
      <c r="C431" s="68">
        <v>200.0</v>
      </c>
      <c r="D431" s="63" t="s">
        <v>539</v>
      </c>
      <c r="E431" s="64">
        <v>0.0</v>
      </c>
      <c r="F431" s="65">
        <f t="shared" si="1"/>
        <v>200</v>
      </c>
      <c r="G431" s="66">
        <f>IF(B431&lt;&gt;"",VLOOKUP(B431,Zutaten!$C:$F,4,FALSE),"")*C431</f>
        <v>2.603877778</v>
      </c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  <c r="AC431" s="67"/>
    </row>
    <row r="432">
      <c r="A432" s="18" t="s">
        <v>93</v>
      </c>
      <c r="B432" s="18" t="s">
        <v>522</v>
      </c>
      <c r="C432" s="68">
        <v>90.0</v>
      </c>
      <c r="D432" s="63" t="s">
        <v>539</v>
      </c>
      <c r="E432" s="64">
        <v>0.0</v>
      </c>
      <c r="F432" s="65">
        <f t="shared" si="1"/>
        <v>90</v>
      </c>
      <c r="G432" s="66">
        <f>IF(B432&lt;&gt;"",VLOOKUP(B432,Zutaten!$C:$F,4,FALSE),"")*C432</f>
        <v>1.2654</v>
      </c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  <c r="AC432" s="67"/>
    </row>
    <row r="433">
      <c r="A433" s="18" t="s">
        <v>93</v>
      </c>
      <c r="B433" s="60" t="s">
        <v>22</v>
      </c>
      <c r="C433" s="68">
        <v>80.0</v>
      </c>
      <c r="D433" s="63" t="s">
        <v>539</v>
      </c>
      <c r="E433" s="64">
        <v>0.0</v>
      </c>
      <c r="F433" s="65">
        <f t="shared" si="1"/>
        <v>80</v>
      </c>
      <c r="G433" s="66">
        <f>IF(B433&lt;&gt;"",VLOOKUP(B433,Zutaten!$C:$F,4,FALSE),"")*C433</f>
        <v>0.2276620225</v>
      </c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  <c r="AC433" s="67"/>
    </row>
    <row r="434">
      <c r="A434" s="18" t="s">
        <v>93</v>
      </c>
      <c r="B434" s="60" t="s">
        <v>113</v>
      </c>
      <c r="C434" s="68">
        <v>20.0</v>
      </c>
      <c r="D434" s="63" t="s">
        <v>539</v>
      </c>
      <c r="E434" s="64">
        <v>0.0</v>
      </c>
      <c r="F434" s="65">
        <f t="shared" si="1"/>
        <v>20</v>
      </c>
      <c r="G434" s="66">
        <f>IF(B434&lt;&gt;"",VLOOKUP(B434,Zutaten!$C:$F,4,FALSE),"")*C434</f>
        <v>0.1764</v>
      </c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  <c r="AC434" s="67"/>
    </row>
    <row r="435">
      <c r="A435" s="18" t="s">
        <v>93</v>
      </c>
      <c r="B435" s="20" t="s">
        <v>519</v>
      </c>
      <c r="C435" s="68">
        <v>40.0</v>
      </c>
      <c r="D435" s="63" t="s">
        <v>539</v>
      </c>
      <c r="E435" s="64">
        <v>0.0</v>
      </c>
      <c r="F435" s="65">
        <f t="shared" si="1"/>
        <v>40</v>
      </c>
      <c r="G435" s="66">
        <f>IF(B435&lt;&gt;"",VLOOKUP(B435,Zutaten!$C:$F,4,FALSE),"")*C435</f>
        <v>0.8144</v>
      </c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  <c r="AC435" s="67"/>
    </row>
    <row r="436">
      <c r="A436" s="18" t="s">
        <v>93</v>
      </c>
      <c r="B436" s="18" t="s">
        <v>115</v>
      </c>
      <c r="C436" s="68">
        <v>35.0</v>
      </c>
      <c r="D436" s="63" t="s">
        <v>539</v>
      </c>
      <c r="E436" s="64">
        <v>0.0</v>
      </c>
      <c r="F436" s="65">
        <f t="shared" si="1"/>
        <v>35</v>
      </c>
      <c r="G436" s="66">
        <f>IF(B436&lt;&gt;"",VLOOKUP(B436,Zutaten!$C:$F,4,FALSE),"")*C436</f>
        <v>0.4060669664</v>
      </c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  <c r="AC436" s="67"/>
    </row>
    <row r="437">
      <c r="A437" s="63" t="s">
        <v>95</v>
      </c>
      <c r="B437" s="63" t="s">
        <v>516</v>
      </c>
      <c r="C437" s="63">
        <v>2000.0</v>
      </c>
      <c r="D437" s="63" t="s">
        <v>539</v>
      </c>
      <c r="E437" s="64">
        <v>0.0</v>
      </c>
      <c r="F437" s="65">
        <f t="shared" si="1"/>
        <v>2000</v>
      </c>
      <c r="G437" s="66">
        <f>IF(B437&lt;&gt;"",VLOOKUP(B437,Zutaten!$C:$F,4,FALSE),"")*C437</f>
        <v>2.126</v>
      </c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  <c r="AC437" s="67"/>
    </row>
    <row r="438">
      <c r="A438" s="63" t="s">
        <v>95</v>
      </c>
      <c r="B438" s="63" t="s">
        <v>314</v>
      </c>
      <c r="C438" s="63">
        <v>250.0</v>
      </c>
      <c r="D438" s="63" t="s">
        <v>539</v>
      </c>
      <c r="E438" s="64">
        <v>0.0</v>
      </c>
      <c r="F438" s="65">
        <f t="shared" si="1"/>
        <v>250</v>
      </c>
      <c r="G438" s="66">
        <f>IF(B438&lt;&gt;"",VLOOKUP(B438,Zutaten!$C:$F,4,FALSE),"")*C438</f>
        <v>1.8</v>
      </c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  <c r="AC438" s="67"/>
    </row>
    <row r="439">
      <c r="A439" s="63" t="s">
        <v>95</v>
      </c>
      <c r="B439" s="20" t="s">
        <v>404</v>
      </c>
      <c r="C439" s="63">
        <v>100.0</v>
      </c>
      <c r="D439" s="63" t="s">
        <v>539</v>
      </c>
      <c r="E439" s="64">
        <v>0.0</v>
      </c>
      <c r="F439" s="65">
        <f t="shared" si="1"/>
        <v>100</v>
      </c>
      <c r="G439" s="66">
        <f>IF(B439&lt;&gt;"",VLOOKUP(B439,Zutaten!$C:$F,4,FALSE),"")*C439</f>
        <v>0.7</v>
      </c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  <c r="AC439" s="67"/>
    </row>
    <row r="440">
      <c r="A440" s="63" t="s">
        <v>95</v>
      </c>
      <c r="B440" s="63" t="s">
        <v>467</v>
      </c>
      <c r="C440" s="63">
        <v>25.0</v>
      </c>
      <c r="D440" s="63" t="s">
        <v>539</v>
      </c>
      <c r="E440" s="64">
        <v>0.0</v>
      </c>
      <c r="F440" s="65">
        <f t="shared" si="1"/>
        <v>25</v>
      </c>
      <c r="G440" s="66">
        <f>IF(B440&lt;&gt;"",VLOOKUP(B440,Zutaten!$C:$F,4,FALSE),"")*C440</f>
        <v>0.0092</v>
      </c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  <c r="AC440" s="67"/>
    </row>
    <row r="441">
      <c r="A441" s="63" t="s">
        <v>95</v>
      </c>
      <c r="B441" s="20" t="s">
        <v>442</v>
      </c>
      <c r="C441" s="63">
        <v>5.0</v>
      </c>
      <c r="D441" s="63" t="s">
        <v>539</v>
      </c>
      <c r="E441" s="64">
        <v>0.0</v>
      </c>
      <c r="F441" s="65">
        <f t="shared" si="1"/>
        <v>5</v>
      </c>
      <c r="G441" s="66">
        <f>IF(B441&lt;&gt;"",VLOOKUP(B441,Zutaten!$C:$F,4,FALSE),"")*C441</f>
        <v>0.162</v>
      </c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  <c r="AC441" s="67"/>
    </row>
    <row r="442">
      <c r="A442" s="63" t="s">
        <v>96</v>
      </c>
      <c r="B442" s="20" t="s">
        <v>290</v>
      </c>
      <c r="C442" s="63">
        <v>2500.0</v>
      </c>
      <c r="D442" s="63" t="s">
        <v>539</v>
      </c>
      <c r="E442" s="64">
        <v>0.0</v>
      </c>
      <c r="F442" s="65">
        <f t="shared" si="1"/>
        <v>2500</v>
      </c>
      <c r="G442" s="66">
        <f>IF(B442&lt;&gt;"",VLOOKUP(B442,Zutaten!$C:$F,4,FALSE),"")*C442</f>
        <v>11.73913043</v>
      </c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  <c r="AC442" s="67"/>
    </row>
    <row r="443">
      <c r="A443" s="63" t="s">
        <v>96</v>
      </c>
      <c r="B443" s="63" t="s">
        <v>459</v>
      </c>
      <c r="C443" s="63">
        <v>500.0</v>
      </c>
      <c r="D443" s="63" t="s">
        <v>539</v>
      </c>
      <c r="E443" s="64">
        <v>0.0</v>
      </c>
      <c r="F443" s="65">
        <f t="shared" si="1"/>
        <v>500</v>
      </c>
      <c r="G443" s="66">
        <f>IF(B443&lt;&gt;"",VLOOKUP(B443,Zutaten!$C:$F,4,FALSE),"")*C443</f>
        <v>1.21</v>
      </c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  <c r="AC443" s="67"/>
    </row>
    <row r="444">
      <c r="A444" s="18" t="s">
        <v>97</v>
      </c>
      <c r="B444" s="18" t="s">
        <v>442</v>
      </c>
      <c r="C444" s="68">
        <v>0.05</v>
      </c>
      <c r="D444" s="82" t="s">
        <v>539</v>
      </c>
      <c r="E444" s="64">
        <v>0.0</v>
      </c>
      <c r="F444" s="65">
        <f t="shared" si="1"/>
        <v>0.05</v>
      </c>
      <c r="G444" s="66">
        <f>IF(B444&lt;&gt;"",VLOOKUP(B444,Zutaten!$C:$F,4,FALSE),"")*C444</f>
        <v>0.00162</v>
      </c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  <c r="AC444" s="67"/>
    </row>
    <row r="445">
      <c r="A445" s="18" t="s">
        <v>97</v>
      </c>
      <c r="B445" s="18" t="s">
        <v>133</v>
      </c>
      <c r="C445" s="68">
        <v>80.0</v>
      </c>
      <c r="D445" s="82" t="s">
        <v>539</v>
      </c>
      <c r="E445" s="64">
        <v>0.0</v>
      </c>
      <c r="F445" s="65">
        <f t="shared" si="1"/>
        <v>80</v>
      </c>
      <c r="G445" s="66">
        <f>IF(B445&lt;&gt;"",VLOOKUP(B445,Zutaten!$C:$F,4,FALSE),"")*C445</f>
        <v>0.2271101646</v>
      </c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  <c r="AC445" s="67"/>
    </row>
    <row r="446">
      <c r="A446" s="18" t="s">
        <v>97</v>
      </c>
      <c r="B446" s="18" t="s">
        <v>361</v>
      </c>
      <c r="C446" s="68">
        <v>250.0</v>
      </c>
      <c r="D446" s="82" t="s">
        <v>539</v>
      </c>
      <c r="E446" s="64">
        <v>0.0</v>
      </c>
      <c r="F446" s="65">
        <f t="shared" si="1"/>
        <v>250</v>
      </c>
      <c r="G446" s="66">
        <f>IF(B446&lt;&gt;"",VLOOKUP(B446,Zutaten!$C:$F,4,FALSE),"")*C446</f>
        <v>1.758333333</v>
      </c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  <c r="AC446" s="67"/>
    </row>
    <row r="447">
      <c r="A447" s="18" t="s">
        <v>97</v>
      </c>
      <c r="B447" s="18" t="s">
        <v>424</v>
      </c>
      <c r="C447" s="68">
        <v>0.1</v>
      </c>
      <c r="D447" s="82" t="s">
        <v>539</v>
      </c>
      <c r="E447" s="64">
        <v>0.0</v>
      </c>
      <c r="F447" s="65">
        <f t="shared" si="1"/>
        <v>0.1</v>
      </c>
      <c r="G447" s="66">
        <f>IF(B447&lt;&gt;"",VLOOKUP(B447,Zutaten!$C:$F,4,FALSE),"")*C447</f>
        <v>0.0067</v>
      </c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  <c r="AC447" s="67"/>
    </row>
    <row r="448">
      <c r="A448" s="60" t="s">
        <v>98</v>
      </c>
      <c r="B448" s="61" t="s">
        <v>362</v>
      </c>
      <c r="C448" s="62">
        <v>300.0</v>
      </c>
      <c r="D448" s="63" t="s">
        <v>539</v>
      </c>
      <c r="E448" s="64">
        <f>1-173/300</f>
        <v>0.4233333333</v>
      </c>
      <c r="F448" s="65">
        <f t="shared" si="1"/>
        <v>173</v>
      </c>
      <c r="G448" s="66">
        <f>IF(B448&lt;&gt;"",VLOOKUP(B448,Zutaten!$C:$F,4,FALSE),"")*C448</f>
        <v>2.67</v>
      </c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  <c r="AC448" s="67"/>
    </row>
    <row r="449">
      <c r="A449" s="18" t="s">
        <v>94</v>
      </c>
      <c r="B449" s="18" t="s">
        <v>302</v>
      </c>
      <c r="C449" s="68">
        <v>0.0</v>
      </c>
      <c r="D449" s="63" t="s">
        <v>539</v>
      </c>
      <c r="E449" s="64">
        <v>0.0</v>
      </c>
      <c r="F449" s="65">
        <f t="shared" si="1"/>
        <v>0</v>
      </c>
      <c r="G449" s="66">
        <f>IF(B449&lt;&gt;"",VLOOKUP(B449,Zutaten!$C:$F,4,FALSE),"")*C449</f>
        <v>0</v>
      </c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  <c r="AC449" s="67"/>
    </row>
    <row r="450">
      <c r="A450" s="18" t="s">
        <v>94</v>
      </c>
      <c r="B450" s="18" t="s">
        <v>313</v>
      </c>
      <c r="C450" s="68">
        <v>80.0</v>
      </c>
      <c r="D450" s="63" t="s">
        <v>539</v>
      </c>
      <c r="E450" s="64">
        <v>0.0</v>
      </c>
      <c r="F450" s="65">
        <f t="shared" si="1"/>
        <v>80</v>
      </c>
      <c r="G450" s="66">
        <f>IF(B450&lt;&gt;"",VLOOKUP(B450,Zutaten!$C:$F,4,FALSE),"")*C450</f>
        <v>0.5</v>
      </c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  <c r="AC450" s="67"/>
    </row>
    <row r="451">
      <c r="A451" s="18" t="s">
        <v>94</v>
      </c>
      <c r="B451" s="18" t="s">
        <v>493</v>
      </c>
      <c r="C451" s="68">
        <v>80.0</v>
      </c>
      <c r="D451" s="63" t="s">
        <v>539</v>
      </c>
      <c r="E451" s="64">
        <v>0.0</v>
      </c>
      <c r="F451" s="65">
        <f t="shared" si="1"/>
        <v>80</v>
      </c>
      <c r="G451" s="66">
        <f>IF(B451&lt;&gt;"",VLOOKUP(B451,Zutaten!$C:$F,4,FALSE),"")*C451</f>
        <v>1.388444444</v>
      </c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  <c r="AC451" s="67"/>
    </row>
    <row r="452">
      <c r="A452" s="18" t="s">
        <v>94</v>
      </c>
      <c r="B452" s="18" t="s">
        <v>336</v>
      </c>
      <c r="C452" s="68">
        <v>20.0</v>
      </c>
      <c r="D452" s="63" t="s">
        <v>539</v>
      </c>
      <c r="E452" s="64">
        <v>0.0</v>
      </c>
      <c r="F452" s="65">
        <f t="shared" si="1"/>
        <v>20</v>
      </c>
      <c r="G452" s="66">
        <f>IF(B452&lt;&gt;"",VLOOKUP(B452,Zutaten!$C:$F,4,FALSE),"")*C452</f>
        <v>0.1278</v>
      </c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  <c r="AC452" s="67"/>
    </row>
    <row r="453">
      <c r="A453" s="18" t="s">
        <v>94</v>
      </c>
      <c r="B453" s="60" t="s">
        <v>502</v>
      </c>
      <c r="C453" s="68">
        <v>60.0</v>
      </c>
      <c r="D453" s="63" t="s">
        <v>539</v>
      </c>
      <c r="E453" s="64">
        <v>0.0</v>
      </c>
      <c r="F453" s="65">
        <f t="shared" si="1"/>
        <v>60</v>
      </c>
      <c r="G453" s="66">
        <f>IF(B453&lt;&gt;"",VLOOKUP(B453,Zutaten!$C:$F,4,FALSE),"")*C453</f>
        <v>0.16578</v>
      </c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  <c r="AC453" s="67"/>
    </row>
    <row r="454">
      <c r="A454" s="18" t="s">
        <v>94</v>
      </c>
      <c r="B454" s="18" t="s">
        <v>159</v>
      </c>
      <c r="C454" s="68">
        <v>80.0</v>
      </c>
      <c r="D454" s="63" t="s">
        <v>539</v>
      </c>
      <c r="E454" s="64">
        <v>0.0</v>
      </c>
      <c r="F454" s="65">
        <f t="shared" si="1"/>
        <v>80</v>
      </c>
      <c r="G454" s="66">
        <f>IF(B454&lt;&gt;"",VLOOKUP(B454,Zutaten!$C:$F,4,FALSE),"")*C454</f>
        <v>0.2530736881</v>
      </c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  <c r="AC454" s="67"/>
    </row>
    <row r="455">
      <c r="A455" s="18" t="s">
        <v>94</v>
      </c>
      <c r="B455" s="18" t="s">
        <v>403</v>
      </c>
      <c r="C455" s="68">
        <v>150.0</v>
      </c>
      <c r="D455" s="63" t="s">
        <v>539</v>
      </c>
      <c r="E455" s="64">
        <v>0.0</v>
      </c>
      <c r="F455" s="65">
        <f t="shared" si="1"/>
        <v>150</v>
      </c>
      <c r="G455" s="66">
        <f>IF(B455&lt;&gt;"",VLOOKUP(B455,Zutaten!$C:$F,4,FALSE),"")*C455</f>
        <v>2.0835</v>
      </c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  <c r="AC455" s="67"/>
    </row>
    <row r="456">
      <c r="A456" s="60" t="s">
        <v>100</v>
      </c>
      <c r="B456" s="20" t="s">
        <v>299</v>
      </c>
      <c r="C456" s="62">
        <v>2000.0</v>
      </c>
      <c r="D456" s="63" t="s">
        <v>539</v>
      </c>
      <c r="E456" s="64">
        <v>0.0</v>
      </c>
      <c r="F456" s="65">
        <f t="shared" si="1"/>
        <v>2000</v>
      </c>
      <c r="G456" s="66">
        <f>IF(B456&lt;&gt;"",VLOOKUP(B456,Zutaten!$C:$F,4,FALSE),"")*C456</f>
        <v>19.18</v>
      </c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  <c r="AC456" s="67"/>
    </row>
    <row r="457">
      <c r="A457" s="60" t="s">
        <v>100</v>
      </c>
      <c r="B457" s="61" t="s">
        <v>530</v>
      </c>
      <c r="C457" s="62">
        <v>250.0</v>
      </c>
      <c r="D457" s="63" t="s">
        <v>539</v>
      </c>
      <c r="E457" s="64">
        <v>0.0</v>
      </c>
      <c r="F457" s="65">
        <f t="shared" si="1"/>
        <v>250</v>
      </c>
      <c r="G457" s="66">
        <f>IF(B457&lt;&gt;"",VLOOKUP(B457,Zutaten!$C:$F,4,FALSE),"")*C457</f>
        <v>0.3</v>
      </c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  <c r="AC457" s="67"/>
    </row>
    <row r="458">
      <c r="A458" s="60" t="s">
        <v>100</v>
      </c>
      <c r="B458" s="61" t="s">
        <v>502</v>
      </c>
      <c r="C458" s="62">
        <v>480.0</v>
      </c>
      <c r="D458" s="63" t="s">
        <v>539</v>
      </c>
      <c r="E458" s="64">
        <v>0.0</v>
      </c>
      <c r="F458" s="65">
        <f t="shared" si="1"/>
        <v>480</v>
      </c>
      <c r="G458" s="66">
        <f>IF(B458&lt;&gt;"",VLOOKUP(B458,Zutaten!$C:$F,4,FALSE),"")*C458</f>
        <v>1.32624</v>
      </c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  <c r="AC458" s="67"/>
    </row>
    <row r="459">
      <c r="A459" s="60" t="s">
        <v>100</v>
      </c>
      <c r="B459" s="61" t="s">
        <v>321</v>
      </c>
      <c r="C459" s="62">
        <v>20.0</v>
      </c>
      <c r="D459" s="63" t="s">
        <v>539</v>
      </c>
      <c r="E459" s="64">
        <v>0.0</v>
      </c>
      <c r="F459" s="65">
        <f t="shared" si="1"/>
        <v>20</v>
      </c>
      <c r="G459" s="66">
        <f>IF(B459&lt;&gt;"",VLOOKUP(B459,Zutaten!$C:$F,4,FALSE),"")*C459</f>
        <v>0.8589473684</v>
      </c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  <c r="AC459" s="67"/>
    </row>
    <row r="460">
      <c r="A460" s="60" t="s">
        <v>100</v>
      </c>
      <c r="B460" s="61" t="s">
        <v>392</v>
      </c>
      <c r="C460" s="62">
        <v>80.0</v>
      </c>
      <c r="D460" s="63" t="s">
        <v>539</v>
      </c>
      <c r="E460" s="64">
        <v>0.0</v>
      </c>
      <c r="F460" s="65">
        <f t="shared" si="1"/>
        <v>80</v>
      </c>
      <c r="G460" s="66">
        <f>IF(B460&lt;&gt;"",VLOOKUP(B460,Zutaten!$C:$F,4,FALSE),"")*C460</f>
        <v>0.54336</v>
      </c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  <c r="AC460" s="67"/>
    </row>
    <row r="461">
      <c r="A461" s="60" t="s">
        <v>100</v>
      </c>
      <c r="B461" s="61" t="s">
        <v>467</v>
      </c>
      <c r="C461" s="62">
        <v>250.0</v>
      </c>
      <c r="D461" s="63" t="s">
        <v>539</v>
      </c>
      <c r="E461" s="64">
        <v>0.0</v>
      </c>
      <c r="F461" s="65">
        <f t="shared" si="1"/>
        <v>250</v>
      </c>
      <c r="G461" s="66">
        <f>IF(B461&lt;&gt;"",VLOOKUP(B461,Zutaten!$C:$F,4,FALSE),"")*C461</f>
        <v>0.092</v>
      </c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  <c r="AC461" s="67"/>
    </row>
    <row r="462">
      <c r="A462" s="60" t="s">
        <v>100</v>
      </c>
      <c r="B462" s="61" t="s">
        <v>396</v>
      </c>
      <c r="C462" s="62">
        <v>50.0</v>
      </c>
      <c r="D462" s="63" t="s">
        <v>539</v>
      </c>
      <c r="E462" s="64">
        <v>0.0</v>
      </c>
      <c r="F462" s="65">
        <f t="shared" si="1"/>
        <v>50</v>
      </c>
      <c r="G462" s="66">
        <f>IF(B462&lt;&gt;"",VLOOKUP(B462,Zutaten!$C:$F,4,FALSE),"")*C462</f>
        <v>1.365</v>
      </c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  <c r="AC462" s="67"/>
    </row>
    <row r="463">
      <c r="A463" s="60" t="s">
        <v>100</v>
      </c>
      <c r="B463" s="61" t="s">
        <v>527</v>
      </c>
      <c r="C463" s="62">
        <v>50.0</v>
      </c>
      <c r="D463" s="63" t="s">
        <v>540</v>
      </c>
      <c r="E463" s="64">
        <v>0.0</v>
      </c>
      <c r="F463" s="65">
        <f t="shared" si="1"/>
        <v>50</v>
      </c>
      <c r="G463" s="66">
        <f>IF(B463&lt;&gt;"",VLOOKUP(B463,Zutaten!$C:$F,4,FALSE),"")*C463</f>
        <v>0.12</v>
      </c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  <c r="AC463" s="67"/>
    </row>
    <row r="464">
      <c r="A464" s="60" t="s">
        <v>101</v>
      </c>
      <c r="B464" s="61" t="s">
        <v>366</v>
      </c>
      <c r="C464" s="62">
        <v>5000.0</v>
      </c>
      <c r="D464" s="63" t="s">
        <v>539</v>
      </c>
      <c r="E464" s="64">
        <v>0.0</v>
      </c>
      <c r="F464" s="65">
        <f t="shared" si="1"/>
        <v>5000</v>
      </c>
      <c r="G464" s="66">
        <f>IF(B464&lt;&gt;"",VLOOKUP(B464,Zutaten!$C:$F,4,FALSE),"")*C464</f>
        <v>32.45</v>
      </c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  <c r="AC464" s="67"/>
    </row>
    <row r="465">
      <c r="A465" s="60" t="s">
        <v>101</v>
      </c>
      <c r="B465" s="61" t="s">
        <v>470</v>
      </c>
      <c r="C465" s="62">
        <v>500.0</v>
      </c>
      <c r="D465" s="63" t="s">
        <v>539</v>
      </c>
      <c r="E465" s="64">
        <v>0.0</v>
      </c>
      <c r="F465" s="65">
        <f t="shared" si="1"/>
        <v>500</v>
      </c>
      <c r="G465" s="66">
        <f>IF(B465&lt;&gt;"",VLOOKUP(B465,Zutaten!$C:$F,4,FALSE),"")*C465</f>
        <v>2.27</v>
      </c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  <c r="AC465" s="67"/>
    </row>
    <row r="466">
      <c r="A466" s="60" t="s">
        <v>101</v>
      </c>
      <c r="B466" s="61" t="s">
        <v>433</v>
      </c>
      <c r="C466" s="62">
        <v>600.0</v>
      </c>
      <c r="D466" s="63" t="s">
        <v>539</v>
      </c>
      <c r="E466" s="64">
        <v>0.0</v>
      </c>
      <c r="F466" s="65">
        <f t="shared" si="1"/>
        <v>600</v>
      </c>
      <c r="G466" s="66">
        <f>IF(B466&lt;&gt;"",VLOOKUP(B466,Zutaten!$C:$F,4,FALSE),"")*(C466+400)</f>
        <v>5.69</v>
      </c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  <c r="AC466" s="67"/>
    </row>
    <row r="467">
      <c r="A467" s="60" t="s">
        <v>101</v>
      </c>
      <c r="B467" s="61" t="s">
        <v>467</v>
      </c>
      <c r="C467" s="62">
        <v>70.0</v>
      </c>
      <c r="D467" s="63" t="s">
        <v>539</v>
      </c>
      <c r="E467" s="64">
        <v>0.0</v>
      </c>
      <c r="F467" s="65">
        <f t="shared" si="1"/>
        <v>70</v>
      </c>
      <c r="G467" s="66">
        <f>IF(B467&lt;&gt;"",VLOOKUP(B467,Zutaten!$C:$F,4,FALSE),"")*C467</f>
        <v>0.02576</v>
      </c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  <c r="AC467" s="67"/>
    </row>
    <row r="468">
      <c r="A468" s="18" t="s">
        <v>102</v>
      </c>
      <c r="B468" s="20" t="s">
        <v>366</v>
      </c>
      <c r="C468" s="63">
        <v>1000.0</v>
      </c>
      <c r="D468" s="63" t="s">
        <v>539</v>
      </c>
      <c r="E468" s="64">
        <v>0.0</v>
      </c>
      <c r="F468" s="65">
        <f t="shared" si="1"/>
        <v>1000</v>
      </c>
      <c r="G468" s="66">
        <f>IF(B468&lt;&gt;"",VLOOKUP(B468,Zutaten!$C:$F,4,FALSE),"")*C468</f>
        <v>6.49</v>
      </c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  <c r="AC468" s="67"/>
    </row>
    <row r="469">
      <c r="A469" s="18" t="s">
        <v>102</v>
      </c>
      <c r="B469" s="63" t="s">
        <v>442</v>
      </c>
      <c r="C469" s="63">
        <v>5.0</v>
      </c>
      <c r="D469" s="63" t="s">
        <v>539</v>
      </c>
      <c r="E469" s="64">
        <v>0.0</v>
      </c>
      <c r="F469" s="65">
        <f t="shared" si="1"/>
        <v>5</v>
      </c>
      <c r="G469" s="66">
        <f>IF(B469&lt;&gt;"",VLOOKUP(B469,Zutaten!$C:$F,4,FALSE),"")*C469</f>
        <v>0.162</v>
      </c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  <c r="AC469" s="67"/>
    </row>
    <row r="470">
      <c r="A470" s="18" t="s">
        <v>102</v>
      </c>
      <c r="B470" s="63" t="s">
        <v>398</v>
      </c>
      <c r="C470" s="63">
        <v>3.0</v>
      </c>
      <c r="D470" s="63" t="s">
        <v>539</v>
      </c>
      <c r="E470" s="64">
        <v>0.0</v>
      </c>
      <c r="F470" s="65">
        <f t="shared" si="1"/>
        <v>3</v>
      </c>
      <c r="G470" s="66">
        <f>IF(B470&lt;&gt;"",VLOOKUP(B470,Zutaten!$C:$F,4,FALSE),"")*C470</f>
        <v>0.03246</v>
      </c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  <c r="AC470" s="67"/>
    </row>
    <row r="471">
      <c r="A471" s="18" t="s">
        <v>102</v>
      </c>
      <c r="B471" s="63" t="s">
        <v>470</v>
      </c>
      <c r="C471" s="63">
        <v>250.0</v>
      </c>
      <c r="D471" s="63" t="s">
        <v>539</v>
      </c>
      <c r="E471" s="64">
        <v>0.0</v>
      </c>
      <c r="F471" s="65">
        <f t="shared" si="1"/>
        <v>250</v>
      </c>
      <c r="G471" s="66">
        <f>IF(B471&lt;&gt;"",VLOOKUP(B471,Zutaten!$C:$F,4,FALSE),"")*C471</f>
        <v>1.135</v>
      </c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  <c r="AC471" s="67"/>
    </row>
    <row r="472">
      <c r="A472" s="18" t="s">
        <v>102</v>
      </c>
      <c r="B472" s="63" t="s">
        <v>401</v>
      </c>
      <c r="C472" s="63">
        <v>2.0</v>
      </c>
      <c r="D472" s="63" t="s">
        <v>539</v>
      </c>
      <c r="E472" s="64">
        <v>0.0</v>
      </c>
      <c r="F472" s="65">
        <f t="shared" si="1"/>
        <v>2</v>
      </c>
      <c r="G472" s="66">
        <f>IF(B472&lt;&gt;"",VLOOKUP(B472,Zutaten!$C:$F,4,FALSE),"")*C472</f>
        <v>0.0225</v>
      </c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  <c r="AC472" s="67"/>
    </row>
    <row r="473">
      <c r="A473" s="18" t="s">
        <v>102</v>
      </c>
      <c r="B473" s="63" t="s">
        <v>467</v>
      </c>
      <c r="C473" s="63">
        <v>10.0</v>
      </c>
      <c r="D473" s="63" t="s">
        <v>539</v>
      </c>
      <c r="E473" s="64">
        <v>0.0</v>
      </c>
      <c r="F473" s="65">
        <f t="shared" si="1"/>
        <v>10</v>
      </c>
      <c r="G473" s="66">
        <f>IF(B473&lt;&gt;"",VLOOKUP(B473,Zutaten!$C:$F,4,FALSE),"")*C473</f>
        <v>0.00368</v>
      </c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  <c r="AC473" s="67"/>
    </row>
    <row r="474">
      <c r="A474" s="18" t="s">
        <v>103</v>
      </c>
      <c r="B474" s="18" t="s">
        <v>77</v>
      </c>
      <c r="C474" s="68">
        <v>200.0</v>
      </c>
      <c r="D474" s="63" t="s">
        <v>539</v>
      </c>
      <c r="E474" s="64">
        <v>0.0</v>
      </c>
      <c r="F474" s="65">
        <f t="shared" si="1"/>
        <v>200</v>
      </c>
      <c r="G474" s="66">
        <f>IF(B474&lt;&gt;"",VLOOKUP(B474,Zutaten!$C:$F,4,FALSE),"")*C474</f>
        <v>0.1035989011</v>
      </c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  <c r="AC474" s="67"/>
    </row>
    <row r="475">
      <c r="A475" s="83" t="s">
        <v>104</v>
      </c>
      <c r="B475" s="60" t="s">
        <v>109</v>
      </c>
      <c r="C475" s="68">
        <v>100.0</v>
      </c>
      <c r="D475" s="63" t="s">
        <v>539</v>
      </c>
      <c r="E475" s="64">
        <v>0.0</v>
      </c>
      <c r="F475" s="65">
        <f t="shared" si="1"/>
        <v>100</v>
      </c>
      <c r="G475" s="66">
        <f>IF(B475&lt;&gt;"",VLOOKUP(B475,Zutaten!$C:$F,4,FALSE),"")*C475</f>
        <v>0.1975</v>
      </c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  <c r="AC475" s="67"/>
    </row>
    <row r="476">
      <c r="A476" s="18" t="s">
        <v>105</v>
      </c>
      <c r="B476" s="60" t="s">
        <v>280</v>
      </c>
      <c r="C476" s="68">
        <v>100.0</v>
      </c>
      <c r="D476" s="63" t="s">
        <v>539</v>
      </c>
      <c r="E476" s="64">
        <v>0.0</v>
      </c>
      <c r="F476" s="65">
        <f t="shared" si="1"/>
        <v>100</v>
      </c>
      <c r="G476" s="66">
        <f>IF(B476&lt;&gt;"",VLOOKUP(B476,Zutaten!$C:$F,4,FALSE),"")*C476</f>
        <v>0.2109984733</v>
      </c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  <c r="AC476" s="67"/>
    </row>
    <row r="477">
      <c r="A477" s="18" t="s">
        <v>99</v>
      </c>
      <c r="B477" s="18" t="s">
        <v>543</v>
      </c>
      <c r="C477" s="68">
        <v>280.0</v>
      </c>
      <c r="D477" s="63" t="s">
        <v>539</v>
      </c>
      <c r="E477" s="64">
        <v>0.0</v>
      </c>
      <c r="F477" s="65">
        <f t="shared" si="1"/>
        <v>280</v>
      </c>
      <c r="G477" s="66">
        <f>IF(B477&lt;&gt;"",VLOOKUP(B477,Zutaten!$C:$F,4,FALSE),"")*C477</f>
        <v>3.113481148</v>
      </c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  <c r="AC477" s="67"/>
    </row>
    <row r="478">
      <c r="A478" s="18" t="s">
        <v>99</v>
      </c>
      <c r="B478" s="18" t="s">
        <v>380</v>
      </c>
      <c r="C478" s="68">
        <v>45.0</v>
      </c>
      <c r="D478" s="63" t="s">
        <v>539</v>
      </c>
      <c r="E478" s="64">
        <v>0.0</v>
      </c>
      <c r="F478" s="65">
        <f t="shared" si="1"/>
        <v>45</v>
      </c>
      <c r="G478" s="66">
        <f>IF(B478&lt;&gt;"",VLOOKUP(B478,Zutaten!$C:$F,4,FALSE),"")*C478</f>
        <v>0.1863529412</v>
      </c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  <c r="AC478" s="67"/>
    </row>
    <row r="479">
      <c r="A479" s="18" t="s">
        <v>99</v>
      </c>
      <c r="B479" s="18" t="s">
        <v>118</v>
      </c>
      <c r="C479" s="68">
        <v>130.0</v>
      </c>
      <c r="D479" s="63" t="s">
        <v>539</v>
      </c>
      <c r="E479" s="64">
        <v>0.0</v>
      </c>
      <c r="F479" s="65">
        <f t="shared" si="1"/>
        <v>130</v>
      </c>
      <c r="G479" s="66">
        <f>IF(B479&lt;&gt;"",VLOOKUP(B479,Zutaten!$C:$F,4,FALSE),"")*C479</f>
        <v>0.9558194056</v>
      </c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  <c r="AC479" s="67"/>
    </row>
    <row r="480">
      <c r="A480" s="18" t="s">
        <v>99</v>
      </c>
      <c r="B480" s="18" t="s">
        <v>448</v>
      </c>
      <c r="C480" s="68">
        <v>250.0</v>
      </c>
      <c r="D480" s="63" t="s">
        <v>539</v>
      </c>
      <c r="E480" s="64">
        <v>0.0</v>
      </c>
      <c r="F480" s="65">
        <f t="shared" si="1"/>
        <v>250</v>
      </c>
      <c r="G480" s="66">
        <f>IF(B480&lt;&gt;"",VLOOKUP(B480,Zutaten!$C:$F,4,FALSE),"")*C480</f>
        <v>0.7775</v>
      </c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  <c r="AC480" s="67"/>
    </row>
    <row r="481">
      <c r="A481" s="18" t="s">
        <v>107</v>
      </c>
      <c r="B481" s="20" t="s">
        <v>315</v>
      </c>
      <c r="C481" s="68">
        <v>15.0</v>
      </c>
      <c r="D481" s="63" t="s">
        <v>539</v>
      </c>
      <c r="E481" s="64">
        <v>0.0</v>
      </c>
      <c r="F481" s="65">
        <f t="shared" si="1"/>
        <v>15</v>
      </c>
      <c r="G481" s="66">
        <f>IF(B481&lt;&gt;"",VLOOKUP(B481,Zutaten!$C:$F,4,FALSE),"")*C481</f>
        <v>0.2004</v>
      </c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  <c r="AC481" s="67"/>
    </row>
    <row r="482">
      <c r="A482" s="18" t="s">
        <v>107</v>
      </c>
      <c r="B482" s="20" t="s">
        <v>511</v>
      </c>
      <c r="C482" s="68">
        <v>200.0</v>
      </c>
      <c r="D482" s="63" t="s">
        <v>539</v>
      </c>
      <c r="E482" s="64">
        <v>0.0</v>
      </c>
      <c r="F482" s="65">
        <f t="shared" si="1"/>
        <v>200</v>
      </c>
      <c r="G482" s="66">
        <f>IF(B482&lt;&gt;"",VLOOKUP(B482,Zutaten!$C:$F,4,FALSE),"")*C482</f>
        <v>0.238</v>
      </c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  <c r="AC482" s="67"/>
    </row>
    <row r="483">
      <c r="A483" s="18" t="s">
        <v>107</v>
      </c>
      <c r="B483" s="20" t="s">
        <v>201</v>
      </c>
      <c r="C483" s="68">
        <v>45.0</v>
      </c>
      <c r="D483" s="63" t="s">
        <v>539</v>
      </c>
      <c r="E483" s="64">
        <v>0.0</v>
      </c>
      <c r="F483" s="65">
        <f t="shared" si="1"/>
        <v>45</v>
      </c>
      <c r="G483" s="66">
        <f>IF(B483&lt;&gt;"",VLOOKUP(B483,Zutaten!$C:$F,4,FALSE),"")*C483</f>
        <v>0.2723428144</v>
      </c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  <c r="AC483" s="67"/>
    </row>
    <row r="484">
      <c r="A484" s="18" t="s">
        <v>108</v>
      </c>
      <c r="B484" s="20" t="s">
        <v>315</v>
      </c>
      <c r="C484" s="68">
        <v>20.0</v>
      </c>
      <c r="D484" s="63" t="s">
        <v>539</v>
      </c>
      <c r="E484" s="64">
        <v>0.0</v>
      </c>
      <c r="F484" s="65">
        <f t="shared" si="1"/>
        <v>20</v>
      </c>
      <c r="G484" s="66">
        <f>IF(B484&lt;&gt;"",VLOOKUP(B484,Zutaten!$C:$F,4,FALSE),"")*C484</f>
        <v>0.2672</v>
      </c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  <c r="AC484" s="67"/>
    </row>
    <row r="485">
      <c r="A485" s="18" t="s">
        <v>108</v>
      </c>
      <c r="B485" s="20" t="s">
        <v>511</v>
      </c>
      <c r="C485" s="68">
        <v>380.0</v>
      </c>
      <c r="D485" s="63" t="s">
        <v>539</v>
      </c>
      <c r="E485" s="64">
        <v>0.0</v>
      </c>
      <c r="F485" s="65">
        <f t="shared" si="1"/>
        <v>380</v>
      </c>
      <c r="G485" s="66">
        <f>IF(B485&lt;&gt;"",VLOOKUP(B485,Zutaten!$C:$F,4,FALSE),"")*C485</f>
        <v>0.4522</v>
      </c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  <c r="AC485" s="67"/>
    </row>
    <row r="486">
      <c r="A486" s="18" t="s">
        <v>108</v>
      </c>
      <c r="B486" s="20" t="s">
        <v>201</v>
      </c>
      <c r="C486" s="68">
        <v>45.0</v>
      </c>
      <c r="D486" s="63" t="s">
        <v>539</v>
      </c>
      <c r="E486" s="64">
        <v>0.0</v>
      </c>
      <c r="F486" s="65">
        <f t="shared" si="1"/>
        <v>45</v>
      </c>
      <c r="G486" s="66">
        <f>IF(B486&lt;&gt;"",VLOOKUP(B486,Zutaten!$C:$F,4,FALSE),"")*C486</f>
        <v>0.2723428144</v>
      </c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  <c r="AC486" s="67"/>
    </row>
    <row r="487">
      <c r="A487" s="18" t="s">
        <v>109</v>
      </c>
      <c r="B487" s="20" t="s">
        <v>374</v>
      </c>
      <c r="C487" s="63">
        <v>2500.0</v>
      </c>
      <c r="D487" s="63" t="s">
        <v>539</v>
      </c>
      <c r="E487" s="64">
        <v>0.0</v>
      </c>
      <c r="F487" s="65">
        <f t="shared" si="1"/>
        <v>2500</v>
      </c>
      <c r="G487" s="66">
        <f>IF(B487&lt;&gt;"",VLOOKUP(B487,Zutaten!$C:$F,4,FALSE),"")*C487</f>
        <v>5.74</v>
      </c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  <c r="AC487" s="67"/>
    </row>
    <row r="488">
      <c r="A488" s="18" t="s">
        <v>109</v>
      </c>
      <c r="B488" s="63" t="s">
        <v>528</v>
      </c>
      <c r="C488" s="63">
        <v>1500.0</v>
      </c>
      <c r="D488" s="63" t="s">
        <v>539</v>
      </c>
      <c r="E488" s="64">
        <v>0.0</v>
      </c>
      <c r="F488" s="65">
        <f t="shared" si="1"/>
        <v>1500</v>
      </c>
      <c r="G488" s="66">
        <f>IF(B488&lt;&gt;"",VLOOKUP(B488,Zutaten!$C:$F,4,FALSE),"")*C488</f>
        <v>2.16</v>
      </c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  <c r="AC488" s="67"/>
    </row>
    <row r="489">
      <c r="A489" s="18" t="s">
        <v>106</v>
      </c>
      <c r="B489" s="18" t="s">
        <v>97</v>
      </c>
      <c r="C489" s="68">
        <v>80.0</v>
      </c>
      <c r="D489" s="63" t="s">
        <v>539</v>
      </c>
      <c r="E489" s="64">
        <v>0.0</v>
      </c>
      <c r="F489" s="65">
        <f t="shared" si="1"/>
        <v>80</v>
      </c>
      <c r="G489" s="66">
        <f>IF(B489&lt;&gt;"",VLOOKUP(B489,Zutaten!$C:$F,4,FALSE),"")*C489</f>
        <v>0.4831170069</v>
      </c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  <c r="AC489" s="67"/>
    </row>
    <row r="490">
      <c r="A490" s="18" t="s">
        <v>106</v>
      </c>
      <c r="B490" s="18" t="s">
        <v>448</v>
      </c>
      <c r="C490" s="68">
        <v>200.0</v>
      </c>
      <c r="D490" s="63" t="s">
        <v>539</v>
      </c>
      <c r="E490" s="64">
        <v>0.0</v>
      </c>
      <c r="F490" s="65">
        <f t="shared" si="1"/>
        <v>200</v>
      </c>
      <c r="G490" s="66">
        <f>IF(B490&lt;&gt;"",VLOOKUP(B490,Zutaten!$C:$F,4,FALSE),"")*C490</f>
        <v>0.622</v>
      </c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  <c r="AC490" s="67"/>
    </row>
    <row r="491">
      <c r="A491" s="18" t="s">
        <v>106</v>
      </c>
      <c r="B491" s="18" t="s">
        <v>45</v>
      </c>
      <c r="C491" s="68">
        <v>130.0</v>
      </c>
      <c r="D491" s="63" t="s">
        <v>539</v>
      </c>
      <c r="E491" s="64">
        <v>0.0</v>
      </c>
      <c r="F491" s="65">
        <f t="shared" si="1"/>
        <v>130</v>
      </c>
      <c r="G491" s="66">
        <f>IF(B491&lt;&gt;"",VLOOKUP(B491,Zutaten!$C:$F,4,FALSE),"")*C491</f>
        <v>1.386036216</v>
      </c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  <c r="AC491" s="67"/>
    </row>
    <row r="492">
      <c r="A492" s="18" t="s">
        <v>106</v>
      </c>
      <c r="B492" s="18" t="s">
        <v>202</v>
      </c>
      <c r="C492" s="68">
        <v>40.0</v>
      </c>
      <c r="D492" s="63" t="s">
        <v>539</v>
      </c>
      <c r="E492" s="64">
        <v>0.0</v>
      </c>
      <c r="F492" s="65">
        <f t="shared" si="1"/>
        <v>40</v>
      </c>
      <c r="G492" s="66">
        <f>IF(B492&lt;&gt;"",VLOOKUP(B492,Zutaten!$C:$F,4,FALSE),"")*C492</f>
        <v>0.1177656166</v>
      </c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  <c r="AC492" s="67"/>
    </row>
    <row r="493">
      <c r="A493" s="63" t="s">
        <v>111</v>
      </c>
      <c r="B493" s="63" t="s">
        <v>377</v>
      </c>
      <c r="C493" s="63">
        <v>1000.0</v>
      </c>
      <c r="D493" s="63" t="s">
        <v>540</v>
      </c>
      <c r="E493" s="64">
        <v>0.0</v>
      </c>
      <c r="F493" s="65">
        <f t="shared" si="1"/>
        <v>1000</v>
      </c>
      <c r="G493" s="66">
        <f>IF(B493&lt;&gt;"",VLOOKUP(B493,Zutaten!$C:$F,4,FALSE),"")*C493</f>
        <v>10.22</v>
      </c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  <c r="AC493" s="67"/>
    </row>
    <row r="494">
      <c r="A494" s="63" t="s">
        <v>111</v>
      </c>
      <c r="B494" s="63" t="s">
        <v>302</v>
      </c>
      <c r="C494" s="63">
        <v>600.0</v>
      </c>
      <c r="D494" s="63" t="s">
        <v>539</v>
      </c>
      <c r="E494" s="64">
        <v>0.0</v>
      </c>
      <c r="F494" s="65">
        <f t="shared" si="1"/>
        <v>600</v>
      </c>
      <c r="G494" s="66">
        <f>IF(B494&lt;&gt;"",VLOOKUP(B494,Zutaten!$C:$F,4,FALSE),"")*C494</f>
        <v>6.684</v>
      </c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  <c r="AC494" s="67"/>
    </row>
    <row r="495">
      <c r="A495" s="63" t="s">
        <v>111</v>
      </c>
      <c r="B495" s="20" t="s">
        <v>442</v>
      </c>
      <c r="C495" s="63">
        <v>5.0</v>
      </c>
      <c r="D495" s="63" t="s">
        <v>539</v>
      </c>
      <c r="E495" s="64">
        <v>0.0</v>
      </c>
      <c r="F495" s="65">
        <f t="shared" si="1"/>
        <v>5</v>
      </c>
      <c r="G495" s="66">
        <f>IF(B495&lt;&gt;"",VLOOKUP(B495,Zutaten!$C:$F,4,FALSE),"")*C495</f>
        <v>0.162</v>
      </c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  <c r="AC495" s="67"/>
    </row>
    <row r="496">
      <c r="A496" s="63" t="s">
        <v>112</v>
      </c>
      <c r="B496" s="77" t="s">
        <v>555</v>
      </c>
      <c r="C496" s="63">
        <v>2500.0</v>
      </c>
      <c r="D496" s="63" t="s">
        <v>540</v>
      </c>
      <c r="E496" s="64">
        <v>0.0</v>
      </c>
      <c r="F496" s="65">
        <f t="shared" si="1"/>
        <v>2500</v>
      </c>
      <c r="G496" s="66">
        <f>IF(B496&lt;&gt;"",VLOOKUP(B496,Zutaten!$C:$F,4,FALSE),"")*C496</f>
        <v>25.55</v>
      </c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  <c r="AC496" s="67"/>
    </row>
    <row r="497">
      <c r="A497" s="63" t="s">
        <v>112</v>
      </c>
      <c r="B497" s="20" t="s">
        <v>320</v>
      </c>
      <c r="C497" s="63">
        <v>400.0</v>
      </c>
      <c r="D497" s="63" t="s">
        <v>539</v>
      </c>
      <c r="E497" s="64">
        <v>0.0</v>
      </c>
      <c r="F497" s="65">
        <f t="shared" si="1"/>
        <v>400</v>
      </c>
      <c r="G497" s="66">
        <f>IF(B497&lt;&gt;"",VLOOKUP(B497,Zutaten!$C:$F,4,FALSE),"")*C497</f>
        <v>11.88</v>
      </c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  <c r="AC497" s="67"/>
    </row>
    <row r="498">
      <c r="A498" s="63" t="s">
        <v>112</v>
      </c>
      <c r="B498" s="61" t="s">
        <v>556</v>
      </c>
      <c r="C498" s="63">
        <v>250.0</v>
      </c>
      <c r="D498" s="63" t="s">
        <v>540</v>
      </c>
      <c r="E498" s="64">
        <v>0.0</v>
      </c>
      <c r="F498" s="65">
        <f t="shared" si="1"/>
        <v>250</v>
      </c>
      <c r="G498" s="66">
        <f>IF(B498&lt;&gt;"",VLOOKUP(B498,Zutaten!$C:$F,4,FALSE),"")*C498</f>
        <v>0.3925</v>
      </c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  <c r="AC498" s="67"/>
    </row>
    <row r="499">
      <c r="A499" s="63" t="s">
        <v>113</v>
      </c>
      <c r="B499" s="63" t="s">
        <v>377</v>
      </c>
      <c r="C499" s="63">
        <v>1000.0</v>
      </c>
      <c r="D499" s="63" t="s">
        <v>539</v>
      </c>
      <c r="E499" s="64">
        <v>0.0</v>
      </c>
      <c r="F499" s="65">
        <f t="shared" si="1"/>
        <v>1000</v>
      </c>
      <c r="G499" s="66">
        <f>IF(B499&lt;&gt;"",VLOOKUP(B499,Zutaten!$C:$F,4,FALSE),"")*C499</f>
        <v>10.22</v>
      </c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  <c r="AC499" s="67"/>
    </row>
    <row r="500">
      <c r="A500" s="63" t="s">
        <v>113</v>
      </c>
      <c r="B500" s="63" t="s">
        <v>482</v>
      </c>
      <c r="C500" s="63">
        <v>250.0</v>
      </c>
      <c r="D500" s="63" t="s">
        <v>539</v>
      </c>
      <c r="E500" s="64">
        <v>0.0</v>
      </c>
      <c r="F500" s="65">
        <f t="shared" si="1"/>
        <v>250</v>
      </c>
      <c r="G500" s="66">
        <f>IF(B500&lt;&gt;"",VLOOKUP(B500,Zutaten!$C:$F,4,FALSE),"")*C500</f>
        <v>0.805</v>
      </c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  <c r="AC500" s="67"/>
    </row>
    <row r="501">
      <c r="A501" s="61" t="s">
        <v>114</v>
      </c>
      <c r="B501" s="61" t="s">
        <v>133</v>
      </c>
      <c r="C501" s="62">
        <v>4000.0</v>
      </c>
      <c r="D501" s="63" t="s">
        <v>539</v>
      </c>
      <c r="E501" s="64">
        <v>0.0</v>
      </c>
      <c r="F501" s="65">
        <f t="shared" si="1"/>
        <v>4000</v>
      </c>
      <c r="G501" s="66">
        <f>IF(B501&lt;&gt;"",VLOOKUP(B501,Zutaten!$C:$F,4,FALSE),"")*C501</f>
        <v>11.35550823</v>
      </c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  <c r="AC501" s="67"/>
    </row>
    <row r="502">
      <c r="A502" s="61" t="s">
        <v>114</v>
      </c>
      <c r="B502" s="61" t="s">
        <v>482</v>
      </c>
      <c r="C502" s="62">
        <v>2000.0</v>
      </c>
      <c r="D502" s="63" t="s">
        <v>539</v>
      </c>
      <c r="E502" s="64">
        <v>0.0</v>
      </c>
      <c r="F502" s="65">
        <f t="shared" si="1"/>
        <v>2000</v>
      </c>
      <c r="G502" s="66">
        <f>IF(B502&lt;&gt;"",VLOOKUP(B502,Zutaten!$C:$F,4,FALSE),"")*C502</f>
        <v>6.44</v>
      </c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  <c r="AC502" s="67"/>
    </row>
    <row r="503">
      <c r="A503" s="61" t="s">
        <v>114</v>
      </c>
      <c r="B503" s="61" t="s">
        <v>505</v>
      </c>
      <c r="C503" s="62">
        <v>1500.0</v>
      </c>
      <c r="D503" s="63" t="s">
        <v>539</v>
      </c>
      <c r="E503" s="64">
        <v>0.0</v>
      </c>
      <c r="F503" s="65">
        <f t="shared" si="1"/>
        <v>1500</v>
      </c>
      <c r="G503" s="66">
        <f>IF(B503&lt;&gt;"",VLOOKUP(B503,Zutaten!$C:$F,4,FALSE),"")*C503</f>
        <v>4.275</v>
      </c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  <c r="AC503" s="67"/>
    </row>
    <row r="504">
      <c r="A504" s="61" t="s">
        <v>114</v>
      </c>
      <c r="B504" s="61" t="s">
        <v>467</v>
      </c>
      <c r="C504" s="62">
        <v>50.0</v>
      </c>
      <c r="D504" s="63" t="s">
        <v>539</v>
      </c>
      <c r="E504" s="64">
        <v>0.0</v>
      </c>
      <c r="F504" s="65">
        <f t="shared" si="1"/>
        <v>50</v>
      </c>
      <c r="G504" s="66">
        <f>IF(B504&lt;&gt;"",VLOOKUP(B504,Zutaten!$C:$F,4,FALSE),"")*C504</f>
        <v>0.0184</v>
      </c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  <c r="AC504" s="67"/>
    </row>
    <row r="505">
      <c r="A505" s="61" t="s">
        <v>114</v>
      </c>
      <c r="B505" s="61" t="s">
        <v>442</v>
      </c>
      <c r="C505" s="62">
        <v>20.0</v>
      </c>
      <c r="D505" s="63" t="s">
        <v>539</v>
      </c>
      <c r="E505" s="64">
        <v>0.0</v>
      </c>
      <c r="F505" s="65">
        <f t="shared" si="1"/>
        <v>20</v>
      </c>
      <c r="G505" s="66">
        <f>IF(B505&lt;&gt;"",VLOOKUP(B505,Zutaten!$C:$F,4,FALSE),"")*C505</f>
        <v>0.648</v>
      </c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  <c r="AC505" s="67"/>
    </row>
    <row r="506">
      <c r="A506" s="61" t="s">
        <v>114</v>
      </c>
      <c r="B506" s="61" t="s">
        <v>528</v>
      </c>
      <c r="C506" s="62">
        <v>1000.0</v>
      </c>
      <c r="D506" s="63" t="s">
        <v>539</v>
      </c>
      <c r="E506" s="64">
        <v>0.0</v>
      </c>
      <c r="F506" s="65">
        <f t="shared" si="1"/>
        <v>1000</v>
      </c>
      <c r="G506" s="66">
        <f>IF(B506&lt;&gt;"",VLOOKUP(B506,Zutaten!$C:$F,4,FALSE),"")*C506</f>
        <v>1.44</v>
      </c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  <c r="AC506" s="67"/>
    </row>
    <row r="507">
      <c r="A507" s="61" t="s">
        <v>114</v>
      </c>
      <c r="B507" s="61" t="s">
        <v>359</v>
      </c>
      <c r="C507" s="62">
        <v>3000.0</v>
      </c>
      <c r="D507" s="63" t="s">
        <v>539</v>
      </c>
      <c r="E507" s="64">
        <v>0.0</v>
      </c>
      <c r="F507" s="65">
        <f t="shared" si="1"/>
        <v>3000</v>
      </c>
      <c r="G507" s="66">
        <f>IF(B507&lt;&gt;"",VLOOKUP(B507,Zutaten!$C:$F,4,FALSE),"")*C507</f>
        <v>6.241071429</v>
      </c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  <c r="AC507" s="67"/>
    </row>
    <row r="508">
      <c r="A508" s="61" t="s">
        <v>114</v>
      </c>
      <c r="B508" s="61" t="s">
        <v>492</v>
      </c>
      <c r="C508" s="62">
        <v>500.0</v>
      </c>
      <c r="D508" s="63" t="s">
        <v>540</v>
      </c>
      <c r="E508" s="64">
        <v>0.0</v>
      </c>
      <c r="F508" s="65">
        <f t="shared" si="1"/>
        <v>500</v>
      </c>
      <c r="G508" s="66">
        <f>IF(B508&lt;&gt;"",VLOOKUP(B508,Zutaten!$C:$F,4,FALSE),"")*C508</f>
        <v>5.5</v>
      </c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  <c r="AC508" s="67"/>
    </row>
    <row r="509">
      <c r="A509" s="61" t="s">
        <v>114</v>
      </c>
      <c r="B509" s="61" t="s">
        <v>455</v>
      </c>
      <c r="C509" s="62">
        <v>2000.0</v>
      </c>
      <c r="D509" s="63" t="s">
        <v>540</v>
      </c>
      <c r="E509" s="64">
        <v>0.0</v>
      </c>
      <c r="F509" s="65">
        <f t="shared" si="1"/>
        <v>2000</v>
      </c>
      <c r="G509" s="66">
        <f>IF(B509&lt;&gt;"",VLOOKUP(B509,Zutaten!$C:$F,4,FALSE),"")*C509</f>
        <v>3.98</v>
      </c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  <c r="AC509" s="67"/>
    </row>
    <row r="510">
      <c r="A510" s="61" t="s">
        <v>114</v>
      </c>
      <c r="B510" s="61" t="s">
        <v>486</v>
      </c>
      <c r="C510" s="62">
        <v>500.0</v>
      </c>
      <c r="D510" s="63" t="s">
        <v>540</v>
      </c>
      <c r="E510" s="64">
        <v>0.0</v>
      </c>
      <c r="F510" s="65">
        <f t="shared" si="1"/>
        <v>500</v>
      </c>
      <c r="G510" s="66">
        <f>IF(B510&lt;&gt;"",VLOOKUP(B510,Zutaten!$C:$F,4,FALSE),"")*C510</f>
        <v>5.59</v>
      </c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  <c r="AC510" s="67"/>
    </row>
    <row r="511">
      <c r="A511" s="60" t="s">
        <v>115</v>
      </c>
      <c r="B511" s="20" t="s">
        <v>319</v>
      </c>
      <c r="C511" s="62">
        <v>2000.0</v>
      </c>
      <c r="D511" s="63" t="s">
        <v>539</v>
      </c>
      <c r="E511" s="64">
        <v>0.0</v>
      </c>
      <c r="F511" s="65">
        <f t="shared" si="1"/>
        <v>2000</v>
      </c>
      <c r="G511" s="66">
        <f>IF(B511&lt;&gt;"",VLOOKUP(B511,Zutaten!$C:$F,4,FALSE),"")*C511</f>
        <v>23.794</v>
      </c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  <c r="AC511" s="67"/>
    </row>
    <row r="512">
      <c r="A512" s="60" t="s">
        <v>115</v>
      </c>
      <c r="B512" s="61" t="s">
        <v>461</v>
      </c>
      <c r="C512" s="62">
        <v>2.0</v>
      </c>
      <c r="D512" s="63" t="s">
        <v>539</v>
      </c>
      <c r="E512" s="64">
        <v>0.0</v>
      </c>
      <c r="F512" s="65">
        <f t="shared" si="1"/>
        <v>2</v>
      </c>
      <c r="G512" s="66">
        <f>IF(B512&lt;&gt;"",VLOOKUP(B512,Zutaten!$C:$F,4,FALSE),"")*C512</f>
        <v>0.4194285714</v>
      </c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  <c r="AC512" s="67"/>
    </row>
    <row r="513">
      <c r="A513" s="60" t="s">
        <v>115</v>
      </c>
      <c r="B513" s="61" t="s">
        <v>500</v>
      </c>
      <c r="C513" s="62">
        <v>2.0</v>
      </c>
      <c r="D513" s="63" t="s">
        <v>539</v>
      </c>
      <c r="E513" s="64">
        <v>0.0</v>
      </c>
      <c r="F513" s="65">
        <f t="shared" si="1"/>
        <v>2</v>
      </c>
      <c r="G513" s="66">
        <f>IF(B513&lt;&gt;"",VLOOKUP(B513,Zutaten!$C:$F,4,FALSE),"")*C513</f>
        <v>0.5738666667</v>
      </c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  <c r="AC513" s="67"/>
    </row>
    <row r="514">
      <c r="A514" s="60" t="s">
        <v>115</v>
      </c>
      <c r="B514" s="61" t="s">
        <v>528</v>
      </c>
      <c r="C514" s="62">
        <v>100.0</v>
      </c>
      <c r="D514" s="63" t="s">
        <v>539</v>
      </c>
      <c r="E514" s="64">
        <v>0.0</v>
      </c>
      <c r="F514" s="65">
        <f t="shared" si="1"/>
        <v>100</v>
      </c>
      <c r="G514" s="66">
        <f>IF(B514&lt;&gt;"",VLOOKUP(B514,Zutaten!$C:$F,4,FALSE),"")*C514</f>
        <v>0.144</v>
      </c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  <c r="AC514" s="67"/>
    </row>
    <row r="515">
      <c r="A515" s="60" t="s">
        <v>115</v>
      </c>
      <c r="B515" s="61" t="s">
        <v>467</v>
      </c>
      <c r="C515" s="62">
        <v>20.0</v>
      </c>
      <c r="D515" s="63" t="s">
        <v>539</v>
      </c>
      <c r="E515" s="64">
        <v>0.0</v>
      </c>
      <c r="F515" s="65">
        <f t="shared" si="1"/>
        <v>20</v>
      </c>
      <c r="G515" s="66">
        <f>IF(B515&lt;&gt;"",VLOOKUP(B515,Zutaten!$C:$F,4,FALSE),"")*C515</f>
        <v>0.00736</v>
      </c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  <c r="AC515" s="67"/>
    </row>
    <row r="516">
      <c r="A516" s="60" t="s">
        <v>115</v>
      </c>
      <c r="B516" s="61" t="s">
        <v>428</v>
      </c>
      <c r="C516" s="62">
        <v>100.0</v>
      </c>
      <c r="D516" s="63" t="s">
        <v>540</v>
      </c>
      <c r="E516" s="64">
        <v>0.0</v>
      </c>
      <c r="F516" s="65">
        <f t="shared" si="1"/>
        <v>100</v>
      </c>
      <c r="G516" s="66">
        <f>IF(B516&lt;&gt;"",VLOOKUP(B516,Zutaten!$C:$F,4,FALSE),"")*C516</f>
        <v>0.864</v>
      </c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  <c r="AC516" s="67"/>
    </row>
    <row r="517">
      <c r="A517" s="60" t="s">
        <v>116</v>
      </c>
      <c r="B517" s="61" t="s">
        <v>350</v>
      </c>
      <c r="C517" s="62">
        <v>1000.0</v>
      </c>
      <c r="D517" s="63" t="s">
        <v>539</v>
      </c>
      <c r="E517" s="64">
        <v>0.0</v>
      </c>
      <c r="F517" s="65">
        <f t="shared" si="1"/>
        <v>1000</v>
      </c>
      <c r="G517" s="66">
        <f>IF(B517&lt;&gt;"",VLOOKUP(B517,Zutaten!$C:$F,4,FALSE),"")*C517</f>
        <v>8.53</v>
      </c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  <c r="AC517" s="67"/>
    </row>
    <row r="518">
      <c r="A518" s="60" t="s">
        <v>116</v>
      </c>
      <c r="B518" s="61" t="s">
        <v>514</v>
      </c>
      <c r="C518" s="62">
        <v>500.0</v>
      </c>
      <c r="D518" s="63" t="s">
        <v>540</v>
      </c>
      <c r="E518" s="64">
        <v>0.0</v>
      </c>
      <c r="F518" s="65">
        <f t="shared" si="1"/>
        <v>500</v>
      </c>
      <c r="G518" s="66">
        <f>IF(B518&lt;&gt;"",VLOOKUP(B518,Zutaten!$C:$F,4,FALSE),"")*C518</f>
        <v>0.005</v>
      </c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  <c r="AC518" s="67"/>
    </row>
    <row r="519">
      <c r="A519" s="60" t="s">
        <v>116</v>
      </c>
      <c r="B519" s="61" t="s">
        <v>528</v>
      </c>
      <c r="C519" s="62">
        <v>1000.0</v>
      </c>
      <c r="D519" s="63" t="s">
        <v>539</v>
      </c>
      <c r="E519" s="64">
        <v>0.0</v>
      </c>
      <c r="F519" s="65">
        <f t="shared" si="1"/>
        <v>1000</v>
      </c>
      <c r="G519" s="66">
        <f>IF(B519&lt;&gt;"",VLOOKUP(B519,Zutaten!$C:$F,4,FALSE),"")*C519</f>
        <v>1.44</v>
      </c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  <c r="AC519" s="67"/>
    </row>
    <row r="520">
      <c r="A520" s="60" t="s">
        <v>117</v>
      </c>
      <c r="B520" s="61" t="s">
        <v>513</v>
      </c>
      <c r="C520" s="62">
        <v>1000.0</v>
      </c>
      <c r="D520" s="63" t="s">
        <v>539</v>
      </c>
      <c r="E520" s="64">
        <v>0.0</v>
      </c>
      <c r="F520" s="65">
        <f t="shared" si="1"/>
        <v>1000</v>
      </c>
      <c r="G520" s="66">
        <f>IF(B520&lt;&gt;"",VLOOKUP(B520,Zutaten!$C:$F,4,FALSE),"")*C520</f>
        <v>11.28</v>
      </c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  <c r="AC520" s="67"/>
    </row>
    <row r="521">
      <c r="A521" s="60" t="s">
        <v>117</v>
      </c>
      <c r="B521" s="61" t="s">
        <v>514</v>
      </c>
      <c r="C521" s="62">
        <v>500.0</v>
      </c>
      <c r="D521" s="63" t="s">
        <v>540</v>
      </c>
      <c r="E521" s="64">
        <v>0.0</v>
      </c>
      <c r="F521" s="65">
        <f t="shared" si="1"/>
        <v>500</v>
      </c>
      <c r="G521" s="66">
        <f>IF(B521&lt;&gt;"",VLOOKUP(B521,Zutaten!$C:$F,4,FALSE),"")*C521</f>
        <v>0.005</v>
      </c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  <c r="AC521" s="67"/>
    </row>
    <row r="522">
      <c r="A522" s="60" t="s">
        <v>117</v>
      </c>
      <c r="B522" s="61" t="s">
        <v>528</v>
      </c>
      <c r="C522" s="62">
        <v>1000.0</v>
      </c>
      <c r="D522" s="63" t="s">
        <v>539</v>
      </c>
      <c r="E522" s="64">
        <v>0.0</v>
      </c>
      <c r="F522" s="65">
        <f t="shared" si="1"/>
        <v>1000</v>
      </c>
      <c r="G522" s="66">
        <f>IF(B522&lt;&gt;"",VLOOKUP(B522,Zutaten!$C:$F,4,FALSE),"")*C522</f>
        <v>1.44</v>
      </c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  <c r="AC522" s="67"/>
    </row>
    <row r="523">
      <c r="A523" s="60" t="s">
        <v>118</v>
      </c>
      <c r="B523" s="61" t="s">
        <v>318</v>
      </c>
      <c r="C523" s="62">
        <v>2000.0</v>
      </c>
      <c r="D523" s="63" t="s">
        <v>539</v>
      </c>
      <c r="E523" s="64">
        <v>0.0</v>
      </c>
      <c r="F523" s="65">
        <f t="shared" si="1"/>
        <v>2000</v>
      </c>
      <c r="G523" s="66">
        <f>IF(B523&lt;&gt;"",VLOOKUP(B523,Zutaten!$C:$F,4,FALSE),"")*C523</f>
        <v>22.78</v>
      </c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  <c r="AC523" s="67"/>
    </row>
    <row r="524">
      <c r="A524" s="60" t="s">
        <v>118</v>
      </c>
      <c r="B524" s="61" t="s">
        <v>466</v>
      </c>
      <c r="C524" s="62">
        <v>3000.0</v>
      </c>
      <c r="D524" s="63" t="s">
        <v>540</v>
      </c>
      <c r="E524" s="64">
        <v>0.0</v>
      </c>
      <c r="F524" s="65">
        <f t="shared" si="1"/>
        <v>3000</v>
      </c>
      <c r="G524" s="66">
        <f>IF(B524&lt;&gt;"",VLOOKUP(B524,Zutaten!$C:$F,4,FALSE),"")*C524</f>
        <v>13.29</v>
      </c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  <c r="AC524" s="67"/>
    </row>
    <row r="525">
      <c r="A525" s="60" t="s">
        <v>118</v>
      </c>
      <c r="B525" s="61" t="s">
        <v>314</v>
      </c>
      <c r="C525" s="62">
        <v>250.0</v>
      </c>
      <c r="D525" s="63" t="s">
        <v>539</v>
      </c>
      <c r="E525" s="64">
        <v>0.0</v>
      </c>
      <c r="F525" s="65">
        <f t="shared" si="1"/>
        <v>250</v>
      </c>
      <c r="G525" s="66">
        <f>IF(B525&lt;&gt;"",VLOOKUP(B525,Zutaten!$C:$F,4,FALSE),"")*C525</f>
        <v>1.8</v>
      </c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  <c r="AC525" s="67"/>
    </row>
    <row r="526">
      <c r="A526" s="60" t="s">
        <v>118</v>
      </c>
      <c r="B526" s="61" t="s">
        <v>518</v>
      </c>
      <c r="C526" s="62">
        <v>150.0</v>
      </c>
      <c r="D526" s="63" t="s">
        <v>539</v>
      </c>
      <c r="E526" s="64">
        <v>0.0</v>
      </c>
      <c r="F526" s="65">
        <f t="shared" si="1"/>
        <v>150</v>
      </c>
      <c r="G526" s="66">
        <f>IF(B526&lt;&gt;"",VLOOKUP(B526,Zutaten!$C:$F,4,FALSE),"")*C526</f>
        <v>0.11205</v>
      </c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  <c r="AC526" s="67"/>
    </row>
    <row r="527">
      <c r="A527" s="60" t="s">
        <v>118</v>
      </c>
      <c r="B527" s="61" t="s">
        <v>467</v>
      </c>
      <c r="C527" s="62">
        <v>20.0</v>
      </c>
      <c r="D527" s="63" t="s">
        <v>539</v>
      </c>
      <c r="E527" s="64">
        <v>0.0</v>
      </c>
      <c r="F527" s="65">
        <f t="shared" si="1"/>
        <v>20</v>
      </c>
      <c r="G527" s="66">
        <f>IF(B527&lt;&gt;"",VLOOKUP(B527,Zutaten!$C:$F,4,FALSE),"")*C527</f>
        <v>0.00736</v>
      </c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  <c r="AC527" s="67"/>
    </row>
    <row r="528">
      <c r="A528" s="60" t="s">
        <v>118</v>
      </c>
      <c r="B528" s="61" t="s">
        <v>434</v>
      </c>
      <c r="C528" s="62">
        <v>70.0</v>
      </c>
      <c r="D528" s="63" t="s">
        <v>539</v>
      </c>
      <c r="E528" s="64">
        <v>0.0</v>
      </c>
      <c r="F528" s="65">
        <f t="shared" si="1"/>
        <v>70</v>
      </c>
      <c r="G528" s="66">
        <f>IF(B528&lt;&gt;"",VLOOKUP(B528,Zutaten!$C:$F,4,FALSE),"")*C528</f>
        <v>2.01962963</v>
      </c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  <c r="AC528" s="67"/>
    </row>
    <row r="529">
      <c r="A529" s="60" t="s">
        <v>118</v>
      </c>
      <c r="B529" s="61" t="s">
        <v>321</v>
      </c>
      <c r="C529" s="62">
        <v>10.0</v>
      </c>
      <c r="D529" s="63" t="s">
        <v>539</v>
      </c>
      <c r="E529" s="64">
        <v>0.0</v>
      </c>
      <c r="F529" s="65">
        <f t="shared" si="1"/>
        <v>10</v>
      </c>
      <c r="G529" s="66">
        <f>IF(B529&lt;&gt;"",VLOOKUP(B529,Zutaten!$C:$F,4,FALSE),"")*C529</f>
        <v>0.4294736842</v>
      </c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  <c r="AC529" s="67"/>
    </row>
    <row r="530">
      <c r="A530" s="83" t="s">
        <v>119</v>
      </c>
      <c r="B530" s="84" t="s">
        <v>363</v>
      </c>
      <c r="C530" s="63">
        <v>200.0</v>
      </c>
      <c r="D530" s="63" t="s">
        <v>539</v>
      </c>
      <c r="E530" s="64">
        <v>0.0</v>
      </c>
      <c r="F530" s="65">
        <f t="shared" si="1"/>
        <v>200</v>
      </c>
      <c r="G530" s="66">
        <f>IF(B530&lt;&gt;"",VLOOKUP(B530,Zutaten!$C:$F,4,FALSE),"")*C530</f>
        <v>4.723364486</v>
      </c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  <c r="AC530" s="67"/>
    </row>
    <row r="531">
      <c r="A531" s="83" t="s">
        <v>119</v>
      </c>
      <c r="B531" s="84" t="s">
        <v>343</v>
      </c>
      <c r="C531" s="63">
        <v>200.0</v>
      </c>
      <c r="D531" s="63" t="s">
        <v>539</v>
      </c>
      <c r="E531" s="64">
        <v>0.0</v>
      </c>
      <c r="F531" s="65">
        <f t="shared" si="1"/>
        <v>200</v>
      </c>
      <c r="G531" s="66">
        <f>IF(B531&lt;&gt;"",VLOOKUP(B531,Zutaten!$C:$F,4,FALSE),"")*C531</f>
        <v>2.312</v>
      </c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  <c r="AC531" s="67"/>
    </row>
    <row r="532">
      <c r="A532" s="83" t="s">
        <v>119</v>
      </c>
      <c r="B532" s="84" t="s">
        <v>294</v>
      </c>
      <c r="C532" s="63">
        <v>200.0</v>
      </c>
      <c r="D532" s="63" t="s">
        <v>539</v>
      </c>
      <c r="E532" s="64">
        <v>0.0</v>
      </c>
      <c r="F532" s="65">
        <f t="shared" si="1"/>
        <v>200</v>
      </c>
      <c r="G532" s="66">
        <f>IF(B532&lt;&gt;"",VLOOKUP(B532,Zutaten!$C:$F,4,FALSE),"")*C532</f>
        <v>4.138</v>
      </c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  <c r="AC532" s="67"/>
    </row>
    <row r="533">
      <c r="A533" s="83" t="s">
        <v>119</v>
      </c>
      <c r="B533" s="84" t="s">
        <v>517</v>
      </c>
      <c r="C533" s="63">
        <v>400.0</v>
      </c>
      <c r="D533" s="63" t="s">
        <v>540</v>
      </c>
      <c r="E533" s="64">
        <v>0.0</v>
      </c>
      <c r="F533" s="65">
        <f t="shared" si="1"/>
        <v>400</v>
      </c>
      <c r="G533" s="66">
        <f>IF(B533&lt;&gt;"",VLOOKUP(B533,Zutaten!$C:$F,4,FALSE),"")*C533</f>
        <v>3.428571429</v>
      </c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  <c r="AC533" s="67"/>
    </row>
    <row r="534">
      <c r="A534" s="83" t="s">
        <v>119</v>
      </c>
      <c r="B534" s="20" t="s">
        <v>386</v>
      </c>
      <c r="C534" s="63">
        <v>5.0</v>
      </c>
      <c r="D534" s="63" t="s">
        <v>539</v>
      </c>
      <c r="E534" s="64">
        <v>0.0</v>
      </c>
      <c r="F534" s="65">
        <f t="shared" si="1"/>
        <v>5</v>
      </c>
      <c r="G534" s="66">
        <f>IF(B534&lt;&gt;"",VLOOKUP(B534,Zutaten!$C:$F,4,FALSE),"")*C534</f>
        <v>0.0104</v>
      </c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  <c r="AC534" s="67"/>
    </row>
    <row r="535">
      <c r="A535" s="83" t="s">
        <v>119</v>
      </c>
      <c r="B535" s="84" t="s">
        <v>557</v>
      </c>
      <c r="C535" s="63">
        <v>40.0</v>
      </c>
      <c r="D535" s="63" t="s">
        <v>540</v>
      </c>
      <c r="E535" s="64">
        <v>0.0</v>
      </c>
      <c r="F535" s="65">
        <f t="shared" si="1"/>
        <v>40</v>
      </c>
      <c r="G535" s="66">
        <f>IF(B535&lt;&gt;"",VLOOKUP(B535,Zutaten!$C:$F,4,FALSE),"")*C535</f>
        <v>0.64</v>
      </c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  <c r="AC535" s="67"/>
    </row>
    <row r="536">
      <c r="A536" s="83" t="s">
        <v>119</v>
      </c>
      <c r="B536" s="84" t="s">
        <v>527</v>
      </c>
      <c r="C536" s="63">
        <v>5.0</v>
      </c>
      <c r="D536" s="63" t="s">
        <v>540</v>
      </c>
      <c r="E536" s="64">
        <v>0.0</v>
      </c>
      <c r="F536" s="65">
        <f t="shared" si="1"/>
        <v>5</v>
      </c>
      <c r="G536" s="66">
        <f>IF(B536&lt;&gt;"",VLOOKUP(B536,Zutaten!$C:$F,4,FALSE),"")*C536</f>
        <v>0.012</v>
      </c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  <c r="AC536" s="67"/>
    </row>
    <row r="537">
      <c r="A537" s="83" t="s">
        <v>119</v>
      </c>
      <c r="B537" s="20" t="s">
        <v>442</v>
      </c>
      <c r="C537" s="63">
        <v>2.0</v>
      </c>
      <c r="D537" s="63" t="s">
        <v>539</v>
      </c>
      <c r="E537" s="64">
        <v>0.0</v>
      </c>
      <c r="F537" s="65">
        <f t="shared" si="1"/>
        <v>2</v>
      </c>
      <c r="G537" s="66">
        <f>IF(B537&lt;&gt;"",VLOOKUP(B537,Zutaten!$C:$F,4,FALSE),"")*C537</f>
        <v>0.0648</v>
      </c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  <c r="AC537" s="67"/>
    </row>
    <row r="538">
      <c r="A538" s="83" t="s">
        <v>119</v>
      </c>
      <c r="B538" s="84" t="s">
        <v>424</v>
      </c>
      <c r="C538" s="63">
        <v>1.0</v>
      </c>
      <c r="D538" s="63" t="s">
        <v>539</v>
      </c>
      <c r="E538" s="64">
        <v>0.0</v>
      </c>
      <c r="F538" s="65">
        <f t="shared" si="1"/>
        <v>1</v>
      </c>
      <c r="G538" s="66">
        <f>IF(B538&lt;&gt;"",VLOOKUP(B538,Zutaten!$C:$F,4,FALSE),"")*C538</f>
        <v>0.067</v>
      </c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  <c r="AC538" s="67"/>
    </row>
    <row r="539">
      <c r="A539" s="83" t="s">
        <v>110</v>
      </c>
      <c r="B539" s="18" t="s">
        <v>458</v>
      </c>
      <c r="C539" s="68">
        <v>170.0</v>
      </c>
      <c r="D539" s="63" t="s">
        <v>539</v>
      </c>
      <c r="E539" s="64">
        <v>0.0</v>
      </c>
      <c r="F539" s="65">
        <f t="shared" si="1"/>
        <v>170</v>
      </c>
      <c r="G539" s="66">
        <f>IF(B539&lt;&gt;"",VLOOKUP(B539,Zutaten!$C:$F,4,FALSE),"")*C539</f>
        <v>1.4433</v>
      </c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  <c r="AC539" s="67"/>
    </row>
    <row r="540">
      <c r="A540" s="83" t="s">
        <v>110</v>
      </c>
      <c r="B540" s="69" t="s">
        <v>313</v>
      </c>
      <c r="C540" s="68">
        <v>80.0</v>
      </c>
      <c r="D540" s="63" t="s">
        <v>539</v>
      </c>
      <c r="E540" s="64">
        <v>0.0</v>
      </c>
      <c r="F540" s="65">
        <f t="shared" si="1"/>
        <v>80</v>
      </c>
      <c r="G540" s="66">
        <f>IF(B540&lt;&gt;"",VLOOKUP(B540,Zutaten!$C:$F,4,FALSE),"")*C540</f>
        <v>0.5</v>
      </c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  <c r="AC540" s="67"/>
    </row>
    <row r="541">
      <c r="A541" s="83" t="s">
        <v>110</v>
      </c>
      <c r="B541" s="85" t="s">
        <v>541</v>
      </c>
      <c r="C541" s="72">
        <v>12.0</v>
      </c>
      <c r="D541" s="63" t="s">
        <v>539</v>
      </c>
      <c r="E541" s="64">
        <v>0.0</v>
      </c>
      <c r="F541" s="65">
        <f t="shared" si="1"/>
        <v>12</v>
      </c>
      <c r="G541" s="66">
        <f>IF(B541&lt;&gt;"",VLOOKUP(B541,Zutaten!$C:$F,4,FALSE),"")*C541</f>
        <v>0.24432</v>
      </c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  <c r="AC541" s="67"/>
    </row>
    <row r="542">
      <c r="A542" s="83" t="s">
        <v>110</v>
      </c>
      <c r="B542" s="83" t="s">
        <v>125</v>
      </c>
      <c r="C542" s="68">
        <v>20.0</v>
      </c>
      <c r="D542" s="63" t="s">
        <v>539</v>
      </c>
      <c r="E542" s="64">
        <v>0.0</v>
      </c>
      <c r="F542" s="65">
        <f t="shared" si="1"/>
        <v>20</v>
      </c>
      <c r="G542" s="66">
        <f>IF(B542&lt;&gt;"",VLOOKUP(B542,Zutaten!$C:$F,4,FALSE),"")*C542</f>
        <v>0.2045866667</v>
      </c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  <c r="AC542" s="67"/>
    </row>
    <row r="543">
      <c r="A543" s="83" t="s">
        <v>110</v>
      </c>
      <c r="B543" s="83" t="s">
        <v>119</v>
      </c>
      <c r="C543" s="68">
        <v>50.0</v>
      </c>
      <c r="D543" s="63" t="s">
        <v>539</v>
      </c>
      <c r="E543" s="64">
        <v>0.0</v>
      </c>
      <c r="F543" s="65">
        <f t="shared" si="1"/>
        <v>50</v>
      </c>
      <c r="G543" s="66">
        <f>IF(B543&lt;&gt;"",VLOOKUP(B543,Zutaten!$C:$F,4,FALSE),"")*C543</f>
        <v>0.7310605847</v>
      </c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  <c r="AC543" s="67"/>
    </row>
    <row r="544">
      <c r="A544" s="83" t="s">
        <v>110</v>
      </c>
      <c r="B544" s="77" t="s">
        <v>159</v>
      </c>
      <c r="C544" s="68">
        <v>80.0</v>
      </c>
      <c r="D544" s="63" t="s">
        <v>539</v>
      </c>
      <c r="E544" s="64">
        <v>0.0</v>
      </c>
      <c r="F544" s="65">
        <f t="shared" si="1"/>
        <v>80</v>
      </c>
      <c r="G544" s="66">
        <f>IF(B544&lt;&gt;"",VLOOKUP(B544,Zutaten!$C:$F,4,FALSE),"")*C544</f>
        <v>0.2530736881</v>
      </c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  <c r="AC544" s="67"/>
    </row>
    <row r="545">
      <c r="A545" s="83" t="s">
        <v>110</v>
      </c>
      <c r="B545" s="77" t="s">
        <v>170</v>
      </c>
      <c r="C545" s="68">
        <v>20.0</v>
      </c>
      <c r="D545" s="63" t="s">
        <v>539</v>
      </c>
      <c r="E545" s="64">
        <v>0.0</v>
      </c>
      <c r="F545" s="65">
        <f t="shared" si="1"/>
        <v>20</v>
      </c>
      <c r="G545" s="66">
        <f>IF(B545&lt;&gt;"",VLOOKUP(B545,Zutaten!$C:$F,4,FALSE),"")*C545</f>
        <v>0.02176983607</v>
      </c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  <c r="AC545" s="67"/>
    </row>
    <row r="546">
      <c r="A546" s="83" t="s">
        <v>110</v>
      </c>
      <c r="B546" s="18" t="s">
        <v>302</v>
      </c>
      <c r="C546" s="68">
        <v>35.0</v>
      </c>
      <c r="D546" s="63" t="s">
        <v>539</v>
      </c>
      <c r="E546" s="64">
        <v>0.0</v>
      </c>
      <c r="F546" s="65">
        <f t="shared" si="1"/>
        <v>35</v>
      </c>
      <c r="G546" s="66">
        <f>IF(B546&lt;&gt;"",VLOOKUP(B546,Zutaten!$C:$F,4,FALSE),"")*C546</f>
        <v>0.3899</v>
      </c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  <c r="AC546" s="67"/>
    </row>
    <row r="547">
      <c r="A547" s="20" t="s">
        <v>121</v>
      </c>
      <c r="B547" s="20" t="s">
        <v>408</v>
      </c>
      <c r="C547" s="63">
        <v>1000.0</v>
      </c>
      <c r="D547" s="63" t="s">
        <v>539</v>
      </c>
      <c r="E547" s="64">
        <v>0.0</v>
      </c>
      <c r="F547" s="65">
        <f t="shared" si="1"/>
        <v>1000</v>
      </c>
      <c r="G547" s="66">
        <f>IF(B547&lt;&gt;"",VLOOKUP(B547,Zutaten!$C:$F,4,FALSE),"")*C547</f>
        <v>0.572</v>
      </c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  <c r="AC547" s="67"/>
    </row>
    <row r="548">
      <c r="A548" s="20" t="s">
        <v>121</v>
      </c>
      <c r="B548" s="63" t="s">
        <v>528</v>
      </c>
      <c r="C548" s="63">
        <v>300.0</v>
      </c>
      <c r="D548" s="63" t="s">
        <v>539</v>
      </c>
      <c r="E548" s="64">
        <v>0.0</v>
      </c>
      <c r="F548" s="65">
        <f t="shared" si="1"/>
        <v>300</v>
      </c>
      <c r="G548" s="66">
        <f>IF(B548&lt;&gt;"",VLOOKUP(B548,Zutaten!$C:$F,4,FALSE),"")*C548</f>
        <v>0.432</v>
      </c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  <c r="AC548" s="67"/>
    </row>
    <row r="549">
      <c r="A549" s="20" t="s">
        <v>121</v>
      </c>
      <c r="B549" s="20" t="s">
        <v>386</v>
      </c>
      <c r="C549" s="63">
        <v>70.0</v>
      </c>
      <c r="D549" s="63" t="s">
        <v>539</v>
      </c>
      <c r="E549" s="64">
        <v>0.0</v>
      </c>
      <c r="F549" s="65">
        <f t="shared" si="1"/>
        <v>70</v>
      </c>
      <c r="G549" s="66">
        <f>IF(B549&lt;&gt;"",VLOOKUP(B549,Zutaten!$C:$F,4,FALSE),"")*C549</f>
        <v>0.1456</v>
      </c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  <c r="AC549" s="67"/>
    </row>
    <row r="550">
      <c r="A550" s="20" t="s">
        <v>121</v>
      </c>
      <c r="B550" s="77" t="s">
        <v>455</v>
      </c>
      <c r="C550" s="63">
        <v>100.0</v>
      </c>
      <c r="D550" s="63" t="s">
        <v>539</v>
      </c>
      <c r="E550" s="64">
        <v>0.0</v>
      </c>
      <c r="F550" s="65">
        <f t="shared" si="1"/>
        <v>100</v>
      </c>
      <c r="G550" s="66">
        <f>IF(B550&lt;&gt;"",VLOOKUP(B550,Zutaten!$C:$F,4,FALSE),"")*C550</f>
        <v>0.199</v>
      </c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  <c r="AC550" s="67"/>
    </row>
    <row r="551">
      <c r="A551" s="20" t="s">
        <v>121</v>
      </c>
      <c r="B551" s="20" t="s">
        <v>511</v>
      </c>
      <c r="C551" s="63">
        <v>600.0</v>
      </c>
      <c r="D551" s="63" t="s">
        <v>539</v>
      </c>
      <c r="E551" s="64">
        <v>0.0</v>
      </c>
      <c r="F551" s="65">
        <f t="shared" si="1"/>
        <v>600</v>
      </c>
      <c r="G551" s="66">
        <f>IF(B551&lt;&gt;"",VLOOKUP(B551,Zutaten!$C:$F,4,FALSE),"")*C551</f>
        <v>0.714</v>
      </c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  <c r="AC551" s="67"/>
    </row>
    <row r="552">
      <c r="A552" s="20" t="s">
        <v>121</v>
      </c>
      <c r="B552" s="63" t="s">
        <v>510</v>
      </c>
      <c r="C552" s="63">
        <v>200.0</v>
      </c>
      <c r="D552" s="63" t="s">
        <v>540</v>
      </c>
      <c r="E552" s="64">
        <v>0.0</v>
      </c>
      <c r="F552" s="65">
        <f t="shared" si="1"/>
        <v>200</v>
      </c>
      <c r="G552" s="66">
        <f>IF(B552&lt;&gt;"",VLOOKUP(B552,Zutaten!$C:$F,4,FALSE),"")*C552</f>
        <v>0.928</v>
      </c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  <c r="AC552" s="67"/>
    </row>
    <row r="553">
      <c r="A553" s="18" t="s">
        <v>120</v>
      </c>
      <c r="B553" s="18" t="s">
        <v>121</v>
      </c>
      <c r="C553" s="68">
        <f>2270/12</f>
        <v>189.1666667</v>
      </c>
      <c r="D553" s="63" t="s">
        <v>539</v>
      </c>
      <c r="E553" s="64">
        <v>0.0</v>
      </c>
      <c r="F553" s="65">
        <f t="shared" si="1"/>
        <v>189.1666667</v>
      </c>
      <c r="G553" s="66">
        <f>IF(B553&lt;&gt;"",VLOOKUP(B553,Zutaten!$C:$F,4,FALSE),"")*C553</f>
        <v>0.2492166667</v>
      </c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  <c r="AC553" s="67"/>
    </row>
    <row r="554">
      <c r="A554" s="18" t="s">
        <v>120</v>
      </c>
      <c r="B554" s="18" t="s">
        <v>201</v>
      </c>
      <c r="C554" s="68">
        <v>30.0</v>
      </c>
      <c r="D554" s="63" t="s">
        <v>539</v>
      </c>
      <c r="E554" s="64">
        <v>0.0</v>
      </c>
      <c r="F554" s="65">
        <f t="shared" si="1"/>
        <v>30</v>
      </c>
      <c r="G554" s="66">
        <f>IF(B554&lt;&gt;"",VLOOKUP(B554,Zutaten!$C:$F,4,FALSE),"")*C554</f>
        <v>0.1815618762</v>
      </c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  <c r="AC554" s="67"/>
    </row>
    <row r="555">
      <c r="A555" s="18" t="s">
        <v>120</v>
      </c>
      <c r="B555" s="18" t="s">
        <v>144</v>
      </c>
      <c r="C555" s="68">
        <f>1555/3/12</f>
        <v>43.19444444</v>
      </c>
      <c r="D555" s="63" t="s">
        <v>539</v>
      </c>
      <c r="E555" s="64">
        <v>0.0</v>
      </c>
      <c r="F555" s="65">
        <f t="shared" si="1"/>
        <v>43.19444444</v>
      </c>
      <c r="G555" s="66">
        <f>IF(B555&lt;&gt;"",VLOOKUP(B555,Zutaten!$C:$F,4,FALSE),"")*C555</f>
        <v>0.1414252778</v>
      </c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  <c r="AC555" s="67"/>
    </row>
    <row r="556">
      <c r="A556" s="63" t="s">
        <v>123</v>
      </c>
      <c r="B556" s="63" t="s">
        <v>467</v>
      </c>
      <c r="C556" s="63">
        <v>5.0</v>
      </c>
      <c r="D556" s="63" t="s">
        <v>539</v>
      </c>
      <c r="E556" s="64">
        <v>0.0</v>
      </c>
      <c r="F556" s="65">
        <f t="shared" si="1"/>
        <v>5</v>
      </c>
      <c r="G556" s="66">
        <f>IF(B556&lt;&gt;"",VLOOKUP(B556,Zutaten!$C:$F,4,FALSE),"")*C556</f>
        <v>0.00184</v>
      </c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  <c r="AC556" s="67"/>
    </row>
    <row r="557">
      <c r="A557" s="63" t="s">
        <v>123</v>
      </c>
      <c r="B557" s="63" t="s">
        <v>128</v>
      </c>
      <c r="C557" s="63">
        <v>500.0</v>
      </c>
      <c r="D557" s="63" t="s">
        <v>539</v>
      </c>
      <c r="E557" s="64">
        <v>0.0</v>
      </c>
      <c r="F557" s="65">
        <f t="shared" si="1"/>
        <v>500</v>
      </c>
      <c r="G557" s="66">
        <f>IF(B557&lt;&gt;"",VLOOKUP(B557,Zutaten!$C:$F,4,FALSE),"")*C557</f>
        <v>1.605</v>
      </c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  <c r="AC557" s="67"/>
    </row>
    <row r="558">
      <c r="A558" s="63" t="s">
        <v>123</v>
      </c>
      <c r="B558" s="63" t="s">
        <v>118</v>
      </c>
      <c r="C558" s="63">
        <v>750.0</v>
      </c>
      <c r="D558" s="63" t="s">
        <v>539</v>
      </c>
      <c r="E558" s="64">
        <v>0.0</v>
      </c>
      <c r="F558" s="65">
        <f t="shared" si="1"/>
        <v>750</v>
      </c>
      <c r="G558" s="66">
        <f>IF(B558&lt;&gt;"",VLOOKUP(B558,Zutaten!$C:$F,4,FALSE),"")*C558</f>
        <v>5.514342725</v>
      </c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  <c r="AC558" s="67"/>
    </row>
    <row r="559">
      <c r="A559" s="18" t="s">
        <v>122</v>
      </c>
      <c r="B559" s="18" t="s">
        <v>458</v>
      </c>
      <c r="C559" s="68">
        <v>100.0</v>
      </c>
      <c r="D559" s="63" t="s">
        <v>539</v>
      </c>
      <c r="E559" s="64">
        <v>0.0</v>
      </c>
      <c r="F559" s="65">
        <f t="shared" si="1"/>
        <v>100</v>
      </c>
      <c r="G559" s="66">
        <f>IF(B559&lt;&gt;"",VLOOKUP(B559,Zutaten!$C:$F,4,FALSE),"")*C559</f>
        <v>0.849</v>
      </c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  <c r="AC559" s="67"/>
    </row>
    <row r="560">
      <c r="A560" s="18" t="s">
        <v>122</v>
      </c>
      <c r="B560" s="18" t="s">
        <v>336</v>
      </c>
      <c r="C560" s="68">
        <v>5.0</v>
      </c>
      <c r="D560" s="63" t="s">
        <v>539</v>
      </c>
      <c r="E560" s="64">
        <v>0.0</v>
      </c>
      <c r="F560" s="65">
        <f t="shared" si="1"/>
        <v>5</v>
      </c>
      <c r="G560" s="66">
        <f>IF(B560&lt;&gt;"",VLOOKUP(B560,Zutaten!$C:$F,4,FALSE),"")*C560</f>
        <v>0.03195</v>
      </c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  <c r="AC560" s="67"/>
    </row>
    <row r="561">
      <c r="A561" s="18" t="s">
        <v>122</v>
      </c>
      <c r="B561" s="18" t="s">
        <v>318</v>
      </c>
      <c r="C561" s="68">
        <v>20.0</v>
      </c>
      <c r="D561" s="63" t="s">
        <v>539</v>
      </c>
      <c r="E561" s="64">
        <v>0.0</v>
      </c>
      <c r="F561" s="65">
        <f t="shared" si="1"/>
        <v>20</v>
      </c>
      <c r="G561" s="66">
        <f>IF(B561&lt;&gt;"",VLOOKUP(B561,Zutaten!$C:$F,4,FALSE),"")*C561</f>
        <v>0.2278</v>
      </c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  <c r="AC561" s="67"/>
    </row>
    <row r="562">
      <c r="A562" s="18" t="s">
        <v>122</v>
      </c>
      <c r="B562" s="18" t="s">
        <v>313</v>
      </c>
      <c r="C562" s="68">
        <v>50.0</v>
      </c>
      <c r="D562" s="63" t="s">
        <v>539</v>
      </c>
      <c r="E562" s="64">
        <v>0.0</v>
      </c>
      <c r="F562" s="65">
        <f t="shared" si="1"/>
        <v>50</v>
      </c>
      <c r="G562" s="66">
        <f>IF(B562&lt;&gt;"",VLOOKUP(B562,Zutaten!$C:$F,4,FALSE),"")*C562</f>
        <v>0.3125</v>
      </c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  <c r="AC562" s="67"/>
    </row>
    <row r="563">
      <c r="A563" s="18" t="s">
        <v>122</v>
      </c>
      <c r="B563" s="18" t="s">
        <v>505</v>
      </c>
      <c r="C563" s="68">
        <v>20.0</v>
      </c>
      <c r="D563" s="63" t="s">
        <v>539</v>
      </c>
      <c r="E563" s="64">
        <v>0.0</v>
      </c>
      <c r="F563" s="65">
        <f t="shared" si="1"/>
        <v>20</v>
      </c>
      <c r="G563" s="66">
        <f>IF(B563&lt;&gt;"",VLOOKUP(B563,Zutaten!$C:$F,4,FALSE),"")*C563</f>
        <v>0.057</v>
      </c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  <c r="AC563" s="67"/>
    </row>
    <row r="564">
      <c r="A564" s="83" t="s">
        <v>125</v>
      </c>
      <c r="B564" s="83" t="s">
        <v>557</v>
      </c>
      <c r="C564" s="63">
        <v>150.0</v>
      </c>
      <c r="D564" s="63" t="s">
        <v>540</v>
      </c>
      <c r="E564" s="64">
        <v>0.0</v>
      </c>
      <c r="F564" s="65">
        <f t="shared" si="1"/>
        <v>150</v>
      </c>
      <c r="G564" s="66">
        <f>IF(B564&lt;&gt;"",VLOOKUP(B564,Zutaten!$C:$F,4,FALSE),"")*C564</f>
        <v>2.4</v>
      </c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  <c r="AC564" s="67"/>
    </row>
    <row r="565">
      <c r="A565" s="83" t="s">
        <v>125</v>
      </c>
      <c r="B565" s="84" t="s">
        <v>528</v>
      </c>
      <c r="C565" s="63">
        <v>100.0</v>
      </c>
      <c r="D565" s="63" t="s">
        <v>539</v>
      </c>
      <c r="E565" s="64">
        <v>0.0</v>
      </c>
      <c r="F565" s="65">
        <f t="shared" si="1"/>
        <v>100</v>
      </c>
      <c r="G565" s="66">
        <f>IF(B565&lt;&gt;"",VLOOKUP(B565,Zutaten!$C:$F,4,FALSE),"")*C565</f>
        <v>0.144</v>
      </c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  <c r="AC565" s="67"/>
    </row>
    <row r="566">
      <c r="A566" s="83" t="s">
        <v>125</v>
      </c>
      <c r="B566" s="20" t="s">
        <v>374</v>
      </c>
      <c r="C566" s="63">
        <v>100.0</v>
      </c>
      <c r="D566" s="63" t="s">
        <v>539</v>
      </c>
      <c r="E566" s="64">
        <v>0.0</v>
      </c>
      <c r="F566" s="65">
        <f t="shared" si="1"/>
        <v>100</v>
      </c>
      <c r="G566" s="66">
        <f>IF(B566&lt;&gt;"",VLOOKUP(B566,Zutaten!$C:$F,4,FALSE),"")*C566</f>
        <v>0.2296</v>
      </c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  <c r="AC566" s="67"/>
    </row>
    <row r="567">
      <c r="A567" s="83" t="s">
        <v>125</v>
      </c>
      <c r="B567" s="84" t="s">
        <v>310</v>
      </c>
      <c r="C567" s="63">
        <v>100.0</v>
      </c>
      <c r="D567" s="63" t="s">
        <v>539</v>
      </c>
      <c r="E567" s="64">
        <v>0.0</v>
      </c>
      <c r="F567" s="65">
        <f t="shared" si="1"/>
        <v>100</v>
      </c>
      <c r="G567" s="66">
        <f>IF(B567&lt;&gt;"",VLOOKUP(B567,Zutaten!$C:$F,4,FALSE),"")*C567</f>
        <v>1.8296</v>
      </c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  <c r="AC567" s="67"/>
    </row>
    <row r="568">
      <c r="A568" s="63" t="s">
        <v>126</v>
      </c>
      <c r="B568" s="63" t="s">
        <v>558</v>
      </c>
      <c r="C568" s="63">
        <v>1000.0</v>
      </c>
      <c r="D568" s="63" t="s">
        <v>539</v>
      </c>
      <c r="E568" s="64">
        <v>0.0</v>
      </c>
      <c r="F568" s="65">
        <f t="shared" si="1"/>
        <v>1000</v>
      </c>
      <c r="G568" s="66">
        <f>IF(B568&lt;&gt;"",VLOOKUP(B568,Zutaten!$C:$F,4,FALSE),"")*C568</f>
        <v>3.4</v>
      </c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  <c r="AC568" s="67"/>
    </row>
    <row r="569">
      <c r="A569" s="63" t="s">
        <v>126</v>
      </c>
      <c r="B569" s="20" t="s">
        <v>442</v>
      </c>
      <c r="C569" s="63">
        <v>5.0</v>
      </c>
      <c r="D569" s="63" t="s">
        <v>539</v>
      </c>
      <c r="E569" s="64">
        <v>0.0</v>
      </c>
      <c r="F569" s="65">
        <f t="shared" si="1"/>
        <v>5</v>
      </c>
      <c r="G569" s="66">
        <f>IF(B569&lt;&gt;"",VLOOKUP(B569,Zutaten!$C:$F,4,FALSE),"")*C569</f>
        <v>0.162</v>
      </c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  <c r="AC569" s="67"/>
    </row>
    <row r="570">
      <c r="A570" s="63" t="s">
        <v>126</v>
      </c>
      <c r="B570" s="63" t="s">
        <v>518</v>
      </c>
      <c r="C570" s="63">
        <v>70.0</v>
      </c>
      <c r="D570" s="63" t="s">
        <v>539</v>
      </c>
      <c r="E570" s="64">
        <v>0.0</v>
      </c>
      <c r="F570" s="65">
        <f t="shared" si="1"/>
        <v>70</v>
      </c>
      <c r="G570" s="66">
        <f>IF(B570&lt;&gt;"",VLOOKUP(B570,Zutaten!$C:$F,4,FALSE),"")*C570</f>
        <v>0.05229</v>
      </c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  <c r="AC570" s="67"/>
    </row>
    <row r="571">
      <c r="A571" s="63" t="s">
        <v>126</v>
      </c>
      <c r="B571" s="63" t="s">
        <v>559</v>
      </c>
      <c r="C571" s="63">
        <v>150.0</v>
      </c>
      <c r="D571" s="63" t="s">
        <v>540</v>
      </c>
      <c r="E571" s="64">
        <v>0.0</v>
      </c>
      <c r="F571" s="65">
        <f t="shared" si="1"/>
        <v>150</v>
      </c>
      <c r="G571" s="66">
        <f>IF(B571&lt;&gt;"",VLOOKUP(B571,Zutaten!$C:$F,4,FALSE),"")*C571</f>
        <v>0.696</v>
      </c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  <c r="AC571" s="67"/>
    </row>
    <row r="572">
      <c r="A572" s="63" t="s">
        <v>126</v>
      </c>
      <c r="B572" s="61" t="s">
        <v>433</v>
      </c>
      <c r="C572" s="63">
        <v>250.0</v>
      </c>
      <c r="D572" s="63" t="s">
        <v>539</v>
      </c>
      <c r="E572" s="64">
        <v>0.0</v>
      </c>
      <c r="F572" s="65">
        <f t="shared" si="1"/>
        <v>250</v>
      </c>
      <c r="G572" s="66">
        <f>IF(B572&lt;&gt;"",VLOOKUP(B572,Zutaten!$C:$F,4,FALSE),"")*C572</f>
        <v>1.4225</v>
      </c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  <c r="AC572" s="67"/>
    </row>
    <row r="573">
      <c r="A573" s="63" t="s">
        <v>126</v>
      </c>
      <c r="B573" s="63" t="s">
        <v>545</v>
      </c>
      <c r="C573" s="63">
        <v>10.0</v>
      </c>
      <c r="D573" s="63" t="s">
        <v>539</v>
      </c>
      <c r="E573" s="64">
        <v>0.0</v>
      </c>
      <c r="F573" s="65">
        <f t="shared" si="1"/>
        <v>10</v>
      </c>
      <c r="G573" s="66">
        <f>IF(B573&lt;&gt;"",VLOOKUP(B573,Zutaten!$C:$F,4,FALSE),"")*C573</f>
        <v>0.00368</v>
      </c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  <c r="AC573" s="67"/>
    </row>
    <row r="574">
      <c r="A574" s="63" t="s">
        <v>127</v>
      </c>
      <c r="B574" s="63" t="s">
        <v>128</v>
      </c>
      <c r="C574" s="63">
        <v>500.0</v>
      </c>
      <c r="D574" s="63" t="s">
        <v>539</v>
      </c>
      <c r="E574" s="64">
        <v>0.0</v>
      </c>
      <c r="F574" s="65">
        <f t="shared" si="1"/>
        <v>500</v>
      </c>
      <c r="G574" s="66">
        <f>IF(B574&lt;&gt;"",VLOOKUP(B574,Zutaten!$C:$F,4,FALSE),"")*C574</f>
        <v>1.605</v>
      </c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  <c r="AC574" s="67"/>
    </row>
    <row r="575">
      <c r="A575" s="63" t="s">
        <v>127</v>
      </c>
      <c r="B575" s="63" t="s">
        <v>318</v>
      </c>
      <c r="C575" s="63">
        <v>1000.0</v>
      </c>
      <c r="D575" s="63" t="s">
        <v>539</v>
      </c>
      <c r="E575" s="64">
        <v>0.0</v>
      </c>
      <c r="F575" s="65">
        <f t="shared" si="1"/>
        <v>1000</v>
      </c>
      <c r="G575" s="66">
        <f>IF(B575&lt;&gt;"",VLOOKUP(B575,Zutaten!$C:$F,4,FALSE),"")*C575</f>
        <v>11.39</v>
      </c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  <c r="AC575" s="67"/>
    </row>
    <row r="576">
      <c r="A576" s="63" t="s">
        <v>127</v>
      </c>
      <c r="B576" s="63" t="s">
        <v>302</v>
      </c>
      <c r="C576" s="63">
        <v>450.0</v>
      </c>
      <c r="D576" s="63" t="s">
        <v>539</v>
      </c>
      <c r="E576" s="64">
        <v>0.0</v>
      </c>
      <c r="F576" s="65">
        <f t="shared" si="1"/>
        <v>450</v>
      </c>
      <c r="G576" s="66">
        <f>IF(B576&lt;&gt;"",VLOOKUP(B576,Zutaten!$C:$F,4,FALSE),"")*C576</f>
        <v>5.013</v>
      </c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  <c r="AC576" s="67"/>
    </row>
    <row r="577">
      <c r="A577" s="63" t="s">
        <v>127</v>
      </c>
      <c r="B577" s="63" t="s">
        <v>380</v>
      </c>
      <c r="C577" s="63">
        <v>100.0</v>
      </c>
      <c r="D577" s="63" t="s">
        <v>539</v>
      </c>
      <c r="E577" s="64">
        <v>0.0</v>
      </c>
      <c r="F577" s="65">
        <f t="shared" si="1"/>
        <v>100</v>
      </c>
      <c r="G577" s="66">
        <f>IF(B577&lt;&gt;"",VLOOKUP(B577,Zutaten!$C:$F,4,FALSE),"")*C577</f>
        <v>0.4141176471</v>
      </c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  <c r="AC577" s="67"/>
    </row>
    <row r="578">
      <c r="A578" s="63" t="s">
        <v>127</v>
      </c>
      <c r="B578" s="63" t="s">
        <v>466</v>
      </c>
      <c r="C578" s="63">
        <v>500.0</v>
      </c>
      <c r="D578" s="63" t="s">
        <v>539</v>
      </c>
      <c r="E578" s="64">
        <v>0.0</v>
      </c>
      <c r="F578" s="65">
        <f t="shared" si="1"/>
        <v>500</v>
      </c>
      <c r="G578" s="66">
        <f>IF(B578&lt;&gt;"",VLOOKUP(B578,Zutaten!$C:$F,4,FALSE),"")*C578</f>
        <v>2.215</v>
      </c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  <c r="AC578" s="67"/>
    </row>
    <row r="579">
      <c r="A579" s="63" t="s">
        <v>127</v>
      </c>
      <c r="B579" s="61" t="s">
        <v>433</v>
      </c>
      <c r="C579" s="63">
        <v>750.0</v>
      </c>
      <c r="D579" s="63" t="s">
        <v>539</v>
      </c>
      <c r="E579" s="64">
        <v>0.0</v>
      </c>
      <c r="F579" s="65">
        <f t="shared" si="1"/>
        <v>750</v>
      </c>
      <c r="G579" s="66">
        <f>IF(B579&lt;&gt;"",VLOOKUP(B579,Zutaten!$C:$F,4,FALSE),"")*C579</f>
        <v>4.2675</v>
      </c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  <c r="AC579" s="67"/>
    </row>
    <row r="580">
      <c r="A580" s="63" t="s">
        <v>127</v>
      </c>
      <c r="B580" s="61" t="s">
        <v>434</v>
      </c>
      <c r="C580" s="63">
        <v>25.0</v>
      </c>
      <c r="D580" s="63" t="s">
        <v>539</v>
      </c>
      <c r="E580" s="64">
        <v>0.0</v>
      </c>
      <c r="F580" s="65">
        <f t="shared" si="1"/>
        <v>25</v>
      </c>
      <c r="G580" s="66">
        <f>IF(B580&lt;&gt;"",VLOOKUP(B580,Zutaten!$C:$F,4,FALSE),"")*C580</f>
        <v>0.7212962963</v>
      </c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  <c r="AC580" s="67"/>
    </row>
    <row r="581">
      <c r="A581" s="63" t="s">
        <v>127</v>
      </c>
      <c r="B581" s="63" t="s">
        <v>467</v>
      </c>
      <c r="C581" s="63">
        <v>10.0</v>
      </c>
      <c r="D581" s="63" t="s">
        <v>539</v>
      </c>
      <c r="E581" s="64">
        <v>0.0</v>
      </c>
      <c r="F581" s="65">
        <f t="shared" si="1"/>
        <v>10</v>
      </c>
      <c r="G581" s="66">
        <f>IF(B581&lt;&gt;"",VLOOKUP(B581,Zutaten!$C:$F,4,FALSE),"")*C581</f>
        <v>0.00368</v>
      </c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  <c r="AC581" s="67"/>
    </row>
    <row r="582">
      <c r="A582" s="63" t="s">
        <v>124</v>
      </c>
      <c r="B582" s="63" t="s">
        <v>127</v>
      </c>
      <c r="C582" s="68">
        <v>150.0</v>
      </c>
      <c r="D582" s="63" t="s">
        <v>539</v>
      </c>
      <c r="E582" s="64">
        <v>0.0</v>
      </c>
      <c r="F582" s="65">
        <f t="shared" si="1"/>
        <v>150</v>
      </c>
      <c r="G582" s="66">
        <f>IF(B582&lt;&gt;"",VLOOKUP(B582,Zutaten!$C:$F,4,FALSE),"")*C582</f>
        <v>1.15275535</v>
      </c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  <c r="AC582" s="67"/>
    </row>
    <row r="583">
      <c r="A583" s="63" t="s">
        <v>124</v>
      </c>
      <c r="B583" s="18" t="s">
        <v>25</v>
      </c>
      <c r="C583" s="68">
        <v>25.0</v>
      </c>
      <c r="D583" s="63" t="s">
        <v>539</v>
      </c>
      <c r="E583" s="64">
        <v>0.0</v>
      </c>
      <c r="F583" s="65">
        <f t="shared" si="1"/>
        <v>25</v>
      </c>
      <c r="G583" s="66">
        <f>IF(B583&lt;&gt;"",VLOOKUP(B583,Zutaten!$C:$F,4,FALSE),"")*C583</f>
        <v>0.1862501857</v>
      </c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  <c r="AC583" s="67"/>
    </row>
    <row r="584">
      <c r="A584" s="63" t="s">
        <v>124</v>
      </c>
      <c r="B584" s="61" t="s">
        <v>434</v>
      </c>
      <c r="C584" s="68">
        <v>1.0</v>
      </c>
      <c r="D584" s="63" t="s">
        <v>539</v>
      </c>
      <c r="E584" s="64">
        <v>0.0</v>
      </c>
      <c r="F584" s="65">
        <f t="shared" si="1"/>
        <v>1</v>
      </c>
      <c r="G584" s="66">
        <f>IF(B584&lt;&gt;"",VLOOKUP(B584,Zutaten!$C:$F,4,FALSE),"")*C584</f>
        <v>0.02885185185</v>
      </c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  <c r="AC584" s="67"/>
    </row>
    <row r="585">
      <c r="A585" s="18" t="s">
        <v>128</v>
      </c>
      <c r="B585" s="18" t="s">
        <v>123</v>
      </c>
      <c r="C585" s="68">
        <v>278.0</v>
      </c>
      <c r="D585" s="63" t="s">
        <v>539</v>
      </c>
      <c r="E585" s="64">
        <v>0.0</v>
      </c>
      <c r="F585" s="65">
        <f t="shared" si="1"/>
        <v>278</v>
      </c>
      <c r="G585" s="66">
        <f>IF(B585&lt;&gt;"",VLOOKUP(B585,Zutaten!$C:$F,4,FALSE),"")*C585</f>
        <v>1.577441273</v>
      </c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  <c r="AC585" s="67"/>
    </row>
    <row r="586">
      <c r="A586" s="18" t="s">
        <v>130</v>
      </c>
      <c r="B586" s="63" t="s">
        <v>467</v>
      </c>
      <c r="C586" s="62">
        <v>6.0</v>
      </c>
      <c r="D586" s="63" t="s">
        <v>539</v>
      </c>
      <c r="E586" s="64">
        <v>0.0</v>
      </c>
      <c r="F586" s="65">
        <f t="shared" si="1"/>
        <v>6</v>
      </c>
      <c r="G586" s="66">
        <f>IF(B586&lt;&gt;"",VLOOKUP(B586,Zutaten!$C:$F,4,FALSE),"")*C586</f>
        <v>0.002208</v>
      </c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  <c r="AC586" s="67"/>
    </row>
    <row r="587">
      <c r="A587" s="18" t="s">
        <v>130</v>
      </c>
      <c r="B587" s="63" t="s">
        <v>518</v>
      </c>
      <c r="C587" s="62">
        <v>400.0</v>
      </c>
      <c r="D587" s="63" t="s">
        <v>539</v>
      </c>
      <c r="E587" s="64">
        <v>0.0</v>
      </c>
      <c r="F587" s="65">
        <f t="shared" si="1"/>
        <v>400</v>
      </c>
      <c r="G587" s="66">
        <f>IF(B587&lt;&gt;"",VLOOKUP(B587,Zutaten!$C:$F,4,FALSE),"")*C587</f>
        <v>0.2988</v>
      </c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  <c r="AC587" s="67"/>
    </row>
    <row r="588">
      <c r="A588" s="18" t="s">
        <v>130</v>
      </c>
      <c r="B588" s="63" t="s">
        <v>410</v>
      </c>
      <c r="C588" s="62">
        <v>430.0</v>
      </c>
      <c r="D588" s="63" t="s">
        <v>539</v>
      </c>
      <c r="E588" s="64">
        <v>0.0</v>
      </c>
      <c r="F588" s="65">
        <f t="shared" si="1"/>
        <v>430</v>
      </c>
      <c r="G588" s="66">
        <f>IF(B588&lt;&gt;"",VLOOKUP(B588,Zutaten!$C:$F,4,FALSE),"")*C588</f>
        <v>0.5461</v>
      </c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  <c r="AC588" s="67"/>
    </row>
    <row r="589">
      <c r="A589" s="18" t="s">
        <v>130</v>
      </c>
      <c r="B589" s="63" t="s">
        <v>510</v>
      </c>
      <c r="C589" s="62">
        <v>100.0</v>
      </c>
      <c r="D589" s="63" t="s">
        <v>539</v>
      </c>
      <c r="E589" s="64">
        <v>0.0</v>
      </c>
      <c r="F589" s="65">
        <f t="shared" si="1"/>
        <v>100</v>
      </c>
      <c r="G589" s="66">
        <f>IF(B589&lt;&gt;"",VLOOKUP(B589,Zutaten!$C:$F,4,FALSE),"")*C589</f>
        <v>0.464</v>
      </c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  <c r="AC589" s="67"/>
    </row>
    <row r="590">
      <c r="A590" s="60" t="s">
        <v>131</v>
      </c>
      <c r="B590" s="60" t="s">
        <v>467</v>
      </c>
      <c r="C590" s="62">
        <v>4.0</v>
      </c>
      <c r="D590" s="63" t="s">
        <v>539</v>
      </c>
      <c r="E590" s="64">
        <v>0.0</v>
      </c>
      <c r="F590" s="65">
        <f t="shared" si="1"/>
        <v>4</v>
      </c>
      <c r="G590" s="66">
        <f>IF(B590&lt;&gt;"",VLOOKUP(B590,Zutaten!$C:$F,4,FALSE),"")*C590</f>
        <v>0.001472</v>
      </c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  <c r="AC590" s="67"/>
    </row>
    <row r="591">
      <c r="A591" s="60" t="s">
        <v>131</v>
      </c>
      <c r="B591" s="60" t="s">
        <v>414</v>
      </c>
      <c r="C591" s="62">
        <v>300.0</v>
      </c>
      <c r="D591" s="63" t="s">
        <v>539</v>
      </c>
      <c r="E591" s="64">
        <v>0.0</v>
      </c>
      <c r="F591" s="65">
        <f t="shared" si="1"/>
        <v>300</v>
      </c>
      <c r="G591" s="66">
        <f>IF(B591&lt;&gt;"",VLOOKUP(B591,Zutaten!$C:$F,4,FALSE),"")*C591</f>
        <v>1.015909091</v>
      </c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  <c r="AC591" s="67"/>
    </row>
    <row r="592">
      <c r="A592" s="60" t="s">
        <v>131</v>
      </c>
      <c r="B592" s="60" t="s">
        <v>376</v>
      </c>
      <c r="C592" s="62">
        <v>20.0</v>
      </c>
      <c r="D592" s="63" t="s">
        <v>540</v>
      </c>
      <c r="E592" s="64">
        <v>0.0</v>
      </c>
      <c r="F592" s="65">
        <f t="shared" si="1"/>
        <v>20</v>
      </c>
      <c r="G592" s="66">
        <f>IF(B592&lt;&gt;"",VLOOKUP(B592,Zutaten!$C:$F,4,FALSE),"")*C592</f>
        <v>0.1196</v>
      </c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  <c r="AC592" s="67"/>
    </row>
    <row r="593">
      <c r="A593" s="60" t="s">
        <v>131</v>
      </c>
      <c r="B593" s="60" t="s">
        <v>321</v>
      </c>
      <c r="C593" s="62">
        <v>0.5</v>
      </c>
      <c r="D593" s="63" t="s">
        <v>539</v>
      </c>
      <c r="E593" s="64">
        <v>0.0</v>
      </c>
      <c r="F593" s="65">
        <f t="shared" si="1"/>
        <v>0.5</v>
      </c>
      <c r="G593" s="66">
        <f>IF(B593&lt;&gt;"",VLOOKUP(B593,Zutaten!$C:$F,4,FALSE),"")*C593</f>
        <v>0.02147368421</v>
      </c>
      <c r="H593" s="67"/>
      <c r="I593" s="63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  <c r="AC593" s="67"/>
    </row>
    <row r="594">
      <c r="A594" s="60" t="s">
        <v>132</v>
      </c>
      <c r="B594" s="60" t="s">
        <v>416</v>
      </c>
      <c r="C594" s="62">
        <v>1000.0</v>
      </c>
      <c r="D594" s="63" t="s">
        <v>539</v>
      </c>
      <c r="E594" s="64">
        <v>0.0</v>
      </c>
      <c r="F594" s="65">
        <f t="shared" si="1"/>
        <v>1000</v>
      </c>
      <c r="G594" s="66">
        <f>IF(B594&lt;&gt;"",VLOOKUP(B594,Zutaten!$C:$F,4,FALSE),"")*C594</f>
        <v>3.71</v>
      </c>
      <c r="H594" s="67"/>
      <c r="I594" s="63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  <c r="AC594" s="67"/>
    </row>
    <row r="595">
      <c r="A595" s="60" t="s">
        <v>132</v>
      </c>
      <c r="B595" s="60" t="s">
        <v>528</v>
      </c>
      <c r="C595" s="62">
        <v>80.0</v>
      </c>
      <c r="D595" s="63" t="s">
        <v>539</v>
      </c>
      <c r="E595" s="64">
        <v>0.0</v>
      </c>
      <c r="F595" s="65">
        <f t="shared" si="1"/>
        <v>80</v>
      </c>
      <c r="G595" s="66">
        <f>IF(B595&lt;&gt;"",VLOOKUP(B595,Zutaten!$C:$F,4,FALSE),"")*C595</f>
        <v>0.1152</v>
      </c>
      <c r="H595" s="67"/>
      <c r="I595" s="63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  <c r="AC595" s="67"/>
    </row>
    <row r="596">
      <c r="A596" s="60" t="s">
        <v>132</v>
      </c>
      <c r="B596" s="60" t="s">
        <v>509</v>
      </c>
      <c r="C596" s="62">
        <v>16.0</v>
      </c>
      <c r="D596" s="63" t="s">
        <v>539</v>
      </c>
      <c r="E596" s="64">
        <v>0.0</v>
      </c>
      <c r="F596" s="65">
        <f t="shared" si="1"/>
        <v>16</v>
      </c>
      <c r="G596" s="66">
        <f>IF(B596&lt;&gt;"",VLOOKUP(B596,Zutaten!$C:$F,4,FALSE),"")*C596</f>
        <v>0.06224</v>
      </c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  <c r="AC596" s="67"/>
    </row>
    <row r="597">
      <c r="A597" s="60" t="s">
        <v>132</v>
      </c>
      <c r="B597" s="60" t="s">
        <v>429</v>
      </c>
      <c r="C597" s="62">
        <v>500.0</v>
      </c>
      <c r="D597" s="63" t="s">
        <v>539</v>
      </c>
      <c r="E597" s="64">
        <v>0.0</v>
      </c>
      <c r="F597" s="65">
        <f t="shared" si="1"/>
        <v>500</v>
      </c>
      <c r="G597" s="66">
        <f>IF(B597&lt;&gt;"",VLOOKUP(B597,Zutaten!$C:$F,4,FALSE),"")*C597</f>
        <v>1.495</v>
      </c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  <c r="AC597" s="67"/>
    </row>
    <row r="598">
      <c r="A598" s="60" t="s">
        <v>132</v>
      </c>
      <c r="B598" s="60" t="s">
        <v>405</v>
      </c>
      <c r="C598" s="62">
        <v>200.0</v>
      </c>
      <c r="D598" s="63" t="s">
        <v>539</v>
      </c>
      <c r="E598" s="64">
        <v>0.0</v>
      </c>
      <c r="F598" s="65">
        <f t="shared" si="1"/>
        <v>200</v>
      </c>
      <c r="G598" s="66">
        <f>IF(B598&lt;&gt;"",VLOOKUP(B598,Zutaten!$C:$F,4,FALSE),"")*C598</f>
        <v>0.5342857143</v>
      </c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  <c r="AC598" s="67"/>
    </row>
    <row r="599">
      <c r="A599" s="60" t="s">
        <v>132</v>
      </c>
      <c r="B599" s="60" t="s">
        <v>386</v>
      </c>
      <c r="C599" s="62">
        <v>10.0</v>
      </c>
      <c r="D599" s="63" t="s">
        <v>539</v>
      </c>
      <c r="E599" s="64">
        <v>0.0</v>
      </c>
      <c r="F599" s="65">
        <f t="shared" si="1"/>
        <v>10</v>
      </c>
      <c r="G599" s="66">
        <f>IF(B599&lt;&gt;"",VLOOKUP(B599,Zutaten!$C:$F,4,FALSE),"")*C599</f>
        <v>0.0208</v>
      </c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  <c r="AC599" s="67"/>
    </row>
    <row r="600">
      <c r="A600" s="61" t="s">
        <v>133</v>
      </c>
      <c r="B600" s="61" t="s">
        <v>455</v>
      </c>
      <c r="C600" s="62">
        <v>8000.0</v>
      </c>
      <c r="D600" s="63" t="s">
        <v>540</v>
      </c>
      <c r="E600" s="64">
        <v>0.0</v>
      </c>
      <c r="F600" s="65">
        <f t="shared" si="1"/>
        <v>8000</v>
      </c>
      <c r="G600" s="66">
        <f>IF(B600&lt;&gt;"",VLOOKUP(B600,Zutaten!$C:$F,4,FALSE),"")*C600</f>
        <v>15.92</v>
      </c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  <c r="AC600" s="67"/>
    </row>
    <row r="601">
      <c r="A601" s="61" t="s">
        <v>133</v>
      </c>
      <c r="B601" s="61" t="s">
        <v>510</v>
      </c>
      <c r="C601" s="62">
        <v>1000.0</v>
      </c>
      <c r="D601" s="63" t="s">
        <v>539</v>
      </c>
      <c r="E601" s="64">
        <v>0.0</v>
      </c>
      <c r="F601" s="65">
        <f t="shared" si="1"/>
        <v>1000</v>
      </c>
      <c r="G601" s="66">
        <f>IF(B601&lt;&gt;"",VLOOKUP(B601,Zutaten!$C:$F,4,FALSE),"")*C601</f>
        <v>4.64</v>
      </c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  <c r="AC601" s="67"/>
    </row>
    <row r="602">
      <c r="A602" s="61" t="s">
        <v>133</v>
      </c>
      <c r="B602" s="61" t="s">
        <v>332</v>
      </c>
      <c r="C602" s="62">
        <v>1000.0</v>
      </c>
      <c r="D602" s="63" t="s">
        <v>539</v>
      </c>
      <c r="E602" s="64">
        <v>0.0</v>
      </c>
      <c r="F602" s="65">
        <f t="shared" si="1"/>
        <v>1000</v>
      </c>
      <c r="G602" s="66">
        <f>IF(B602&lt;&gt;"",VLOOKUP(B602,Zutaten!$C:$F,4,FALSE),"")*C602</f>
        <v>8.49</v>
      </c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  <c r="AC602" s="67"/>
    </row>
    <row r="603">
      <c r="A603" s="61" t="s">
        <v>133</v>
      </c>
      <c r="B603" s="61" t="s">
        <v>467</v>
      </c>
      <c r="C603" s="62">
        <v>50.0</v>
      </c>
      <c r="D603" s="63" t="s">
        <v>539</v>
      </c>
      <c r="E603" s="64">
        <v>0.0</v>
      </c>
      <c r="F603" s="65">
        <f t="shared" si="1"/>
        <v>50</v>
      </c>
      <c r="G603" s="66">
        <f>IF(B603&lt;&gt;"",VLOOKUP(B603,Zutaten!$C:$F,4,FALSE),"")*C603</f>
        <v>0.0184</v>
      </c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  <c r="AC603" s="67"/>
    </row>
    <row r="604">
      <c r="A604" s="61" t="s">
        <v>133</v>
      </c>
      <c r="B604" s="61" t="s">
        <v>528</v>
      </c>
      <c r="C604" s="62">
        <v>80.0</v>
      </c>
      <c r="D604" s="63" t="s">
        <v>539</v>
      </c>
      <c r="E604" s="64">
        <v>0.0</v>
      </c>
      <c r="F604" s="65">
        <f t="shared" si="1"/>
        <v>80</v>
      </c>
      <c r="G604" s="66">
        <f>IF(B604&lt;&gt;"",VLOOKUP(B604,Zutaten!$C:$F,4,FALSE),"")*C604</f>
        <v>0.1152</v>
      </c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  <c r="AC604" s="67"/>
    </row>
    <row r="605">
      <c r="A605" s="61" t="s">
        <v>133</v>
      </c>
      <c r="B605" s="61" t="s">
        <v>351</v>
      </c>
      <c r="C605" s="62">
        <v>200.0</v>
      </c>
      <c r="D605" s="63" t="s">
        <v>540</v>
      </c>
      <c r="E605" s="64">
        <v>0.0</v>
      </c>
      <c r="F605" s="65">
        <f t="shared" si="1"/>
        <v>200</v>
      </c>
      <c r="G605" s="66">
        <f>IF(B605&lt;&gt;"",VLOOKUP(B605,Zutaten!$C:$F,4,FALSE),"")*C605</f>
        <v>0.142</v>
      </c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  <c r="AC605" s="67"/>
    </row>
    <row r="606">
      <c r="A606" s="61" t="s">
        <v>134</v>
      </c>
      <c r="B606" s="61" t="s">
        <v>455</v>
      </c>
      <c r="C606" s="62">
        <v>8000.0</v>
      </c>
      <c r="D606" s="63" t="s">
        <v>540</v>
      </c>
      <c r="E606" s="64">
        <v>0.0</v>
      </c>
      <c r="F606" s="65">
        <f t="shared" si="1"/>
        <v>8000</v>
      </c>
      <c r="G606" s="66">
        <f>IF(B606&lt;&gt;"",VLOOKUP(B606,Zutaten!$C:$F,4,FALSE),"")*C606</f>
        <v>15.92</v>
      </c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  <c r="AC606" s="67"/>
    </row>
    <row r="607">
      <c r="A607" s="61" t="s">
        <v>134</v>
      </c>
      <c r="B607" s="61" t="s">
        <v>510</v>
      </c>
      <c r="C607" s="62">
        <v>1000.0</v>
      </c>
      <c r="D607" s="63" t="s">
        <v>539</v>
      </c>
      <c r="E607" s="64">
        <v>0.0</v>
      </c>
      <c r="F607" s="65">
        <f t="shared" si="1"/>
        <v>1000</v>
      </c>
      <c r="G607" s="66">
        <f>IF(B607&lt;&gt;"",VLOOKUP(B607,Zutaten!$C:$F,4,FALSE),"")*C607</f>
        <v>4.64</v>
      </c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  <c r="AC607" s="67"/>
    </row>
    <row r="608">
      <c r="A608" s="61" t="s">
        <v>134</v>
      </c>
      <c r="B608" s="61" t="s">
        <v>332</v>
      </c>
      <c r="C608" s="62">
        <v>1000.0</v>
      </c>
      <c r="D608" s="63" t="s">
        <v>539</v>
      </c>
      <c r="E608" s="64">
        <v>0.0</v>
      </c>
      <c r="F608" s="65">
        <f t="shared" si="1"/>
        <v>1000</v>
      </c>
      <c r="G608" s="66">
        <f>IF(B608&lt;&gt;"",VLOOKUP(B608,Zutaten!$C:$F,4,FALSE),"")*C608</f>
        <v>8.49</v>
      </c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  <c r="AC608" s="67"/>
    </row>
    <row r="609">
      <c r="A609" s="61" t="s">
        <v>134</v>
      </c>
      <c r="B609" s="61" t="s">
        <v>467</v>
      </c>
      <c r="C609" s="62">
        <v>50.0</v>
      </c>
      <c r="D609" s="63" t="s">
        <v>539</v>
      </c>
      <c r="E609" s="64">
        <v>0.0</v>
      </c>
      <c r="F609" s="65">
        <f t="shared" si="1"/>
        <v>50</v>
      </c>
      <c r="G609" s="66">
        <f>IF(B609&lt;&gt;"",VLOOKUP(B609,Zutaten!$C:$F,4,FALSE),"")*C609</f>
        <v>0.0184</v>
      </c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  <c r="AC609" s="67"/>
    </row>
    <row r="610">
      <c r="A610" s="61" t="s">
        <v>134</v>
      </c>
      <c r="B610" s="61" t="s">
        <v>528</v>
      </c>
      <c r="C610" s="62">
        <v>80.0</v>
      </c>
      <c r="D610" s="63" t="s">
        <v>539</v>
      </c>
      <c r="E610" s="64">
        <v>0.0</v>
      </c>
      <c r="F610" s="65">
        <f t="shared" si="1"/>
        <v>80</v>
      </c>
      <c r="G610" s="66">
        <f>IF(B610&lt;&gt;"",VLOOKUP(B610,Zutaten!$C:$F,4,FALSE),"")*C610</f>
        <v>0.1152</v>
      </c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  <c r="AC610" s="67"/>
    </row>
    <row r="611">
      <c r="A611" s="61" t="s">
        <v>134</v>
      </c>
      <c r="B611" s="61" t="s">
        <v>351</v>
      </c>
      <c r="C611" s="62">
        <v>200.0</v>
      </c>
      <c r="D611" s="63" t="s">
        <v>540</v>
      </c>
      <c r="E611" s="64">
        <v>0.0</v>
      </c>
      <c r="F611" s="65">
        <f t="shared" si="1"/>
        <v>200</v>
      </c>
      <c r="G611" s="66">
        <f>IF(B611&lt;&gt;"",VLOOKUP(B611,Zutaten!$C:$F,4,FALSE),"")*C611</f>
        <v>0.142</v>
      </c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  <c r="AC611" s="67"/>
    </row>
    <row r="612">
      <c r="A612" s="63" t="s">
        <v>134</v>
      </c>
      <c r="B612" s="13" t="s">
        <v>352</v>
      </c>
      <c r="C612" s="63">
        <v>100.0</v>
      </c>
      <c r="D612" s="63" t="s">
        <v>539</v>
      </c>
      <c r="E612" s="64">
        <v>0.0</v>
      </c>
      <c r="F612" s="65">
        <f t="shared" si="1"/>
        <v>100</v>
      </c>
      <c r="G612" s="66">
        <f>IF(B612&lt;&gt;"",VLOOKUP(B612,Zutaten!$C:$F,4,FALSE),"")*C612</f>
        <v>2.42</v>
      </c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  <c r="AC612" s="67"/>
    </row>
    <row r="613">
      <c r="A613" s="63" t="s">
        <v>134</v>
      </c>
      <c r="B613" s="13" t="s">
        <v>387</v>
      </c>
      <c r="C613" s="63">
        <v>100.0</v>
      </c>
      <c r="D613" s="63" t="s">
        <v>539</v>
      </c>
      <c r="E613" s="64">
        <v>0.0</v>
      </c>
      <c r="F613" s="65">
        <f t="shared" si="1"/>
        <v>100</v>
      </c>
      <c r="G613" s="66">
        <f>IF(B613&lt;&gt;"",VLOOKUP(B613,Zutaten!$C:$F,4,FALSE),"")*C613</f>
        <v>2.28</v>
      </c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  <c r="AC613" s="67"/>
    </row>
    <row r="614">
      <c r="A614" s="18" t="s">
        <v>129</v>
      </c>
      <c r="B614" s="18" t="s">
        <v>546</v>
      </c>
      <c r="C614" s="68">
        <v>280.0</v>
      </c>
      <c r="D614" s="63" t="s">
        <v>539</v>
      </c>
      <c r="E614" s="64">
        <v>0.0</v>
      </c>
      <c r="F614" s="65">
        <f t="shared" si="1"/>
        <v>280</v>
      </c>
      <c r="G614" s="66">
        <f>IF(B614&lt;&gt;"",VLOOKUP(B614,Zutaten!$C:$F,4,FALSE),"")*C614</f>
        <v>1.31415413</v>
      </c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  <c r="AC614" s="67"/>
    </row>
    <row r="615">
      <c r="A615" s="18" t="s">
        <v>129</v>
      </c>
      <c r="B615" s="18" t="s">
        <v>96</v>
      </c>
      <c r="C615" s="68">
        <v>30.0</v>
      </c>
      <c r="D615" s="63" t="s">
        <v>539</v>
      </c>
      <c r="E615" s="64">
        <v>0.0</v>
      </c>
      <c r="F615" s="65">
        <f t="shared" si="1"/>
        <v>30</v>
      </c>
      <c r="G615" s="66">
        <f>IF(B615&lt;&gt;"",VLOOKUP(B615,Zutaten!$C:$F,4,FALSE),"")*C615</f>
        <v>0.1294913043</v>
      </c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  <c r="AC615" s="67"/>
    </row>
    <row r="616">
      <c r="A616" s="18" t="s">
        <v>129</v>
      </c>
      <c r="B616" s="18" t="s">
        <v>38</v>
      </c>
      <c r="C616" s="68">
        <v>130.0</v>
      </c>
      <c r="D616" s="63" t="s">
        <v>539</v>
      </c>
      <c r="E616" s="64">
        <v>0.0</v>
      </c>
      <c r="F616" s="65">
        <f t="shared" si="1"/>
        <v>130</v>
      </c>
      <c r="G616" s="66">
        <f>IF(B616&lt;&gt;"",VLOOKUP(B616,Zutaten!$C:$F,4,FALSE),"")*C616</f>
        <v>0.4628</v>
      </c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  <c r="AC616" s="67"/>
    </row>
    <row r="617">
      <c r="A617" s="18" t="s">
        <v>129</v>
      </c>
      <c r="B617" s="18" t="s">
        <v>100</v>
      </c>
      <c r="C617" s="68">
        <v>110.0</v>
      </c>
      <c r="D617" s="63" t="s">
        <v>539</v>
      </c>
      <c r="E617" s="64">
        <v>0.0</v>
      </c>
      <c r="F617" s="65">
        <f t="shared" si="1"/>
        <v>110</v>
      </c>
      <c r="G617" s="66">
        <f>IF(B617&lt;&gt;"",VLOOKUP(B617,Zutaten!$C:$F,4,FALSE),"")*C617</f>
        <v>0.8227705065</v>
      </c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  <c r="AC617" s="67"/>
    </row>
    <row r="618">
      <c r="A618" s="18" t="s">
        <v>129</v>
      </c>
      <c r="B618" s="60" t="s">
        <v>116</v>
      </c>
      <c r="C618" s="68">
        <v>20.0</v>
      </c>
      <c r="D618" s="63" t="s">
        <v>539</v>
      </c>
      <c r="E618" s="64">
        <v>0.0</v>
      </c>
      <c r="F618" s="65">
        <f t="shared" si="1"/>
        <v>20</v>
      </c>
      <c r="G618" s="66">
        <f>IF(B618&lt;&gt;"",VLOOKUP(B618,Zutaten!$C:$F,4,FALSE),"")*C618</f>
        <v>0.0798</v>
      </c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  <c r="AC618" s="67"/>
    </row>
    <row r="619">
      <c r="A619" s="18" t="s">
        <v>136</v>
      </c>
      <c r="B619" s="18" t="s">
        <v>511</v>
      </c>
      <c r="C619" s="68">
        <v>200.0</v>
      </c>
      <c r="D619" s="63" t="s">
        <v>539</v>
      </c>
      <c r="E619" s="64">
        <v>0.0</v>
      </c>
      <c r="F619" s="65">
        <f t="shared" si="1"/>
        <v>200</v>
      </c>
      <c r="G619" s="66">
        <f>IF(B619&lt;&gt;"",VLOOKUP(B619,Zutaten!$C:$F,4,FALSE),"")*C619</f>
        <v>0.238</v>
      </c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  <c r="AC619" s="67"/>
    </row>
    <row r="620">
      <c r="A620" s="18" t="s">
        <v>136</v>
      </c>
      <c r="B620" s="18" t="s">
        <v>226</v>
      </c>
      <c r="C620" s="68">
        <v>150.0</v>
      </c>
      <c r="D620" s="63" t="s">
        <v>539</v>
      </c>
      <c r="E620" s="64">
        <v>0.0</v>
      </c>
      <c r="F620" s="65">
        <f t="shared" si="1"/>
        <v>150</v>
      </c>
      <c r="G620" s="66">
        <f>IF(B620&lt;&gt;"",VLOOKUP(B620,Zutaten!$C:$F,4,FALSE),"")*C620</f>
        <v>0.355125</v>
      </c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  <c r="AC620" s="67"/>
    </row>
    <row r="621">
      <c r="A621" s="18" t="s">
        <v>136</v>
      </c>
      <c r="B621" s="18" t="s">
        <v>466</v>
      </c>
      <c r="C621" s="68">
        <v>30.0</v>
      </c>
      <c r="D621" s="63" t="s">
        <v>539</v>
      </c>
      <c r="E621" s="64">
        <v>0.0</v>
      </c>
      <c r="F621" s="65">
        <f t="shared" si="1"/>
        <v>30</v>
      </c>
      <c r="G621" s="66">
        <f>IF(B621&lt;&gt;"",VLOOKUP(B621,Zutaten!$C:$F,4,FALSE),"")*C621</f>
        <v>0.1329</v>
      </c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  <c r="AC621" s="67"/>
    </row>
    <row r="622">
      <c r="A622" s="18" t="s">
        <v>136</v>
      </c>
      <c r="B622" s="18" t="s">
        <v>242</v>
      </c>
      <c r="C622" s="68">
        <v>30.0</v>
      </c>
      <c r="D622" s="63" t="s">
        <v>539</v>
      </c>
      <c r="E622" s="64">
        <v>0.0</v>
      </c>
      <c r="F622" s="65">
        <f t="shared" si="1"/>
        <v>30</v>
      </c>
      <c r="G622" s="66">
        <f>IF(B622&lt;&gt;"",VLOOKUP(B622,Zutaten!$C:$F,4,FALSE),"")*C622</f>
        <v>0.1191428571</v>
      </c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  <c r="AC622" s="67"/>
    </row>
    <row r="623">
      <c r="A623" s="18" t="s">
        <v>136</v>
      </c>
      <c r="B623" s="13" t="s">
        <v>489</v>
      </c>
      <c r="C623" s="68">
        <v>10.0</v>
      </c>
      <c r="D623" s="63" t="s">
        <v>539</v>
      </c>
      <c r="E623" s="64">
        <v>0.0</v>
      </c>
      <c r="F623" s="65">
        <f t="shared" si="1"/>
        <v>10</v>
      </c>
      <c r="G623" s="66">
        <f>IF(B623&lt;&gt;"",VLOOKUP(B623,Zutaten!$C:$F,4,FALSE),"")*C623</f>
        <v>0.1765</v>
      </c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  <c r="AC623" s="67"/>
    </row>
    <row r="624">
      <c r="A624" s="18" t="s">
        <v>137</v>
      </c>
      <c r="B624" s="18" t="s">
        <v>511</v>
      </c>
      <c r="C624" s="68">
        <v>200.0</v>
      </c>
      <c r="D624" s="63" t="s">
        <v>539</v>
      </c>
      <c r="E624" s="64">
        <v>0.0</v>
      </c>
      <c r="F624" s="65">
        <f t="shared" si="1"/>
        <v>200</v>
      </c>
      <c r="G624" s="66">
        <f>IF(B624&lt;&gt;"",VLOOKUP(B624,Zutaten!$C:$F,4,FALSE),"")*C624</f>
        <v>0.238</v>
      </c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  <c r="AC624" s="67"/>
    </row>
    <row r="625">
      <c r="A625" s="18" t="s">
        <v>137</v>
      </c>
      <c r="B625" s="18" t="s">
        <v>466</v>
      </c>
      <c r="C625" s="68">
        <v>30.0</v>
      </c>
      <c r="D625" s="63" t="s">
        <v>539</v>
      </c>
      <c r="E625" s="64">
        <v>0.0</v>
      </c>
      <c r="F625" s="65">
        <f t="shared" si="1"/>
        <v>30</v>
      </c>
      <c r="G625" s="66">
        <f>IF(B625&lt;&gt;"",VLOOKUP(B625,Zutaten!$C:$F,4,FALSE),"")*C625</f>
        <v>0.1329</v>
      </c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  <c r="AC625" s="67"/>
    </row>
    <row r="626">
      <c r="A626" s="18" t="s">
        <v>137</v>
      </c>
      <c r="B626" s="18" t="s">
        <v>508</v>
      </c>
      <c r="C626" s="68">
        <v>170.0</v>
      </c>
      <c r="D626" s="63" t="s">
        <v>539</v>
      </c>
      <c r="E626" s="64">
        <v>0.0</v>
      </c>
      <c r="F626" s="65">
        <f t="shared" si="1"/>
        <v>170</v>
      </c>
      <c r="G626" s="66">
        <f>IF(B626&lt;&gt;"",VLOOKUP(B626,Zutaten!$C:$F,4,FALSE),"")*C626</f>
        <v>0.6953</v>
      </c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  <c r="AC626" s="67"/>
    </row>
    <row r="627">
      <c r="A627" s="18" t="s">
        <v>137</v>
      </c>
      <c r="B627" s="18" t="s">
        <v>242</v>
      </c>
      <c r="C627" s="68">
        <v>30.0</v>
      </c>
      <c r="D627" s="63" t="s">
        <v>539</v>
      </c>
      <c r="E627" s="64">
        <v>0.0</v>
      </c>
      <c r="F627" s="65">
        <f t="shared" si="1"/>
        <v>30</v>
      </c>
      <c r="G627" s="66">
        <f>IF(B627&lt;&gt;"",VLOOKUP(B627,Zutaten!$C:$F,4,FALSE),"")*C627</f>
        <v>0.1191428571</v>
      </c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  <c r="AC627" s="67"/>
    </row>
    <row r="628">
      <c r="A628" s="18" t="s">
        <v>137</v>
      </c>
      <c r="B628" s="73" t="s">
        <v>422</v>
      </c>
      <c r="C628" s="68">
        <v>10.0</v>
      </c>
      <c r="D628" s="63" t="s">
        <v>539</v>
      </c>
      <c r="E628" s="64">
        <v>0.0</v>
      </c>
      <c r="F628" s="65">
        <f t="shared" si="1"/>
        <v>10</v>
      </c>
      <c r="G628" s="66">
        <f>IF(B628&lt;&gt;"",VLOOKUP(B628,Zutaten!$C:$F,4,FALSE),"")*C628</f>
        <v>0.09</v>
      </c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  <c r="AC628" s="67"/>
    </row>
    <row r="629">
      <c r="A629" s="18" t="s">
        <v>135</v>
      </c>
      <c r="B629" s="18" t="s">
        <v>519</v>
      </c>
      <c r="C629" s="68">
        <v>20.0</v>
      </c>
      <c r="D629" s="63" t="s">
        <v>539</v>
      </c>
      <c r="E629" s="64">
        <v>0.0</v>
      </c>
      <c r="F629" s="65">
        <f t="shared" si="1"/>
        <v>20</v>
      </c>
      <c r="G629" s="66">
        <f>IF(B629&lt;&gt;"",VLOOKUP(B629,Zutaten!$C:$F,4,FALSE),"")*C629</f>
        <v>0.4072</v>
      </c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  <c r="AC629" s="67"/>
    </row>
    <row r="630">
      <c r="A630" s="18" t="s">
        <v>135</v>
      </c>
      <c r="B630" s="18" t="s">
        <v>115</v>
      </c>
      <c r="C630" s="68">
        <v>20.0</v>
      </c>
      <c r="D630" s="63" t="s">
        <v>539</v>
      </c>
      <c r="E630" s="64">
        <v>0.0</v>
      </c>
      <c r="F630" s="65">
        <f t="shared" si="1"/>
        <v>20</v>
      </c>
      <c r="G630" s="66">
        <f>IF(B630&lt;&gt;"",VLOOKUP(B630,Zutaten!$C:$F,4,FALSE),"")*C630</f>
        <v>0.2320382665</v>
      </c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  <c r="AC630" s="67"/>
    </row>
    <row r="631">
      <c r="A631" s="18" t="s">
        <v>135</v>
      </c>
      <c r="B631" s="18" t="s">
        <v>497</v>
      </c>
      <c r="C631" s="68">
        <v>7.0</v>
      </c>
      <c r="D631" s="63" t="s">
        <v>539</v>
      </c>
      <c r="E631" s="64">
        <v>0.0</v>
      </c>
      <c r="F631" s="65">
        <f t="shared" si="1"/>
        <v>7</v>
      </c>
      <c r="G631" s="66">
        <f>IF(B631&lt;&gt;"",VLOOKUP(B631,Zutaten!$C:$F,4,FALSE),"")*C631</f>
        <v>0.015974</v>
      </c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  <c r="AC631" s="67"/>
    </row>
    <row r="632">
      <c r="A632" s="18" t="s">
        <v>135</v>
      </c>
      <c r="B632" s="18" t="s">
        <v>15</v>
      </c>
      <c r="C632" s="68">
        <v>10.0</v>
      </c>
      <c r="D632" s="63" t="s">
        <v>539</v>
      </c>
      <c r="E632" s="64">
        <v>0.0</v>
      </c>
      <c r="F632" s="65">
        <f t="shared" si="1"/>
        <v>10</v>
      </c>
      <c r="G632" s="66">
        <f>IF(B632&lt;&gt;"",VLOOKUP(B632,Zutaten!$C:$F,4,FALSE),"")*C632</f>
        <v>0.03583486726</v>
      </c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  <c r="AC632" s="67"/>
    </row>
    <row r="633">
      <c r="A633" s="18" t="s">
        <v>135</v>
      </c>
      <c r="B633" s="18" t="s">
        <v>350</v>
      </c>
      <c r="C633" s="68">
        <v>8.0</v>
      </c>
      <c r="D633" s="63" t="s">
        <v>539</v>
      </c>
      <c r="E633" s="64">
        <v>0.0</v>
      </c>
      <c r="F633" s="65">
        <f t="shared" si="1"/>
        <v>8</v>
      </c>
      <c r="G633" s="66">
        <f>IF(B633&lt;&gt;"",VLOOKUP(B633,Zutaten!$C:$F,4,FALSE),"")*C633</f>
        <v>0.06824</v>
      </c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  <c r="AC633" s="67"/>
    </row>
    <row r="634">
      <c r="A634" s="18" t="s">
        <v>135</v>
      </c>
      <c r="B634" s="18" t="s">
        <v>560</v>
      </c>
      <c r="C634" s="68">
        <v>10.0</v>
      </c>
      <c r="D634" s="63" t="s">
        <v>539</v>
      </c>
      <c r="E634" s="64">
        <v>0.0</v>
      </c>
      <c r="F634" s="65">
        <f t="shared" si="1"/>
        <v>10</v>
      </c>
      <c r="G634" s="66">
        <f>IF(B634&lt;&gt;"",VLOOKUP(B634,Zutaten!$C:$F,4,FALSE),"")*C634</f>
        <v>0.0509</v>
      </c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  <c r="AC634" s="67"/>
    </row>
    <row r="635">
      <c r="A635" s="18" t="s">
        <v>139</v>
      </c>
      <c r="B635" s="18" t="s">
        <v>402</v>
      </c>
      <c r="C635" s="78">
        <f>600+140</f>
        <v>740</v>
      </c>
      <c r="D635" s="63" t="s">
        <v>539</v>
      </c>
      <c r="E635" s="64">
        <v>0.0</v>
      </c>
      <c r="F635" s="65">
        <f t="shared" si="1"/>
        <v>740</v>
      </c>
      <c r="G635" s="66">
        <f>IF(B635&lt;&gt;"",VLOOKUP(B635,Zutaten!$C:$F,4,FALSE),"")*C635</f>
        <v>10.6856</v>
      </c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  <c r="AC635" s="67"/>
    </row>
    <row r="636">
      <c r="A636" s="18" t="s">
        <v>139</v>
      </c>
      <c r="B636" s="18" t="s">
        <v>314</v>
      </c>
      <c r="C636" s="78">
        <f>75+40</f>
        <v>115</v>
      </c>
      <c r="D636" s="63" t="s">
        <v>539</v>
      </c>
      <c r="E636" s="64">
        <v>0.0</v>
      </c>
      <c r="F636" s="65">
        <f t="shared" si="1"/>
        <v>115</v>
      </c>
      <c r="G636" s="66">
        <f>IF(B636&lt;&gt;"",VLOOKUP(B636,Zutaten!$C:$F,4,FALSE),"")*C636</f>
        <v>0.828</v>
      </c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  <c r="AC636" s="67"/>
    </row>
    <row r="637">
      <c r="A637" s="18" t="s">
        <v>139</v>
      </c>
      <c r="B637" s="18" t="s">
        <v>455</v>
      </c>
      <c r="C637" s="63">
        <v>40.0</v>
      </c>
      <c r="D637" s="63" t="s">
        <v>539</v>
      </c>
      <c r="E637" s="64">
        <v>0.0</v>
      </c>
      <c r="F637" s="65">
        <f t="shared" si="1"/>
        <v>40</v>
      </c>
      <c r="G637" s="66">
        <f>IF(B637&lt;&gt;"",VLOOKUP(B637,Zutaten!$C:$F,4,FALSE),"")*C637</f>
        <v>0.0796</v>
      </c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  <c r="AC637" s="67"/>
    </row>
    <row r="638">
      <c r="A638" s="18" t="s">
        <v>139</v>
      </c>
      <c r="B638" s="18" t="s">
        <v>395</v>
      </c>
      <c r="C638" s="78">
        <v>225.0</v>
      </c>
      <c r="D638" s="63" t="s">
        <v>539</v>
      </c>
      <c r="E638" s="64">
        <v>0.0</v>
      </c>
      <c r="F638" s="65">
        <f t="shared" si="1"/>
        <v>225</v>
      </c>
      <c r="G638" s="66">
        <f>IF(B638&lt;&gt;"",VLOOKUP(B638,Zutaten!$C:$F,4,FALSE),"")*C638</f>
        <v>0.855</v>
      </c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  <c r="AC638" s="67"/>
    </row>
    <row r="639">
      <c r="A639" s="18" t="s">
        <v>139</v>
      </c>
      <c r="B639" s="18" t="s">
        <v>332</v>
      </c>
      <c r="C639" s="78">
        <v>225.0</v>
      </c>
      <c r="D639" s="63" t="s">
        <v>539</v>
      </c>
      <c r="E639" s="64">
        <v>0.0</v>
      </c>
      <c r="F639" s="65">
        <f t="shared" si="1"/>
        <v>225</v>
      </c>
      <c r="G639" s="66">
        <f>IF(B639&lt;&gt;"",VLOOKUP(B639,Zutaten!$C:$F,4,FALSE),"")*C639</f>
        <v>1.91025</v>
      </c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  <c r="AC639" s="67"/>
    </row>
    <row r="640">
      <c r="A640" s="18" t="s">
        <v>139</v>
      </c>
      <c r="B640" s="18" t="s">
        <v>528</v>
      </c>
      <c r="C640" s="78">
        <v>90.0</v>
      </c>
      <c r="D640" s="63" t="s">
        <v>539</v>
      </c>
      <c r="E640" s="64">
        <v>0.0</v>
      </c>
      <c r="F640" s="65">
        <f t="shared" si="1"/>
        <v>90</v>
      </c>
      <c r="G640" s="66">
        <f>IF(B640&lt;&gt;"",VLOOKUP(B640,Zutaten!$C:$F,4,FALSE),"")*C640</f>
        <v>0.1296</v>
      </c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  <c r="AC640" s="67"/>
    </row>
    <row r="641">
      <c r="A641" s="18" t="s">
        <v>139</v>
      </c>
      <c r="B641" s="18" t="s">
        <v>466</v>
      </c>
      <c r="C641" s="78">
        <v>300.0</v>
      </c>
      <c r="D641" s="63" t="s">
        <v>539</v>
      </c>
      <c r="E641" s="64">
        <v>0.0</v>
      </c>
      <c r="F641" s="65">
        <f t="shared" si="1"/>
        <v>300</v>
      </c>
      <c r="G641" s="66">
        <f>IF(B641&lt;&gt;"",VLOOKUP(B641,Zutaten!$C:$F,4,FALSE),"")*C641</f>
        <v>1.329</v>
      </c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  <c r="AC641" s="67"/>
    </row>
    <row r="642">
      <c r="A642" s="18" t="s">
        <v>138</v>
      </c>
      <c r="B642" s="18" t="s">
        <v>32</v>
      </c>
      <c r="C642" s="68">
        <f>500/20</f>
        <v>25</v>
      </c>
      <c r="D642" s="63" t="s">
        <v>539</v>
      </c>
      <c r="E642" s="64">
        <v>0.0</v>
      </c>
      <c r="F642" s="65">
        <f t="shared" si="1"/>
        <v>25</v>
      </c>
      <c r="G642" s="66">
        <f>IF(B642&lt;&gt;"",VLOOKUP(B642,Zutaten!$C:$F,4,FALSE),"")*C642</f>
        <v>0.1212248322</v>
      </c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  <c r="AC642" s="67"/>
    </row>
    <row r="643">
      <c r="A643" s="18" t="s">
        <v>138</v>
      </c>
      <c r="B643" s="77" t="s">
        <v>201</v>
      </c>
      <c r="C643" s="68">
        <v>30.0</v>
      </c>
      <c r="D643" s="63" t="s">
        <v>539</v>
      </c>
      <c r="E643" s="64">
        <v>0.0</v>
      </c>
      <c r="F643" s="65">
        <f t="shared" si="1"/>
        <v>30</v>
      </c>
      <c r="G643" s="66">
        <f>IF(B643&lt;&gt;"",VLOOKUP(B643,Zutaten!$C:$F,4,FALSE),"")*C643</f>
        <v>0.1815618762</v>
      </c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  <c r="AC643" s="67"/>
    </row>
    <row r="644">
      <c r="A644" s="18" t="s">
        <v>138</v>
      </c>
      <c r="B644" s="77" t="s">
        <v>139</v>
      </c>
      <c r="C644" s="68">
        <f>1735/20</f>
        <v>86.75</v>
      </c>
      <c r="D644" s="63" t="s">
        <v>539</v>
      </c>
      <c r="E644" s="64">
        <v>0.0</v>
      </c>
      <c r="F644" s="65">
        <f t="shared" si="1"/>
        <v>86.75</v>
      </c>
      <c r="G644" s="66">
        <f>IF(B644&lt;&gt;"",VLOOKUP(B644,Zutaten!$C:$F,4,FALSE),"")*C644</f>
        <v>0.7908525</v>
      </c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  <c r="AC644" s="67"/>
    </row>
    <row r="645">
      <c r="A645" s="17" t="s">
        <v>140</v>
      </c>
      <c r="B645" s="60" t="s">
        <v>142</v>
      </c>
      <c r="C645" s="68">
        <v>250.0</v>
      </c>
      <c r="D645" s="63" t="s">
        <v>539</v>
      </c>
      <c r="E645" s="64">
        <v>0.0</v>
      </c>
      <c r="F645" s="65">
        <f t="shared" si="1"/>
        <v>250</v>
      </c>
      <c r="G645" s="66">
        <f>IF(B645&lt;&gt;"",VLOOKUP(B645,Zutaten!$C:$F,4,FALSE),"")*C645</f>
        <v>1.533822368</v>
      </c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  <c r="AC645" s="67"/>
    </row>
    <row r="646">
      <c r="A646" s="17" t="s">
        <v>140</v>
      </c>
      <c r="B646" s="60" t="s">
        <v>281</v>
      </c>
      <c r="C646" s="68">
        <v>80.0</v>
      </c>
      <c r="D646" s="63" t="s">
        <v>539</v>
      </c>
      <c r="E646" s="64">
        <v>0.0</v>
      </c>
      <c r="F646" s="65">
        <f t="shared" si="1"/>
        <v>80</v>
      </c>
      <c r="G646" s="66">
        <f>IF(B646&lt;&gt;"",VLOOKUP(B646,Zutaten!$C:$F,4,FALSE),"")*C646</f>
        <v>0.3435760053</v>
      </c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  <c r="AC646" s="67"/>
    </row>
    <row r="647">
      <c r="A647" s="63" t="s">
        <v>142</v>
      </c>
      <c r="B647" s="20" t="s">
        <v>423</v>
      </c>
      <c r="C647" s="63">
        <v>1000.0</v>
      </c>
      <c r="D647" s="63" t="s">
        <v>539</v>
      </c>
      <c r="E647" s="64">
        <v>0.0</v>
      </c>
      <c r="F647" s="65">
        <f t="shared" si="1"/>
        <v>1000</v>
      </c>
      <c r="G647" s="66">
        <f>IF(B647&lt;&gt;"",VLOOKUP(B647,Zutaten!$C:$F,4,FALSE),"")*C647</f>
        <v>7.54</v>
      </c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  <c r="AC647" s="67"/>
    </row>
    <row r="648">
      <c r="A648" s="63" t="s">
        <v>142</v>
      </c>
      <c r="B648" s="63" t="s">
        <v>518</v>
      </c>
      <c r="C648" s="63">
        <v>150.0</v>
      </c>
      <c r="D648" s="63" t="s">
        <v>539</v>
      </c>
      <c r="E648" s="64">
        <v>0.0</v>
      </c>
      <c r="F648" s="65">
        <f t="shared" si="1"/>
        <v>150</v>
      </c>
      <c r="G648" s="66">
        <f>IF(B648&lt;&gt;"",VLOOKUP(B648,Zutaten!$C:$F,4,FALSE),"")*C648</f>
        <v>0.11205</v>
      </c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  <c r="AC648" s="67"/>
    </row>
    <row r="649">
      <c r="A649" s="63" t="s">
        <v>142</v>
      </c>
      <c r="B649" s="61" t="s">
        <v>433</v>
      </c>
      <c r="C649" s="63">
        <v>500.0</v>
      </c>
      <c r="D649" s="63" t="s">
        <v>539</v>
      </c>
      <c r="E649" s="64">
        <v>0.0</v>
      </c>
      <c r="F649" s="65">
        <f t="shared" si="1"/>
        <v>500</v>
      </c>
      <c r="G649" s="66">
        <f>IF(B649&lt;&gt;"",VLOOKUP(B649,Zutaten!$C:$F,4,FALSE),"")*C649</f>
        <v>2.845</v>
      </c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  <c r="AC649" s="67"/>
    </row>
    <row r="650">
      <c r="A650" s="63" t="s">
        <v>142</v>
      </c>
      <c r="B650" s="63" t="s">
        <v>559</v>
      </c>
      <c r="C650" s="63">
        <v>250.0</v>
      </c>
      <c r="D650" s="63" t="s">
        <v>540</v>
      </c>
      <c r="E650" s="64">
        <v>0.0</v>
      </c>
      <c r="F650" s="65">
        <f t="shared" si="1"/>
        <v>250</v>
      </c>
      <c r="G650" s="66">
        <f>IF(B650&lt;&gt;"",VLOOKUP(B650,Zutaten!$C:$F,4,FALSE),"")*C650</f>
        <v>1.16</v>
      </c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  <c r="AC650" s="67"/>
    </row>
    <row r="651">
      <c r="A651" s="60" t="s">
        <v>143</v>
      </c>
      <c r="B651" s="60" t="s">
        <v>314</v>
      </c>
      <c r="C651" s="63">
        <v>500.0</v>
      </c>
      <c r="D651" s="63" t="s">
        <v>539</v>
      </c>
      <c r="E651" s="64">
        <v>0.0</v>
      </c>
      <c r="F651" s="65">
        <f t="shared" si="1"/>
        <v>500</v>
      </c>
      <c r="G651" s="66">
        <f>IF(B651&lt;&gt;"",VLOOKUP(B651,Zutaten!$C:$F,4,FALSE),"")*C651</f>
        <v>3.6</v>
      </c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  <c r="AC651" s="67"/>
    </row>
    <row r="652">
      <c r="A652" s="60" t="s">
        <v>143</v>
      </c>
      <c r="B652" s="63" t="s">
        <v>452</v>
      </c>
      <c r="C652" s="63">
        <v>250.0</v>
      </c>
      <c r="D652" s="63" t="s">
        <v>539</v>
      </c>
      <c r="E652" s="64">
        <v>0.0</v>
      </c>
      <c r="F652" s="65">
        <f t="shared" si="1"/>
        <v>250</v>
      </c>
      <c r="G652" s="66">
        <f>IF(B652&lt;&gt;"",VLOOKUP(B652,Zutaten!$C:$F,4,FALSE),"")*C652</f>
        <v>0.598</v>
      </c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  <c r="AC652" s="67"/>
    </row>
    <row r="653">
      <c r="A653" s="60" t="s">
        <v>143</v>
      </c>
      <c r="B653" s="63" t="s">
        <v>518</v>
      </c>
      <c r="C653" s="63">
        <v>600.0</v>
      </c>
      <c r="D653" s="63" t="s">
        <v>539</v>
      </c>
      <c r="E653" s="64">
        <v>0.0</v>
      </c>
      <c r="F653" s="65">
        <f t="shared" si="1"/>
        <v>600</v>
      </c>
      <c r="G653" s="66">
        <f>IF(B653&lt;&gt;"",VLOOKUP(B653,Zutaten!$C:$F,4,FALSE),"")*C653</f>
        <v>0.4482</v>
      </c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  <c r="AC653" s="67"/>
    </row>
    <row r="654">
      <c r="A654" s="60" t="s">
        <v>143</v>
      </c>
      <c r="B654" s="60" t="s">
        <v>510</v>
      </c>
      <c r="C654" s="63">
        <v>75.0</v>
      </c>
      <c r="D654" s="63" t="s">
        <v>539</v>
      </c>
      <c r="E654" s="64">
        <v>0.0</v>
      </c>
      <c r="F654" s="65">
        <f t="shared" si="1"/>
        <v>75</v>
      </c>
      <c r="G654" s="66">
        <f>IF(B654&lt;&gt;"",VLOOKUP(B654,Zutaten!$C:$F,4,FALSE),"")*C654</f>
        <v>0.348</v>
      </c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  <c r="AC654" s="67"/>
    </row>
    <row r="655">
      <c r="A655" s="60" t="s">
        <v>143</v>
      </c>
      <c r="B655" s="63" t="s">
        <v>381</v>
      </c>
      <c r="C655" s="63">
        <v>130.0</v>
      </c>
      <c r="D655" s="63" t="s">
        <v>539</v>
      </c>
      <c r="E655" s="64">
        <v>0.0</v>
      </c>
      <c r="F655" s="65">
        <f t="shared" si="1"/>
        <v>130</v>
      </c>
      <c r="G655" s="66">
        <f>IF(B655&lt;&gt;"",VLOOKUP(B655,Zutaten!$C:$F,4,FALSE),"")*C655</f>
        <v>2.9133</v>
      </c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  <c r="AC655" s="67"/>
    </row>
    <row r="656">
      <c r="A656" s="63" t="s">
        <v>144</v>
      </c>
      <c r="B656" s="63" t="s">
        <v>314</v>
      </c>
      <c r="C656" s="63">
        <v>500.0</v>
      </c>
      <c r="D656" s="63" t="s">
        <v>539</v>
      </c>
      <c r="E656" s="64">
        <v>0.0</v>
      </c>
      <c r="F656" s="65">
        <f t="shared" si="1"/>
        <v>500</v>
      </c>
      <c r="G656" s="66">
        <f>IF(B656&lt;&gt;"",VLOOKUP(B656,Zutaten!$C:$F,4,FALSE),"")*C656</f>
        <v>3.6</v>
      </c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  <c r="AC656" s="67"/>
    </row>
    <row r="657">
      <c r="A657" s="63" t="s">
        <v>144</v>
      </c>
      <c r="B657" s="63" t="s">
        <v>452</v>
      </c>
      <c r="C657" s="63">
        <v>250.0</v>
      </c>
      <c r="D657" s="63" t="s">
        <v>539</v>
      </c>
      <c r="E657" s="64">
        <v>0.0</v>
      </c>
      <c r="F657" s="65">
        <f t="shared" si="1"/>
        <v>250</v>
      </c>
      <c r="G657" s="66">
        <f>IF(B657&lt;&gt;"",VLOOKUP(B657,Zutaten!$C:$F,4,FALSE),"")*C657</f>
        <v>0.598</v>
      </c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  <c r="AC657" s="67"/>
    </row>
    <row r="658">
      <c r="A658" s="63" t="s">
        <v>144</v>
      </c>
      <c r="B658" s="60" t="s">
        <v>518</v>
      </c>
      <c r="C658" s="63">
        <v>730.0</v>
      </c>
      <c r="D658" s="63" t="s">
        <v>539</v>
      </c>
      <c r="E658" s="64">
        <v>0.0</v>
      </c>
      <c r="F658" s="65">
        <f t="shared" si="1"/>
        <v>730</v>
      </c>
      <c r="G658" s="66">
        <f>IF(B658&lt;&gt;"",VLOOKUP(B658,Zutaten!$C:$F,4,FALSE),"")*C658</f>
        <v>0.54531</v>
      </c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  <c r="AC658" s="67"/>
    </row>
    <row r="659">
      <c r="A659" s="63" t="s">
        <v>144</v>
      </c>
      <c r="B659" s="63" t="s">
        <v>510</v>
      </c>
      <c r="C659" s="63">
        <v>75.0</v>
      </c>
      <c r="D659" s="63" t="s">
        <v>539</v>
      </c>
      <c r="E659" s="64">
        <v>0.0</v>
      </c>
      <c r="F659" s="65">
        <f t="shared" si="1"/>
        <v>75</v>
      </c>
      <c r="G659" s="66">
        <f>IF(B659&lt;&gt;"",VLOOKUP(B659,Zutaten!$C:$F,4,FALSE),"")*C659</f>
        <v>0.348</v>
      </c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  <c r="AC659" s="67"/>
    </row>
    <row r="660">
      <c r="A660" s="18" t="s">
        <v>141</v>
      </c>
      <c r="B660" s="18" t="s">
        <v>458</v>
      </c>
      <c r="C660" s="68">
        <f>170/2</f>
        <v>85</v>
      </c>
      <c r="D660" s="63" t="s">
        <v>539</v>
      </c>
      <c r="E660" s="64">
        <v>0.0</v>
      </c>
      <c r="F660" s="65">
        <f t="shared" si="1"/>
        <v>85</v>
      </c>
      <c r="G660" s="66">
        <f>IF(B660&lt;&gt;"",VLOOKUP(B660,Zutaten!$C:$F,4,FALSE),"")*C660</f>
        <v>0.72165</v>
      </c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  <c r="AC660" s="67"/>
    </row>
    <row r="661">
      <c r="A661" s="18" t="s">
        <v>141</v>
      </c>
      <c r="B661" s="18" t="s">
        <v>336</v>
      </c>
      <c r="C661" s="68">
        <v>5.0</v>
      </c>
      <c r="D661" s="63" t="s">
        <v>539</v>
      </c>
      <c r="E661" s="64">
        <v>0.0</v>
      </c>
      <c r="F661" s="65">
        <f t="shared" si="1"/>
        <v>5</v>
      </c>
      <c r="G661" s="66">
        <f>IF(B661&lt;&gt;"",VLOOKUP(B661,Zutaten!$C:$F,4,FALSE),"")*C661</f>
        <v>0.03195</v>
      </c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  <c r="AC661" s="67"/>
    </row>
    <row r="662">
      <c r="A662" s="18" t="s">
        <v>141</v>
      </c>
      <c r="B662" s="18" t="s">
        <v>318</v>
      </c>
      <c r="C662" s="68">
        <v>20.0</v>
      </c>
      <c r="D662" s="63" t="s">
        <v>539</v>
      </c>
      <c r="E662" s="64">
        <v>0.0</v>
      </c>
      <c r="F662" s="65">
        <f t="shared" si="1"/>
        <v>20</v>
      </c>
      <c r="G662" s="66">
        <f>IF(B662&lt;&gt;"",VLOOKUP(B662,Zutaten!$C:$F,4,FALSE),"")*C662</f>
        <v>0.2278</v>
      </c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  <c r="AC662" s="67"/>
    </row>
    <row r="663">
      <c r="A663" s="18" t="s">
        <v>141</v>
      </c>
      <c r="B663" s="18" t="s">
        <v>313</v>
      </c>
      <c r="C663" s="68">
        <v>50.0</v>
      </c>
      <c r="D663" s="63" t="s">
        <v>539</v>
      </c>
      <c r="E663" s="64">
        <v>0.0</v>
      </c>
      <c r="F663" s="65">
        <f t="shared" si="1"/>
        <v>50</v>
      </c>
      <c r="G663" s="66">
        <f>IF(B663&lt;&gt;"",VLOOKUP(B663,Zutaten!$C:$F,4,FALSE),"")*C663</f>
        <v>0.3125</v>
      </c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  <c r="AC663" s="67"/>
    </row>
    <row r="664">
      <c r="A664" s="18" t="s">
        <v>141</v>
      </c>
      <c r="B664" s="18" t="s">
        <v>505</v>
      </c>
      <c r="C664" s="68">
        <v>20.0</v>
      </c>
      <c r="D664" s="63" t="s">
        <v>539</v>
      </c>
      <c r="E664" s="64">
        <v>0.0</v>
      </c>
      <c r="F664" s="65">
        <f t="shared" si="1"/>
        <v>20</v>
      </c>
      <c r="G664" s="66">
        <f>IF(B664&lt;&gt;"",VLOOKUP(B664,Zutaten!$C:$F,4,FALSE),"")*C664</f>
        <v>0.057</v>
      </c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  <c r="AC664" s="67"/>
    </row>
    <row r="665">
      <c r="A665" s="18" t="s">
        <v>141</v>
      </c>
      <c r="B665" s="70" t="s">
        <v>448</v>
      </c>
      <c r="C665" s="86">
        <v>155.0</v>
      </c>
      <c r="D665" s="63" t="s">
        <v>539</v>
      </c>
      <c r="E665" s="64">
        <v>0.0</v>
      </c>
      <c r="F665" s="65">
        <f t="shared" si="1"/>
        <v>155</v>
      </c>
      <c r="G665" s="66">
        <f>IF(B665&lt;&gt;"",VLOOKUP(B665,Zutaten!$C:$F,4,FALSE),"")*C665</f>
        <v>0.48205</v>
      </c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  <c r="AC665" s="67"/>
    </row>
    <row r="666">
      <c r="A666" s="18" t="s">
        <v>141</v>
      </c>
      <c r="B666" s="71" t="s">
        <v>133</v>
      </c>
      <c r="C666" s="72">
        <v>70.0</v>
      </c>
      <c r="D666" s="63" t="s">
        <v>539</v>
      </c>
      <c r="E666" s="64">
        <v>0.0</v>
      </c>
      <c r="F666" s="65">
        <f t="shared" si="1"/>
        <v>70</v>
      </c>
      <c r="G666" s="66">
        <f>IF(B666&lt;&gt;"",VLOOKUP(B666,Zutaten!$C:$F,4,FALSE),"")*C666</f>
        <v>0.198721394</v>
      </c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  <c r="AC666" s="67"/>
    </row>
    <row r="667">
      <c r="A667" s="18" t="s">
        <v>145</v>
      </c>
      <c r="B667" s="60" t="s">
        <v>101</v>
      </c>
      <c r="C667" s="68">
        <f>190/2</f>
        <v>95</v>
      </c>
      <c r="D667" s="63" t="s">
        <v>539</v>
      </c>
      <c r="E667" s="64">
        <v>0.0</v>
      </c>
      <c r="F667" s="65">
        <f t="shared" si="1"/>
        <v>95</v>
      </c>
      <c r="G667" s="66">
        <f>IF(B667&lt;&gt;"",VLOOKUP(B667,Zutaten!$C:$F,4,FALSE),"")*C667</f>
        <v>0.6225927391</v>
      </c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  <c r="AC667" s="67"/>
    </row>
    <row r="668">
      <c r="A668" s="18" t="s">
        <v>145</v>
      </c>
      <c r="B668" s="18" t="s">
        <v>336</v>
      </c>
      <c r="C668" s="68">
        <v>5.0</v>
      </c>
      <c r="D668" s="63" t="s">
        <v>539</v>
      </c>
      <c r="E668" s="64">
        <v>0.0</v>
      </c>
      <c r="F668" s="65">
        <f t="shared" si="1"/>
        <v>5</v>
      </c>
      <c r="G668" s="66">
        <f>IF(B668&lt;&gt;"",VLOOKUP(B668,Zutaten!$C:$F,4,FALSE),"")*C668</f>
        <v>0.03195</v>
      </c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  <c r="AC668" s="67"/>
    </row>
    <row r="669">
      <c r="A669" s="18" t="s">
        <v>145</v>
      </c>
      <c r="B669" s="18" t="s">
        <v>318</v>
      </c>
      <c r="C669" s="68">
        <v>20.0</v>
      </c>
      <c r="D669" s="63" t="s">
        <v>539</v>
      </c>
      <c r="E669" s="64">
        <v>0.0</v>
      </c>
      <c r="F669" s="65">
        <f t="shared" si="1"/>
        <v>20</v>
      </c>
      <c r="G669" s="66">
        <f>IF(B669&lt;&gt;"",VLOOKUP(B669,Zutaten!$C:$F,4,FALSE),"")*C669</f>
        <v>0.2278</v>
      </c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  <c r="AC669" s="67"/>
    </row>
    <row r="670">
      <c r="A670" s="18" t="s">
        <v>145</v>
      </c>
      <c r="B670" s="18" t="s">
        <v>448</v>
      </c>
      <c r="C670" s="68">
        <v>155.0</v>
      </c>
      <c r="D670" s="63" t="s">
        <v>539</v>
      </c>
      <c r="E670" s="64">
        <v>0.0</v>
      </c>
      <c r="F670" s="65">
        <f t="shared" si="1"/>
        <v>155</v>
      </c>
      <c r="G670" s="66">
        <f>IF(B670&lt;&gt;"",VLOOKUP(B670,Zutaten!$C:$F,4,FALSE),"")*C670</f>
        <v>0.48205</v>
      </c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  <c r="AC670" s="67"/>
    </row>
    <row r="671">
      <c r="A671" s="18" t="s">
        <v>145</v>
      </c>
      <c r="B671" s="18" t="s">
        <v>313</v>
      </c>
      <c r="C671" s="68">
        <v>50.0</v>
      </c>
      <c r="D671" s="63" t="s">
        <v>539</v>
      </c>
      <c r="E671" s="64">
        <v>0.0</v>
      </c>
      <c r="F671" s="65">
        <f t="shared" si="1"/>
        <v>50</v>
      </c>
      <c r="G671" s="66">
        <f>IF(B671&lt;&gt;"",VLOOKUP(B671,Zutaten!$C:$F,4,FALSE),"")*C671</f>
        <v>0.3125</v>
      </c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  <c r="AC671" s="67"/>
    </row>
    <row r="672">
      <c r="A672" s="18" t="s">
        <v>145</v>
      </c>
      <c r="B672" s="18" t="s">
        <v>505</v>
      </c>
      <c r="C672" s="68">
        <v>20.0</v>
      </c>
      <c r="D672" s="63" t="s">
        <v>539</v>
      </c>
      <c r="E672" s="64">
        <v>0.0</v>
      </c>
      <c r="F672" s="65">
        <f t="shared" si="1"/>
        <v>20</v>
      </c>
      <c r="G672" s="66">
        <f>IF(B672&lt;&gt;"",VLOOKUP(B672,Zutaten!$C:$F,4,FALSE),"")*C672</f>
        <v>0.057</v>
      </c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  <c r="AC672" s="67"/>
    </row>
    <row r="673">
      <c r="A673" s="18" t="s">
        <v>145</v>
      </c>
      <c r="B673" s="18" t="s">
        <v>133</v>
      </c>
      <c r="C673" s="68">
        <v>70.0</v>
      </c>
      <c r="D673" s="63" t="s">
        <v>539</v>
      </c>
      <c r="E673" s="64">
        <v>0.0</v>
      </c>
      <c r="F673" s="65">
        <f t="shared" si="1"/>
        <v>70</v>
      </c>
      <c r="G673" s="66">
        <f>IF(B673&lt;&gt;"",VLOOKUP(B673,Zutaten!$C:$F,4,FALSE),"")*C673</f>
        <v>0.198721394</v>
      </c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  <c r="AC673" s="67"/>
    </row>
    <row r="674">
      <c r="A674" s="18" t="s">
        <v>146</v>
      </c>
      <c r="B674" s="60" t="s">
        <v>39</v>
      </c>
      <c r="C674" s="68">
        <f>190/2</f>
        <v>95</v>
      </c>
      <c r="D674" s="63" t="s">
        <v>539</v>
      </c>
      <c r="E674" s="64">
        <v>0.0</v>
      </c>
      <c r="F674" s="65">
        <f t="shared" si="1"/>
        <v>95</v>
      </c>
      <c r="G674" s="66">
        <f>IF(B674&lt;&gt;"",VLOOKUP(B674,Zutaten!$C:$F,4,FALSE),"")*C674</f>
        <v>0.497626233</v>
      </c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  <c r="AC674" s="67"/>
    </row>
    <row r="675">
      <c r="A675" s="18" t="s">
        <v>146</v>
      </c>
      <c r="B675" s="18" t="s">
        <v>336</v>
      </c>
      <c r="C675" s="68">
        <v>5.0</v>
      </c>
      <c r="D675" s="63" t="s">
        <v>539</v>
      </c>
      <c r="E675" s="64">
        <v>0.0</v>
      </c>
      <c r="F675" s="65">
        <f t="shared" si="1"/>
        <v>5</v>
      </c>
      <c r="G675" s="66">
        <f>IF(B675&lt;&gt;"",VLOOKUP(B675,Zutaten!$C:$F,4,FALSE),"")*C675</f>
        <v>0.03195</v>
      </c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  <c r="AC675" s="67"/>
    </row>
    <row r="676">
      <c r="A676" s="18" t="s">
        <v>146</v>
      </c>
      <c r="B676" s="18" t="s">
        <v>318</v>
      </c>
      <c r="C676" s="68">
        <v>20.0</v>
      </c>
      <c r="D676" s="63" t="s">
        <v>539</v>
      </c>
      <c r="E676" s="64">
        <v>0.0</v>
      </c>
      <c r="F676" s="65">
        <f t="shared" si="1"/>
        <v>20</v>
      </c>
      <c r="G676" s="66">
        <f>IF(B676&lt;&gt;"",VLOOKUP(B676,Zutaten!$C:$F,4,FALSE),"")*C676</f>
        <v>0.2278</v>
      </c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  <c r="AC676" s="67"/>
    </row>
    <row r="677">
      <c r="A677" s="18" t="s">
        <v>146</v>
      </c>
      <c r="B677" s="18" t="s">
        <v>448</v>
      </c>
      <c r="C677" s="68">
        <v>155.0</v>
      </c>
      <c r="D677" s="63" t="s">
        <v>539</v>
      </c>
      <c r="E677" s="64">
        <v>0.0</v>
      </c>
      <c r="F677" s="65">
        <f t="shared" si="1"/>
        <v>155</v>
      </c>
      <c r="G677" s="66">
        <f>IF(B677&lt;&gt;"",VLOOKUP(B677,Zutaten!$C:$F,4,FALSE),"")*C677</f>
        <v>0.48205</v>
      </c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  <c r="AC677" s="67"/>
    </row>
    <row r="678">
      <c r="A678" s="18" t="s">
        <v>146</v>
      </c>
      <c r="B678" s="18" t="s">
        <v>313</v>
      </c>
      <c r="C678" s="68">
        <v>50.0</v>
      </c>
      <c r="D678" s="63" t="s">
        <v>539</v>
      </c>
      <c r="E678" s="64">
        <v>0.0</v>
      </c>
      <c r="F678" s="65">
        <f t="shared" si="1"/>
        <v>50</v>
      </c>
      <c r="G678" s="66">
        <f>IF(B678&lt;&gt;"",VLOOKUP(B678,Zutaten!$C:$F,4,FALSE),"")*C678</f>
        <v>0.3125</v>
      </c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  <c r="AC678" s="67"/>
    </row>
    <row r="679">
      <c r="A679" s="18" t="s">
        <v>146</v>
      </c>
      <c r="B679" s="18" t="s">
        <v>505</v>
      </c>
      <c r="C679" s="68">
        <v>20.0</v>
      </c>
      <c r="D679" s="63" t="s">
        <v>539</v>
      </c>
      <c r="E679" s="64">
        <v>0.0</v>
      </c>
      <c r="F679" s="65">
        <f t="shared" si="1"/>
        <v>20</v>
      </c>
      <c r="G679" s="66">
        <f>IF(B679&lt;&gt;"",VLOOKUP(B679,Zutaten!$C:$F,4,FALSE),"")*C679</f>
        <v>0.057</v>
      </c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  <c r="AC679" s="67"/>
    </row>
    <row r="680">
      <c r="A680" s="18" t="s">
        <v>146</v>
      </c>
      <c r="B680" s="18" t="s">
        <v>133</v>
      </c>
      <c r="C680" s="68">
        <v>70.0</v>
      </c>
      <c r="D680" s="63" t="s">
        <v>539</v>
      </c>
      <c r="E680" s="64">
        <v>0.0</v>
      </c>
      <c r="F680" s="65">
        <f t="shared" si="1"/>
        <v>70</v>
      </c>
      <c r="G680" s="66">
        <f>IF(B680&lt;&gt;"",VLOOKUP(B680,Zutaten!$C:$F,4,FALSE),"")*C680</f>
        <v>0.198721394</v>
      </c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  <c r="AC680" s="67"/>
    </row>
    <row r="681">
      <c r="A681" s="18" t="s">
        <v>147</v>
      </c>
      <c r="B681" s="60" t="s">
        <v>101</v>
      </c>
      <c r="C681" s="68">
        <v>190.0</v>
      </c>
      <c r="D681" s="63" t="s">
        <v>539</v>
      </c>
      <c r="E681" s="64">
        <v>0.0</v>
      </c>
      <c r="F681" s="65">
        <f t="shared" si="1"/>
        <v>190</v>
      </c>
      <c r="G681" s="66">
        <f>IF(B681&lt;&gt;"",VLOOKUP(B681,Zutaten!$C:$F,4,FALSE),"")*C681</f>
        <v>1.245185478</v>
      </c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  <c r="AC681" s="67"/>
    </row>
    <row r="682">
      <c r="A682" s="18" t="s">
        <v>147</v>
      </c>
      <c r="B682" s="18" t="s">
        <v>448</v>
      </c>
      <c r="C682" s="68">
        <v>155.0</v>
      </c>
      <c r="D682" s="63" t="s">
        <v>539</v>
      </c>
      <c r="E682" s="64">
        <v>0.0</v>
      </c>
      <c r="F682" s="65">
        <f t="shared" si="1"/>
        <v>155</v>
      </c>
      <c r="G682" s="66">
        <f>IF(B682&lt;&gt;"",VLOOKUP(B682,Zutaten!$C:$F,4,FALSE),"")*C682</f>
        <v>0.48205</v>
      </c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  <c r="AC682" s="67"/>
    </row>
    <row r="683">
      <c r="A683" s="18" t="s">
        <v>147</v>
      </c>
      <c r="B683" s="18" t="s">
        <v>505</v>
      </c>
      <c r="C683" s="68">
        <v>20.0</v>
      </c>
      <c r="D683" s="63" t="s">
        <v>539</v>
      </c>
      <c r="E683" s="64">
        <v>0.0</v>
      </c>
      <c r="F683" s="65">
        <f t="shared" si="1"/>
        <v>20</v>
      </c>
      <c r="G683" s="66">
        <f>IF(B683&lt;&gt;"",VLOOKUP(B683,Zutaten!$C:$F,4,FALSE),"")*C683</f>
        <v>0.057</v>
      </c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  <c r="AC683" s="67"/>
    </row>
    <row r="684">
      <c r="A684" s="18" t="s">
        <v>147</v>
      </c>
      <c r="B684" s="18" t="s">
        <v>133</v>
      </c>
      <c r="C684" s="68">
        <v>70.0</v>
      </c>
      <c r="D684" s="63" t="s">
        <v>539</v>
      </c>
      <c r="E684" s="64">
        <v>0.0</v>
      </c>
      <c r="F684" s="65">
        <f t="shared" si="1"/>
        <v>70</v>
      </c>
      <c r="G684" s="66">
        <f>IF(B684&lt;&gt;"",VLOOKUP(B684,Zutaten!$C:$F,4,FALSE),"")*C684</f>
        <v>0.198721394</v>
      </c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  <c r="AC684" s="67"/>
    </row>
    <row r="685">
      <c r="A685" s="13" t="s">
        <v>148</v>
      </c>
      <c r="B685" s="13" t="s">
        <v>150</v>
      </c>
      <c r="C685" s="68">
        <v>170.0</v>
      </c>
      <c r="D685" s="63" t="s">
        <v>539</v>
      </c>
      <c r="E685" s="64">
        <v>0.0</v>
      </c>
      <c r="F685" s="65">
        <f t="shared" si="1"/>
        <v>170</v>
      </c>
      <c r="G685" s="66">
        <f>IF(B685&lt;&gt;"",VLOOKUP(B685,Zutaten!$C:$F,4,FALSE),"")*C685</f>
        <v>0.8492522514</v>
      </c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  <c r="AC685" s="67"/>
    </row>
    <row r="686">
      <c r="A686" s="13" t="s">
        <v>148</v>
      </c>
      <c r="B686" s="18" t="s">
        <v>134</v>
      </c>
      <c r="C686" s="68">
        <v>80.0</v>
      </c>
      <c r="D686" s="63" t="s">
        <v>539</v>
      </c>
      <c r="E686" s="64">
        <v>0.0</v>
      </c>
      <c r="F686" s="65">
        <f t="shared" si="1"/>
        <v>80</v>
      </c>
      <c r="G686" s="66">
        <f>IF(B686&lt;&gt;"",VLOOKUP(B686,Zutaten!$C:$F,4,FALSE),"")*C686</f>
        <v>0.2585040836</v>
      </c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  <c r="AC686" s="67"/>
    </row>
    <row r="687">
      <c r="A687" s="13" t="s">
        <v>148</v>
      </c>
      <c r="B687" s="18" t="s">
        <v>95</v>
      </c>
      <c r="C687" s="68">
        <v>100.0</v>
      </c>
      <c r="D687" s="63" t="s">
        <v>539</v>
      </c>
      <c r="E687" s="64">
        <v>0.0</v>
      </c>
      <c r="F687" s="65">
        <f t="shared" si="1"/>
        <v>100</v>
      </c>
      <c r="G687" s="66">
        <f>IF(B687&lt;&gt;"",VLOOKUP(B687,Zutaten!$C:$F,4,FALSE),"")*C687</f>
        <v>0.2015630252</v>
      </c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  <c r="AC687" s="67"/>
    </row>
    <row r="688">
      <c r="A688" s="18" t="s">
        <v>148</v>
      </c>
      <c r="B688" s="18" t="s">
        <v>362</v>
      </c>
      <c r="C688" s="68">
        <v>10.0</v>
      </c>
      <c r="D688" s="63" t="s">
        <v>539</v>
      </c>
      <c r="E688" s="64">
        <v>0.0</v>
      </c>
      <c r="F688" s="65">
        <f t="shared" si="1"/>
        <v>10</v>
      </c>
      <c r="G688" s="66">
        <f>IF(B688&lt;&gt;"",VLOOKUP(B688,Zutaten!$C:$F,4,FALSE),"")*C688</f>
        <v>0.089</v>
      </c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  <c r="AC688" s="67"/>
    </row>
    <row r="689">
      <c r="A689" s="13" t="s">
        <v>148</v>
      </c>
      <c r="B689" s="18" t="s">
        <v>170</v>
      </c>
      <c r="C689" s="68">
        <v>4.0</v>
      </c>
      <c r="D689" s="63" t="s">
        <v>539</v>
      </c>
      <c r="E689" s="64">
        <v>0.0</v>
      </c>
      <c r="F689" s="65">
        <f t="shared" si="1"/>
        <v>4</v>
      </c>
      <c r="G689" s="66">
        <f>IF(B689&lt;&gt;"",VLOOKUP(B689,Zutaten!$C:$F,4,FALSE),"")*C689</f>
        <v>0.004353967213</v>
      </c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  <c r="AC689" s="67"/>
    </row>
    <row r="690">
      <c r="A690" s="18" t="s">
        <v>148</v>
      </c>
      <c r="B690" s="18" t="s">
        <v>313</v>
      </c>
      <c r="C690" s="68">
        <v>80.0</v>
      </c>
      <c r="D690" s="63" t="s">
        <v>539</v>
      </c>
      <c r="E690" s="64">
        <v>0.0</v>
      </c>
      <c r="F690" s="65">
        <f t="shared" si="1"/>
        <v>80</v>
      </c>
      <c r="G690" s="66">
        <f>IF(B690&lt;&gt;"",VLOOKUP(B690,Zutaten!$C:$F,4,FALSE),"")*C690</f>
        <v>0.5</v>
      </c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  <c r="AC690" s="67"/>
    </row>
    <row r="691">
      <c r="A691" s="13" t="s">
        <v>150</v>
      </c>
      <c r="B691" s="13" t="s">
        <v>426</v>
      </c>
      <c r="C691" s="63">
        <v>9000.0</v>
      </c>
      <c r="D691" s="63" t="s">
        <v>539</v>
      </c>
      <c r="E691" s="64">
        <v>0.0</v>
      </c>
      <c r="F691" s="65">
        <f t="shared" si="1"/>
        <v>9000</v>
      </c>
      <c r="G691" s="66">
        <f>IF(B691&lt;&gt;"",VLOOKUP(B691,Zutaten!$C:$F,4,FALSE),"")*C691</f>
        <v>72.36</v>
      </c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  <c r="AC691" s="67"/>
    </row>
    <row r="692">
      <c r="A692" s="13" t="s">
        <v>150</v>
      </c>
      <c r="B692" s="63" t="s">
        <v>449</v>
      </c>
      <c r="C692" s="63">
        <v>1000.0</v>
      </c>
      <c r="D692" s="63" t="s">
        <v>539</v>
      </c>
      <c r="E692" s="64">
        <v>0.0</v>
      </c>
      <c r="F692" s="65">
        <f t="shared" si="1"/>
        <v>1000</v>
      </c>
      <c r="G692" s="66">
        <f>IF(B692&lt;&gt;"",VLOOKUP(B692,Zutaten!$C:$F,4,FALSE),"")*C692</f>
        <v>3.21</v>
      </c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  <c r="AC692" s="67"/>
    </row>
    <row r="693">
      <c r="A693" s="13" t="s">
        <v>150</v>
      </c>
      <c r="B693" s="63" t="s">
        <v>481</v>
      </c>
      <c r="C693" s="63">
        <v>2000.0</v>
      </c>
      <c r="D693" s="63" t="s">
        <v>539</v>
      </c>
      <c r="E693" s="64">
        <v>0.0</v>
      </c>
      <c r="F693" s="65">
        <f t="shared" si="1"/>
        <v>2000</v>
      </c>
      <c r="G693" s="66">
        <f>IF(B693&lt;&gt;"",VLOOKUP(B693,Zutaten!$C:$F,4,FALSE),"")*C693</f>
        <v>1.84</v>
      </c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  <c r="AC693" s="67"/>
    </row>
    <row r="694">
      <c r="A694" s="13" t="s">
        <v>150</v>
      </c>
      <c r="B694" s="63" t="s">
        <v>530</v>
      </c>
      <c r="C694" s="63">
        <v>1000.0</v>
      </c>
      <c r="D694" s="63" t="s">
        <v>539</v>
      </c>
      <c r="E694" s="64">
        <v>0.0</v>
      </c>
      <c r="F694" s="65">
        <f t="shared" si="1"/>
        <v>1000</v>
      </c>
      <c r="G694" s="66">
        <f>IF(B694&lt;&gt;"",VLOOKUP(B694,Zutaten!$C:$F,4,FALSE),"")*C694</f>
        <v>1.2</v>
      </c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  <c r="AC694" s="67"/>
    </row>
    <row r="695">
      <c r="A695" s="13" t="s">
        <v>150</v>
      </c>
      <c r="B695" s="63" t="s">
        <v>383</v>
      </c>
      <c r="C695" s="63">
        <v>500.0</v>
      </c>
      <c r="D695" s="63" t="s">
        <v>539</v>
      </c>
      <c r="E695" s="64">
        <v>0.0</v>
      </c>
      <c r="F695" s="65">
        <f t="shared" si="1"/>
        <v>500</v>
      </c>
      <c r="G695" s="66">
        <f>IF(B695&lt;&gt;"",VLOOKUP(B695,Zutaten!$C:$F,4,FALSE),"")*C695</f>
        <v>0.59</v>
      </c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  <c r="AC695" s="67"/>
    </row>
    <row r="696">
      <c r="A696" s="13" t="s">
        <v>150</v>
      </c>
      <c r="B696" s="20" t="s">
        <v>467</v>
      </c>
      <c r="C696" s="63">
        <v>50.0</v>
      </c>
      <c r="D696" s="63" t="s">
        <v>539</v>
      </c>
      <c r="E696" s="64">
        <v>0.0</v>
      </c>
      <c r="F696" s="65">
        <f t="shared" si="1"/>
        <v>50</v>
      </c>
      <c r="G696" s="66">
        <f>IF(B696&lt;&gt;"",VLOOKUP(B696,Zutaten!$C:$F,4,FALSE),"")*C696</f>
        <v>0.0184</v>
      </c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  <c r="AC696" s="67"/>
    </row>
    <row r="697">
      <c r="A697" s="13" t="s">
        <v>150</v>
      </c>
      <c r="B697" s="17" t="s">
        <v>25</v>
      </c>
      <c r="C697" s="63">
        <v>1000.0</v>
      </c>
      <c r="D697" s="63" t="s">
        <v>540</v>
      </c>
      <c r="E697" s="64">
        <v>0.0</v>
      </c>
      <c r="F697" s="65">
        <f t="shared" si="1"/>
        <v>1000</v>
      </c>
      <c r="G697" s="66">
        <f>IF(B697&lt;&gt;"",VLOOKUP(B697,Zutaten!$C:$F,4,FALSE),"")*C697</f>
        <v>7.450007428</v>
      </c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  <c r="AC697" s="67"/>
    </row>
    <row r="698">
      <c r="A698" s="13" t="s">
        <v>150</v>
      </c>
      <c r="B698" s="85" t="s">
        <v>498</v>
      </c>
      <c r="C698" s="63">
        <v>4000.0</v>
      </c>
      <c r="D698" s="63" t="s">
        <v>540</v>
      </c>
      <c r="E698" s="64">
        <v>0.0</v>
      </c>
      <c r="F698" s="65">
        <f t="shared" si="1"/>
        <v>4000</v>
      </c>
      <c r="G698" s="66">
        <f>IF(B698&lt;&gt;"",VLOOKUP(B698,Zutaten!$C:$F,4,FALSE),"")*C698</f>
        <v>6</v>
      </c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  <c r="AC698" s="67"/>
    </row>
    <row r="699">
      <c r="A699" s="18" t="s">
        <v>174</v>
      </c>
      <c r="B699" s="18" t="s">
        <v>530</v>
      </c>
      <c r="C699" s="68">
        <v>3127.0</v>
      </c>
      <c r="D699" s="63" t="s">
        <v>539</v>
      </c>
      <c r="E699" s="64">
        <v>0.2</v>
      </c>
      <c r="F699" s="65">
        <f t="shared" si="1"/>
        <v>2501.6</v>
      </c>
      <c r="G699" s="66">
        <f>IF(B699&lt;&gt;"",VLOOKUP(B699,Zutaten!$C:$F,4,FALSE),"")*C699</f>
        <v>3.7524</v>
      </c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  <c r="AC699" s="67"/>
    </row>
    <row r="700">
      <c r="A700" s="18" t="s">
        <v>174</v>
      </c>
      <c r="B700" s="18" t="s">
        <v>518</v>
      </c>
      <c r="C700" s="68">
        <v>1500.0</v>
      </c>
      <c r="D700" s="63" t="s">
        <v>539</v>
      </c>
      <c r="E700" s="64">
        <v>0.33</v>
      </c>
      <c r="F700" s="65">
        <f t="shared" si="1"/>
        <v>1005</v>
      </c>
      <c r="G700" s="66">
        <f>IF(B700&lt;&gt;"",VLOOKUP(B700,Zutaten!$C:$F,4,FALSE),"")*C700</f>
        <v>1.1205</v>
      </c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  <c r="AC700" s="67"/>
    </row>
    <row r="701">
      <c r="A701" s="18" t="s">
        <v>174</v>
      </c>
      <c r="B701" s="18" t="s">
        <v>433</v>
      </c>
      <c r="C701" s="68">
        <v>3000.0</v>
      </c>
      <c r="D701" s="63" t="s">
        <v>539</v>
      </c>
      <c r="E701" s="64">
        <v>0.66</v>
      </c>
      <c r="F701" s="65">
        <f t="shared" si="1"/>
        <v>1020</v>
      </c>
      <c r="G701" s="66">
        <f>IF(B701&lt;&gt;"",VLOOKUP(B701,Zutaten!$C:$F,4,FALSE),"")*C701</f>
        <v>17.07</v>
      </c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  <c r="AC701" s="67"/>
    </row>
    <row r="702">
      <c r="A702" s="18" t="s">
        <v>174</v>
      </c>
      <c r="B702" s="18" t="s">
        <v>510</v>
      </c>
      <c r="C702" s="68">
        <v>2000.0</v>
      </c>
      <c r="D702" s="63" t="s">
        <v>539</v>
      </c>
      <c r="E702" s="64">
        <v>0.2</v>
      </c>
      <c r="F702" s="65">
        <f t="shared" si="1"/>
        <v>1600</v>
      </c>
      <c r="G702" s="66">
        <f>IF(B702&lt;&gt;"",VLOOKUP(B702,Zutaten!$C:$F,4,FALSE),"")*C702</f>
        <v>9.28</v>
      </c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  <c r="AC702" s="67"/>
    </row>
    <row r="703">
      <c r="A703" s="18" t="s">
        <v>149</v>
      </c>
      <c r="B703" s="18" t="s">
        <v>174</v>
      </c>
      <c r="C703" s="68">
        <v>170.0</v>
      </c>
      <c r="D703" s="63" t="s">
        <v>539</v>
      </c>
      <c r="E703" s="64">
        <v>0.0</v>
      </c>
      <c r="F703" s="65">
        <f t="shared" si="1"/>
        <v>170</v>
      </c>
      <c r="G703" s="66">
        <f>IF(B703&lt;&gt;"",VLOOKUP(B703,Zutaten!$C:$F,4,FALSE),"")*C703</f>
        <v>0.8663684589</v>
      </c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  <c r="AC703" s="67"/>
    </row>
    <row r="704">
      <c r="A704" s="18" t="s">
        <v>152</v>
      </c>
      <c r="B704" s="63" t="s">
        <v>358</v>
      </c>
      <c r="C704" s="63">
        <v>1000.0</v>
      </c>
      <c r="D704" s="63" t="s">
        <v>539</v>
      </c>
      <c r="E704" s="64">
        <v>0.0</v>
      </c>
      <c r="F704" s="65">
        <f t="shared" si="1"/>
        <v>1000</v>
      </c>
      <c r="G704" s="66">
        <f>IF(B704&lt;&gt;"",VLOOKUP(B704,Zutaten!$C:$F,4,FALSE),"")*C704</f>
        <v>14.99</v>
      </c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  <c r="AC704" s="67"/>
    </row>
    <row r="705">
      <c r="A705" s="18" t="s">
        <v>152</v>
      </c>
      <c r="B705" s="63" t="s">
        <v>518</v>
      </c>
      <c r="C705" s="63">
        <v>500.0</v>
      </c>
      <c r="D705" s="63" t="s">
        <v>539</v>
      </c>
      <c r="E705" s="64">
        <v>0.0</v>
      </c>
      <c r="F705" s="65">
        <f t="shared" si="1"/>
        <v>500</v>
      </c>
      <c r="G705" s="66">
        <f>IF(B705&lt;&gt;"",VLOOKUP(B705,Zutaten!$C:$F,4,FALSE),"")*C705</f>
        <v>0.3735</v>
      </c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  <c r="AC705" s="67"/>
    </row>
    <row r="706">
      <c r="A706" s="18" t="s">
        <v>152</v>
      </c>
      <c r="B706" s="63" t="s">
        <v>467</v>
      </c>
      <c r="C706" s="63">
        <v>20.0</v>
      </c>
      <c r="D706" s="63" t="s">
        <v>539</v>
      </c>
      <c r="E706" s="64">
        <v>0.0</v>
      </c>
      <c r="F706" s="65">
        <f t="shared" si="1"/>
        <v>20</v>
      </c>
      <c r="G706" s="66">
        <f>IF(B706&lt;&gt;"",VLOOKUP(B706,Zutaten!$C:$F,4,FALSE),"")*C706</f>
        <v>0.00736</v>
      </c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  <c r="AC706" s="67"/>
    </row>
    <row r="707">
      <c r="A707" s="18" t="s">
        <v>152</v>
      </c>
      <c r="B707" s="63" t="s">
        <v>510</v>
      </c>
      <c r="C707" s="63">
        <v>1000.0</v>
      </c>
      <c r="D707" s="63" t="s">
        <v>540</v>
      </c>
      <c r="E707" s="64">
        <v>0.0</v>
      </c>
      <c r="F707" s="65">
        <f t="shared" si="1"/>
        <v>1000</v>
      </c>
      <c r="G707" s="66">
        <f>IF(B707&lt;&gt;"",VLOOKUP(B707,Zutaten!$C:$F,4,FALSE),"")*C707</f>
        <v>4.64</v>
      </c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  <c r="AC707" s="67"/>
    </row>
    <row r="708">
      <c r="A708" s="18" t="s">
        <v>152</v>
      </c>
      <c r="B708" s="20" t="s">
        <v>433</v>
      </c>
      <c r="C708" s="63">
        <v>100.0</v>
      </c>
      <c r="D708" s="63" t="s">
        <v>539</v>
      </c>
      <c r="E708" s="64">
        <v>0.0</v>
      </c>
      <c r="F708" s="65">
        <f t="shared" si="1"/>
        <v>100</v>
      </c>
      <c r="G708" s="66">
        <f>IF(B708&lt;&gt;"",VLOOKUP(B708,Zutaten!$C:$F,4,FALSE),"")*C708*10</f>
        <v>5.69</v>
      </c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  <c r="AC708" s="67"/>
    </row>
    <row r="709">
      <c r="A709" s="63" t="s">
        <v>153</v>
      </c>
      <c r="B709" s="63" t="s">
        <v>366</v>
      </c>
      <c r="C709" s="63">
        <v>5000.0</v>
      </c>
      <c r="D709" s="63" t="s">
        <v>539</v>
      </c>
      <c r="E709" s="64">
        <v>0.0</v>
      </c>
      <c r="F709" s="65">
        <f t="shared" si="1"/>
        <v>5000</v>
      </c>
      <c r="G709" s="66">
        <f>IF(B709&lt;&gt;"",VLOOKUP(B709,Zutaten!$C:$F,4,FALSE),"")*C709</f>
        <v>32.45</v>
      </c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  <c r="AC709" s="67"/>
    </row>
    <row r="710">
      <c r="A710" s="63" t="s">
        <v>154</v>
      </c>
      <c r="B710" s="61" t="s">
        <v>434</v>
      </c>
      <c r="C710" s="63">
        <v>30.0</v>
      </c>
      <c r="D710" s="63" t="s">
        <v>539</v>
      </c>
      <c r="E710" s="64">
        <v>0.0</v>
      </c>
      <c r="F710" s="65">
        <f t="shared" si="1"/>
        <v>30</v>
      </c>
      <c r="G710" s="66">
        <f>IF(B710&lt;&gt;"",VLOOKUP(B710,Zutaten!$C:$F,4,FALSE),"")*C710</f>
        <v>0.8655555556</v>
      </c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  <c r="AC710" s="67"/>
    </row>
    <row r="711">
      <c r="A711" s="63" t="s">
        <v>154</v>
      </c>
      <c r="B711" s="63" t="s">
        <v>467</v>
      </c>
      <c r="C711" s="63">
        <v>40.0</v>
      </c>
      <c r="D711" s="63" t="s">
        <v>539</v>
      </c>
      <c r="E711" s="64">
        <v>0.0</v>
      </c>
      <c r="F711" s="65">
        <f t="shared" si="1"/>
        <v>40</v>
      </c>
      <c r="G711" s="66">
        <f>IF(B711&lt;&gt;"",VLOOKUP(B711,Zutaten!$C:$F,4,FALSE),"")*C711</f>
        <v>0.01472</v>
      </c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  <c r="AC711" s="67"/>
    </row>
    <row r="712">
      <c r="A712" s="63" t="s">
        <v>154</v>
      </c>
      <c r="B712" s="63" t="s">
        <v>518</v>
      </c>
      <c r="C712" s="63">
        <v>350.0</v>
      </c>
      <c r="D712" s="63" t="s">
        <v>539</v>
      </c>
      <c r="E712" s="64">
        <v>0.0</v>
      </c>
      <c r="F712" s="65">
        <f t="shared" si="1"/>
        <v>350</v>
      </c>
      <c r="G712" s="66">
        <f>IF(B712&lt;&gt;"",VLOOKUP(B712,Zutaten!$C:$F,4,FALSE),"")*C712</f>
        <v>0.26145</v>
      </c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  <c r="AC712" s="67"/>
    </row>
    <row r="713">
      <c r="A713" s="63" t="s">
        <v>154</v>
      </c>
      <c r="B713" s="63" t="s">
        <v>332</v>
      </c>
      <c r="C713" s="63">
        <v>750.0</v>
      </c>
      <c r="D713" s="63" t="s">
        <v>539</v>
      </c>
      <c r="E713" s="64">
        <v>0.0</v>
      </c>
      <c r="F713" s="65">
        <f t="shared" si="1"/>
        <v>750</v>
      </c>
      <c r="G713" s="66">
        <f>IF(B713&lt;&gt;"",VLOOKUP(B713,Zutaten!$C:$F,4,FALSE),"")*C713</f>
        <v>6.3675</v>
      </c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  <c r="AC713" s="67"/>
    </row>
    <row r="714">
      <c r="A714" s="63" t="s">
        <v>154</v>
      </c>
      <c r="B714" s="61" t="s">
        <v>434</v>
      </c>
      <c r="C714" s="63">
        <v>40.0</v>
      </c>
      <c r="D714" s="63" t="s">
        <v>539</v>
      </c>
      <c r="E714" s="64">
        <v>0.0</v>
      </c>
      <c r="F714" s="65">
        <f t="shared" si="1"/>
        <v>40</v>
      </c>
      <c r="G714" s="66">
        <f>IF(B714&lt;&gt;"",VLOOKUP(B714,Zutaten!$C:$F,4,FALSE),"")*C714</f>
        <v>1.154074074</v>
      </c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  <c r="AC714" s="67"/>
    </row>
    <row r="715">
      <c r="A715" s="63" t="s">
        <v>154</v>
      </c>
      <c r="B715" s="61" t="s">
        <v>433</v>
      </c>
      <c r="C715" s="63">
        <v>600.0</v>
      </c>
      <c r="D715" s="63" t="s">
        <v>539</v>
      </c>
      <c r="E715" s="64">
        <v>0.0</v>
      </c>
      <c r="F715" s="65">
        <f t="shared" si="1"/>
        <v>600</v>
      </c>
      <c r="G715" s="66">
        <f>IF(B715&lt;&gt;"",VLOOKUP(B715,Zutaten!$C:$F,4,FALSE),"")*(C715+1400)</f>
        <v>11.38</v>
      </c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  <c r="AC715" s="67"/>
    </row>
    <row r="716">
      <c r="A716" s="18" t="s">
        <v>155</v>
      </c>
      <c r="B716" s="63" t="s">
        <v>522</v>
      </c>
      <c r="C716" s="63">
        <v>1000.0</v>
      </c>
      <c r="D716" s="63" t="s">
        <v>539</v>
      </c>
      <c r="E716" s="64">
        <v>0.0</v>
      </c>
      <c r="F716" s="65">
        <f t="shared" si="1"/>
        <v>1000</v>
      </c>
      <c r="G716" s="66">
        <f>IF(B716&lt;&gt;"",VLOOKUP(B716,Zutaten!$C:$F,4,FALSE),"")*C716</f>
        <v>14.06</v>
      </c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  <c r="AC716" s="67"/>
    </row>
    <row r="717">
      <c r="A717" s="18" t="s">
        <v>155</v>
      </c>
      <c r="B717" s="63" t="s">
        <v>518</v>
      </c>
      <c r="C717" s="63">
        <v>500.0</v>
      </c>
      <c r="D717" s="63" t="s">
        <v>539</v>
      </c>
      <c r="E717" s="64">
        <v>0.0</v>
      </c>
      <c r="F717" s="65">
        <f t="shared" si="1"/>
        <v>500</v>
      </c>
      <c r="G717" s="66">
        <f>IF(B717&lt;&gt;"",VLOOKUP(B717,Zutaten!$C:$F,4,FALSE),"")*C717</f>
        <v>0.3735</v>
      </c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  <c r="AC717" s="67"/>
    </row>
    <row r="718">
      <c r="A718" s="18" t="s">
        <v>155</v>
      </c>
      <c r="B718" s="63" t="s">
        <v>467</v>
      </c>
      <c r="C718" s="63">
        <v>20.0</v>
      </c>
      <c r="D718" s="63" t="s">
        <v>539</v>
      </c>
      <c r="E718" s="64">
        <v>0.0</v>
      </c>
      <c r="F718" s="65">
        <f t="shared" si="1"/>
        <v>20</v>
      </c>
      <c r="G718" s="66">
        <f>IF(B718&lt;&gt;"",VLOOKUP(B718,Zutaten!$C:$F,4,FALSE),"")*C718</f>
        <v>0.00736</v>
      </c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  <c r="AC718" s="67"/>
    </row>
    <row r="719">
      <c r="A719" s="18" t="s">
        <v>155</v>
      </c>
      <c r="B719" s="63" t="s">
        <v>510</v>
      </c>
      <c r="C719" s="63">
        <v>1000.0</v>
      </c>
      <c r="D719" s="63" t="s">
        <v>540</v>
      </c>
      <c r="E719" s="64">
        <v>0.0</v>
      </c>
      <c r="F719" s="65">
        <f t="shared" si="1"/>
        <v>1000</v>
      </c>
      <c r="G719" s="66">
        <f>IF(B719&lt;&gt;"",VLOOKUP(B719,Zutaten!$C:$F,4,FALSE),"")*C719</f>
        <v>4.64</v>
      </c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  <c r="AC719" s="67"/>
    </row>
    <row r="720">
      <c r="A720" s="18" t="s">
        <v>155</v>
      </c>
      <c r="B720" s="20" t="s">
        <v>433</v>
      </c>
      <c r="C720" s="63">
        <v>150.0</v>
      </c>
      <c r="D720" s="63" t="s">
        <v>539</v>
      </c>
      <c r="E720" s="64">
        <v>0.0</v>
      </c>
      <c r="F720" s="65">
        <f t="shared" si="1"/>
        <v>150</v>
      </c>
      <c r="G720" s="66">
        <f>IF(B720&lt;&gt;"",VLOOKUP(B720,Zutaten!$C:$F,4,FALSE),"")*(C720+850)</f>
        <v>5.69</v>
      </c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  <c r="AC720" s="67"/>
    </row>
    <row r="721">
      <c r="A721" s="63" t="s">
        <v>156</v>
      </c>
      <c r="B721" s="63" t="s">
        <v>403</v>
      </c>
      <c r="C721" s="63">
        <v>1000.0</v>
      </c>
      <c r="D721" s="63" t="s">
        <v>539</v>
      </c>
      <c r="E721" s="64">
        <v>0.0</v>
      </c>
      <c r="F721" s="65">
        <f t="shared" si="1"/>
        <v>1000</v>
      </c>
      <c r="G721" s="66">
        <f>IF(B721&lt;&gt;"",VLOOKUP(B721,Zutaten!$C:$F,4,FALSE),"")*C721</f>
        <v>13.89</v>
      </c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  <c r="AC721" s="67"/>
    </row>
    <row r="722">
      <c r="A722" s="63" t="s">
        <v>156</v>
      </c>
      <c r="B722" s="63" t="s">
        <v>518</v>
      </c>
      <c r="C722" s="63">
        <v>150.0</v>
      </c>
      <c r="D722" s="63" t="s">
        <v>539</v>
      </c>
      <c r="E722" s="64">
        <v>0.0</v>
      </c>
      <c r="F722" s="65">
        <f t="shared" si="1"/>
        <v>150</v>
      </c>
      <c r="G722" s="66">
        <f>IF(B722&lt;&gt;"",VLOOKUP(B722,Zutaten!$C:$F,4,FALSE),"")*C722</f>
        <v>0.11205</v>
      </c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  <c r="AC722" s="67"/>
    </row>
    <row r="723">
      <c r="A723" s="63" t="s">
        <v>156</v>
      </c>
      <c r="B723" s="63" t="s">
        <v>467</v>
      </c>
      <c r="C723" s="63">
        <v>20.0</v>
      </c>
      <c r="D723" s="63" t="s">
        <v>539</v>
      </c>
      <c r="E723" s="64">
        <v>0.0</v>
      </c>
      <c r="F723" s="65">
        <f t="shared" si="1"/>
        <v>20</v>
      </c>
      <c r="G723" s="66">
        <f>IF(B723&lt;&gt;"",VLOOKUP(B723,Zutaten!$C:$F,4,FALSE),"")*C723</f>
        <v>0.00736</v>
      </c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  <c r="AC723" s="67"/>
    </row>
    <row r="724">
      <c r="A724" s="63" t="s">
        <v>156</v>
      </c>
      <c r="B724" s="63" t="s">
        <v>510</v>
      </c>
      <c r="C724" s="63">
        <v>300.0</v>
      </c>
      <c r="D724" s="63" t="s">
        <v>540</v>
      </c>
      <c r="E724" s="64">
        <v>0.0</v>
      </c>
      <c r="F724" s="65">
        <f t="shared" si="1"/>
        <v>300</v>
      </c>
      <c r="G724" s="66">
        <f>IF(B724&lt;&gt;"",VLOOKUP(B724,Zutaten!$C:$F,4,FALSE),"")*C724</f>
        <v>1.392</v>
      </c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  <c r="AC724" s="67"/>
    </row>
    <row r="725">
      <c r="A725" s="63" t="s">
        <v>156</v>
      </c>
      <c r="B725" s="20" t="s">
        <v>433</v>
      </c>
      <c r="C725" s="63">
        <v>150.0</v>
      </c>
      <c r="D725" s="63" t="s">
        <v>539</v>
      </c>
      <c r="E725" s="64">
        <v>0.0</v>
      </c>
      <c r="F725" s="65">
        <f t="shared" si="1"/>
        <v>150</v>
      </c>
      <c r="G725" s="66">
        <f>IF(B725&lt;&gt;"",VLOOKUP(B725,Zutaten!$C:$F,4,FALSE),"")*(C725+850)</f>
        <v>5.69</v>
      </c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  <c r="AC725" s="67"/>
    </row>
    <row r="726">
      <c r="A726" s="60" t="s">
        <v>151</v>
      </c>
      <c r="B726" s="61" t="s">
        <v>436</v>
      </c>
      <c r="C726" s="62">
        <v>1770.0</v>
      </c>
      <c r="D726" s="63" t="s">
        <v>539</v>
      </c>
      <c r="E726" s="64">
        <v>0.17</v>
      </c>
      <c r="F726" s="65">
        <f t="shared" si="1"/>
        <v>1469.1</v>
      </c>
      <c r="G726" s="66">
        <f>IF(B726&lt;&gt;"",VLOOKUP(B726,Zutaten!$C:$F,4,FALSE),"")*C726</f>
        <v>13.52634</v>
      </c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  <c r="AC726" s="67"/>
    </row>
    <row r="727">
      <c r="A727" s="60" t="s">
        <v>151</v>
      </c>
      <c r="B727" s="61" t="s">
        <v>413</v>
      </c>
      <c r="C727" s="62">
        <v>200.0</v>
      </c>
      <c r="D727" s="63" t="s">
        <v>539</v>
      </c>
      <c r="E727" s="64">
        <v>0.17</v>
      </c>
      <c r="F727" s="65">
        <f t="shared" si="1"/>
        <v>166</v>
      </c>
      <c r="G727" s="66">
        <f>IF(B727&lt;&gt;"",VLOOKUP(B727,Zutaten!$C:$F,4,FALSE),"")*C727</f>
        <v>3</v>
      </c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  <c r="AC727" s="67"/>
    </row>
    <row r="728">
      <c r="A728" s="60" t="s">
        <v>151</v>
      </c>
      <c r="B728" s="61" t="s">
        <v>392</v>
      </c>
      <c r="C728" s="62">
        <v>30.0</v>
      </c>
      <c r="D728" s="63" t="s">
        <v>539</v>
      </c>
      <c r="E728" s="64">
        <v>0.17</v>
      </c>
      <c r="F728" s="65">
        <f t="shared" si="1"/>
        <v>24.9</v>
      </c>
      <c r="G728" s="66">
        <f>IF(B728&lt;&gt;"",VLOOKUP(B728,Zutaten!$C:$F,4,FALSE),"")*C728</f>
        <v>0.20376</v>
      </c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  <c r="AC728" s="67"/>
    </row>
    <row r="729">
      <c r="A729" s="60" t="s">
        <v>151</v>
      </c>
      <c r="B729" s="61" t="s">
        <v>351</v>
      </c>
      <c r="C729" s="62">
        <v>50.0</v>
      </c>
      <c r="D729" s="63" t="s">
        <v>539</v>
      </c>
      <c r="E729" s="64">
        <v>0.17</v>
      </c>
      <c r="F729" s="65">
        <f t="shared" si="1"/>
        <v>41.5</v>
      </c>
      <c r="G729" s="66">
        <f>IF(B729&lt;&gt;"",VLOOKUP(B729,Zutaten!$C:$F,4,FALSE),"")*C729</f>
        <v>0.0355</v>
      </c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  <c r="AC729" s="67"/>
    </row>
    <row r="730">
      <c r="A730" s="60" t="s">
        <v>151</v>
      </c>
      <c r="B730" s="61" t="s">
        <v>428</v>
      </c>
      <c r="C730" s="62">
        <v>500.0</v>
      </c>
      <c r="D730" s="63" t="s">
        <v>539</v>
      </c>
      <c r="E730" s="64">
        <v>0.17</v>
      </c>
      <c r="F730" s="65">
        <f t="shared" si="1"/>
        <v>415</v>
      </c>
      <c r="G730" s="66">
        <f>IF(B730&lt;&gt;"",VLOOKUP(B730,Zutaten!$C:$F,4,FALSE),"")*C730</f>
        <v>4.32</v>
      </c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  <c r="AC730" s="67"/>
    </row>
    <row r="731">
      <c r="A731" s="60" t="s">
        <v>151</v>
      </c>
      <c r="B731" s="61" t="s">
        <v>528</v>
      </c>
      <c r="C731" s="62">
        <v>20.0</v>
      </c>
      <c r="D731" s="63" t="s">
        <v>539</v>
      </c>
      <c r="E731" s="64">
        <v>0.17</v>
      </c>
      <c r="F731" s="65">
        <f t="shared" si="1"/>
        <v>16.6</v>
      </c>
      <c r="G731" s="66">
        <f>IF(B731&lt;&gt;"",VLOOKUP(B731,Zutaten!$C:$F,4,FALSE),"")*C731</f>
        <v>0.0288</v>
      </c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  <c r="AC731" s="67"/>
    </row>
    <row r="732">
      <c r="A732" s="60" t="s">
        <v>151</v>
      </c>
      <c r="B732" s="61" t="s">
        <v>467</v>
      </c>
      <c r="C732" s="62">
        <v>25.0</v>
      </c>
      <c r="D732" s="63" t="s">
        <v>539</v>
      </c>
      <c r="E732" s="64">
        <v>0.17</v>
      </c>
      <c r="F732" s="65">
        <f t="shared" si="1"/>
        <v>20.75</v>
      </c>
      <c r="G732" s="66">
        <f>IF(B732&lt;&gt;"",VLOOKUP(B732,Zutaten!$C:$F,4,FALSE),"")*C732</f>
        <v>0.0092</v>
      </c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  <c r="AC732" s="67"/>
    </row>
    <row r="733">
      <c r="A733" s="60" t="s">
        <v>157</v>
      </c>
      <c r="B733" s="61" t="s">
        <v>435</v>
      </c>
      <c r="C733" s="62">
        <v>1000.0</v>
      </c>
      <c r="D733" s="63" t="s">
        <v>539</v>
      </c>
      <c r="E733" s="64">
        <v>0.0</v>
      </c>
      <c r="F733" s="65">
        <f t="shared" si="1"/>
        <v>1000</v>
      </c>
      <c r="G733" s="66">
        <f>IF(B733&lt;&gt;"",VLOOKUP(B733,Zutaten!$C:$F,4,FALSE),"")*C733</f>
        <v>5.313</v>
      </c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  <c r="AC733" s="67"/>
    </row>
    <row r="734">
      <c r="A734" s="60" t="s">
        <v>157</v>
      </c>
      <c r="B734" s="61" t="s">
        <v>459</v>
      </c>
      <c r="C734" s="62">
        <v>400.0</v>
      </c>
      <c r="D734" s="63" t="s">
        <v>539</v>
      </c>
      <c r="E734" s="64">
        <v>0.0</v>
      </c>
      <c r="F734" s="65">
        <f t="shared" si="1"/>
        <v>400</v>
      </c>
      <c r="G734" s="66">
        <f>IF(B734&lt;&gt;"",VLOOKUP(B734,Zutaten!$C:$F,4,FALSE),"")*C734</f>
        <v>0.968</v>
      </c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  <c r="AC734" s="67"/>
    </row>
    <row r="735">
      <c r="A735" s="60" t="s">
        <v>157</v>
      </c>
      <c r="B735" s="61" t="s">
        <v>291</v>
      </c>
      <c r="C735" s="62">
        <v>50.0</v>
      </c>
      <c r="D735" s="63" t="s">
        <v>540</v>
      </c>
      <c r="E735" s="64">
        <v>0.0</v>
      </c>
      <c r="F735" s="65">
        <f t="shared" si="1"/>
        <v>50</v>
      </c>
      <c r="G735" s="66">
        <f>IF(B735&lt;&gt;"",VLOOKUP(B735,Zutaten!$C:$F,4,FALSE),"")*C735</f>
        <v>0.0785</v>
      </c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  <c r="AC735" s="67"/>
    </row>
    <row r="736">
      <c r="A736" s="60" t="s">
        <v>157</v>
      </c>
      <c r="B736" s="61" t="s">
        <v>467</v>
      </c>
      <c r="C736" s="62">
        <v>20.0</v>
      </c>
      <c r="D736" s="63" t="s">
        <v>539</v>
      </c>
      <c r="E736" s="64">
        <v>0.0</v>
      </c>
      <c r="F736" s="65">
        <f t="shared" si="1"/>
        <v>20</v>
      </c>
      <c r="G736" s="66">
        <f>IF(B736&lt;&gt;"",VLOOKUP(B736,Zutaten!$C:$F,4,FALSE),"")*C736</f>
        <v>0.00736</v>
      </c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  <c r="AC736" s="67"/>
    </row>
    <row r="737">
      <c r="A737" s="60" t="s">
        <v>157</v>
      </c>
      <c r="B737" s="61" t="s">
        <v>428</v>
      </c>
      <c r="C737" s="62">
        <v>50.0</v>
      </c>
      <c r="D737" s="63" t="s">
        <v>540</v>
      </c>
      <c r="E737" s="64">
        <v>0.0</v>
      </c>
      <c r="F737" s="65">
        <f t="shared" si="1"/>
        <v>50</v>
      </c>
      <c r="G737" s="66">
        <f>IF(B737&lt;&gt;"",VLOOKUP(B737,Zutaten!$C:$F,4,FALSE),"")*C737</f>
        <v>0.432</v>
      </c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  <c r="AC737" s="67"/>
    </row>
    <row r="738">
      <c r="A738" s="60" t="s">
        <v>158</v>
      </c>
      <c r="B738" s="61" t="s">
        <v>439</v>
      </c>
      <c r="C738" s="62">
        <v>157.0</v>
      </c>
      <c r="D738" s="63" t="s">
        <v>539</v>
      </c>
      <c r="E738" s="64">
        <v>0.0</v>
      </c>
      <c r="F738" s="65">
        <f t="shared" si="1"/>
        <v>157</v>
      </c>
      <c r="G738" s="66">
        <f>IF(B738&lt;&gt;"",VLOOKUP(B738,Zutaten!$C:$F,4,FALSE),"")*C738</f>
        <v>0.460481</v>
      </c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  <c r="AC738" s="67"/>
    </row>
    <row r="739">
      <c r="A739" s="60" t="s">
        <v>158</v>
      </c>
      <c r="B739" s="61" t="s">
        <v>323</v>
      </c>
      <c r="C739" s="62">
        <v>60.0</v>
      </c>
      <c r="D739" s="63" t="s">
        <v>539</v>
      </c>
      <c r="E739" s="64">
        <v>0.0</v>
      </c>
      <c r="F739" s="65">
        <f t="shared" si="1"/>
        <v>60</v>
      </c>
      <c r="G739" s="66">
        <f>IF(B739&lt;&gt;"",VLOOKUP(B739,Zutaten!$C:$F,4,FALSE),"")*C739</f>
        <v>0.21</v>
      </c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  <c r="AC739" s="67"/>
    </row>
    <row r="740">
      <c r="A740" s="60" t="s">
        <v>158</v>
      </c>
      <c r="B740" s="61" t="s">
        <v>362</v>
      </c>
      <c r="C740" s="62">
        <v>300.0</v>
      </c>
      <c r="D740" s="63" t="s">
        <v>539</v>
      </c>
      <c r="E740" s="64">
        <v>0.0</v>
      </c>
      <c r="F740" s="65">
        <f t="shared" si="1"/>
        <v>300</v>
      </c>
      <c r="G740" s="66">
        <f>IF(B740&lt;&gt;"",VLOOKUP(B740,Zutaten!$C:$F,4,FALSE),"")*C740</f>
        <v>2.67</v>
      </c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  <c r="AC740" s="67"/>
    </row>
    <row r="741">
      <c r="A741" s="60" t="s">
        <v>158</v>
      </c>
      <c r="B741" s="61" t="s">
        <v>98</v>
      </c>
      <c r="C741" s="62">
        <v>173.0</v>
      </c>
      <c r="D741" s="63" t="s">
        <v>539</v>
      </c>
      <c r="E741" s="64">
        <v>0.0</v>
      </c>
      <c r="F741" s="65">
        <f t="shared" si="1"/>
        <v>173</v>
      </c>
      <c r="G741" s="66">
        <f>IF(B741&lt;&gt;"",VLOOKUP(B741,Zutaten!$C:$F,4,FALSE),"")*C741</f>
        <v>2.67</v>
      </c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  <c r="AC741" s="67"/>
    </row>
    <row r="742">
      <c r="A742" s="60" t="s">
        <v>159</v>
      </c>
      <c r="B742" s="61" t="s">
        <v>332</v>
      </c>
      <c r="C742" s="62">
        <v>1000.0</v>
      </c>
      <c r="D742" s="63" t="s">
        <v>540</v>
      </c>
      <c r="E742" s="64">
        <v>0.0</v>
      </c>
      <c r="F742" s="65">
        <f t="shared" si="1"/>
        <v>1000</v>
      </c>
      <c r="G742" s="66">
        <f>IF(B742&lt;&gt;"",VLOOKUP(B742,Zutaten!$C:$F,4,FALSE),"")*C742</f>
        <v>8.49</v>
      </c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  <c r="AC742" s="67"/>
    </row>
    <row r="743">
      <c r="A743" s="60" t="s">
        <v>159</v>
      </c>
      <c r="B743" s="61" t="s">
        <v>455</v>
      </c>
      <c r="C743" s="62">
        <v>8000.0</v>
      </c>
      <c r="D743" s="63" t="s">
        <v>540</v>
      </c>
      <c r="E743" s="64">
        <v>0.0</v>
      </c>
      <c r="F743" s="65">
        <f t="shared" si="1"/>
        <v>8000</v>
      </c>
      <c r="G743" s="66">
        <f>IF(B743&lt;&gt;"",VLOOKUP(B743,Zutaten!$C:$F,4,FALSE),"")*C743</f>
        <v>15.92</v>
      </c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  <c r="AC743" s="67"/>
    </row>
    <row r="744">
      <c r="A744" s="60" t="s">
        <v>159</v>
      </c>
      <c r="B744" s="61" t="s">
        <v>392</v>
      </c>
      <c r="C744" s="62">
        <v>640.0</v>
      </c>
      <c r="D744" s="63" t="s">
        <v>539</v>
      </c>
      <c r="E744" s="64">
        <v>0.0</v>
      </c>
      <c r="F744" s="65">
        <f t="shared" si="1"/>
        <v>640</v>
      </c>
      <c r="G744" s="66">
        <f>IF(B744&lt;&gt;"",VLOOKUP(B744,Zutaten!$C:$F,4,FALSE),"")*C744</f>
        <v>4.34688</v>
      </c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  <c r="AC744" s="67"/>
    </row>
    <row r="745">
      <c r="A745" s="60" t="s">
        <v>159</v>
      </c>
      <c r="B745" s="61" t="s">
        <v>441</v>
      </c>
      <c r="C745" s="62">
        <v>50.0</v>
      </c>
      <c r="D745" s="63" t="s">
        <v>539</v>
      </c>
      <c r="E745" s="64">
        <v>0.0</v>
      </c>
      <c r="F745" s="65">
        <f t="shared" si="1"/>
        <v>50</v>
      </c>
      <c r="G745" s="66">
        <f>IF(B745&lt;&gt;"",VLOOKUP(B745,Zutaten!$C:$F,4,FALSE),"")*C745</f>
        <v>0.476</v>
      </c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  <c r="AC745" s="67"/>
    </row>
    <row r="746">
      <c r="A746" s="60" t="s">
        <v>159</v>
      </c>
      <c r="B746" s="61" t="s">
        <v>467</v>
      </c>
      <c r="C746" s="62">
        <v>20.0</v>
      </c>
      <c r="D746" s="63" t="s">
        <v>539</v>
      </c>
      <c r="E746" s="64">
        <v>0.0</v>
      </c>
      <c r="F746" s="65">
        <f t="shared" si="1"/>
        <v>20</v>
      </c>
      <c r="G746" s="66">
        <f>IF(B746&lt;&gt;"",VLOOKUP(B746,Zutaten!$C:$F,4,FALSE),"")*C746</f>
        <v>0.00736</v>
      </c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  <c r="AC746" s="67"/>
    </row>
    <row r="747">
      <c r="A747" s="60" t="s">
        <v>159</v>
      </c>
      <c r="B747" s="61" t="s">
        <v>510</v>
      </c>
      <c r="C747" s="62">
        <v>1000.0</v>
      </c>
      <c r="D747" s="63" t="s">
        <v>540</v>
      </c>
      <c r="E747" s="64">
        <v>0.0</v>
      </c>
      <c r="F747" s="65">
        <f t="shared" si="1"/>
        <v>1000</v>
      </c>
      <c r="G747" s="66">
        <f>IF(B747&lt;&gt;"",VLOOKUP(B747,Zutaten!$C:$F,4,FALSE),"")*C747</f>
        <v>4.64</v>
      </c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  <c r="AC747" s="67"/>
    </row>
    <row r="748">
      <c r="A748" s="20" t="s">
        <v>160</v>
      </c>
      <c r="B748" s="63" t="s">
        <v>467</v>
      </c>
      <c r="C748" s="63">
        <v>2.0</v>
      </c>
      <c r="D748" s="63" t="s">
        <v>539</v>
      </c>
      <c r="E748" s="64">
        <v>0.0</v>
      </c>
      <c r="F748" s="65">
        <f t="shared" si="1"/>
        <v>2</v>
      </c>
      <c r="G748" s="66">
        <f>IF(B748&lt;&gt;"",VLOOKUP(B748,Zutaten!$C:$F,4,FALSE),"")*C748</f>
        <v>0.000736</v>
      </c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  <c r="AC748" s="67"/>
    </row>
    <row r="749">
      <c r="A749" s="20" t="s">
        <v>160</v>
      </c>
      <c r="B749" s="63" t="s">
        <v>443</v>
      </c>
      <c r="C749" s="63">
        <v>500.0</v>
      </c>
      <c r="D749" s="63" t="s">
        <v>539</v>
      </c>
      <c r="E749" s="64">
        <v>0.5</v>
      </c>
      <c r="F749" s="65">
        <f t="shared" si="1"/>
        <v>250</v>
      </c>
      <c r="G749" s="66">
        <f>IF(B749&lt;&gt;"",VLOOKUP(B749,Zutaten!$C:$F,4,FALSE),"")*C749</f>
        <v>10.5</v>
      </c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  <c r="AC749" s="67"/>
    </row>
    <row r="750">
      <c r="A750" s="20" t="s">
        <v>160</v>
      </c>
      <c r="B750" s="63" t="s">
        <v>442</v>
      </c>
      <c r="C750" s="63">
        <v>1.0</v>
      </c>
      <c r="D750" s="63" t="s">
        <v>539</v>
      </c>
      <c r="E750" s="64">
        <v>0.0</v>
      </c>
      <c r="F750" s="65">
        <f t="shared" si="1"/>
        <v>1</v>
      </c>
      <c r="G750" s="66">
        <f>IF(B750&lt;&gt;"",VLOOKUP(B750,Zutaten!$C:$F,4,FALSE),"")*C750</f>
        <v>0.0324</v>
      </c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  <c r="AC750" s="67"/>
    </row>
    <row r="751">
      <c r="A751" s="20" t="s">
        <v>160</v>
      </c>
      <c r="B751" s="63" t="s">
        <v>500</v>
      </c>
      <c r="C751" s="63">
        <v>1.0</v>
      </c>
      <c r="D751" s="63" t="s">
        <v>539</v>
      </c>
      <c r="E751" s="64">
        <v>0.0</v>
      </c>
      <c r="F751" s="65">
        <f t="shared" si="1"/>
        <v>1</v>
      </c>
      <c r="G751" s="66">
        <f>IF(B751&lt;&gt;"",VLOOKUP(B751,Zutaten!$C:$F,4,FALSE),"")*C751</f>
        <v>0.2869333333</v>
      </c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  <c r="AC751" s="67"/>
    </row>
    <row r="752">
      <c r="A752" s="20" t="s">
        <v>160</v>
      </c>
      <c r="B752" s="63" t="s">
        <v>455</v>
      </c>
      <c r="C752" s="63">
        <v>30.0</v>
      </c>
      <c r="D752" s="63" t="s">
        <v>539</v>
      </c>
      <c r="E752" s="64">
        <v>0.0</v>
      </c>
      <c r="F752" s="65">
        <f t="shared" si="1"/>
        <v>30</v>
      </c>
      <c r="G752" s="66">
        <f>IF(B752&lt;&gt;"",VLOOKUP(B752,Zutaten!$C:$F,4,FALSE),"")*C752</f>
        <v>0.0597</v>
      </c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  <c r="AC752" s="67"/>
    </row>
    <row r="753">
      <c r="A753" s="20" t="s">
        <v>160</v>
      </c>
      <c r="B753" s="63" t="s">
        <v>404</v>
      </c>
      <c r="C753" s="63">
        <v>10.0</v>
      </c>
      <c r="D753" s="63" t="s">
        <v>539</v>
      </c>
      <c r="E753" s="64">
        <v>0.0</v>
      </c>
      <c r="F753" s="65">
        <f t="shared" si="1"/>
        <v>10</v>
      </c>
      <c r="G753" s="66">
        <f>IF(B753&lt;&gt;"",VLOOKUP(B753,Zutaten!$C:$F,4,FALSE),"")*C753</f>
        <v>0.07</v>
      </c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  <c r="AC753" s="67"/>
    </row>
    <row r="754">
      <c r="A754" s="63" t="s">
        <v>161</v>
      </c>
      <c r="B754" s="20" t="s">
        <v>317</v>
      </c>
      <c r="C754" s="63">
        <v>2500.0</v>
      </c>
      <c r="D754" s="63" t="s">
        <v>539</v>
      </c>
      <c r="E754" s="64">
        <v>0.0</v>
      </c>
      <c r="F754" s="65">
        <f t="shared" si="1"/>
        <v>2500</v>
      </c>
      <c r="G754" s="66">
        <f>IF(B754&lt;&gt;"",VLOOKUP(B754,Zutaten!$C:$F,4,FALSE),"")*C754</f>
        <v>13.155</v>
      </c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  <c r="AC754" s="67"/>
    </row>
    <row r="755">
      <c r="A755" s="63" t="s">
        <v>161</v>
      </c>
      <c r="B755" s="63" t="s">
        <v>467</v>
      </c>
      <c r="C755" s="63">
        <v>15.0</v>
      </c>
      <c r="D755" s="63" t="s">
        <v>539</v>
      </c>
      <c r="E755" s="64">
        <v>0.0</v>
      </c>
      <c r="F755" s="65">
        <f t="shared" si="1"/>
        <v>15</v>
      </c>
      <c r="G755" s="66">
        <f>IF(B755&lt;&gt;"",VLOOKUP(B755,Zutaten!$C:$F,4,FALSE),"")*C755</f>
        <v>0.00552</v>
      </c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  <c r="AC755" s="67"/>
    </row>
    <row r="756">
      <c r="A756" s="63" t="s">
        <v>161</v>
      </c>
      <c r="B756" s="63" t="s">
        <v>442</v>
      </c>
      <c r="C756" s="63">
        <v>5.0</v>
      </c>
      <c r="D756" s="63" t="s">
        <v>539</v>
      </c>
      <c r="E756" s="64">
        <v>0.0</v>
      </c>
      <c r="F756" s="65">
        <f t="shared" si="1"/>
        <v>5</v>
      </c>
      <c r="G756" s="66">
        <f>IF(B756&lt;&gt;"",VLOOKUP(B756,Zutaten!$C:$F,4,FALSE),"")*C756</f>
        <v>0.162</v>
      </c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  <c r="AC756" s="67"/>
    </row>
    <row r="757">
      <c r="A757" s="63" t="s">
        <v>161</v>
      </c>
      <c r="B757" s="63" t="s">
        <v>449</v>
      </c>
      <c r="C757" s="63">
        <v>500.0</v>
      </c>
      <c r="D757" s="63" t="s">
        <v>539</v>
      </c>
      <c r="E757" s="64">
        <v>0.0</v>
      </c>
      <c r="F757" s="65">
        <f t="shared" si="1"/>
        <v>500</v>
      </c>
      <c r="G757" s="66">
        <f>IF(B757&lt;&gt;"",VLOOKUP(B757,Zutaten!$C:$F,4,FALSE),"")*C757</f>
        <v>1.605</v>
      </c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  <c r="AC757" s="67"/>
    </row>
    <row r="758">
      <c r="A758" s="63" t="s">
        <v>161</v>
      </c>
      <c r="B758" s="63" t="s">
        <v>530</v>
      </c>
      <c r="C758" s="63">
        <v>200.0</v>
      </c>
      <c r="D758" s="63" t="s">
        <v>539</v>
      </c>
      <c r="E758" s="64">
        <v>0.0</v>
      </c>
      <c r="F758" s="65">
        <f t="shared" si="1"/>
        <v>200</v>
      </c>
      <c r="G758" s="66">
        <f>IF(B758&lt;&gt;"",VLOOKUP(B758,Zutaten!$C:$F,4,FALSE),"")*C758</f>
        <v>0.24</v>
      </c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  <c r="AC758" s="67"/>
    </row>
    <row r="759">
      <c r="A759" s="63" t="s">
        <v>161</v>
      </c>
      <c r="B759" s="63" t="s">
        <v>424</v>
      </c>
      <c r="C759" s="63">
        <v>2.0</v>
      </c>
      <c r="D759" s="63" t="s">
        <v>539</v>
      </c>
      <c r="E759" s="64">
        <v>0.0</v>
      </c>
      <c r="F759" s="65">
        <f t="shared" si="1"/>
        <v>2</v>
      </c>
      <c r="G759" s="66">
        <f>IF(B759&lt;&gt;"",VLOOKUP(B759,Zutaten!$C:$F,4,FALSE),"")*C759</f>
        <v>0.134</v>
      </c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  <c r="AC759" s="67"/>
    </row>
    <row r="760">
      <c r="A760" s="63" t="s">
        <v>161</v>
      </c>
      <c r="B760" s="63" t="s">
        <v>500</v>
      </c>
      <c r="C760" s="63">
        <v>2.0</v>
      </c>
      <c r="D760" s="63" t="s">
        <v>539</v>
      </c>
      <c r="E760" s="64">
        <v>0.0</v>
      </c>
      <c r="F760" s="65">
        <f t="shared" si="1"/>
        <v>2</v>
      </c>
      <c r="G760" s="66">
        <f>IF(B760&lt;&gt;"",VLOOKUP(B760,Zutaten!$C:$F,4,FALSE),"")*C760</f>
        <v>0.5738666667</v>
      </c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  <c r="AC760" s="67"/>
    </row>
    <row r="761">
      <c r="A761" s="63" t="s">
        <v>161</v>
      </c>
      <c r="B761" s="63" t="s">
        <v>466</v>
      </c>
      <c r="C761" s="63">
        <v>2000.0</v>
      </c>
      <c r="D761" s="63" t="s">
        <v>539</v>
      </c>
      <c r="E761" s="64">
        <v>0.0</v>
      </c>
      <c r="F761" s="65">
        <f t="shared" si="1"/>
        <v>2000</v>
      </c>
      <c r="G761" s="66">
        <f>IF(B761&lt;&gt;"",VLOOKUP(B761,Zutaten!$C:$F,4,FALSE),"")*C761</f>
        <v>8.86</v>
      </c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  <c r="AC761" s="67"/>
    </row>
    <row r="762">
      <c r="A762" s="63" t="s">
        <v>161</v>
      </c>
      <c r="B762" s="63" t="s">
        <v>511</v>
      </c>
      <c r="C762" s="63">
        <v>3000.0</v>
      </c>
      <c r="D762" s="63" t="s">
        <v>539</v>
      </c>
      <c r="E762" s="64">
        <v>0.0</v>
      </c>
      <c r="F762" s="65">
        <f t="shared" si="1"/>
        <v>3000</v>
      </c>
      <c r="G762" s="66">
        <f>IF(B762&lt;&gt;"",VLOOKUP(B762,Zutaten!$C:$F,4,FALSE),"")*C762</f>
        <v>3.57</v>
      </c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  <c r="AC762" s="67"/>
    </row>
    <row r="763">
      <c r="A763" s="18" t="s">
        <v>162</v>
      </c>
      <c r="B763" s="18" t="s">
        <v>161</v>
      </c>
      <c r="C763" s="68">
        <v>350.0</v>
      </c>
      <c r="D763" s="63" t="s">
        <v>539</v>
      </c>
      <c r="E763" s="64">
        <v>0.0</v>
      </c>
      <c r="F763" s="65">
        <f t="shared" si="1"/>
        <v>350</v>
      </c>
      <c r="G763" s="66">
        <f>IF(B763&lt;&gt;"",VLOOKUP(B763,Zutaten!$C:$F,4,FALSE),"")*C763</f>
        <v>1.204630999</v>
      </c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  <c r="AC763" s="67"/>
    </row>
    <row r="764">
      <c r="A764" s="18" t="s">
        <v>162</v>
      </c>
      <c r="B764" s="18" t="s">
        <v>61</v>
      </c>
      <c r="C764" s="68">
        <v>10.0</v>
      </c>
      <c r="D764" s="63" t="s">
        <v>539</v>
      </c>
      <c r="E764" s="64">
        <v>0.0</v>
      </c>
      <c r="F764" s="65">
        <f t="shared" si="1"/>
        <v>10</v>
      </c>
      <c r="G764" s="66">
        <f>IF(B764&lt;&gt;"",VLOOKUP(B764,Zutaten!$C:$F,4,FALSE),"")*C764</f>
        <v>0.06479000918</v>
      </c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  <c r="AC764" s="67"/>
    </row>
    <row r="765">
      <c r="A765" s="60" t="s">
        <v>163</v>
      </c>
      <c r="B765" s="61" t="s">
        <v>450</v>
      </c>
      <c r="C765" s="62">
        <f>60*20</f>
        <v>1200</v>
      </c>
      <c r="D765" s="63" t="s">
        <v>539</v>
      </c>
      <c r="E765" s="64">
        <v>0.0</v>
      </c>
      <c r="F765" s="65">
        <f t="shared" si="1"/>
        <v>1200</v>
      </c>
      <c r="G765" s="66">
        <f>IF(B765&lt;&gt;"",VLOOKUP(B765,Zutaten!$C:$F,4,FALSE),"")*C765</f>
        <v>8.64</v>
      </c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  <c r="AC765" s="67"/>
    </row>
    <row r="766">
      <c r="A766" s="60" t="s">
        <v>163</v>
      </c>
      <c r="B766" s="61" t="s">
        <v>118</v>
      </c>
      <c r="C766" s="62">
        <f>80*20</f>
        <v>1600</v>
      </c>
      <c r="D766" s="63" t="s">
        <v>539</v>
      </c>
      <c r="E766" s="64">
        <v>0.0</v>
      </c>
      <c r="F766" s="65">
        <f t="shared" si="1"/>
        <v>1600</v>
      </c>
      <c r="G766" s="66">
        <f>IF(B766&lt;&gt;"",VLOOKUP(B766,Zutaten!$C:$F,4,FALSE),"")*C766</f>
        <v>11.76393115</v>
      </c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  <c r="AC766" s="67"/>
    </row>
    <row r="767">
      <c r="A767" s="60" t="s">
        <v>163</v>
      </c>
      <c r="B767" s="61" t="s">
        <v>518</v>
      </c>
      <c r="C767" s="62">
        <v>150.0</v>
      </c>
      <c r="D767" s="63" t="s">
        <v>539</v>
      </c>
      <c r="E767" s="64">
        <v>1.0</v>
      </c>
      <c r="F767" s="65">
        <f t="shared" si="1"/>
        <v>0</v>
      </c>
      <c r="G767" s="66">
        <f>IF(B767&lt;&gt;"",VLOOKUP(B767,Zutaten!$C:$F,4,FALSE),"")*C767</f>
        <v>0.11205</v>
      </c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  <c r="AC767" s="67"/>
    </row>
    <row r="768">
      <c r="A768" s="60" t="s">
        <v>163</v>
      </c>
      <c r="B768" s="61" t="s">
        <v>433</v>
      </c>
      <c r="C768" s="62">
        <v>1000.0</v>
      </c>
      <c r="D768" s="63" t="s">
        <v>539</v>
      </c>
      <c r="E768" s="64">
        <v>1.0</v>
      </c>
      <c r="F768" s="65">
        <f t="shared" si="1"/>
        <v>0</v>
      </c>
      <c r="G768" s="66">
        <f>IF(B768&lt;&gt;"",VLOOKUP(B768,Zutaten!$C:$F,4,FALSE),"")*C768</f>
        <v>5.69</v>
      </c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  <c r="AC768" s="67"/>
    </row>
    <row r="769">
      <c r="A769" s="60" t="s">
        <v>163</v>
      </c>
      <c r="B769" s="61" t="s">
        <v>510</v>
      </c>
      <c r="C769" s="62">
        <v>250.0</v>
      </c>
      <c r="D769" s="63" t="s">
        <v>539</v>
      </c>
      <c r="E769" s="64">
        <v>1.0</v>
      </c>
      <c r="F769" s="65">
        <f t="shared" si="1"/>
        <v>0</v>
      </c>
      <c r="G769" s="66">
        <f>IF(B769&lt;&gt;"",VLOOKUP(B769,Zutaten!$C:$F,4,FALSE),"")*C769</f>
        <v>1.16</v>
      </c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  <c r="AC769" s="67"/>
    </row>
    <row r="770">
      <c r="A770" s="63" t="s">
        <v>164</v>
      </c>
      <c r="B770" s="63" t="s">
        <v>344</v>
      </c>
      <c r="C770" s="63">
        <v>13800.0</v>
      </c>
      <c r="D770" s="63" t="s">
        <v>539</v>
      </c>
      <c r="E770" s="64">
        <v>0.5</v>
      </c>
      <c r="F770" s="65">
        <f t="shared" si="1"/>
        <v>6900</v>
      </c>
      <c r="G770" s="66">
        <f>IF(B770&lt;&gt;"",VLOOKUP(B770,Zutaten!$C:$F,4,FALSE),"")*C770</f>
        <v>207</v>
      </c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  <c r="AC770" s="67"/>
    </row>
    <row r="771">
      <c r="A771" s="63" t="s">
        <v>164</v>
      </c>
      <c r="B771" s="63" t="s">
        <v>293</v>
      </c>
      <c r="C771" s="63">
        <v>1000.0</v>
      </c>
      <c r="D771" s="63" t="s">
        <v>539</v>
      </c>
      <c r="E771" s="64">
        <v>1.0</v>
      </c>
      <c r="F771" s="65">
        <f t="shared" si="1"/>
        <v>0</v>
      </c>
      <c r="G771" s="66">
        <f>IF(B771&lt;&gt;"",VLOOKUP(B771,Zutaten!$C:$F,4,FALSE),"")*C771</f>
        <v>1.84</v>
      </c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  <c r="AC771" s="67"/>
    </row>
    <row r="772">
      <c r="A772" s="63" t="s">
        <v>164</v>
      </c>
      <c r="B772" s="63" t="s">
        <v>429</v>
      </c>
      <c r="C772" s="63">
        <v>250.0</v>
      </c>
      <c r="D772" s="63" t="s">
        <v>539</v>
      </c>
      <c r="E772" s="64">
        <v>1.0</v>
      </c>
      <c r="F772" s="65">
        <f t="shared" si="1"/>
        <v>0</v>
      </c>
      <c r="G772" s="66">
        <f>IF(B772&lt;&gt;"",VLOOKUP(B772,Zutaten!$C:$F,4,FALSE),"")*C772</f>
        <v>0.7475</v>
      </c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  <c r="AC772" s="67"/>
    </row>
    <row r="773">
      <c r="A773" s="63" t="s">
        <v>164</v>
      </c>
      <c r="B773" s="63" t="s">
        <v>530</v>
      </c>
      <c r="C773" s="63">
        <v>1500.0</v>
      </c>
      <c r="D773" s="63" t="s">
        <v>539</v>
      </c>
      <c r="E773" s="64">
        <v>1.0</v>
      </c>
      <c r="F773" s="65">
        <f t="shared" si="1"/>
        <v>0</v>
      </c>
      <c r="G773" s="66">
        <f>IF(B773&lt;&gt;"",VLOOKUP(B773,Zutaten!$C:$F,4,FALSE),"")*C773</f>
        <v>1.8</v>
      </c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  <c r="AC773" s="67"/>
    </row>
    <row r="774">
      <c r="A774" s="63" t="s">
        <v>164</v>
      </c>
      <c r="B774" s="63" t="s">
        <v>425</v>
      </c>
      <c r="C774" s="63">
        <v>1.0</v>
      </c>
      <c r="D774" s="63" t="s">
        <v>539</v>
      </c>
      <c r="E774" s="64">
        <v>1.0</v>
      </c>
      <c r="F774" s="65">
        <f t="shared" si="1"/>
        <v>0</v>
      </c>
      <c r="G774" s="66">
        <f>IF(B774&lt;&gt;"",VLOOKUP(B774,Zutaten!$C:$F,4,FALSE),"")*C774</f>
        <v>0.06065</v>
      </c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  <c r="AC774" s="67"/>
    </row>
    <row r="775">
      <c r="A775" s="63" t="s">
        <v>164</v>
      </c>
      <c r="B775" s="63" t="s">
        <v>495</v>
      </c>
      <c r="C775" s="63">
        <v>2.5</v>
      </c>
      <c r="D775" s="63" t="s">
        <v>539</v>
      </c>
      <c r="E775" s="64">
        <v>1.0</v>
      </c>
      <c r="F775" s="65">
        <f t="shared" si="1"/>
        <v>0</v>
      </c>
      <c r="G775" s="66">
        <f>IF(B775&lt;&gt;"",VLOOKUP(B775,Zutaten!$C:$F,4,FALSE),"")*C775</f>
        <v>0.0329787234</v>
      </c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  <c r="AC775" s="67"/>
    </row>
    <row r="776">
      <c r="A776" s="63" t="s">
        <v>164</v>
      </c>
      <c r="B776" s="63" t="s">
        <v>512</v>
      </c>
      <c r="C776" s="63">
        <v>3.0</v>
      </c>
      <c r="D776" s="63" t="s">
        <v>539</v>
      </c>
      <c r="E776" s="64">
        <v>1.0</v>
      </c>
      <c r="F776" s="65">
        <f t="shared" si="1"/>
        <v>0</v>
      </c>
      <c r="G776" s="66">
        <f>IF(B776&lt;&gt;"",VLOOKUP(B776,Zutaten!$C:$F,4,FALSE),"")*C776</f>
        <v>0.0831</v>
      </c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  <c r="AC776" s="67"/>
    </row>
    <row r="777">
      <c r="A777" s="63" t="s">
        <v>164</v>
      </c>
      <c r="B777" s="73" t="s">
        <v>407</v>
      </c>
      <c r="C777" s="63">
        <v>1.0</v>
      </c>
      <c r="D777" s="63" t="s">
        <v>539</v>
      </c>
      <c r="E777" s="64">
        <v>1.0</v>
      </c>
      <c r="F777" s="65">
        <f t="shared" si="1"/>
        <v>0</v>
      </c>
      <c r="G777" s="66">
        <f>IF(B777&lt;&gt;"",VLOOKUP(B777,Zutaten!$C:$F,4,FALSE),"")*C777</f>
        <v>0.0715</v>
      </c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  <c r="AC777" s="67"/>
    </row>
    <row r="778">
      <c r="A778" s="63" t="s">
        <v>164</v>
      </c>
      <c r="B778" s="63" t="s">
        <v>382</v>
      </c>
      <c r="C778" s="63">
        <v>1.0</v>
      </c>
      <c r="D778" s="63" t="s">
        <v>539</v>
      </c>
      <c r="E778" s="64">
        <v>1.0</v>
      </c>
      <c r="F778" s="65">
        <f t="shared" si="1"/>
        <v>0</v>
      </c>
      <c r="G778" s="66">
        <f>IF(B778&lt;&gt;"",VLOOKUP(B778,Zutaten!$C:$F,4,FALSE),"")*C778</f>
        <v>0.1659</v>
      </c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  <c r="AC778" s="67"/>
    </row>
    <row r="779">
      <c r="A779" s="63" t="s">
        <v>164</v>
      </c>
      <c r="B779" s="63" t="s">
        <v>430</v>
      </c>
      <c r="C779" s="63">
        <v>1000.0</v>
      </c>
      <c r="D779" s="63" t="s">
        <v>540</v>
      </c>
      <c r="E779" s="64">
        <v>1.0</v>
      </c>
      <c r="F779" s="65">
        <f t="shared" si="1"/>
        <v>0</v>
      </c>
      <c r="G779" s="66">
        <f>IF(B779&lt;&gt;"",VLOOKUP(B779,Zutaten!$C:$F,4,FALSE),"")*C779</f>
        <v>1.96</v>
      </c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  <c r="AC779" s="67"/>
    </row>
    <row r="780">
      <c r="A780" s="63" t="s">
        <v>164</v>
      </c>
      <c r="B780" s="63" t="s">
        <v>292</v>
      </c>
      <c r="C780" s="63">
        <v>1000.0</v>
      </c>
      <c r="D780" s="63" t="s">
        <v>540</v>
      </c>
      <c r="E780" s="64">
        <v>1.0</v>
      </c>
      <c r="F780" s="65">
        <f t="shared" si="1"/>
        <v>0</v>
      </c>
      <c r="G780" s="66">
        <f>IF(B780&lt;&gt;"",VLOOKUP(B780,Zutaten!$C:$F,4,FALSE),"")*C780</f>
        <v>1.69</v>
      </c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  <c r="AC780" s="67"/>
    </row>
    <row r="781">
      <c r="A781" s="60" t="s">
        <v>165</v>
      </c>
      <c r="B781" s="61" t="s">
        <v>478</v>
      </c>
      <c r="C781" s="62">
        <v>5000.0</v>
      </c>
      <c r="D781" s="63" t="s">
        <v>539</v>
      </c>
      <c r="E781" s="64">
        <v>0.4</v>
      </c>
      <c r="F781" s="65">
        <f t="shared" si="1"/>
        <v>3000</v>
      </c>
      <c r="G781" s="66">
        <f>IF(B781&lt;&gt;"",VLOOKUP(B781,Zutaten!$C:$F,4,FALSE),"")*C781</f>
        <v>29.45</v>
      </c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  <c r="AC781" s="67"/>
    </row>
    <row r="782">
      <c r="A782" s="60" t="s">
        <v>165</v>
      </c>
      <c r="B782" s="61" t="s">
        <v>477</v>
      </c>
      <c r="C782" s="62">
        <v>5000.0</v>
      </c>
      <c r="D782" s="63" t="s">
        <v>539</v>
      </c>
      <c r="E782" s="64">
        <v>0.4</v>
      </c>
      <c r="F782" s="65">
        <f t="shared" si="1"/>
        <v>3000</v>
      </c>
      <c r="G782" s="66">
        <f>IF(B782&lt;&gt;"",VLOOKUP(B782,Zutaten!$C:$F,4,FALSE),"")*C782</f>
        <v>29.95</v>
      </c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  <c r="AC782" s="67"/>
    </row>
    <row r="783">
      <c r="A783" s="60" t="s">
        <v>165</v>
      </c>
      <c r="B783" s="61" t="s">
        <v>437</v>
      </c>
      <c r="C783" s="62">
        <v>200.0</v>
      </c>
      <c r="D783" s="63" t="s">
        <v>539</v>
      </c>
      <c r="E783" s="64">
        <v>1.0</v>
      </c>
      <c r="F783" s="65">
        <f t="shared" si="1"/>
        <v>0</v>
      </c>
      <c r="G783" s="66">
        <f>IF(B783&lt;&gt;"",VLOOKUP(B783,Zutaten!$C:$F,4,FALSE),"")*C783</f>
        <v>3.46</v>
      </c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  <c r="AC783" s="67"/>
    </row>
    <row r="784">
      <c r="A784" s="60" t="s">
        <v>165</v>
      </c>
      <c r="B784" s="61" t="s">
        <v>431</v>
      </c>
      <c r="C784" s="62">
        <v>10.0</v>
      </c>
      <c r="D784" s="63" t="s">
        <v>539</v>
      </c>
      <c r="E784" s="64">
        <v>1.0</v>
      </c>
      <c r="F784" s="65">
        <f t="shared" si="1"/>
        <v>0</v>
      </c>
      <c r="G784" s="66">
        <f>IF(B784&lt;&gt;"",VLOOKUP(B784,Zutaten!$C:$F,4,FALSE),"")*C784</f>
        <v>0.2229411765</v>
      </c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  <c r="AC784" s="67"/>
    </row>
    <row r="785">
      <c r="A785" s="60" t="s">
        <v>165</v>
      </c>
      <c r="B785" s="61" t="s">
        <v>459</v>
      </c>
      <c r="C785" s="62">
        <v>500.0</v>
      </c>
      <c r="D785" s="63" t="s">
        <v>539</v>
      </c>
      <c r="E785" s="64">
        <v>1.0</v>
      </c>
      <c r="F785" s="65">
        <f t="shared" si="1"/>
        <v>0</v>
      </c>
      <c r="G785" s="66">
        <f>IF(B785&lt;&gt;"",VLOOKUP(B785,Zutaten!$C:$F,4,FALSE),"")*C785</f>
        <v>1.21</v>
      </c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  <c r="AC785" s="67"/>
    </row>
    <row r="786">
      <c r="A786" s="60" t="s">
        <v>165</v>
      </c>
      <c r="B786" s="61" t="s">
        <v>392</v>
      </c>
      <c r="C786" s="62">
        <v>36.0</v>
      </c>
      <c r="D786" s="63" t="s">
        <v>539</v>
      </c>
      <c r="E786" s="64">
        <v>1.0</v>
      </c>
      <c r="F786" s="65">
        <f t="shared" si="1"/>
        <v>0</v>
      </c>
      <c r="G786" s="66">
        <f>IF(B786&lt;&gt;"",VLOOKUP(B786,Zutaten!$C:$F,4,FALSE),"")*C786</f>
        <v>0.244512</v>
      </c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  <c r="AC786" s="67"/>
    </row>
    <row r="787">
      <c r="A787" s="60" t="s">
        <v>165</v>
      </c>
      <c r="B787" s="61" t="s">
        <v>530</v>
      </c>
      <c r="C787" s="62">
        <v>1000.0</v>
      </c>
      <c r="D787" s="63" t="s">
        <v>539</v>
      </c>
      <c r="E787" s="64">
        <v>1.0</v>
      </c>
      <c r="F787" s="65">
        <f t="shared" si="1"/>
        <v>0</v>
      </c>
      <c r="G787" s="66">
        <f>IF(B787&lt;&gt;"",VLOOKUP(B787,Zutaten!$C:$F,4,FALSE),"")*C787</f>
        <v>1.2</v>
      </c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  <c r="AC787" s="67"/>
    </row>
    <row r="788">
      <c r="A788" s="60" t="s">
        <v>165</v>
      </c>
      <c r="B788" s="61" t="s">
        <v>430</v>
      </c>
      <c r="C788" s="62">
        <v>500.0</v>
      </c>
      <c r="D788" s="63" t="s">
        <v>540</v>
      </c>
      <c r="E788" s="64">
        <v>1.0</v>
      </c>
      <c r="F788" s="65">
        <f t="shared" si="1"/>
        <v>0</v>
      </c>
      <c r="G788" s="66">
        <f>IF(B788&lt;&gt;"",VLOOKUP(B788,Zutaten!$C:$F,4,FALSE),"")*C788</f>
        <v>0.98</v>
      </c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  <c r="AC788" s="67"/>
    </row>
    <row r="789">
      <c r="A789" s="18" t="s">
        <v>166</v>
      </c>
      <c r="B789" s="18" t="s">
        <v>165</v>
      </c>
      <c r="C789" s="68">
        <v>150.0</v>
      </c>
      <c r="D789" s="63" t="s">
        <v>539</v>
      </c>
      <c r="E789" s="64">
        <v>0.0</v>
      </c>
      <c r="F789" s="65">
        <f t="shared" si="1"/>
        <v>150</v>
      </c>
      <c r="G789" s="66">
        <f>IF(B789&lt;&gt;"",VLOOKUP(B789,Zutaten!$C:$F,4,FALSE),"")*C789</f>
        <v>1.667936329</v>
      </c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  <c r="AC789" s="67"/>
    </row>
    <row r="790">
      <c r="A790" s="18" t="s">
        <v>166</v>
      </c>
      <c r="B790" s="18" t="s">
        <v>561</v>
      </c>
      <c r="C790" s="68">
        <v>90.0</v>
      </c>
      <c r="D790" s="63" t="s">
        <v>539</v>
      </c>
      <c r="E790" s="64">
        <v>0.0</v>
      </c>
      <c r="F790" s="65">
        <f t="shared" si="1"/>
        <v>90</v>
      </c>
      <c r="G790" s="66">
        <f>IF(B790&lt;&gt;"",VLOOKUP(B790,Zutaten!$C:$F,4,FALSE),"")*C790</f>
        <v>0.1557138227</v>
      </c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  <c r="AC790" s="67"/>
    </row>
    <row r="791">
      <c r="A791" s="18" t="s">
        <v>166</v>
      </c>
      <c r="B791" s="18" t="s">
        <v>336</v>
      </c>
      <c r="C791" s="68">
        <v>20.0</v>
      </c>
      <c r="D791" s="63" t="s">
        <v>539</v>
      </c>
      <c r="E791" s="64">
        <v>0.0</v>
      </c>
      <c r="F791" s="65">
        <f t="shared" si="1"/>
        <v>20</v>
      </c>
      <c r="G791" s="66">
        <f>IF(B791&lt;&gt;"",VLOOKUP(B791,Zutaten!$C:$F,4,FALSE),"")*C791</f>
        <v>0.1278</v>
      </c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  <c r="AC791" s="67"/>
    </row>
    <row r="792">
      <c r="A792" s="18" t="s">
        <v>166</v>
      </c>
      <c r="B792" s="18" t="s">
        <v>380</v>
      </c>
      <c r="C792" s="68">
        <v>20.0</v>
      </c>
      <c r="D792" s="63" t="s">
        <v>539</v>
      </c>
      <c r="E792" s="64">
        <v>0.0</v>
      </c>
      <c r="F792" s="65">
        <f t="shared" si="1"/>
        <v>20</v>
      </c>
      <c r="G792" s="66">
        <f>IF(B792&lt;&gt;"",VLOOKUP(B792,Zutaten!$C:$F,4,FALSE),"")*C792</f>
        <v>0.08282352941</v>
      </c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  <c r="AC792" s="67"/>
    </row>
    <row r="793">
      <c r="A793" s="18" t="s">
        <v>166</v>
      </c>
      <c r="B793" s="18" t="s">
        <v>562</v>
      </c>
      <c r="C793" s="68">
        <v>50.0</v>
      </c>
      <c r="D793" s="63" t="s">
        <v>539</v>
      </c>
      <c r="E793" s="64">
        <v>0.0</v>
      </c>
      <c r="F793" s="65">
        <f t="shared" si="1"/>
        <v>50</v>
      </c>
      <c r="G793" s="66">
        <f>IF(B793&lt;&gt;"",VLOOKUP(B793,Zutaten!$C:$F,4,FALSE),"")*C793</f>
        <v>0.2747234014</v>
      </c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  <c r="AC793" s="67"/>
    </row>
    <row r="794">
      <c r="A794" s="18" t="s">
        <v>166</v>
      </c>
      <c r="B794" s="18" t="s">
        <v>313</v>
      </c>
      <c r="C794" s="68">
        <v>80.0</v>
      </c>
      <c r="D794" s="63" t="s">
        <v>539</v>
      </c>
      <c r="E794" s="64">
        <v>0.0</v>
      </c>
      <c r="F794" s="65">
        <f t="shared" si="1"/>
        <v>80</v>
      </c>
      <c r="G794" s="66">
        <f>IF(B794&lt;&gt;"",VLOOKUP(B794,Zutaten!$C:$F,4,FALSE),"")*C794</f>
        <v>0.5</v>
      </c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  <c r="AC794" s="67"/>
    </row>
    <row r="795">
      <c r="A795" s="60" t="s">
        <v>175</v>
      </c>
      <c r="B795" s="61" t="s">
        <v>165</v>
      </c>
      <c r="C795" s="62">
        <v>170.0</v>
      </c>
      <c r="D795" s="63" t="s">
        <v>539</v>
      </c>
      <c r="E795" s="64">
        <v>0.0</v>
      </c>
      <c r="F795" s="65">
        <f t="shared" si="1"/>
        <v>170</v>
      </c>
      <c r="G795" s="66">
        <f>IF(B795&lt;&gt;"",VLOOKUP(B795,Zutaten!$C:$F,4,FALSE),"")*C795</f>
        <v>1.89032784</v>
      </c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  <c r="AC795" s="67"/>
    </row>
    <row r="796">
      <c r="A796" s="60" t="s">
        <v>175</v>
      </c>
      <c r="B796" s="61" t="s">
        <v>25</v>
      </c>
      <c r="C796" s="62">
        <v>43.0</v>
      </c>
      <c r="D796" s="63" t="s">
        <v>539</v>
      </c>
      <c r="E796" s="64">
        <v>0.0</v>
      </c>
      <c r="F796" s="65">
        <f t="shared" si="1"/>
        <v>43</v>
      </c>
      <c r="G796" s="66">
        <f>IF(B796&lt;&gt;"",VLOOKUP(B796,Zutaten!$C:$F,4,FALSE),"")*C796</f>
        <v>0.3203503194</v>
      </c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  <c r="AC796" s="67"/>
    </row>
    <row r="797">
      <c r="A797" s="60" t="s">
        <v>175</v>
      </c>
      <c r="B797" s="61" t="s">
        <v>118</v>
      </c>
      <c r="C797" s="62">
        <v>35.0</v>
      </c>
      <c r="D797" s="63"/>
      <c r="E797" s="64">
        <v>0.0</v>
      </c>
      <c r="F797" s="65">
        <f t="shared" si="1"/>
        <v>35</v>
      </c>
      <c r="G797" s="66">
        <f>IF(B797&lt;&gt;"",VLOOKUP(B797,Zutaten!$C:$F,4,FALSE),"")*C797</f>
        <v>0.2573359938</v>
      </c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  <c r="AC797" s="67"/>
    </row>
    <row r="798">
      <c r="A798" s="60" t="s">
        <v>175</v>
      </c>
      <c r="B798" s="61" t="s">
        <v>25</v>
      </c>
      <c r="C798" s="62">
        <v>7.0</v>
      </c>
      <c r="D798" s="63"/>
      <c r="E798" s="64">
        <v>0.0</v>
      </c>
      <c r="F798" s="65">
        <f t="shared" si="1"/>
        <v>7</v>
      </c>
      <c r="G798" s="66">
        <f>IF(B798&lt;&gt;"",VLOOKUP(B798,Zutaten!$C:$F,4,FALSE),"")*C798</f>
        <v>0.05215005199</v>
      </c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  <c r="AC798" s="67"/>
    </row>
    <row r="799">
      <c r="A799" s="60" t="s">
        <v>175</v>
      </c>
      <c r="B799" s="61" t="s">
        <v>433</v>
      </c>
      <c r="C799" s="62">
        <v>50.0</v>
      </c>
      <c r="D799" s="63" t="s">
        <v>539</v>
      </c>
      <c r="E799" s="64">
        <v>0.0</v>
      </c>
      <c r="F799" s="65">
        <f t="shared" si="1"/>
        <v>50</v>
      </c>
      <c r="G799" s="66">
        <f>IF(B799&lt;&gt;"",VLOOKUP(B799,Zutaten!$C:$F,4,FALSE),"")*C799</f>
        <v>0.2845</v>
      </c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  <c r="AC799" s="67"/>
    </row>
    <row r="800">
      <c r="A800" s="60" t="s">
        <v>176</v>
      </c>
      <c r="B800" s="61" t="s">
        <v>399</v>
      </c>
      <c r="C800" s="62">
        <v>3000.0</v>
      </c>
      <c r="D800" s="63" t="s">
        <v>539</v>
      </c>
      <c r="E800" s="64">
        <v>0.2</v>
      </c>
      <c r="F800" s="65">
        <f t="shared" si="1"/>
        <v>2400</v>
      </c>
      <c r="G800" s="66">
        <f>IF(B800&lt;&gt;"",VLOOKUP(B800,Zutaten!$C:$F,4,FALSE),"")*C800</f>
        <v>5.042016807</v>
      </c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  <c r="AC800" s="67"/>
    </row>
    <row r="801">
      <c r="A801" s="60" t="s">
        <v>176</v>
      </c>
      <c r="B801" s="61" t="s">
        <v>467</v>
      </c>
      <c r="C801" s="62">
        <v>15.0</v>
      </c>
      <c r="D801" s="63" t="s">
        <v>539</v>
      </c>
      <c r="E801" s="64">
        <v>0.0</v>
      </c>
      <c r="F801" s="65">
        <f t="shared" si="1"/>
        <v>15</v>
      </c>
      <c r="G801" s="66">
        <f>IF(B801&lt;&gt;"",VLOOKUP(B801,Zutaten!$C:$F,4,FALSE),"")*C801</f>
        <v>0.00552</v>
      </c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  <c r="AC801" s="67"/>
    </row>
    <row r="802">
      <c r="A802" s="60" t="s">
        <v>176</v>
      </c>
      <c r="B802" s="61" t="s">
        <v>424</v>
      </c>
      <c r="C802" s="62">
        <v>2.0</v>
      </c>
      <c r="D802" s="63" t="s">
        <v>539</v>
      </c>
      <c r="E802" s="64">
        <v>0.0</v>
      </c>
      <c r="F802" s="65">
        <f t="shared" si="1"/>
        <v>2</v>
      </c>
      <c r="G802" s="66">
        <f>IF(B802&lt;&gt;"",VLOOKUP(B802,Zutaten!$C:$F,4,FALSE),"")*C802</f>
        <v>0.134</v>
      </c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  <c r="AC802" s="67"/>
    </row>
    <row r="803">
      <c r="A803" s="60" t="s">
        <v>176</v>
      </c>
      <c r="B803" s="61" t="s">
        <v>433</v>
      </c>
      <c r="C803" s="62">
        <v>500.0</v>
      </c>
      <c r="D803" s="63" t="s">
        <v>539</v>
      </c>
      <c r="E803" s="64">
        <v>0.0</v>
      </c>
      <c r="F803" s="65">
        <f t="shared" si="1"/>
        <v>500</v>
      </c>
      <c r="G803" s="66">
        <f>IF(B803&lt;&gt;"",VLOOKUP(B803,Zutaten!$C:$F,4,FALSE),"")*C803</f>
        <v>2.845</v>
      </c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  <c r="AC803" s="67"/>
    </row>
    <row r="804">
      <c r="A804" s="18" t="s">
        <v>179</v>
      </c>
      <c r="B804" s="18" t="s">
        <v>519</v>
      </c>
      <c r="C804" s="68">
        <v>150.0</v>
      </c>
      <c r="D804" s="63" t="s">
        <v>539</v>
      </c>
      <c r="E804" s="64">
        <v>0.0</v>
      </c>
      <c r="F804" s="65">
        <f t="shared" si="1"/>
        <v>150</v>
      </c>
      <c r="G804" s="66">
        <f>IF(B804&lt;&gt;"",VLOOKUP(B804,Zutaten!$C:$F,4,FALSE),"")*C804</f>
        <v>3.054</v>
      </c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  <c r="AC804" s="67"/>
    </row>
    <row r="805">
      <c r="A805" s="18" t="s">
        <v>179</v>
      </c>
      <c r="B805" s="18" t="s">
        <v>178</v>
      </c>
      <c r="C805" s="68">
        <v>50.0</v>
      </c>
      <c r="D805" s="63" t="s">
        <v>539</v>
      </c>
      <c r="E805" s="64">
        <v>0.0</v>
      </c>
      <c r="F805" s="65">
        <f t="shared" si="1"/>
        <v>50</v>
      </c>
      <c r="G805" s="66">
        <f>IF(B805&lt;&gt;"",VLOOKUP(B805,Zutaten!$C:$F,4,FALSE),"")*C805</f>
        <v>0.2136964286</v>
      </c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  <c r="AC805" s="67"/>
    </row>
    <row r="806">
      <c r="A806" s="18" t="s">
        <v>179</v>
      </c>
      <c r="B806" s="18" t="s">
        <v>177</v>
      </c>
      <c r="C806" s="68">
        <v>100.0</v>
      </c>
      <c r="D806" s="63" t="s">
        <v>539</v>
      </c>
      <c r="E806" s="64">
        <v>0.0</v>
      </c>
      <c r="F806" s="65">
        <f t="shared" si="1"/>
        <v>100</v>
      </c>
      <c r="G806" s="66">
        <f>IF(B806&lt;&gt;"",VLOOKUP(B806,Zutaten!$C:$F,4,FALSE),"")*C806</f>
        <v>0.2240896359</v>
      </c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  <c r="AC806" s="67"/>
    </row>
    <row r="807">
      <c r="A807" s="18" t="s">
        <v>179</v>
      </c>
      <c r="B807" s="18" t="s">
        <v>523</v>
      </c>
      <c r="C807" s="68">
        <v>90.0</v>
      </c>
      <c r="D807" s="63" t="s">
        <v>539</v>
      </c>
      <c r="E807" s="64">
        <v>0.0</v>
      </c>
      <c r="F807" s="65">
        <f t="shared" si="1"/>
        <v>90</v>
      </c>
      <c r="G807" s="66">
        <f>IF(B807&lt;&gt;"",VLOOKUP(B807,Zutaten!$C:$F,4,FALSE),"")*C807</f>
        <v>1.104201681</v>
      </c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  <c r="AC807" s="67"/>
    </row>
    <row r="808">
      <c r="A808" s="18" t="s">
        <v>179</v>
      </c>
      <c r="B808" s="18" t="s">
        <v>309</v>
      </c>
      <c r="C808" s="68">
        <v>60.0</v>
      </c>
      <c r="D808" s="63" t="s">
        <v>539</v>
      </c>
      <c r="E808" s="64">
        <v>0.0</v>
      </c>
      <c r="F808" s="65">
        <f t="shared" si="1"/>
        <v>60</v>
      </c>
      <c r="G808" s="66">
        <f>IF(B808&lt;&gt;"",VLOOKUP(B808,Zutaten!$C:$F,4,FALSE),"")*C808</f>
        <v>0.15</v>
      </c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  <c r="AC808" s="67"/>
    </row>
    <row r="809">
      <c r="A809" s="18" t="s">
        <v>178</v>
      </c>
      <c r="B809" s="18" t="s">
        <v>304</v>
      </c>
      <c r="C809" s="68">
        <v>200.0</v>
      </c>
      <c r="D809" s="63" t="s">
        <v>539</v>
      </c>
      <c r="E809" s="64">
        <v>0.0</v>
      </c>
      <c r="F809" s="65">
        <f t="shared" si="1"/>
        <v>200</v>
      </c>
      <c r="G809" s="66">
        <f>IF(B809&lt;&gt;"",VLOOKUP(B809,Zutaten!$C:$F,4,FALSE),"")*C809</f>
        <v>1.998</v>
      </c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  <c r="AC809" s="67"/>
    </row>
    <row r="810">
      <c r="A810" s="18" t="s">
        <v>178</v>
      </c>
      <c r="B810" s="18" t="s">
        <v>377</v>
      </c>
      <c r="C810" s="68">
        <v>150.0</v>
      </c>
      <c r="D810" s="63" t="s">
        <v>539</v>
      </c>
      <c r="E810" s="64">
        <v>0.0</v>
      </c>
      <c r="F810" s="65">
        <f t="shared" si="1"/>
        <v>150</v>
      </c>
      <c r="G810" s="66">
        <f>IF(B810&lt;&gt;"",VLOOKUP(B810,Zutaten!$C:$F,4,FALSE),"")*C810</f>
        <v>1.533</v>
      </c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  <c r="AC810" s="67"/>
    </row>
    <row r="811">
      <c r="A811" s="18" t="s">
        <v>178</v>
      </c>
      <c r="B811" s="18" t="s">
        <v>483</v>
      </c>
      <c r="C811" s="68">
        <v>50.0</v>
      </c>
      <c r="D811" s="63" t="s">
        <v>539</v>
      </c>
      <c r="E811" s="64">
        <v>0.0</v>
      </c>
      <c r="F811" s="65">
        <f t="shared" si="1"/>
        <v>50</v>
      </c>
      <c r="G811" s="66">
        <f>IF(B811&lt;&gt;"",VLOOKUP(B811,Zutaten!$C:$F,4,FALSE),"")*C811</f>
        <v>0.4625</v>
      </c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  <c r="AC811" s="67"/>
    </row>
    <row r="812">
      <c r="A812" s="18" t="s">
        <v>178</v>
      </c>
      <c r="B812" s="18" t="s">
        <v>455</v>
      </c>
      <c r="C812" s="68">
        <v>1000.0</v>
      </c>
      <c r="D812" s="63" t="s">
        <v>539</v>
      </c>
      <c r="E812" s="64">
        <v>0.0</v>
      </c>
      <c r="F812" s="65">
        <f t="shared" si="1"/>
        <v>1000</v>
      </c>
      <c r="G812" s="66">
        <f>IF(B812&lt;&gt;"",VLOOKUP(B812,Zutaten!$C:$F,4,FALSE),"")*C812</f>
        <v>1.99</v>
      </c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  <c r="AC812" s="67"/>
    </row>
    <row r="813">
      <c r="A813" s="18" t="s">
        <v>177</v>
      </c>
      <c r="B813" s="18" t="s">
        <v>399</v>
      </c>
      <c r="C813" s="63">
        <v>1200.0</v>
      </c>
      <c r="D813" s="63" t="s">
        <v>539</v>
      </c>
      <c r="E813" s="64">
        <v>0.25</v>
      </c>
      <c r="F813" s="65">
        <f t="shared" si="1"/>
        <v>900</v>
      </c>
      <c r="G813" s="66">
        <f>IF(B813&lt;&gt;"",VLOOKUP(B813,Zutaten!$C:$F,4,FALSE),"")*C813</f>
        <v>2.016806723</v>
      </c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  <c r="AC813" s="67"/>
    </row>
    <row r="814">
      <c r="A814" s="60" t="s">
        <v>180</v>
      </c>
      <c r="B814" s="61" t="s">
        <v>453</v>
      </c>
      <c r="C814" s="62">
        <v>2000.0</v>
      </c>
      <c r="D814" s="63" t="s">
        <v>539</v>
      </c>
      <c r="E814" s="64">
        <v>0.0</v>
      </c>
      <c r="F814" s="65">
        <f t="shared" si="1"/>
        <v>2000</v>
      </c>
      <c r="G814" s="66">
        <f>IF(B814&lt;&gt;"",VLOOKUP(B814,Zutaten!$C:$F,4,FALSE),"")*C814</f>
        <v>7.56302521</v>
      </c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  <c r="AC814" s="67"/>
    </row>
    <row r="815">
      <c r="A815" s="60" t="s">
        <v>180</v>
      </c>
      <c r="B815" s="61" t="s">
        <v>528</v>
      </c>
      <c r="C815" s="62">
        <v>5.0</v>
      </c>
      <c r="D815" s="63" t="s">
        <v>539</v>
      </c>
      <c r="E815" s="64">
        <v>0.0</v>
      </c>
      <c r="F815" s="65">
        <f t="shared" si="1"/>
        <v>5</v>
      </c>
      <c r="G815" s="66">
        <f>IF(B815&lt;&gt;"",VLOOKUP(B815,Zutaten!$C:$F,4,FALSE),"")*C815</f>
        <v>0.0072</v>
      </c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  <c r="AC815" s="67"/>
    </row>
    <row r="816">
      <c r="A816" s="60" t="s">
        <v>180</v>
      </c>
      <c r="B816" s="61" t="s">
        <v>320</v>
      </c>
      <c r="C816" s="62">
        <v>1.0</v>
      </c>
      <c r="D816" s="63" t="s">
        <v>539</v>
      </c>
      <c r="E816" s="64">
        <v>0.0</v>
      </c>
      <c r="F816" s="65">
        <f t="shared" si="1"/>
        <v>1</v>
      </c>
      <c r="G816" s="66">
        <f>IF(B816&lt;&gt;"",VLOOKUP(B816,Zutaten!$C:$F,4,FALSE),"")*C816</f>
        <v>0.0297</v>
      </c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  <c r="AC816" s="67"/>
    </row>
    <row r="817">
      <c r="A817" s="60" t="s">
        <v>180</v>
      </c>
      <c r="B817" s="61" t="s">
        <v>291</v>
      </c>
      <c r="C817" s="62">
        <v>100.0</v>
      </c>
      <c r="D817" s="63" t="s">
        <v>540</v>
      </c>
      <c r="E817" s="64">
        <v>0.0</v>
      </c>
      <c r="F817" s="65">
        <f t="shared" si="1"/>
        <v>100</v>
      </c>
      <c r="G817" s="66">
        <f>IF(B817&lt;&gt;"",VLOOKUP(B817,Zutaten!$C:$F,4,FALSE),"")*C817</f>
        <v>0.157</v>
      </c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  <c r="AC817" s="67"/>
    </row>
    <row r="818">
      <c r="A818" s="60" t="s">
        <v>167</v>
      </c>
      <c r="B818" s="61" t="s">
        <v>510</v>
      </c>
      <c r="C818" s="62">
        <v>120.0</v>
      </c>
      <c r="D818" s="63" t="s">
        <v>539</v>
      </c>
      <c r="E818" s="64">
        <v>0.0</v>
      </c>
      <c r="F818" s="65">
        <f t="shared" si="1"/>
        <v>120</v>
      </c>
      <c r="G818" s="66">
        <f>IF(B818&lt;&gt;"",VLOOKUP(B818,Zutaten!$C:$F,4,FALSE),"")*C818</f>
        <v>0.5568</v>
      </c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  <c r="AC818" s="67"/>
    </row>
    <row r="819">
      <c r="A819" s="60" t="s">
        <v>167</v>
      </c>
      <c r="B819" s="61" t="s">
        <v>530</v>
      </c>
      <c r="C819" s="62">
        <v>90.0</v>
      </c>
      <c r="D819" s="63" t="s">
        <v>539</v>
      </c>
      <c r="E819" s="64">
        <v>0.0</v>
      </c>
      <c r="F819" s="65">
        <f t="shared" si="1"/>
        <v>90</v>
      </c>
      <c r="G819" s="66">
        <f>IF(B819&lt;&gt;"",VLOOKUP(B819,Zutaten!$C:$F,4,FALSE),"")*C819</f>
        <v>0.108</v>
      </c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  <c r="AC819" s="67"/>
    </row>
    <row r="820">
      <c r="A820" s="60" t="s">
        <v>167</v>
      </c>
      <c r="B820" s="20" t="s">
        <v>521</v>
      </c>
      <c r="C820" s="62">
        <v>10.0</v>
      </c>
      <c r="D820" s="63" t="s">
        <v>539</v>
      </c>
      <c r="E820" s="64">
        <v>0.0</v>
      </c>
      <c r="F820" s="65">
        <f t="shared" si="1"/>
        <v>10</v>
      </c>
      <c r="G820" s="66">
        <f>IF(B820&lt;&gt;"",VLOOKUP(B820,Zutaten!$C:$F,4,FALSE),"")*C820</f>
        <v>0.1199</v>
      </c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  <c r="AC820" s="67"/>
    </row>
    <row r="821">
      <c r="A821" s="60" t="s">
        <v>167</v>
      </c>
      <c r="B821" s="61" t="s">
        <v>442</v>
      </c>
      <c r="C821" s="62">
        <v>1.0</v>
      </c>
      <c r="D821" s="63" t="s">
        <v>539</v>
      </c>
      <c r="E821" s="64">
        <v>0.0</v>
      </c>
      <c r="F821" s="65">
        <f t="shared" si="1"/>
        <v>1</v>
      </c>
      <c r="G821" s="66">
        <f>IF(B821&lt;&gt;"",VLOOKUP(B821,Zutaten!$C:$F,4,FALSE),"")*C821</f>
        <v>0.0324</v>
      </c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  <c r="AC821" s="67"/>
    </row>
    <row r="822">
      <c r="A822" s="60" t="s">
        <v>167</v>
      </c>
      <c r="B822" s="61" t="s">
        <v>528</v>
      </c>
      <c r="C822" s="62">
        <v>25.0</v>
      </c>
      <c r="D822" s="63" t="s">
        <v>539</v>
      </c>
      <c r="E822" s="64">
        <v>0.0</v>
      </c>
      <c r="F822" s="65">
        <f t="shared" si="1"/>
        <v>25</v>
      </c>
      <c r="G822" s="66">
        <f>IF(B822&lt;&gt;"",VLOOKUP(B822,Zutaten!$C:$F,4,FALSE),"")*C822</f>
        <v>0.036</v>
      </c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  <c r="AC822" s="67"/>
    </row>
    <row r="823">
      <c r="A823" s="60" t="s">
        <v>167</v>
      </c>
      <c r="B823" s="61" t="s">
        <v>359</v>
      </c>
      <c r="C823" s="62">
        <v>90.0</v>
      </c>
      <c r="D823" s="63" t="s">
        <v>539</v>
      </c>
      <c r="E823" s="64">
        <v>0.0</v>
      </c>
      <c r="F823" s="65">
        <f t="shared" si="1"/>
        <v>90</v>
      </c>
      <c r="G823" s="66">
        <f>IF(B823&lt;&gt;"",VLOOKUP(B823,Zutaten!$C:$F,4,FALSE),"")*C823</f>
        <v>0.1872321429</v>
      </c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  <c r="AC823" s="67"/>
    </row>
    <row r="824">
      <c r="A824" s="60" t="s">
        <v>167</v>
      </c>
      <c r="B824" s="61" t="s">
        <v>467</v>
      </c>
      <c r="C824" s="62">
        <v>15.0</v>
      </c>
      <c r="D824" s="63" t="s">
        <v>539</v>
      </c>
      <c r="E824" s="64">
        <v>0.0</v>
      </c>
      <c r="F824" s="65">
        <f t="shared" si="1"/>
        <v>15</v>
      </c>
      <c r="G824" s="66">
        <f>IF(B824&lt;&gt;"",VLOOKUP(B824,Zutaten!$C:$F,4,FALSE),"")*C824</f>
        <v>0.00552</v>
      </c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  <c r="AC824" s="67"/>
    </row>
    <row r="825">
      <c r="A825" s="60" t="s">
        <v>167</v>
      </c>
      <c r="B825" s="61" t="s">
        <v>444</v>
      </c>
      <c r="C825" s="62">
        <v>300.0</v>
      </c>
      <c r="D825" s="63" t="s">
        <v>539</v>
      </c>
      <c r="E825" s="64">
        <v>0.0</v>
      </c>
      <c r="F825" s="65">
        <f t="shared" si="1"/>
        <v>300</v>
      </c>
      <c r="G825" s="66">
        <f>IF(B825&lt;&gt;"",VLOOKUP(B825,Zutaten!$C:$F,4,FALSE),"")*C825</f>
        <v>1.2879</v>
      </c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  <c r="AC825" s="67"/>
    </row>
    <row r="826">
      <c r="A826" s="60" t="s">
        <v>167</v>
      </c>
      <c r="B826" s="61" t="s">
        <v>133</v>
      </c>
      <c r="C826" s="62">
        <v>1000.0</v>
      </c>
      <c r="D826" s="63" t="s">
        <v>539</v>
      </c>
      <c r="E826" s="64">
        <v>0.0</v>
      </c>
      <c r="F826" s="65">
        <f t="shared" si="1"/>
        <v>1000</v>
      </c>
      <c r="G826" s="66">
        <f>IF(B826&lt;&gt;"",VLOOKUP(B826,Zutaten!$C:$F,4,FALSE),"")*C826</f>
        <v>2.838877057</v>
      </c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  <c r="AC826" s="67"/>
    </row>
    <row r="827">
      <c r="A827" s="60" t="s">
        <v>167</v>
      </c>
      <c r="B827" s="61" t="s">
        <v>482</v>
      </c>
      <c r="C827" s="62">
        <v>100.0</v>
      </c>
      <c r="D827" s="63" t="s">
        <v>539</v>
      </c>
      <c r="E827" s="64">
        <v>0.0</v>
      </c>
      <c r="F827" s="65">
        <f t="shared" si="1"/>
        <v>100</v>
      </c>
      <c r="G827" s="66">
        <f>IF(B827&lt;&gt;"",VLOOKUP(B827,Zutaten!$C:$F,4,FALSE),"")*C827</f>
        <v>0.322</v>
      </c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  <c r="AC827" s="67"/>
    </row>
    <row r="828">
      <c r="A828" s="63" t="s">
        <v>168</v>
      </c>
      <c r="B828" s="63" t="s">
        <v>458</v>
      </c>
      <c r="C828" s="63">
        <v>1000.0</v>
      </c>
      <c r="D828" s="63" t="s">
        <v>539</v>
      </c>
      <c r="E828" s="64">
        <v>0.0</v>
      </c>
      <c r="F828" s="65">
        <f t="shared" si="1"/>
        <v>1000</v>
      </c>
      <c r="G828" s="66">
        <f>IF(B828&lt;&gt;"",VLOOKUP(B828,Zutaten!$C:$F,4,FALSE),"")*C828</f>
        <v>8.49</v>
      </c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  <c r="AC828" s="67"/>
    </row>
    <row r="829">
      <c r="A829" s="63" t="s">
        <v>168</v>
      </c>
      <c r="B829" s="63" t="s">
        <v>442</v>
      </c>
      <c r="C829" s="63">
        <v>5.0</v>
      </c>
      <c r="D829" s="63" t="s">
        <v>539</v>
      </c>
      <c r="E829" s="64">
        <v>0.0</v>
      </c>
      <c r="F829" s="65">
        <f t="shared" si="1"/>
        <v>5</v>
      </c>
      <c r="G829" s="66">
        <f>IF(B829&lt;&gt;"",VLOOKUP(B829,Zutaten!$C:$F,4,FALSE),"")*C829</f>
        <v>0.162</v>
      </c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  <c r="AC829" s="67"/>
    </row>
    <row r="830">
      <c r="A830" s="63" t="s">
        <v>168</v>
      </c>
      <c r="B830" s="63" t="s">
        <v>467</v>
      </c>
      <c r="C830" s="63">
        <v>10.0</v>
      </c>
      <c r="D830" s="63" t="s">
        <v>539</v>
      </c>
      <c r="E830" s="64">
        <v>0.0</v>
      </c>
      <c r="F830" s="65">
        <f t="shared" si="1"/>
        <v>10</v>
      </c>
      <c r="G830" s="66">
        <f>IF(B830&lt;&gt;"",VLOOKUP(B830,Zutaten!$C:$F,4,FALSE),"")*C830</f>
        <v>0.00368</v>
      </c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  <c r="AC830" s="67"/>
    </row>
    <row r="831">
      <c r="A831" s="60" t="s">
        <v>169</v>
      </c>
      <c r="B831" s="61" t="s">
        <v>369</v>
      </c>
      <c r="C831" s="62">
        <v>3170.0</v>
      </c>
      <c r="D831" s="63" t="s">
        <v>539</v>
      </c>
      <c r="E831" s="64">
        <v>0.42</v>
      </c>
      <c r="F831" s="65">
        <f t="shared" si="1"/>
        <v>1838.6</v>
      </c>
      <c r="G831" s="66">
        <f>IF(B831&lt;&gt;"",VLOOKUP(B831,Zutaten!$C:$F,4,FALSE),"")*C831</f>
        <v>22.1583</v>
      </c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  <c r="AC831" s="67"/>
    </row>
    <row r="832">
      <c r="A832" s="60" t="s">
        <v>169</v>
      </c>
      <c r="B832" s="61" t="s">
        <v>517</v>
      </c>
      <c r="C832" s="62">
        <v>2000.0</v>
      </c>
      <c r="D832" s="63" t="s">
        <v>539</v>
      </c>
      <c r="E832" s="64">
        <v>0.5</v>
      </c>
      <c r="F832" s="65">
        <f t="shared" si="1"/>
        <v>1000</v>
      </c>
      <c r="G832" s="66">
        <f>IF(B832&lt;&gt;"",VLOOKUP(B832,Zutaten!$C:$F,4,FALSE),"")*C832</f>
        <v>17.14285714</v>
      </c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  <c r="AC832" s="67"/>
    </row>
    <row r="833">
      <c r="A833" s="60" t="s">
        <v>169</v>
      </c>
      <c r="B833" s="61" t="s">
        <v>377</v>
      </c>
      <c r="C833" s="62">
        <v>1000.0</v>
      </c>
      <c r="D833" s="63" t="s">
        <v>539</v>
      </c>
      <c r="E833" s="64">
        <v>0.5</v>
      </c>
      <c r="F833" s="65">
        <f t="shared" si="1"/>
        <v>500</v>
      </c>
      <c r="G833" s="66">
        <f>IF(B833&lt;&gt;"",VLOOKUP(B833,Zutaten!$C:$F,4,FALSE),"")*C833</f>
        <v>10.22</v>
      </c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  <c r="AC833" s="67"/>
    </row>
    <row r="834">
      <c r="A834" s="60" t="s">
        <v>169</v>
      </c>
      <c r="B834" s="61" t="s">
        <v>392</v>
      </c>
      <c r="C834" s="62">
        <v>15.0</v>
      </c>
      <c r="D834" s="63" t="s">
        <v>539</v>
      </c>
      <c r="E834" s="64">
        <v>0.5</v>
      </c>
      <c r="F834" s="65">
        <f t="shared" si="1"/>
        <v>7.5</v>
      </c>
      <c r="G834" s="66">
        <f>IF(B834&lt;&gt;"",VLOOKUP(B834,Zutaten!$C:$F,4,FALSE),"")*C834</f>
        <v>0.10188</v>
      </c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  <c r="AC834" s="67"/>
    </row>
    <row r="835">
      <c r="A835" s="60" t="s">
        <v>169</v>
      </c>
      <c r="B835" s="61" t="s">
        <v>467</v>
      </c>
      <c r="C835" s="62">
        <v>10.0</v>
      </c>
      <c r="D835" s="63" t="s">
        <v>539</v>
      </c>
      <c r="E835" s="64">
        <v>0.5</v>
      </c>
      <c r="F835" s="65">
        <f t="shared" si="1"/>
        <v>5</v>
      </c>
      <c r="G835" s="66">
        <f>IF(B835&lt;&gt;"",VLOOKUP(B835,Zutaten!$C:$F,4,FALSE),"")*C835</f>
        <v>0.00368</v>
      </c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  <c r="AC835" s="67"/>
    </row>
    <row r="836">
      <c r="A836" s="60" t="s">
        <v>170</v>
      </c>
      <c r="B836" s="61" t="s">
        <v>530</v>
      </c>
      <c r="C836" s="62">
        <v>2500.0</v>
      </c>
      <c r="D836" s="63" t="s">
        <v>539</v>
      </c>
      <c r="E836" s="64">
        <v>0.0</v>
      </c>
      <c r="F836" s="65">
        <f t="shared" si="1"/>
        <v>2500</v>
      </c>
      <c r="G836" s="66">
        <f>IF(B836&lt;&gt;"",VLOOKUP(B836,Zutaten!$C:$F,4,FALSE),"")*C836</f>
        <v>3</v>
      </c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  <c r="AC836" s="67"/>
    </row>
    <row r="837">
      <c r="A837" s="60" t="s">
        <v>170</v>
      </c>
      <c r="B837" s="61" t="s">
        <v>518</v>
      </c>
      <c r="C837" s="62">
        <v>1500.0</v>
      </c>
      <c r="D837" s="63" t="s">
        <v>539</v>
      </c>
      <c r="E837" s="64">
        <v>0.0</v>
      </c>
      <c r="F837" s="65">
        <f t="shared" si="1"/>
        <v>1500</v>
      </c>
      <c r="G837" s="66">
        <f>IF(B837&lt;&gt;"",VLOOKUP(B837,Zutaten!$C:$F,4,FALSE),"")*C837</f>
        <v>1.1205</v>
      </c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  <c r="AC837" s="67"/>
    </row>
    <row r="838">
      <c r="A838" s="60" t="s">
        <v>170</v>
      </c>
      <c r="B838" s="61" t="s">
        <v>467</v>
      </c>
      <c r="C838" s="62">
        <v>20.0</v>
      </c>
      <c r="D838" s="63" t="s">
        <v>539</v>
      </c>
      <c r="E838" s="64">
        <v>0.0</v>
      </c>
      <c r="F838" s="65">
        <f t="shared" si="1"/>
        <v>20</v>
      </c>
      <c r="G838" s="66">
        <f>IF(B838&lt;&gt;"",VLOOKUP(B838,Zutaten!$C:$F,4,FALSE),"")*C838</f>
        <v>0.00736</v>
      </c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  <c r="AC838" s="67"/>
    </row>
    <row r="839">
      <c r="A839" s="60" t="s">
        <v>170</v>
      </c>
      <c r="B839" s="63" t="s">
        <v>386</v>
      </c>
      <c r="C839" s="63">
        <v>250.0</v>
      </c>
      <c r="D839" s="63" t="s">
        <v>539</v>
      </c>
      <c r="E839" s="64">
        <v>0.0</v>
      </c>
      <c r="F839" s="65">
        <f t="shared" si="1"/>
        <v>250</v>
      </c>
      <c r="G839" s="66">
        <f>IF(B839&lt;&gt;"",VLOOKUP(B839,Zutaten!$C:$F,4,FALSE),"")*C839</f>
        <v>0.52</v>
      </c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  <c r="AC839" s="67"/>
    </row>
    <row r="840">
      <c r="A840" s="60" t="s">
        <v>171</v>
      </c>
      <c r="B840" s="61" t="s">
        <v>463</v>
      </c>
      <c r="C840" s="63">
        <v>720.0</v>
      </c>
      <c r="D840" s="63" t="s">
        <v>539</v>
      </c>
      <c r="E840" s="64">
        <f>1-(950-239)/950</f>
        <v>0.2515789474</v>
      </c>
      <c r="F840" s="65">
        <f t="shared" si="1"/>
        <v>538.8631579</v>
      </c>
      <c r="G840" s="66">
        <f>IF(B840&lt;&gt;"",VLOOKUP(B840,Zutaten!$C:$F,4,FALSE),"")*C840</f>
        <v>0.864</v>
      </c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  <c r="AC840" s="67"/>
    </row>
    <row r="841">
      <c r="A841" s="60" t="s">
        <v>171</v>
      </c>
      <c r="B841" s="61" t="s">
        <v>304</v>
      </c>
      <c r="C841" s="63">
        <v>200.0</v>
      </c>
      <c r="D841" s="63" t="s">
        <v>539</v>
      </c>
      <c r="E841" s="64">
        <v>0.0</v>
      </c>
      <c r="F841" s="65">
        <f t="shared" si="1"/>
        <v>200</v>
      </c>
      <c r="G841" s="66">
        <f>IF(B841&lt;&gt;"",VLOOKUP(B841,Zutaten!$C:$F,4,FALSE),"")*C841</f>
        <v>1.998</v>
      </c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  <c r="AC841" s="67"/>
    </row>
    <row r="842">
      <c r="A842" s="60" t="s">
        <v>171</v>
      </c>
      <c r="B842" s="61" t="s">
        <v>377</v>
      </c>
      <c r="C842" s="63">
        <v>250.0</v>
      </c>
      <c r="D842" s="63" t="s">
        <v>539</v>
      </c>
      <c r="E842" s="64">
        <v>0.0</v>
      </c>
      <c r="F842" s="65">
        <f t="shared" si="1"/>
        <v>250</v>
      </c>
      <c r="G842" s="66">
        <f>IF(B842&lt;&gt;"",VLOOKUP(B842,Zutaten!$C:$F,4,FALSE),"")*C842</f>
        <v>2.555</v>
      </c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  <c r="AC842" s="67"/>
    </row>
    <row r="843">
      <c r="A843" s="60" t="s">
        <v>171</v>
      </c>
      <c r="B843" s="61" t="s">
        <v>467</v>
      </c>
      <c r="C843" s="63">
        <v>20.0</v>
      </c>
      <c r="D843" s="63" t="s">
        <v>539</v>
      </c>
      <c r="E843" s="64">
        <v>0.0</v>
      </c>
      <c r="F843" s="65">
        <f t="shared" si="1"/>
        <v>20</v>
      </c>
      <c r="G843" s="66">
        <f>IF(B843&lt;&gt;"",VLOOKUP(B843,Zutaten!$C:$F,4,FALSE),"")*C843</f>
        <v>0.00736</v>
      </c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  <c r="AC843" s="67"/>
    </row>
    <row r="844">
      <c r="A844" s="63" t="s">
        <v>172</v>
      </c>
      <c r="B844" s="63" t="s">
        <v>464</v>
      </c>
      <c r="C844" s="63">
        <v>1000.0</v>
      </c>
      <c r="D844" s="63" t="s">
        <v>539</v>
      </c>
      <c r="E844" s="64">
        <v>0.0</v>
      </c>
      <c r="F844" s="65">
        <f t="shared" si="1"/>
        <v>1000</v>
      </c>
      <c r="G844" s="66">
        <f>IF(B844&lt;&gt;"",VLOOKUP(B844,Zutaten!$C:$F,4,FALSE),"")*C844</f>
        <v>1.148</v>
      </c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  <c r="AC844" s="67"/>
    </row>
    <row r="845">
      <c r="A845" s="63" t="s">
        <v>172</v>
      </c>
      <c r="B845" s="63" t="s">
        <v>528</v>
      </c>
      <c r="C845" s="63">
        <v>40.0</v>
      </c>
      <c r="D845" s="63" t="s">
        <v>539</v>
      </c>
      <c r="E845" s="64">
        <v>0.0</v>
      </c>
      <c r="F845" s="65">
        <f t="shared" si="1"/>
        <v>40</v>
      </c>
      <c r="G845" s="66">
        <f>IF(B845&lt;&gt;"",VLOOKUP(B845,Zutaten!$C:$F,4,FALSE),"")*C845</f>
        <v>0.0576</v>
      </c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  <c r="AC845" s="67"/>
    </row>
    <row r="846">
      <c r="A846" s="63" t="s">
        <v>172</v>
      </c>
      <c r="B846" s="63" t="s">
        <v>291</v>
      </c>
      <c r="C846" s="63">
        <v>100.0</v>
      </c>
      <c r="D846" s="63" t="s">
        <v>540</v>
      </c>
      <c r="E846" s="64">
        <v>0.0</v>
      </c>
      <c r="F846" s="65">
        <f t="shared" si="1"/>
        <v>100</v>
      </c>
      <c r="G846" s="66">
        <f>IF(B846&lt;&gt;"",VLOOKUP(B846,Zutaten!$C:$F,4,FALSE),"")*C846</f>
        <v>0.157</v>
      </c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  <c r="AC846" s="67"/>
    </row>
    <row r="847">
      <c r="A847" s="63" t="s">
        <v>172</v>
      </c>
      <c r="B847" s="63" t="s">
        <v>467</v>
      </c>
      <c r="C847" s="63">
        <v>10.0</v>
      </c>
      <c r="D847" s="63" t="s">
        <v>539</v>
      </c>
      <c r="E847" s="64">
        <v>0.0</v>
      </c>
      <c r="F847" s="65">
        <f t="shared" si="1"/>
        <v>10</v>
      </c>
      <c r="G847" s="66">
        <f>IF(B847&lt;&gt;"",VLOOKUP(B847,Zutaten!$C:$F,4,FALSE),"")*C847</f>
        <v>0.00368</v>
      </c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  <c r="AC847" s="67"/>
    </row>
    <row r="848">
      <c r="A848" s="63" t="s">
        <v>173</v>
      </c>
      <c r="B848" s="63" t="s">
        <v>464</v>
      </c>
      <c r="C848" s="63">
        <v>13000.0</v>
      </c>
      <c r="D848" s="63" t="s">
        <v>539</v>
      </c>
      <c r="E848" s="64">
        <v>0.0</v>
      </c>
      <c r="F848" s="65">
        <f t="shared" si="1"/>
        <v>13000</v>
      </c>
      <c r="G848" s="66">
        <f>IF(B848&lt;&gt;"",VLOOKUP(B848,Zutaten!$C:$F,4,FALSE),"")*C848</f>
        <v>14.924</v>
      </c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  <c r="AC848" s="67"/>
    </row>
    <row r="849">
      <c r="A849" s="63" t="s">
        <v>173</v>
      </c>
      <c r="B849" s="63" t="s">
        <v>293</v>
      </c>
      <c r="C849" s="63">
        <v>2500.0</v>
      </c>
      <c r="D849" s="63" t="s">
        <v>539</v>
      </c>
      <c r="E849" s="64">
        <v>0.0</v>
      </c>
      <c r="F849" s="65">
        <f t="shared" si="1"/>
        <v>2500</v>
      </c>
      <c r="G849" s="66">
        <f>IF(B849&lt;&gt;"",VLOOKUP(B849,Zutaten!$C:$F,4,FALSE),"")*C849</f>
        <v>4.6</v>
      </c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  <c r="AC849" s="67"/>
    </row>
    <row r="850">
      <c r="A850" s="63" t="s">
        <v>173</v>
      </c>
      <c r="B850" s="63" t="s">
        <v>374</v>
      </c>
      <c r="C850" s="63">
        <v>1000.0</v>
      </c>
      <c r="D850" s="63" t="s">
        <v>539</v>
      </c>
      <c r="E850" s="64">
        <v>0.0</v>
      </c>
      <c r="F850" s="65">
        <f t="shared" si="1"/>
        <v>1000</v>
      </c>
      <c r="G850" s="66">
        <f>IF(B850&lt;&gt;"",VLOOKUP(B850,Zutaten!$C:$F,4,FALSE),"")*C850</f>
        <v>2.296</v>
      </c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  <c r="AC850" s="67"/>
    </row>
    <row r="851">
      <c r="A851" s="63" t="s">
        <v>173</v>
      </c>
      <c r="B851" s="63" t="s">
        <v>530</v>
      </c>
      <c r="C851" s="63">
        <v>2000.0</v>
      </c>
      <c r="D851" s="63" t="s">
        <v>539</v>
      </c>
      <c r="E851" s="64">
        <v>0.0</v>
      </c>
      <c r="F851" s="65">
        <f t="shared" si="1"/>
        <v>2000</v>
      </c>
      <c r="G851" s="66">
        <f>IF(B851&lt;&gt;"",VLOOKUP(B851,Zutaten!$C:$F,4,FALSE),"")*C851</f>
        <v>2.4</v>
      </c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  <c r="AC851" s="67"/>
    </row>
    <row r="852">
      <c r="A852" s="63" t="s">
        <v>173</v>
      </c>
      <c r="B852" s="63" t="s">
        <v>425</v>
      </c>
      <c r="C852" s="63">
        <v>2.0</v>
      </c>
      <c r="D852" s="63" t="s">
        <v>539</v>
      </c>
      <c r="E852" s="64">
        <v>0.0</v>
      </c>
      <c r="F852" s="65">
        <f t="shared" si="1"/>
        <v>2</v>
      </c>
      <c r="G852" s="66">
        <f>IF(B852&lt;&gt;"",VLOOKUP(B852,Zutaten!$C:$F,4,FALSE),"")*C852</f>
        <v>0.1213</v>
      </c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  <c r="AC852" s="67"/>
    </row>
    <row r="853">
      <c r="A853" s="63" t="s">
        <v>173</v>
      </c>
      <c r="B853" s="63" t="s">
        <v>495</v>
      </c>
      <c r="C853" s="63">
        <v>4.0</v>
      </c>
      <c r="D853" s="63" t="s">
        <v>539</v>
      </c>
      <c r="E853" s="64">
        <v>0.0</v>
      </c>
      <c r="F853" s="65">
        <f t="shared" si="1"/>
        <v>4</v>
      </c>
      <c r="G853" s="66">
        <f>IF(B853&lt;&gt;"",VLOOKUP(B853,Zutaten!$C:$F,4,FALSE),"")*C853</f>
        <v>0.05276595745</v>
      </c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  <c r="AC853" s="67"/>
    </row>
    <row r="854">
      <c r="A854" s="63" t="s">
        <v>173</v>
      </c>
      <c r="B854" s="63" t="s">
        <v>512</v>
      </c>
      <c r="C854" s="63">
        <v>2.0</v>
      </c>
      <c r="D854" s="63" t="s">
        <v>539</v>
      </c>
      <c r="E854" s="64">
        <v>0.0</v>
      </c>
      <c r="F854" s="65">
        <f t="shared" si="1"/>
        <v>2</v>
      </c>
      <c r="G854" s="66">
        <f>IF(B854&lt;&gt;"",VLOOKUP(B854,Zutaten!$C:$F,4,FALSE),"")*C854</f>
        <v>0.0554</v>
      </c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  <c r="AC854" s="67"/>
    </row>
    <row r="855">
      <c r="A855" s="63" t="s">
        <v>173</v>
      </c>
      <c r="B855" s="73" t="s">
        <v>407</v>
      </c>
      <c r="C855" s="63">
        <v>2.0</v>
      </c>
      <c r="D855" s="63" t="s">
        <v>539</v>
      </c>
      <c r="E855" s="64">
        <v>0.0</v>
      </c>
      <c r="F855" s="65">
        <f t="shared" si="1"/>
        <v>2</v>
      </c>
      <c r="G855" s="66">
        <f>IF(B855&lt;&gt;"",VLOOKUP(B855,Zutaten!$C:$F,4,FALSE),"")*C855</f>
        <v>0.143</v>
      </c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  <c r="AC855" s="67"/>
    </row>
    <row r="856">
      <c r="A856" s="63" t="s">
        <v>173</v>
      </c>
      <c r="B856" s="63" t="s">
        <v>382</v>
      </c>
      <c r="C856" s="63">
        <v>2.0</v>
      </c>
      <c r="D856" s="63" t="s">
        <v>539</v>
      </c>
      <c r="E856" s="64">
        <v>0.0</v>
      </c>
      <c r="F856" s="65">
        <f t="shared" si="1"/>
        <v>2</v>
      </c>
      <c r="G856" s="66">
        <f>IF(B856&lt;&gt;"",VLOOKUP(B856,Zutaten!$C:$F,4,FALSE),"")*C856</f>
        <v>0.3318</v>
      </c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  <c r="AC856" s="67"/>
    </row>
    <row r="857">
      <c r="A857" s="63" t="s">
        <v>173</v>
      </c>
      <c r="B857" s="63" t="s">
        <v>292</v>
      </c>
      <c r="C857" s="63">
        <v>2000.0</v>
      </c>
      <c r="D857" s="63" t="s">
        <v>540</v>
      </c>
      <c r="E857" s="64">
        <v>0.0</v>
      </c>
      <c r="F857" s="65">
        <f t="shared" si="1"/>
        <v>2000</v>
      </c>
      <c r="G857" s="66">
        <f>IF(B857&lt;&gt;"",VLOOKUP(B857,Zutaten!$C:$F,4,FALSE),"")*C857</f>
        <v>3.38</v>
      </c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  <c r="AC857" s="67"/>
    </row>
    <row r="858">
      <c r="A858" s="63" t="s">
        <v>173</v>
      </c>
      <c r="B858" s="63" t="s">
        <v>465</v>
      </c>
      <c r="C858" s="63">
        <v>2000.0</v>
      </c>
      <c r="D858" s="63" t="s">
        <v>540</v>
      </c>
      <c r="E858" s="64">
        <v>0.0</v>
      </c>
      <c r="F858" s="65">
        <f t="shared" si="1"/>
        <v>2000</v>
      </c>
      <c r="G858" s="66">
        <f>IF(B858&lt;&gt;"",VLOOKUP(B858,Zutaten!$C:$F,4,FALSE),"")*C858</f>
        <v>21.46666667</v>
      </c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  <c r="AC858" s="67"/>
    </row>
    <row r="859">
      <c r="A859" s="63" t="s">
        <v>173</v>
      </c>
      <c r="B859" s="87" t="s">
        <v>291</v>
      </c>
      <c r="C859" s="63">
        <v>500.0</v>
      </c>
      <c r="D859" s="63" t="s">
        <v>540</v>
      </c>
      <c r="E859" s="64">
        <v>0.0</v>
      </c>
      <c r="F859" s="65">
        <f t="shared" si="1"/>
        <v>500</v>
      </c>
      <c r="G859" s="66">
        <f>IF(B859&lt;&gt;"",VLOOKUP(B859,Zutaten!$C:$F,4,FALSE),"")*C859</f>
        <v>0.785</v>
      </c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  <c r="AC859" s="67"/>
    </row>
    <row r="860">
      <c r="A860" s="18" t="s">
        <v>181</v>
      </c>
      <c r="B860" s="18" t="s">
        <v>448</v>
      </c>
      <c r="C860" s="68">
        <v>250.0</v>
      </c>
      <c r="D860" s="63" t="s">
        <v>539</v>
      </c>
      <c r="E860" s="64">
        <v>0.0</v>
      </c>
      <c r="F860" s="65">
        <f t="shared" si="1"/>
        <v>250</v>
      </c>
      <c r="G860" s="66">
        <f>IF(B860&lt;&gt;"",VLOOKUP(B860,Zutaten!$C:$F,4,FALSE),"")*C860</f>
        <v>0.7775</v>
      </c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  <c r="AC860" s="67"/>
    </row>
    <row r="861">
      <c r="A861" s="18" t="s">
        <v>182</v>
      </c>
      <c r="B861" s="18" t="s">
        <v>519</v>
      </c>
      <c r="C861" s="68">
        <v>50.0</v>
      </c>
      <c r="D861" s="63" t="s">
        <v>539</v>
      </c>
      <c r="E861" s="64">
        <v>0.0</v>
      </c>
      <c r="F861" s="65">
        <f t="shared" si="1"/>
        <v>50</v>
      </c>
      <c r="G861" s="66">
        <f>IF(B861&lt;&gt;"",VLOOKUP(B861,Zutaten!$C:$F,4,FALSE),"")*C861</f>
        <v>1.018</v>
      </c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  <c r="AC861" s="67"/>
    </row>
    <row r="862">
      <c r="A862" s="18" t="s">
        <v>182</v>
      </c>
      <c r="B862" s="18" t="s">
        <v>115</v>
      </c>
      <c r="C862" s="68">
        <v>35.0</v>
      </c>
      <c r="D862" s="63" t="s">
        <v>539</v>
      </c>
      <c r="E862" s="64">
        <v>0.0</v>
      </c>
      <c r="F862" s="65">
        <f t="shared" si="1"/>
        <v>35</v>
      </c>
      <c r="G862" s="66">
        <f>IF(B862&lt;&gt;"",VLOOKUP(B862,Zutaten!$C:$F,4,FALSE),"")*C862</f>
        <v>0.4060669664</v>
      </c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  <c r="AC862" s="67"/>
    </row>
    <row r="863">
      <c r="A863" s="18" t="s">
        <v>182</v>
      </c>
      <c r="B863" s="18" t="s">
        <v>497</v>
      </c>
      <c r="C863" s="68">
        <v>10.0</v>
      </c>
      <c r="D863" s="63" t="s">
        <v>539</v>
      </c>
      <c r="E863" s="64">
        <v>0.0</v>
      </c>
      <c r="F863" s="65">
        <f t="shared" si="1"/>
        <v>10</v>
      </c>
      <c r="G863" s="66">
        <f>IF(B863&lt;&gt;"",VLOOKUP(B863,Zutaten!$C:$F,4,FALSE),"")*C863</f>
        <v>0.02282</v>
      </c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  <c r="AC863" s="67"/>
    </row>
    <row r="864">
      <c r="A864" s="18" t="s">
        <v>182</v>
      </c>
      <c r="B864" s="18" t="s">
        <v>15</v>
      </c>
      <c r="C864" s="68">
        <v>40.0</v>
      </c>
      <c r="D864" s="63" t="s">
        <v>539</v>
      </c>
      <c r="E864" s="64">
        <v>0.0</v>
      </c>
      <c r="F864" s="65">
        <f t="shared" si="1"/>
        <v>40</v>
      </c>
      <c r="G864" s="66">
        <f>IF(B864&lt;&gt;"",VLOOKUP(B864,Zutaten!$C:$F,4,FALSE),"")*C864</f>
        <v>0.143339469</v>
      </c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  <c r="AC864" s="67"/>
    </row>
    <row r="865">
      <c r="A865" s="18" t="s">
        <v>182</v>
      </c>
      <c r="B865" s="18" t="s">
        <v>350</v>
      </c>
      <c r="C865" s="68">
        <v>20.0</v>
      </c>
      <c r="D865" s="63" t="s">
        <v>539</v>
      </c>
      <c r="E865" s="64">
        <v>0.0</v>
      </c>
      <c r="F865" s="65">
        <f t="shared" si="1"/>
        <v>20</v>
      </c>
      <c r="G865" s="66">
        <f>IF(B865&lt;&gt;"",VLOOKUP(B865,Zutaten!$C:$F,4,FALSE),"")*C865</f>
        <v>0.1706</v>
      </c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  <c r="AC865" s="67"/>
    </row>
    <row r="866">
      <c r="A866" s="18" t="s">
        <v>182</v>
      </c>
      <c r="B866" s="18" t="s">
        <v>117</v>
      </c>
      <c r="C866" s="68">
        <v>25.0</v>
      </c>
      <c r="D866" s="63" t="s">
        <v>539</v>
      </c>
      <c r="E866" s="64">
        <v>0.0</v>
      </c>
      <c r="F866" s="65">
        <f t="shared" si="1"/>
        <v>25</v>
      </c>
      <c r="G866" s="66">
        <f>IF(B866&lt;&gt;"",VLOOKUP(B866,Zutaten!$C:$F,4,FALSE),"")*C866</f>
        <v>0.12725</v>
      </c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  <c r="AC866" s="67"/>
    </row>
    <row r="867">
      <c r="A867" s="18" t="s">
        <v>182</v>
      </c>
      <c r="B867" s="18" t="s">
        <v>485</v>
      </c>
      <c r="C867" s="68">
        <v>2.0</v>
      </c>
      <c r="D867" s="63" t="s">
        <v>539</v>
      </c>
      <c r="E867" s="64">
        <v>0.0</v>
      </c>
      <c r="F867" s="65">
        <f t="shared" si="1"/>
        <v>2</v>
      </c>
      <c r="G867" s="66">
        <f>IF(B867&lt;&gt;"",VLOOKUP(B867,Zutaten!$C:$F,4,FALSE),"")*C867</f>
        <v>0.01078</v>
      </c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  <c r="AC867" s="67"/>
    </row>
    <row r="868">
      <c r="A868" s="18" t="s">
        <v>182</v>
      </c>
      <c r="B868" s="18" t="s">
        <v>152</v>
      </c>
      <c r="C868" s="68">
        <v>150.0</v>
      </c>
      <c r="D868" s="63" t="s">
        <v>539</v>
      </c>
      <c r="E868" s="64">
        <v>0.0</v>
      </c>
      <c r="F868" s="65">
        <f t="shared" si="1"/>
        <v>150</v>
      </c>
      <c r="G868" s="66">
        <f>IF(B868&lt;&gt;"",VLOOKUP(B868,Zutaten!$C:$F,4,FALSE),"")*C868</f>
        <v>1.471423282</v>
      </c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  <c r="AC868" s="67"/>
    </row>
    <row r="869">
      <c r="A869" s="18" t="s">
        <v>182</v>
      </c>
      <c r="B869" s="60" t="s">
        <v>233</v>
      </c>
      <c r="C869" s="68">
        <v>50.0</v>
      </c>
      <c r="D869" s="63" t="s">
        <v>539</v>
      </c>
      <c r="E869" s="64">
        <v>0.0</v>
      </c>
      <c r="F869" s="65">
        <f t="shared" si="1"/>
        <v>50</v>
      </c>
      <c r="G869" s="66">
        <f>IF(B869&lt;&gt;"",VLOOKUP(B869,Zutaten!$C:$F,4,FALSE),"")*C869</f>
        <v>0.1372187618</v>
      </c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  <c r="AC869" s="67"/>
    </row>
    <row r="870">
      <c r="A870" s="18" t="s">
        <v>182</v>
      </c>
      <c r="B870" s="60" t="s">
        <v>303</v>
      </c>
      <c r="C870" s="68">
        <v>80.0</v>
      </c>
      <c r="D870" s="63" t="s">
        <v>539</v>
      </c>
      <c r="E870" s="64">
        <v>0.0</v>
      </c>
      <c r="F870" s="65">
        <f t="shared" si="1"/>
        <v>80</v>
      </c>
      <c r="G870" s="66">
        <f>IF(B870&lt;&gt;"",VLOOKUP(B870,Zutaten!$C:$F,4,FALSE),"")*C870</f>
        <v>0.6227027027</v>
      </c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  <c r="AC870" s="67"/>
    </row>
    <row r="871">
      <c r="A871" s="18" t="s">
        <v>183</v>
      </c>
      <c r="B871" s="60" t="s">
        <v>303</v>
      </c>
      <c r="C871" s="68">
        <v>80.0</v>
      </c>
      <c r="D871" s="63" t="s">
        <v>539</v>
      </c>
      <c r="E871" s="64">
        <v>0.0</v>
      </c>
      <c r="F871" s="65">
        <f t="shared" si="1"/>
        <v>80</v>
      </c>
      <c r="G871" s="66">
        <f>IF(B871&lt;&gt;"",VLOOKUP(B871,Zutaten!$C:$F,4,FALSE),"")*C871</f>
        <v>0.6227027027</v>
      </c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  <c r="AC871" s="67"/>
    </row>
    <row r="872">
      <c r="A872" s="18" t="s">
        <v>183</v>
      </c>
      <c r="B872" s="18" t="s">
        <v>519</v>
      </c>
      <c r="C872" s="68">
        <v>50.0</v>
      </c>
      <c r="D872" s="63" t="s">
        <v>539</v>
      </c>
      <c r="E872" s="64">
        <v>0.0</v>
      </c>
      <c r="F872" s="65">
        <f t="shared" si="1"/>
        <v>50</v>
      </c>
      <c r="G872" s="66">
        <f>IF(B872&lt;&gt;"",VLOOKUP(B872,Zutaten!$C:$F,4,FALSE),"")*C872</f>
        <v>1.018</v>
      </c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  <c r="AC872" s="67"/>
    </row>
    <row r="873">
      <c r="A873" s="18" t="s">
        <v>183</v>
      </c>
      <c r="B873" s="18" t="s">
        <v>115</v>
      </c>
      <c r="C873" s="68">
        <v>35.0</v>
      </c>
      <c r="D873" s="63" t="s">
        <v>539</v>
      </c>
      <c r="E873" s="64">
        <v>0.0</v>
      </c>
      <c r="F873" s="65">
        <f t="shared" si="1"/>
        <v>35</v>
      </c>
      <c r="G873" s="66">
        <f>IF(B873&lt;&gt;"",VLOOKUP(B873,Zutaten!$C:$F,4,FALSE),"")*C873</f>
        <v>0.4060669664</v>
      </c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  <c r="AC873" s="67"/>
    </row>
    <row r="874">
      <c r="A874" s="18" t="s">
        <v>183</v>
      </c>
      <c r="B874" s="18" t="s">
        <v>497</v>
      </c>
      <c r="C874" s="68">
        <v>10.0</v>
      </c>
      <c r="D874" s="63" t="s">
        <v>539</v>
      </c>
      <c r="E874" s="64">
        <v>0.0</v>
      </c>
      <c r="F874" s="65">
        <f t="shared" si="1"/>
        <v>10</v>
      </c>
      <c r="G874" s="66">
        <f>IF(B874&lt;&gt;"",VLOOKUP(B874,Zutaten!$C:$F,4,FALSE),"")*C874</f>
        <v>0.02282</v>
      </c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  <c r="AC874" s="67"/>
    </row>
    <row r="875">
      <c r="A875" s="18" t="s">
        <v>183</v>
      </c>
      <c r="B875" s="18" t="s">
        <v>15</v>
      </c>
      <c r="C875" s="68">
        <v>40.0</v>
      </c>
      <c r="D875" s="63" t="s">
        <v>539</v>
      </c>
      <c r="E875" s="64">
        <v>0.0</v>
      </c>
      <c r="F875" s="65">
        <f t="shared" si="1"/>
        <v>40</v>
      </c>
      <c r="G875" s="66">
        <f>IF(B875&lt;&gt;"",VLOOKUP(B875,Zutaten!$C:$F,4,FALSE),"")*C875</f>
        <v>0.143339469</v>
      </c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  <c r="AC875" s="67"/>
    </row>
    <row r="876">
      <c r="A876" s="18" t="s">
        <v>183</v>
      </c>
      <c r="B876" s="18" t="s">
        <v>350</v>
      </c>
      <c r="C876" s="68">
        <v>20.0</v>
      </c>
      <c r="D876" s="63" t="s">
        <v>539</v>
      </c>
      <c r="E876" s="64">
        <v>0.0</v>
      </c>
      <c r="F876" s="65">
        <f t="shared" si="1"/>
        <v>20</v>
      </c>
      <c r="G876" s="66">
        <f>IF(B876&lt;&gt;"",VLOOKUP(B876,Zutaten!$C:$F,4,FALSE),"")*C876</f>
        <v>0.1706</v>
      </c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  <c r="AC876" s="67"/>
    </row>
    <row r="877">
      <c r="A877" s="18" t="s">
        <v>183</v>
      </c>
      <c r="B877" s="18" t="s">
        <v>117</v>
      </c>
      <c r="C877" s="68">
        <v>25.0</v>
      </c>
      <c r="D877" s="63" t="s">
        <v>539</v>
      </c>
      <c r="E877" s="64">
        <v>0.0</v>
      </c>
      <c r="F877" s="65">
        <f t="shared" si="1"/>
        <v>25</v>
      </c>
      <c r="G877" s="66">
        <f>IF(B877&lt;&gt;"",VLOOKUP(B877,Zutaten!$C:$F,4,FALSE),"")*C877</f>
        <v>0.12725</v>
      </c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  <c r="AC877" s="67"/>
    </row>
    <row r="878">
      <c r="A878" s="18" t="s">
        <v>183</v>
      </c>
      <c r="B878" s="18" t="s">
        <v>485</v>
      </c>
      <c r="C878" s="68">
        <v>2.0</v>
      </c>
      <c r="D878" s="63" t="s">
        <v>539</v>
      </c>
      <c r="E878" s="64">
        <v>0.0</v>
      </c>
      <c r="F878" s="65">
        <f t="shared" si="1"/>
        <v>2</v>
      </c>
      <c r="G878" s="66">
        <f>IF(B878&lt;&gt;"",VLOOKUP(B878,Zutaten!$C:$F,4,FALSE),"")*C878</f>
        <v>0.01078</v>
      </c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  <c r="AC878" s="67"/>
    </row>
    <row r="879">
      <c r="A879" s="18" t="s">
        <v>183</v>
      </c>
      <c r="B879" s="18" t="s">
        <v>102</v>
      </c>
      <c r="C879" s="68">
        <v>160.0</v>
      </c>
      <c r="D879" s="63" t="s">
        <v>539</v>
      </c>
      <c r="E879" s="64">
        <v>0.0</v>
      </c>
      <c r="F879" s="65">
        <f t="shared" si="1"/>
        <v>160</v>
      </c>
      <c r="G879" s="66">
        <f>IF(B879&lt;&gt;"",VLOOKUP(B879,Zutaten!$C:$F,4,FALSE),"")*C879</f>
        <v>0.9884270866</v>
      </c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  <c r="AC879" s="67"/>
    </row>
    <row r="880">
      <c r="A880" s="18" t="s">
        <v>183</v>
      </c>
      <c r="B880" s="18" t="s">
        <v>109</v>
      </c>
      <c r="C880" s="68">
        <v>15.0</v>
      </c>
      <c r="D880" s="63" t="s">
        <v>539</v>
      </c>
      <c r="E880" s="64">
        <v>0.0</v>
      </c>
      <c r="F880" s="65">
        <f t="shared" si="1"/>
        <v>15</v>
      </c>
      <c r="G880" s="66">
        <f>IF(B880&lt;&gt;"",VLOOKUP(B880,Zutaten!$C:$F,4,FALSE),"")*C880</f>
        <v>0.029625</v>
      </c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  <c r="AC880" s="67"/>
    </row>
    <row r="881">
      <c r="A881" s="70" t="s">
        <v>184</v>
      </c>
      <c r="B881" s="71" t="s">
        <v>519</v>
      </c>
      <c r="C881" s="72">
        <v>50.0</v>
      </c>
      <c r="D881" s="63" t="s">
        <v>539</v>
      </c>
      <c r="E881" s="64">
        <v>0.0</v>
      </c>
      <c r="F881" s="65">
        <f t="shared" si="1"/>
        <v>50</v>
      </c>
      <c r="G881" s="66">
        <f>IF(B881&lt;&gt;"",VLOOKUP(B881,Zutaten!$C:$F,4,FALSE),"")*C881</f>
        <v>1.018</v>
      </c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  <c r="AC881" s="67"/>
    </row>
    <row r="882">
      <c r="A882" s="70" t="s">
        <v>184</v>
      </c>
      <c r="B882" s="71" t="s">
        <v>115</v>
      </c>
      <c r="C882" s="72">
        <v>35.0</v>
      </c>
      <c r="D882" s="63" t="s">
        <v>539</v>
      </c>
      <c r="E882" s="64">
        <v>0.0</v>
      </c>
      <c r="F882" s="65">
        <f t="shared" si="1"/>
        <v>35</v>
      </c>
      <c r="G882" s="66">
        <f>IF(B882&lt;&gt;"",VLOOKUP(B882,Zutaten!$C:$F,4,FALSE),"")*C882</f>
        <v>0.4060669664</v>
      </c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  <c r="AC882" s="67"/>
    </row>
    <row r="883">
      <c r="A883" s="70" t="s">
        <v>184</v>
      </c>
      <c r="B883" s="71" t="s">
        <v>497</v>
      </c>
      <c r="C883" s="72">
        <v>10.0</v>
      </c>
      <c r="D883" s="63" t="s">
        <v>539</v>
      </c>
      <c r="E883" s="64">
        <v>0.0</v>
      </c>
      <c r="F883" s="65">
        <f t="shared" si="1"/>
        <v>10</v>
      </c>
      <c r="G883" s="66">
        <f>IF(B883&lt;&gt;"",VLOOKUP(B883,Zutaten!$C:$F,4,FALSE),"")*C883</f>
        <v>0.02282</v>
      </c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  <c r="AC883" s="67"/>
    </row>
    <row r="884">
      <c r="A884" s="70" t="s">
        <v>184</v>
      </c>
      <c r="B884" s="71" t="s">
        <v>15</v>
      </c>
      <c r="C884" s="72">
        <v>40.0</v>
      </c>
      <c r="D884" s="63" t="s">
        <v>539</v>
      </c>
      <c r="E884" s="64">
        <v>0.0</v>
      </c>
      <c r="F884" s="65">
        <f t="shared" si="1"/>
        <v>40</v>
      </c>
      <c r="G884" s="66">
        <f>IF(B884&lt;&gt;"",VLOOKUP(B884,Zutaten!$C:$F,4,FALSE),"")*C884</f>
        <v>0.143339469</v>
      </c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  <c r="AC884" s="67"/>
    </row>
    <row r="885">
      <c r="A885" s="70" t="s">
        <v>184</v>
      </c>
      <c r="B885" s="71" t="s">
        <v>350</v>
      </c>
      <c r="C885" s="72">
        <v>20.0</v>
      </c>
      <c r="D885" s="63" t="s">
        <v>539</v>
      </c>
      <c r="E885" s="64">
        <v>0.0</v>
      </c>
      <c r="F885" s="65">
        <f t="shared" si="1"/>
        <v>20</v>
      </c>
      <c r="G885" s="66">
        <f>IF(B885&lt;&gt;"",VLOOKUP(B885,Zutaten!$C:$F,4,FALSE),"")*C885</f>
        <v>0.1706</v>
      </c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  <c r="AC885" s="67"/>
    </row>
    <row r="886">
      <c r="A886" s="70" t="s">
        <v>184</v>
      </c>
      <c r="B886" s="71" t="s">
        <v>117</v>
      </c>
      <c r="C886" s="72">
        <v>25.0</v>
      </c>
      <c r="D886" s="63" t="s">
        <v>539</v>
      </c>
      <c r="E886" s="64">
        <v>0.0</v>
      </c>
      <c r="F886" s="65">
        <f t="shared" si="1"/>
        <v>25</v>
      </c>
      <c r="G886" s="66">
        <f>IF(B886&lt;&gt;"",VLOOKUP(B886,Zutaten!$C:$F,4,FALSE),"")*C886</f>
        <v>0.12725</v>
      </c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  <c r="AC886" s="67"/>
    </row>
    <row r="887">
      <c r="A887" s="70" t="s">
        <v>184</v>
      </c>
      <c r="B887" s="71" t="s">
        <v>485</v>
      </c>
      <c r="C887" s="72">
        <v>2.0</v>
      </c>
      <c r="D887" s="63" t="s">
        <v>539</v>
      </c>
      <c r="E887" s="64">
        <v>0.0</v>
      </c>
      <c r="F887" s="65">
        <f t="shared" si="1"/>
        <v>2</v>
      </c>
      <c r="G887" s="66">
        <f>IF(B887&lt;&gt;"",VLOOKUP(B887,Zutaten!$C:$F,4,FALSE),"")*C887</f>
        <v>0.01078</v>
      </c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  <c r="AC887" s="67"/>
    </row>
    <row r="888">
      <c r="A888" s="70" t="s">
        <v>184</v>
      </c>
      <c r="B888" s="70" t="s">
        <v>403</v>
      </c>
      <c r="C888" s="72">
        <v>150.0</v>
      </c>
      <c r="D888" s="63" t="s">
        <v>539</v>
      </c>
      <c r="E888" s="64">
        <v>0.0</v>
      </c>
      <c r="F888" s="65">
        <f t="shared" si="1"/>
        <v>150</v>
      </c>
      <c r="G888" s="66">
        <f>IF(B888&lt;&gt;"",VLOOKUP(B888,Zutaten!$C:$F,4,FALSE),"")*C888</f>
        <v>2.0835</v>
      </c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  <c r="AC888" s="67"/>
    </row>
    <row r="889">
      <c r="A889" s="18" t="s">
        <v>185</v>
      </c>
      <c r="B889" s="60" t="s">
        <v>303</v>
      </c>
      <c r="C889" s="68">
        <v>80.0</v>
      </c>
      <c r="D889" s="63" t="s">
        <v>539</v>
      </c>
      <c r="E889" s="64">
        <v>0.0</v>
      </c>
      <c r="F889" s="65">
        <f t="shared" si="1"/>
        <v>80</v>
      </c>
      <c r="G889" s="66">
        <f>IF(B889&lt;&gt;"",VLOOKUP(B889,Zutaten!$C:$F,4,FALSE),"")*C889</f>
        <v>0.6227027027</v>
      </c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  <c r="AC889" s="67"/>
    </row>
    <row r="890">
      <c r="A890" s="18" t="s">
        <v>185</v>
      </c>
      <c r="B890" s="18" t="s">
        <v>519</v>
      </c>
      <c r="C890" s="68">
        <v>50.0</v>
      </c>
      <c r="D890" s="63" t="s">
        <v>539</v>
      </c>
      <c r="E890" s="64">
        <v>0.0</v>
      </c>
      <c r="F890" s="65">
        <f t="shared" si="1"/>
        <v>50</v>
      </c>
      <c r="G890" s="66">
        <f>IF(B890&lt;&gt;"",VLOOKUP(B890,Zutaten!$C:$F,4,FALSE),"")*C890</f>
        <v>1.018</v>
      </c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  <c r="AC890" s="67"/>
    </row>
    <row r="891">
      <c r="A891" s="18" t="s">
        <v>185</v>
      </c>
      <c r="B891" s="18" t="s">
        <v>115</v>
      </c>
      <c r="C891" s="68">
        <v>35.0</v>
      </c>
      <c r="D891" s="63" t="s">
        <v>539</v>
      </c>
      <c r="E891" s="64">
        <v>0.0</v>
      </c>
      <c r="F891" s="65">
        <f t="shared" si="1"/>
        <v>35</v>
      </c>
      <c r="G891" s="66">
        <f>IF(B891&lt;&gt;"",VLOOKUP(B891,Zutaten!$C:$F,4,FALSE),"")*C891</f>
        <v>0.4060669664</v>
      </c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  <c r="AC891" s="67"/>
    </row>
    <row r="892">
      <c r="A892" s="18" t="s">
        <v>185</v>
      </c>
      <c r="B892" s="18" t="s">
        <v>497</v>
      </c>
      <c r="C892" s="68">
        <v>10.0</v>
      </c>
      <c r="D892" s="63" t="s">
        <v>539</v>
      </c>
      <c r="E892" s="64">
        <v>0.0</v>
      </c>
      <c r="F892" s="65">
        <f t="shared" si="1"/>
        <v>10</v>
      </c>
      <c r="G892" s="66">
        <f>IF(B892&lt;&gt;"",VLOOKUP(B892,Zutaten!$C:$F,4,FALSE),"")*C892</f>
        <v>0.02282</v>
      </c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  <c r="AC892" s="67"/>
    </row>
    <row r="893">
      <c r="A893" s="18" t="s">
        <v>185</v>
      </c>
      <c r="B893" s="18" t="s">
        <v>15</v>
      </c>
      <c r="C893" s="68">
        <v>40.0</v>
      </c>
      <c r="D893" s="63" t="s">
        <v>539</v>
      </c>
      <c r="E893" s="64">
        <v>0.0</v>
      </c>
      <c r="F893" s="65">
        <f t="shared" si="1"/>
        <v>40</v>
      </c>
      <c r="G893" s="66">
        <f>IF(B893&lt;&gt;"",VLOOKUP(B893,Zutaten!$C:$F,4,FALSE),"")*C893</f>
        <v>0.143339469</v>
      </c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  <c r="AC893" s="67"/>
    </row>
    <row r="894">
      <c r="A894" s="18" t="s">
        <v>185</v>
      </c>
      <c r="B894" s="18" t="s">
        <v>350</v>
      </c>
      <c r="C894" s="68">
        <v>20.0</v>
      </c>
      <c r="D894" s="63" t="s">
        <v>539</v>
      </c>
      <c r="E894" s="64">
        <v>0.0</v>
      </c>
      <c r="F894" s="65">
        <f t="shared" si="1"/>
        <v>20</v>
      </c>
      <c r="G894" s="66">
        <f>IF(B894&lt;&gt;"",VLOOKUP(B894,Zutaten!$C:$F,4,FALSE),"")*C894</f>
        <v>0.1706</v>
      </c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  <c r="AC894" s="67"/>
    </row>
    <row r="895">
      <c r="A895" s="18" t="s">
        <v>185</v>
      </c>
      <c r="B895" s="18" t="s">
        <v>117</v>
      </c>
      <c r="C895" s="68">
        <v>25.0</v>
      </c>
      <c r="D895" s="63" t="s">
        <v>539</v>
      </c>
      <c r="E895" s="64">
        <v>0.0</v>
      </c>
      <c r="F895" s="65">
        <f t="shared" si="1"/>
        <v>25</v>
      </c>
      <c r="G895" s="66">
        <f>IF(B895&lt;&gt;"",VLOOKUP(B895,Zutaten!$C:$F,4,FALSE),"")*C895</f>
        <v>0.12725</v>
      </c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  <c r="AC895" s="67"/>
    </row>
    <row r="896">
      <c r="A896" s="18" t="s">
        <v>185</v>
      </c>
      <c r="B896" s="18" t="s">
        <v>485</v>
      </c>
      <c r="C896" s="68">
        <v>2.0</v>
      </c>
      <c r="D896" s="63" t="s">
        <v>539</v>
      </c>
      <c r="E896" s="64">
        <v>0.0</v>
      </c>
      <c r="F896" s="65">
        <f t="shared" si="1"/>
        <v>2</v>
      </c>
      <c r="G896" s="66">
        <f>IF(B896&lt;&gt;"",VLOOKUP(B896,Zutaten!$C:$F,4,FALSE),"")*C896</f>
        <v>0.01078</v>
      </c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  <c r="AC896" s="67"/>
    </row>
    <row r="897">
      <c r="A897" s="18" t="s">
        <v>185</v>
      </c>
      <c r="B897" s="18" t="s">
        <v>563</v>
      </c>
      <c r="C897" s="68">
        <v>170.0</v>
      </c>
      <c r="D897" s="63" t="s">
        <v>539</v>
      </c>
      <c r="E897" s="64">
        <v>0.0</v>
      </c>
      <c r="F897" s="65">
        <f t="shared" si="1"/>
        <v>170</v>
      </c>
      <c r="G897" s="66">
        <f>IF(B897&lt;&gt;"",VLOOKUP(B897,Zutaten!$C:$F,4,FALSE),"")*C897</f>
        <v>1.577170861</v>
      </c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  <c r="AC897" s="67"/>
    </row>
    <row r="898">
      <c r="A898" s="18" t="s">
        <v>185</v>
      </c>
      <c r="B898" s="18" t="s">
        <v>109</v>
      </c>
      <c r="C898" s="68">
        <v>15.0</v>
      </c>
      <c r="D898" s="63" t="s">
        <v>539</v>
      </c>
      <c r="E898" s="64">
        <v>0.0</v>
      </c>
      <c r="F898" s="65">
        <f t="shared" si="1"/>
        <v>15</v>
      </c>
      <c r="G898" s="66">
        <f>IF(B898&lt;&gt;"",VLOOKUP(B898,Zutaten!$C:$F,4,FALSE),"")*C898</f>
        <v>0.029625</v>
      </c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  <c r="AC898" s="67"/>
    </row>
    <row r="899">
      <c r="A899" s="18" t="s">
        <v>186</v>
      </c>
      <c r="B899" s="18" t="s">
        <v>25</v>
      </c>
      <c r="C899" s="68">
        <v>50.0</v>
      </c>
      <c r="D899" s="63" t="s">
        <v>539</v>
      </c>
      <c r="E899" s="64">
        <v>0.0</v>
      </c>
      <c r="F899" s="65">
        <f t="shared" si="1"/>
        <v>50</v>
      </c>
      <c r="G899" s="66">
        <f>IF(B899&lt;&gt;"",VLOOKUP(B899,Zutaten!$C:$F,4,FALSE),"")*C899</f>
        <v>0.3725003714</v>
      </c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  <c r="AC899" s="67"/>
    </row>
    <row r="900">
      <c r="A900" s="18" t="s">
        <v>187</v>
      </c>
      <c r="B900" s="18" t="s">
        <v>100</v>
      </c>
      <c r="C900" s="68">
        <v>50.0</v>
      </c>
      <c r="D900" s="63" t="s">
        <v>539</v>
      </c>
      <c r="E900" s="64">
        <v>0.0</v>
      </c>
      <c r="F900" s="65">
        <f t="shared" si="1"/>
        <v>50</v>
      </c>
      <c r="G900" s="66">
        <f>IF(B900&lt;&gt;"",VLOOKUP(B900,Zutaten!$C:$F,4,FALSE),"")*C900</f>
        <v>0.3739865938</v>
      </c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  <c r="AC900" s="67"/>
    </row>
    <row r="901">
      <c r="A901" s="18" t="s">
        <v>188</v>
      </c>
      <c r="B901" s="61" t="s">
        <v>114</v>
      </c>
      <c r="C901" s="68">
        <v>50.0</v>
      </c>
      <c r="D901" s="63" t="s">
        <v>539</v>
      </c>
      <c r="E901" s="64">
        <v>0.0</v>
      </c>
      <c r="F901" s="65">
        <f t="shared" si="1"/>
        <v>50</v>
      </c>
      <c r="G901" s="66">
        <f>IF(B901&lt;&gt;"",VLOOKUP(B901,Zutaten!$C:$F,4,FALSE),"")*C901</f>
        <v>0.1561015088</v>
      </c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  <c r="AC901" s="67"/>
    </row>
    <row r="902">
      <c r="A902" s="18" t="s">
        <v>189</v>
      </c>
      <c r="B902" s="18" t="s">
        <v>118</v>
      </c>
      <c r="C902" s="68">
        <v>50.0</v>
      </c>
      <c r="D902" s="63" t="s">
        <v>539</v>
      </c>
      <c r="E902" s="64">
        <v>0.0</v>
      </c>
      <c r="F902" s="65">
        <f t="shared" si="1"/>
        <v>50</v>
      </c>
      <c r="G902" s="66">
        <f>IF(B902&lt;&gt;"",VLOOKUP(B902,Zutaten!$C:$F,4,FALSE),"")*C902</f>
        <v>0.3676228483</v>
      </c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  <c r="AC902" s="67"/>
    </row>
    <row r="903">
      <c r="A903" s="18" t="s">
        <v>190</v>
      </c>
      <c r="B903" s="18" t="s">
        <v>505</v>
      </c>
      <c r="C903" s="68">
        <v>50.0</v>
      </c>
      <c r="D903" s="63" t="s">
        <v>539</v>
      </c>
      <c r="E903" s="64">
        <v>0.0</v>
      </c>
      <c r="F903" s="65">
        <f t="shared" si="1"/>
        <v>50</v>
      </c>
      <c r="G903" s="66">
        <f>IF(B903&lt;&gt;"",VLOOKUP(B903,Zutaten!$C:$F,4,FALSE),"")*C903</f>
        <v>0.1425</v>
      </c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  <c r="AC903" s="67"/>
    </row>
    <row r="904">
      <c r="A904" s="18" t="s">
        <v>191</v>
      </c>
      <c r="B904" s="18" t="s">
        <v>133</v>
      </c>
      <c r="C904" s="68">
        <v>50.0</v>
      </c>
      <c r="D904" s="63" t="s">
        <v>539</v>
      </c>
      <c r="E904" s="64">
        <v>0.0</v>
      </c>
      <c r="F904" s="65">
        <f t="shared" si="1"/>
        <v>50</v>
      </c>
      <c r="G904" s="66">
        <f>IF(B904&lt;&gt;"",VLOOKUP(B904,Zutaten!$C:$F,4,FALSE),"")*C904</f>
        <v>0.1419438529</v>
      </c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  <c r="AC904" s="67"/>
    </row>
    <row r="905">
      <c r="A905" s="18" t="s">
        <v>192</v>
      </c>
      <c r="B905" s="18" t="s">
        <v>159</v>
      </c>
      <c r="C905" s="68">
        <v>50.0</v>
      </c>
      <c r="D905" s="63" t="s">
        <v>539</v>
      </c>
      <c r="E905" s="64">
        <v>0.0</v>
      </c>
      <c r="F905" s="65">
        <f t="shared" si="1"/>
        <v>50</v>
      </c>
      <c r="G905" s="66">
        <f>IF(B905&lt;&gt;"",VLOOKUP(B905,Zutaten!$C:$F,4,FALSE),"")*C905</f>
        <v>0.1581710551</v>
      </c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  <c r="AC905" s="67"/>
    </row>
    <row r="906">
      <c r="A906" s="18" t="s">
        <v>193</v>
      </c>
      <c r="B906" s="60" t="s">
        <v>210</v>
      </c>
      <c r="C906" s="68">
        <v>50.0</v>
      </c>
      <c r="D906" s="63" t="s">
        <v>539</v>
      </c>
      <c r="E906" s="64">
        <v>0.0</v>
      </c>
      <c r="F906" s="65">
        <f t="shared" si="1"/>
        <v>50</v>
      </c>
      <c r="G906" s="66">
        <f>IF(B906&lt;&gt;"",VLOOKUP(B906,Zutaten!$C:$F,4,FALSE),"")*C906</f>
        <v>0.2747234014</v>
      </c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  <c r="AC906" s="67"/>
    </row>
    <row r="907">
      <c r="A907" s="18" t="s">
        <v>194</v>
      </c>
      <c r="B907" s="60" t="s">
        <v>229</v>
      </c>
      <c r="C907" s="68">
        <v>50.0</v>
      </c>
      <c r="D907" s="63" t="s">
        <v>539</v>
      </c>
      <c r="E907" s="64">
        <v>0.0</v>
      </c>
      <c r="F907" s="65">
        <f t="shared" si="1"/>
        <v>50</v>
      </c>
      <c r="G907" s="66">
        <f>IF(B907&lt;&gt;"",VLOOKUP(B907,Zutaten!$C:$F,4,FALSE),"")*C907</f>
        <v>0.1943697865</v>
      </c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  <c r="AC907" s="67"/>
    </row>
    <row r="908">
      <c r="A908" s="18" t="s">
        <v>195</v>
      </c>
      <c r="B908" s="60" t="s">
        <v>231</v>
      </c>
      <c r="C908" s="68">
        <v>50.0</v>
      </c>
      <c r="D908" s="63" t="s">
        <v>539</v>
      </c>
      <c r="E908" s="64">
        <v>0.0</v>
      </c>
      <c r="F908" s="65">
        <f t="shared" si="1"/>
        <v>50</v>
      </c>
      <c r="G908" s="66">
        <f>IF(B908&lt;&gt;"",VLOOKUP(B908,Zutaten!$C:$F,4,FALSE),"")*C908</f>
        <v>0.1797493964</v>
      </c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  <c r="AC908" s="67"/>
    </row>
    <row r="909">
      <c r="A909" s="18" t="s">
        <v>196</v>
      </c>
      <c r="B909" s="60" t="s">
        <v>234</v>
      </c>
      <c r="C909" s="68">
        <v>50.0</v>
      </c>
      <c r="D909" s="63" t="s">
        <v>539</v>
      </c>
      <c r="E909" s="64">
        <v>0.0</v>
      </c>
      <c r="F909" s="65">
        <f t="shared" si="1"/>
        <v>50</v>
      </c>
      <c r="G909" s="66">
        <f>IF(B909&lt;&gt;"",VLOOKUP(B909,Zutaten!$C:$F,4,FALSE),"")*C909</f>
        <v>0.1067942175</v>
      </c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  <c r="AC909" s="67"/>
    </row>
    <row r="910">
      <c r="A910" s="18" t="s">
        <v>197</v>
      </c>
      <c r="B910" s="60" t="s">
        <v>233</v>
      </c>
      <c r="C910" s="68">
        <v>50.0</v>
      </c>
      <c r="D910" s="63" t="s">
        <v>539</v>
      </c>
      <c r="E910" s="64">
        <v>0.0</v>
      </c>
      <c r="F910" s="65">
        <f t="shared" si="1"/>
        <v>50</v>
      </c>
      <c r="G910" s="66">
        <f>IF(B910&lt;&gt;"",VLOOKUP(B910,Zutaten!$C:$F,4,FALSE),"")*C910</f>
        <v>0.1372187618</v>
      </c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  <c r="AC910" s="67"/>
    </row>
    <row r="911">
      <c r="A911" s="18" t="s">
        <v>198</v>
      </c>
      <c r="B911" s="63" t="s">
        <v>239</v>
      </c>
      <c r="C911" s="68">
        <v>50.0</v>
      </c>
      <c r="D911" s="63" t="s">
        <v>539</v>
      </c>
      <c r="E911" s="64">
        <v>0.0</v>
      </c>
      <c r="F911" s="65">
        <f t="shared" si="1"/>
        <v>50</v>
      </c>
      <c r="G911" s="66">
        <f>IF(B911&lt;&gt;"",VLOOKUP(B911,Zutaten!$C:$F,4,FALSE),"")*C911</f>
        <v>0.1526727108</v>
      </c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  <c r="AC911" s="67"/>
    </row>
    <row r="912">
      <c r="A912" s="18" t="s">
        <v>199</v>
      </c>
      <c r="B912" s="18" t="s">
        <v>263</v>
      </c>
      <c r="C912" s="68">
        <v>50.0</v>
      </c>
      <c r="D912" s="63" t="s">
        <v>539</v>
      </c>
      <c r="E912" s="64">
        <v>0.0</v>
      </c>
      <c r="F912" s="65">
        <f t="shared" si="1"/>
        <v>50</v>
      </c>
      <c r="G912" s="66">
        <f>IF(B912&lt;&gt;"",VLOOKUP(B912,Zutaten!$C:$F,4,FALSE),"")*C912</f>
        <v>0.2618020389</v>
      </c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  <c r="AC912" s="67"/>
    </row>
    <row r="913">
      <c r="A913" s="18" t="s">
        <v>200</v>
      </c>
      <c r="B913" s="60" t="s">
        <v>282</v>
      </c>
      <c r="C913" s="68">
        <v>50.0</v>
      </c>
      <c r="D913" s="63" t="s">
        <v>539</v>
      </c>
      <c r="E913" s="64">
        <v>0.0</v>
      </c>
      <c r="F913" s="65">
        <f t="shared" si="1"/>
        <v>50</v>
      </c>
      <c r="G913" s="66">
        <f>IF(B913&lt;&gt;"",VLOOKUP(B913,Zutaten!$C:$F,4,FALSE),"")*C913</f>
        <v>0.1782986093</v>
      </c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  <c r="AC913" s="67"/>
    </row>
    <row r="914">
      <c r="A914" s="63" t="s">
        <v>201</v>
      </c>
      <c r="B914" s="63" t="s">
        <v>466</v>
      </c>
      <c r="C914" s="63">
        <v>1000.0</v>
      </c>
      <c r="D914" s="63" t="s">
        <v>539</v>
      </c>
      <c r="E914" s="64">
        <v>0.0</v>
      </c>
      <c r="F914" s="65">
        <f t="shared" si="1"/>
        <v>1000</v>
      </c>
      <c r="G914" s="66">
        <f>IF(B914&lt;&gt;"",VLOOKUP(B914,Zutaten!$C:$F,4,FALSE),"")*C914</f>
        <v>4.43</v>
      </c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  <c r="AC914" s="67"/>
    </row>
    <row r="915">
      <c r="A915" s="63" t="s">
        <v>201</v>
      </c>
      <c r="B915" s="63" t="s">
        <v>379</v>
      </c>
      <c r="C915" s="63">
        <v>2.0</v>
      </c>
      <c r="D915" s="63" t="s">
        <v>564</v>
      </c>
      <c r="E915" s="64">
        <v>0.0</v>
      </c>
      <c r="F915" s="65">
        <f t="shared" si="1"/>
        <v>2</v>
      </c>
      <c r="G915" s="66">
        <f>IF(B915&lt;&gt;"",VLOOKUP(B915,Zutaten!$C:$F,4,FALSE),"")*C915</f>
        <v>1.634166667</v>
      </c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  <c r="AC915" s="67"/>
    </row>
    <row r="916">
      <c r="A916" s="60" t="s">
        <v>202</v>
      </c>
      <c r="B916" s="61" t="s">
        <v>531</v>
      </c>
      <c r="C916" s="62">
        <v>10000.0</v>
      </c>
      <c r="D916" s="63" t="s">
        <v>539</v>
      </c>
      <c r="E916" s="64">
        <v>0.0</v>
      </c>
      <c r="F916" s="65">
        <f t="shared" si="1"/>
        <v>10000</v>
      </c>
      <c r="G916" s="66">
        <f>IF(B916&lt;&gt;"",VLOOKUP(B916,Zutaten!$C:$F,4,FALSE),"")*C916</f>
        <v>27.7</v>
      </c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  <c r="AC916" s="67"/>
    </row>
    <row r="917">
      <c r="A917" s="60" t="s">
        <v>202</v>
      </c>
      <c r="B917" s="61" t="s">
        <v>455</v>
      </c>
      <c r="C917" s="62">
        <v>500.0</v>
      </c>
      <c r="D917" s="63" t="s">
        <v>540</v>
      </c>
      <c r="E917" s="64">
        <v>0.0</v>
      </c>
      <c r="F917" s="65">
        <f t="shared" si="1"/>
        <v>500</v>
      </c>
      <c r="G917" s="66">
        <f>IF(B917&lt;&gt;"",VLOOKUP(B917,Zutaten!$C:$F,4,FALSE),"")*C917</f>
        <v>0.995</v>
      </c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  <c r="AC917" s="67"/>
    </row>
    <row r="918">
      <c r="A918" s="60" t="s">
        <v>202</v>
      </c>
      <c r="B918" s="61" t="s">
        <v>467</v>
      </c>
      <c r="C918" s="62">
        <v>50.0</v>
      </c>
      <c r="D918" s="63" t="s">
        <v>539</v>
      </c>
      <c r="E918" s="64">
        <v>0.0</v>
      </c>
      <c r="F918" s="65">
        <f t="shared" si="1"/>
        <v>50</v>
      </c>
      <c r="G918" s="66">
        <f>IF(B918&lt;&gt;"",VLOOKUP(B918,Zutaten!$C:$F,4,FALSE),"")*C918</f>
        <v>0.0184</v>
      </c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  <c r="AC918" s="67"/>
    </row>
    <row r="919">
      <c r="A919" s="60" t="s">
        <v>202</v>
      </c>
      <c r="B919" s="61" t="s">
        <v>528</v>
      </c>
      <c r="C919" s="62">
        <v>50.0</v>
      </c>
      <c r="D919" s="63" t="s">
        <v>539</v>
      </c>
      <c r="E919" s="64">
        <v>0.0</v>
      </c>
      <c r="F919" s="65">
        <f t="shared" si="1"/>
        <v>50</v>
      </c>
      <c r="G919" s="66">
        <f>IF(B919&lt;&gt;"",VLOOKUP(B919,Zutaten!$C:$F,4,FALSE),"")*C919</f>
        <v>0.072</v>
      </c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  <c r="AC919" s="67"/>
    </row>
    <row r="920">
      <c r="A920" s="60" t="s">
        <v>202</v>
      </c>
      <c r="B920" s="61" t="s">
        <v>314</v>
      </c>
      <c r="C920" s="62">
        <v>500.0</v>
      </c>
      <c r="D920" s="63" t="s">
        <v>539</v>
      </c>
      <c r="E920" s="64">
        <v>0.0</v>
      </c>
      <c r="F920" s="65">
        <f t="shared" si="1"/>
        <v>500</v>
      </c>
      <c r="G920" s="66">
        <f>IF(B920&lt;&gt;"",VLOOKUP(B920,Zutaten!$C:$F,4,FALSE),"")*C920</f>
        <v>3.6</v>
      </c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  <c r="AC920" s="67"/>
    </row>
    <row r="921">
      <c r="A921" s="60" t="s">
        <v>202</v>
      </c>
      <c r="B921" s="61" t="s">
        <v>442</v>
      </c>
      <c r="C921" s="62">
        <v>10.0</v>
      </c>
      <c r="D921" s="63" t="s">
        <v>539</v>
      </c>
      <c r="E921" s="64">
        <v>0.0</v>
      </c>
      <c r="F921" s="65">
        <f t="shared" si="1"/>
        <v>10</v>
      </c>
      <c r="G921" s="66">
        <f>IF(B921&lt;&gt;"",VLOOKUP(B921,Zutaten!$C:$F,4,FALSE),"")*C921</f>
        <v>0.324</v>
      </c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  <c r="AC921" s="67"/>
    </row>
    <row r="922">
      <c r="A922" s="60" t="s">
        <v>203</v>
      </c>
      <c r="B922" s="61" t="s">
        <v>473</v>
      </c>
      <c r="C922" s="62">
        <v>200.0</v>
      </c>
      <c r="D922" s="63" t="s">
        <v>539</v>
      </c>
      <c r="E922" s="64">
        <v>0.0</v>
      </c>
      <c r="F922" s="65">
        <f t="shared" si="1"/>
        <v>200</v>
      </c>
      <c r="G922" s="66">
        <f>IF(B922&lt;&gt;"",VLOOKUP(B922,Zutaten!$C:$F,4,FALSE),"")*C922</f>
        <v>2.888</v>
      </c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  <c r="AC922" s="67"/>
    </row>
    <row r="923">
      <c r="A923" s="60" t="s">
        <v>203</v>
      </c>
      <c r="B923" s="61" t="s">
        <v>528</v>
      </c>
      <c r="C923" s="62">
        <v>75.0</v>
      </c>
      <c r="D923" s="63" t="s">
        <v>539</v>
      </c>
      <c r="E923" s="64">
        <v>0.0</v>
      </c>
      <c r="F923" s="65">
        <f t="shared" si="1"/>
        <v>75</v>
      </c>
      <c r="G923" s="66">
        <f>IF(B923&lt;&gt;"",VLOOKUP(B923,Zutaten!$C:$F,4,FALSE),"")*C923</f>
        <v>0.108</v>
      </c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  <c r="AC923" s="67"/>
    </row>
    <row r="924">
      <c r="A924" s="60" t="s">
        <v>203</v>
      </c>
      <c r="B924" s="61" t="s">
        <v>466</v>
      </c>
      <c r="C924" s="62">
        <v>500.0</v>
      </c>
      <c r="D924" s="63" t="s">
        <v>539</v>
      </c>
      <c r="E924" s="64">
        <v>0.0</v>
      </c>
      <c r="F924" s="65">
        <f t="shared" si="1"/>
        <v>500</v>
      </c>
      <c r="G924" s="66">
        <f>IF(B924&lt;&gt;"",VLOOKUP(B924,Zutaten!$C:$F,4,FALSE),"")*C924</f>
        <v>2.215</v>
      </c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  <c r="AC924" s="67"/>
    </row>
    <row r="925">
      <c r="A925" s="18" t="s">
        <v>204</v>
      </c>
      <c r="B925" s="18" t="s">
        <v>458</v>
      </c>
      <c r="C925" s="68">
        <v>170.0</v>
      </c>
      <c r="D925" s="63" t="s">
        <v>539</v>
      </c>
      <c r="E925" s="64">
        <v>0.0</v>
      </c>
      <c r="F925" s="65">
        <f t="shared" si="1"/>
        <v>170</v>
      </c>
      <c r="G925" s="66">
        <f>IF(B925&lt;&gt;"",VLOOKUP(B925,Zutaten!$C:$F,4,FALSE),"")*C925</f>
        <v>1.4433</v>
      </c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  <c r="AC925" s="67"/>
    </row>
    <row r="926">
      <c r="A926" s="18" t="s">
        <v>204</v>
      </c>
      <c r="B926" s="18" t="s">
        <v>313</v>
      </c>
      <c r="C926" s="68">
        <v>80.0</v>
      </c>
      <c r="D926" s="63" t="s">
        <v>539</v>
      </c>
      <c r="E926" s="64">
        <v>0.0</v>
      </c>
      <c r="F926" s="65">
        <f t="shared" si="1"/>
        <v>80</v>
      </c>
      <c r="G926" s="66">
        <f>IF(B926&lt;&gt;"",VLOOKUP(B926,Zutaten!$C:$F,4,FALSE),"")*C926</f>
        <v>0.5</v>
      </c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  <c r="AC926" s="67"/>
    </row>
    <row r="927">
      <c r="A927" s="18" t="s">
        <v>204</v>
      </c>
      <c r="B927" s="18" t="s">
        <v>336</v>
      </c>
      <c r="C927" s="68">
        <v>10.0</v>
      </c>
      <c r="D927" s="63" t="s">
        <v>539</v>
      </c>
      <c r="E927" s="64">
        <v>0.0</v>
      </c>
      <c r="F927" s="65">
        <f t="shared" si="1"/>
        <v>10</v>
      </c>
      <c r="G927" s="66">
        <f>IF(B927&lt;&gt;"",VLOOKUP(B927,Zutaten!$C:$F,4,FALSE),"")*C927</f>
        <v>0.0639</v>
      </c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  <c r="AC927" s="67"/>
    </row>
    <row r="928">
      <c r="A928" s="18" t="s">
        <v>204</v>
      </c>
      <c r="B928" s="18" t="s">
        <v>502</v>
      </c>
      <c r="C928" s="68">
        <v>60.0</v>
      </c>
      <c r="D928" s="63" t="s">
        <v>539</v>
      </c>
      <c r="E928" s="64">
        <v>0.0</v>
      </c>
      <c r="F928" s="65">
        <f t="shared" si="1"/>
        <v>60</v>
      </c>
      <c r="G928" s="66">
        <f>IF(B928&lt;&gt;"",VLOOKUP(B928,Zutaten!$C:$F,4,FALSE),"")*C928</f>
        <v>0.16578</v>
      </c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  <c r="AC928" s="67"/>
    </row>
    <row r="929">
      <c r="A929" s="18" t="s">
        <v>204</v>
      </c>
      <c r="B929" s="18" t="s">
        <v>318</v>
      </c>
      <c r="C929" s="68">
        <v>20.0</v>
      </c>
      <c r="D929" s="63" t="s">
        <v>539</v>
      </c>
      <c r="E929" s="64">
        <v>0.0</v>
      </c>
      <c r="F929" s="65">
        <f t="shared" si="1"/>
        <v>20</v>
      </c>
      <c r="G929" s="66">
        <f>IF(B929&lt;&gt;"",VLOOKUP(B929,Zutaten!$C:$F,4,FALSE),"")*C929</f>
        <v>0.2278</v>
      </c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  <c r="AC929" s="67"/>
    </row>
    <row r="930">
      <c r="A930" s="18" t="s">
        <v>204</v>
      </c>
      <c r="B930" s="18" t="s">
        <v>202</v>
      </c>
      <c r="C930" s="68">
        <v>20.0</v>
      </c>
      <c r="D930" s="63" t="s">
        <v>539</v>
      </c>
      <c r="E930" s="64">
        <v>0.0</v>
      </c>
      <c r="F930" s="65">
        <f t="shared" si="1"/>
        <v>20</v>
      </c>
      <c r="G930" s="66">
        <f>IF(B930&lt;&gt;"",VLOOKUP(B930,Zutaten!$C:$F,4,FALSE),"")*C930</f>
        <v>0.05888280828</v>
      </c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  <c r="AC930" s="67"/>
    </row>
    <row r="931">
      <c r="A931" s="18" t="s">
        <v>204</v>
      </c>
      <c r="B931" s="18" t="s">
        <v>359</v>
      </c>
      <c r="C931" s="68">
        <v>20.0</v>
      </c>
      <c r="D931" s="63" t="s">
        <v>539</v>
      </c>
      <c r="E931" s="64">
        <v>0.0</v>
      </c>
      <c r="F931" s="65">
        <f t="shared" si="1"/>
        <v>20</v>
      </c>
      <c r="G931" s="66">
        <f>IF(B931&lt;&gt;"",VLOOKUP(B931,Zutaten!$C:$F,4,FALSE),"")*C931</f>
        <v>0.04160714286</v>
      </c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  <c r="AC931" s="67"/>
    </row>
    <row r="932">
      <c r="A932" s="18" t="s">
        <v>204</v>
      </c>
      <c r="B932" s="18" t="s">
        <v>114</v>
      </c>
      <c r="C932" s="68">
        <v>50.0</v>
      </c>
      <c r="D932" s="63" t="s">
        <v>539</v>
      </c>
      <c r="E932" s="64">
        <v>0.0</v>
      </c>
      <c r="F932" s="65">
        <f t="shared" si="1"/>
        <v>50</v>
      </c>
      <c r="G932" s="66">
        <f>IF(B932&lt;&gt;"",VLOOKUP(B932,Zutaten!$C:$F,4,FALSE),"")*C932</f>
        <v>0.1561015088</v>
      </c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  <c r="AC932" s="67"/>
    </row>
    <row r="933">
      <c r="A933" s="18" t="s">
        <v>204</v>
      </c>
      <c r="B933" s="18" t="s">
        <v>448</v>
      </c>
      <c r="C933" s="68">
        <v>250.0</v>
      </c>
      <c r="D933" s="63" t="s">
        <v>539</v>
      </c>
      <c r="E933" s="64">
        <v>0.0</v>
      </c>
      <c r="F933" s="65">
        <f t="shared" si="1"/>
        <v>250</v>
      </c>
      <c r="G933" s="66">
        <f>IF(B933&lt;&gt;"",VLOOKUP(B933,Zutaten!$C:$F,4,FALSE),"")*C933</f>
        <v>0.7775</v>
      </c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  <c r="AC933" s="67"/>
    </row>
    <row r="934">
      <c r="A934" s="18" t="s">
        <v>204</v>
      </c>
      <c r="B934" s="18" t="s">
        <v>133</v>
      </c>
      <c r="C934" s="68">
        <v>70.0</v>
      </c>
      <c r="D934" s="63" t="s">
        <v>539</v>
      </c>
      <c r="E934" s="64">
        <v>0.0</v>
      </c>
      <c r="F934" s="65">
        <f t="shared" si="1"/>
        <v>70</v>
      </c>
      <c r="G934" s="66">
        <f>IF(B934&lt;&gt;"",VLOOKUP(B934,Zutaten!$C:$F,4,FALSE),"")*C934</f>
        <v>0.198721394</v>
      </c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  <c r="AC934" s="67"/>
    </row>
    <row r="935">
      <c r="A935" s="18" t="s">
        <v>205</v>
      </c>
      <c r="B935" s="18" t="s">
        <v>104</v>
      </c>
      <c r="C935" s="68">
        <v>100.0</v>
      </c>
      <c r="D935" s="63" t="s">
        <v>539</v>
      </c>
      <c r="E935" s="64">
        <v>0.0</v>
      </c>
      <c r="F935" s="65">
        <f t="shared" si="1"/>
        <v>100</v>
      </c>
      <c r="G935" s="66">
        <f>IF(B935&lt;&gt;"",VLOOKUP(B935,Zutaten!$C:$F,4,FALSE),"")*C935</f>
        <v>0.1975</v>
      </c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  <c r="AC935" s="67"/>
    </row>
    <row r="936">
      <c r="A936" s="18" t="s">
        <v>205</v>
      </c>
      <c r="B936" s="60" t="s">
        <v>101</v>
      </c>
      <c r="C936" s="68">
        <v>190.0</v>
      </c>
      <c r="D936" s="63" t="s">
        <v>539</v>
      </c>
      <c r="E936" s="64">
        <v>0.0</v>
      </c>
      <c r="F936" s="65">
        <f t="shared" si="1"/>
        <v>190</v>
      </c>
      <c r="G936" s="66">
        <f>IF(B936&lt;&gt;"",VLOOKUP(B936,Zutaten!$C:$F,4,FALSE),"")*C936</f>
        <v>1.245185478</v>
      </c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  <c r="AC936" s="67"/>
    </row>
    <row r="937">
      <c r="A937" s="18" t="s">
        <v>205</v>
      </c>
      <c r="B937" s="18" t="s">
        <v>448</v>
      </c>
      <c r="C937" s="68">
        <v>155.0</v>
      </c>
      <c r="D937" s="63" t="s">
        <v>539</v>
      </c>
      <c r="E937" s="64">
        <v>0.0</v>
      </c>
      <c r="F937" s="65">
        <f t="shared" si="1"/>
        <v>155</v>
      </c>
      <c r="G937" s="66">
        <f>IF(B937&lt;&gt;"",VLOOKUP(B937,Zutaten!$C:$F,4,FALSE),"")*C937</f>
        <v>0.48205</v>
      </c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  <c r="AC937" s="67"/>
    </row>
    <row r="938">
      <c r="A938" s="18" t="s">
        <v>205</v>
      </c>
      <c r="B938" s="18" t="s">
        <v>505</v>
      </c>
      <c r="C938" s="68">
        <v>20.0</v>
      </c>
      <c r="D938" s="63" t="s">
        <v>539</v>
      </c>
      <c r="E938" s="64">
        <v>0.0</v>
      </c>
      <c r="F938" s="65">
        <f t="shared" si="1"/>
        <v>20</v>
      </c>
      <c r="G938" s="66">
        <f>IF(B938&lt;&gt;"",VLOOKUP(B938,Zutaten!$C:$F,4,FALSE),"")*C938</f>
        <v>0.057</v>
      </c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  <c r="AC938" s="67"/>
    </row>
    <row r="939">
      <c r="A939" s="18" t="s">
        <v>205</v>
      </c>
      <c r="B939" s="18" t="s">
        <v>133</v>
      </c>
      <c r="C939" s="68">
        <v>70.0</v>
      </c>
      <c r="D939" s="63" t="s">
        <v>539</v>
      </c>
      <c r="E939" s="64">
        <v>0.0</v>
      </c>
      <c r="F939" s="65">
        <f t="shared" si="1"/>
        <v>70</v>
      </c>
      <c r="G939" s="66">
        <f>IF(B939&lt;&gt;"",VLOOKUP(B939,Zutaten!$C:$F,4,FALSE),"")*C939</f>
        <v>0.198721394</v>
      </c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  <c r="AC939" s="67"/>
    </row>
    <row r="940">
      <c r="A940" s="63" t="s">
        <v>206</v>
      </c>
      <c r="B940" s="63" t="s">
        <v>293</v>
      </c>
      <c r="C940" s="63">
        <v>2500.0</v>
      </c>
      <c r="D940" s="63" t="s">
        <v>539</v>
      </c>
      <c r="E940" s="64">
        <v>0.0</v>
      </c>
      <c r="F940" s="65">
        <f t="shared" si="1"/>
        <v>2500</v>
      </c>
      <c r="G940" s="66">
        <f>IF(B940&lt;&gt;"",VLOOKUP(B940,Zutaten!$C:$F,4,FALSE),"")*C940</f>
        <v>4.6</v>
      </c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  <c r="AC940" s="67"/>
    </row>
    <row r="941">
      <c r="A941" s="63" t="s">
        <v>206</v>
      </c>
      <c r="B941" s="63" t="s">
        <v>292</v>
      </c>
      <c r="C941" s="63">
        <v>1000.0</v>
      </c>
      <c r="D941" s="63" t="s">
        <v>540</v>
      </c>
      <c r="E941" s="64">
        <v>0.0</v>
      </c>
      <c r="F941" s="65">
        <f t="shared" si="1"/>
        <v>1000</v>
      </c>
      <c r="G941" s="66">
        <f>IF(B941&lt;&gt;"",VLOOKUP(B941,Zutaten!$C:$F,4,FALSE),"")*C941</f>
        <v>1.69</v>
      </c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  <c r="AC941" s="67"/>
    </row>
    <row r="942">
      <c r="A942" s="63" t="s">
        <v>206</v>
      </c>
      <c r="B942" s="63" t="s">
        <v>445</v>
      </c>
      <c r="C942" s="63">
        <v>1000.0</v>
      </c>
      <c r="D942" s="63" t="s">
        <v>539</v>
      </c>
      <c r="E942" s="64">
        <v>0.0</v>
      </c>
      <c r="F942" s="65">
        <f t="shared" si="1"/>
        <v>1000</v>
      </c>
      <c r="G942" s="66">
        <f>IF(B942&lt;&gt;"",VLOOKUP(B942,Zutaten!$C:$F,4,FALSE),"")*C942</f>
        <v>4.466666667</v>
      </c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  <c r="AC942" s="67"/>
    </row>
    <row r="943">
      <c r="A943" s="63" t="s">
        <v>206</v>
      </c>
      <c r="B943" s="63" t="s">
        <v>434</v>
      </c>
      <c r="C943" s="63">
        <v>200.0</v>
      </c>
      <c r="D943" s="63" t="s">
        <v>539</v>
      </c>
      <c r="E943" s="64">
        <v>0.0</v>
      </c>
      <c r="F943" s="65">
        <f t="shared" si="1"/>
        <v>200</v>
      </c>
      <c r="G943" s="66">
        <f>IF(B943&lt;&gt;"",VLOOKUP(B943,Zutaten!$C:$F,4,FALSE),"")*C943</f>
        <v>5.77037037</v>
      </c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  <c r="AC943" s="67"/>
    </row>
    <row r="944">
      <c r="A944" s="63" t="s">
        <v>206</v>
      </c>
      <c r="B944" s="63" t="s">
        <v>437</v>
      </c>
      <c r="C944" s="63">
        <v>1000.0</v>
      </c>
      <c r="D944" s="63" t="s">
        <v>539</v>
      </c>
      <c r="E944" s="64">
        <v>0.0</v>
      </c>
      <c r="F944" s="65">
        <f t="shared" si="1"/>
        <v>1000</v>
      </c>
      <c r="G944" s="66">
        <f>IF(B944&lt;&gt;"",VLOOKUP(B944,Zutaten!$C:$F,4,FALSE),"")*C944</f>
        <v>17.3</v>
      </c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  <c r="AC944" s="67"/>
    </row>
    <row r="945">
      <c r="A945" s="63" t="s">
        <v>206</v>
      </c>
      <c r="B945" s="63" t="s">
        <v>480</v>
      </c>
      <c r="C945" s="63">
        <v>25000.0</v>
      </c>
      <c r="D945" s="63" t="s">
        <v>539</v>
      </c>
      <c r="E945" s="64">
        <v>0.3</v>
      </c>
      <c r="F945" s="65">
        <f t="shared" si="1"/>
        <v>17500</v>
      </c>
      <c r="G945" s="66">
        <f>IF(B945&lt;&gt;"",VLOOKUP(B945,Zutaten!$C:$F,4,FALSE),"")*C945</f>
        <v>147.25</v>
      </c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  <c r="AC945" s="67"/>
    </row>
    <row r="946">
      <c r="A946" s="61" t="s">
        <v>207</v>
      </c>
      <c r="B946" s="61" t="s">
        <v>133</v>
      </c>
      <c r="C946" s="62">
        <v>680.0</v>
      </c>
      <c r="D946" s="63" t="s">
        <v>539</v>
      </c>
      <c r="E946" s="64">
        <v>0.0</v>
      </c>
      <c r="F946" s="65">
        <f t="shared" si="1"/>
        <v>680</v>
      </c>
      <c r="G946" s="66">
        <f>IF(B946&lt;&gt;"",VLOOKUP(B946,Zutaten!$C:$F,4,FALSE),"")*C946</f>
        <v>1.930436399</v>
      </c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  <c r="AC946" s="67"/>
    </row>
    <row r="947">
      <c r="A947" s="61" t="s">
        <v>207</v>
      </c>
      <c r="B947" s="61" t="s">
        <v>485</v>
      </c>
      <c r="C947" s="62">
        <v>23.0</v>
      </c>
      <c r="D947" s="63" t="s">
        <v>539</v>
      </c>
      <c r="E947" s="64">
        <v>0.0</v>
      </c>
      <c r="F947" s="65">
        <f t="shared" si="1"/>
        <v>23</v>
      </c>
      <c r="G947" s="66">
        <f>IF(B947&lt;&gt;"",VLOOKUP(B947,Zutaten!$C:$F,4,FALSE),"")*C947</f>
        <v>0.12397</v>
      </c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  <c r="AC947" s="67"/>
    </row>
    <row r="948">
      <c r="A948" s="61" t="s">
        <v>207</v>
      </c>
      <c r="B948" s="61" t="s">
        <v>388</v>
      </c>
      <c r="C948" s="62">
        <v>10.0</v>
      </c>
      <c r="D948" s="63" t="s">
        <v>539</v>
      </c>
      <c r="E948" s="64">
        <v>0.0</v>
      </c>
      <c r="F948" s="65">
        <f t="shared" si="1"/>
        <v>10</v>
      </c>
      <c r="G948" s="66">
        <f>IF(B948&lt;&gt;"",VLOOKUP(B948,Zutaten!$C:$F,4,FALSE),"")*C948</f>
        <v>0.1862</v>
      </c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  <c r="AC948" s="67"/>
    </row>
    <row r="949">
      <c r="A949" s="18" t="s">
        <v>208</v>
      </c>
      <c r="B949" s="18" t="s">
        <v>511</v>
      </c>
      <c r="C949" s="68">
        <v>200.0</v>
      </c>
      <c r="D949" s="63" t="s">
        <v>539</v>
      </c>
      <c r="E949" s="64">
        <v>0.0</v>
      </c>
      <c r="F949" s="65">
        <f t="shared" si="1"/>
        <v>200</v>
      </c>
      <c r="G949" s="66">
        <f>IF(B949&lt;&gt;"",VLOOKUP(B949,Zutaten!$C:$F,4,FALSE),"")*C949</f>
        <v>0.238</v>
      </c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  <c r="AC949" s="67"/>
    </row>
    <row r="950">
      <c r="A950" s="18" t="s">
        <v>208</v>
      </c>
      <c r="B950" s="18" t="s">
        <v>226</v>
      </c>
      <c r="C950" s="68">
        <v>150.0</v>
      </c>
      <c r="D950" s="63" t="s">
        <v>539</v>
      </c>
      <c r="E950" s="64">
        <v>0.0</v>
      </c>
      <c r="F950" s="65">
        <f t="shared" si="1"/>
        <v>150</v>
      </c>
      <c r="G950" s="66">
        <f>IF(B950&lt;&gt;"",VLOOKUP(B950,Zutaten!$C:$F,4,FALSE),"")*C950</f>
        <v>0.355125</v>
      </c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  <c r="AC950" s="67"/>
    </row>
    <row r="951">
      <c r="A951" s="18" t="s">
        <v>208</v>
      </c>
      <c r="B951" s="18" t="s">
        <v>466</v>
      </c>
      <c r="C951" s="68">
        <v>30.0</v>
      </c>
      <c r="D951" s="63" t="s">
        <v>539</v>
      </c>
      <c r="E951" s="64">
        <v>0.0</v>
      </c>
      <c r="F951" s="65">
        <f t="shared" si="1"/>
        <v>30</v>
      </c>
      <c r="G951" s="66">
        <f>IF(B951&lt;&gt;"",VLOOKUP(B951,Zutaten!$C:$F,4,FALSE),"")*C951</f>
        <v>0.1329</v>
      </c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  <c r="AC951" s="67"/>
    </row>
    <row r="952">
      <c r="A952" s="18" t="s">
        <v>208</v>
      </c>
      <c r="B952" s="18" t="s">
        <v>242</v>
      </c>
      <c r="C952" s="68">
        <v>30.0</v>
      </c>
      <c r="D952" s="63" t="s">
        <v>539</v>
      </c>
      <c r="E952" s="64">
        <v>0.0</v>
      </c>
      <c r="F952" s="65">
        <f t="shared" si="1"/>
        <v>30</v>
      </c>
      <c r="G952" s="66">
        <f>IF(B952&lt;&gt;"",VLOOKUP(B952,Zutaten!$C:$F,4,FALSE),"")*C952</f>
        <v>0.1191428571</v>
      </c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  <c r="AC952" s="67"/>
    </row>
    <row r="953">
      <c r="A953" s="18" t="s">
        <v>208</v>
      </c>
      <c r="B953" s="13" t="s">
        <v>489</v>
      </c>
      <c r="C953" s="68">
        <v>20.0</v>
      </c>
      <c r="D953" s="63" t="s">
        <v>539</v>
      </c>
      <c r="E953" s="64">
        <v>0.0</v>
      </c>
      <c r="F953" s="65">
        <f t="shared" si="1"/>
        <v>20</v>
      </c>
      <c r="G953" s="66">
        <f>IF(B953&lt;&gt;"",VLOOKUP(B953,Zutaten!$C:$F,4,FALSE),"")*C953</f>
        <v>0.353</v>
      </c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  <c r="AC953" s="67"/>
    </row>
    <row r="954">
      <c r="A954" s="18" t="s">
        <v>208</v>
      </c>
      <c r="B954" s="18" t="s">
        <v>305</v>
      </c>
      <c r="C954" s="68">
        <v>18.0</v>
      </c>
      <c r="D954" s="63" t="s">
        <v>539</v>
      </c>
      <c r="E954" s="64">
        <v>0.0</v>
      </c>
      <c r="F954" s="65">
        <f t="shared" si="1"/>
        <v>18</v>
      </c>
      <c r="G954" s="66">
        <f>IF(B954&lt;&gt;"",VLOOKUP(B954,Zutaten!$C:$F,4,FALSE),"")*C954</f>
        <v>0.324</v>
      </c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  <c r="AC954" s="67"/>
    </row>
    <row r="955">
      <c r="A955" s="63" t="s">
        <v>209</v>
      </c>
      <c r="B955" s="63" t="s">
        <v>133</v>
      </c>
      <c r="C955" s="63">
        <v>1000.0</v>
      </c>
      <c r="D955" s="63" t="s">
        <v>539</v>
      </c>
      <c r="E955" s="64">
        <v>0.0</v>
      </c>
      <c r="F955" s="65">
        <f t="shared" si="1"/>
        <v>1000</v>
      </c>
      <c r="G955" s="66">
        <f>IF(B955&lt;&gt;"",VLOOKUP(B955,Zutaten!$C:$F,4,FALSE),"")*C955</f>
        <v>2.838877057</v>
      </c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  <c r="AC955" s="67"/>
    </row>
    <row r="956">
      <c r="A956" s="63" t="s">
        <v>209</v>
      </c>
      <c r="B956" s="63" t="s">
        <v>380</v>
      </c>
      <c r="C956" s="63">
        <v>17.0</v>
      </c>
      <c r="D956" s="63" t="s">
        <v>539</v>
      </c>
      <c r="E956" s="64">
        <v>0.0</v>
      </c>
      <c r="F956" s="65">
        <f t="shared" si="1"/>
        <v>17</v>
      </c>
      <c r="G956" s="66">
        <f>IF(B956&lt;&gt;"",VLOOKUP(B956,Zutaten!$C:$F,4,FALSE),"")*C956</f>
        <v>0.0704</v>
      </c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  <c r="AC956" s="67"/>
    </row>
    <row r="957">
      <c r="A957" s="63" t="s">
        <v>209</v>
      </c>
      <c r="B957" s="63" t="s">
        <v>442</v>
      </c>
      <c r="C957" s="63">
        <v>1.0</v>
      </c>
      <c r="D957" s="63" t="s">
        <v>539</v>
      </c>
      <c r="E957" s="64">
        <v>0.0</v>
      </c>
      <c r="F957" s="65">
        <f t="shared" si="1"/>
        <v>1</v>
      </c>
      <c r="G957" s="66">
        <f>IF(B957&lt;&gt;"",VLOOKUP(B957,Zutaten!$C:$F,4,FALSE),"")*C957</f>
        <v>0.0324</v>
      </c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  <c r="AC957" s="67"/>
    </row>
    <row r="958">
      <c r="A958" s="60" t="s">
        <v>210</v>
      </c>
      <c r="B958" s="61" t="s">
        <v>455</v>
      </c>
      <c r="C958" s="62">
        <v>4000.0</v>
      </c>
      <c r="D958" s="63" t="s">
        <v>540</v>
      </c>
      <c r="E958" s="64">
        <v>0.0</v>
      </c>
      <c r="F958" s="65">
        <f t="shared" si="1"/>
        <v>4000</v>
      </c>
      <c r="G958" s="66">
        <f>IF(B958&lt;&gt;"",VLOOKUP(B958,Zutaten!$C:$F,4,FALSE),"")*C958</f>
        <v>7.96</v>
      </c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  <c r="AC958" s="67"/>
    </row>
    <row r="959">
      <c r="A959" s="60" t="s">
        <v>210</v>
      </c>
      <c r="B959" s="61" t="s">
        <v>510</v>
      </c>
      <c r="C959" s="62">
        <v>1000.0</v>
      </c>
      <c r="D959" s="63" t="s">
        <v>540</v>
      </c>
      <c r="E959" s="64">
        <v>0.0</v>
      </c>
      <c r="F959" s="65">
        <f t="shared" si="1"/>
        <v>1000</v>
      </c>
      <c r="G959" s="66">
        <f>IF(B959&lt;&gt;"",VLOOKUP(B959,Zutaten!$C:$F,4,FALSE),"")*C959</f>
        <v>4.64</v>
      </c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  <c r="AC959" s="67"/>
    </row>
    <row r="960">
      <c r="A960" s="60" t="s">
        <v>210</v>
      </c>
      <c r="B960" s="61" t="s">
        <v>467</v>
      </c>
      <c r="C960" s="62">
        <v>25.0</v>
      </c>
      <c r="D960" s="63" t="s">
        <v>539</v>
      </c>
      <c r="E960" s="64">
        <v>0.0</v>
      </c>
      <c r="F960" s="65">
        <f t="shared" si="1"/>
        <v>25</v>
      </c>
      <c r="G960" s="66">
        <f>IF(B960&lt;&gt;"",VLOOKUP(B960,Zutaten!$C:$F,4,FALSE),"")*C960</f>
        <v>0.0092</v>
      </c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  <c r="AC960" s="67"/>
    </row>
    <row r="961">
      <c r="A961" s="60" t="s">
        <v>210</v>
      </c>
      <c r="B961" s="61" t="s">
        <v>528</v>
      </c>
      <c r="C961" s="62">
        <v>50.0</v>
      </c>
      <c r="D961" s="63" t="s">
        <v>539</v>
      </c>
      <c r="E961" s="64">
        <v>0.0</v>
      </c>
      <c r="F961" s="65">
        <f t="shared" si="1"/>
        <v>50</v>
      </c>
      <c r="G961" s="66">
        <f>IF(B961&lt;&gt;"",VLOOKUP(B961,Zutaten!$C:$F,4,FALSE),"")*C961</f>
        <v>0.072</v>
      </c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  <c r="AC961" s="67"/>
    </row>
    <row r="962">
      <c r="A962" s="60" t="s">
        <v>210</v>
      </c>
      <c r="B962" s="61" t="s">
        <v>351</v>
      </c>
      <c r="C962" s="62">
        <v>100.0</v>
      </c>
      <c r="D962" s="63" t="s">
        <v>540</v>
      </c>
      <c r="E962" s="64">
        <v>0.0</v>
      </c>
      <c r="F962" s="65">
        <f t="shared" si="1"/>
        <v>100</v>
      </c>
      <c r="G962" s="66">
        <f>IF(B962&lt;&gt;"",VLOOKUP(B962,Zutaten!$C:$F,4,FALSE),"")*C962</f>
        <v>0.071</v>
      </c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  <c r="AC962" s="67"/>
    </row>
    <row r="963">
      <c r="A963" s="60" t="s">
        <v>210</v>
      </c>
      <c r="B963" s="61" t="s">
        <v>406</v>
      </c>
      <c r="C963" s="62">
        <v>288.0</v>
      </c>
      <c r="D963" s="63" t="s">
        <v>540</v>
      </c>
      <c r="E963" s="64">
        <v>0.0</v>
      </c>
      <c r="F963" s="65">
        <f t="shared" si="1"/>
        <v>288</v>
      </c>
      <c r="G963" s="66">
        <f>IF(B963&lt;&gt;"",VLOOKUP(B963,Zutaten!$C:$F,4,FALSE),"")*C963</f>
        <v>11.57837838</v>
      </c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  <c r="AC963" s="67"/>
    </row>
    <row r="964">
      <c r="A964" s="60" t="s">
        <v>210</v>
      </c>
      <c r="B964" s="61" t="s">
        <v>393</v>
      </c>
      <c r="C964" s="62">
        <v>200.0</v>
      </c>
      <c r="D964" s="63" t="s">
        <v>539</v>
      </c>
      <c r="E964" s="64">
        <v>0.0</v>
      </c>
      <c r="F964" s="65">
        <f t="shared" si="1"/>
        <v>200</v>
      </c>
      <c r="G964" s="66">
        <f>IF(B964&lt;&gt;"",VLOOKUP(B964,Zutaten!$C:$F,4,FALSE),"")*C964</f>
        <v>4.255172414</v>
      </c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  <c r="AC964" s="67"/>
    </row>
    <row r="965">
      <c r="A965" s="60" t="s">
        <v>210</v>
      </c>
      <c r="B965" s="61" t="s">
        <v>322</v>
      </c>
      <c r="C965" s="62">
        <v>250.0</v>
      </c>
      <c r="D965" s="63" t="s">
        <v>539</v>
      </c>
      <c r="E965" s="64">
        <v>0.0</v>
      </c>
      <c r="F965" s="65">
        <f t="shared" si="1"/>
        <v>250</v>
      </c>
      <c r="G965" s="66">
        <f>IF(B965&lt;&gt;"",VLOOKUP(B965,Zutaten!$C:$F,4,FALSE),"")*C965</f>
        <v>2.197058824</v>
      </c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  <c r="AC965" s="67"/>
    </row>
    <row r="966">
      <c r="A966" s="60" t="s">
        <v>210</v>
      </c>
      <c r="B966" s="61" t="s">
        <v>434</v>
      </c>
      <c r="C966" s="62">
        <v>50.0</v>
      </c>
      <c r="D966" s="63" t="s">
        <v>539</v>
      </c>
      <c r="E966" s="64">
        <v>0.0</v>
      </c>
      <c r="F966" s="65">
        <f t="shared" si="1"/>
        <v>50</v>
      </c>
      <c r="G966" s="66">
        <f>IF(B966&lt;&gt;"",VLOOKUP(B966,Zutaten!$C:$F,4,FALSE),"")*C966</f>
        <v>1.442592593</v>
      </c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  <c r="AC966" s="67"/>
    </row>
    <row r="967">
      <c r="A967" s="60" t="s">
        <v>210</v>
      </c>
      <c r="B967" s="61" t="s">
        <v>442</v>
      </c>
      <c r="C967" s="62">
        <v>20.0</v>
      </c>
      <c r="D967" s="63" t="s">
        <v>539</v>
      </c>
      <c r="E967" s="64">
        <v>0.0</v>
      </c>
      <c r="F967" s="65">
        <f t="shared" si="1"/>
        <v>20</v>
      </c>
      <c r="G967" s="66">
        <f>IF(B967&lt;&gt;"",VLOOKUP(B967,Zutaten!$C:$F,4,FALSE),"")*C967</f>
        <v>0.648</v>
      </c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  <c r="AC967" s="67"/>
    </row>
    <row r="968">
      <c r="A968" s="18" t="s">
        <v>211</v>
      </c>
      <c r="B968" s="63" t="s">
        <v>206</v>
      </c>
      <c r="C968" s="68">
        <v>510.0</v>
      </c>
      <c r="D968" s="63" t="s">
        <v>539</v>
      </c>
      <c r="E968" s="64">
        <v>0.0</v>
      </c>
      <c r="F968" s="65">
        <f t="shared" si="1"/>
        <v>510</v>
      </c>
      <c r="G968" s="66">
        <f>IF(B968&lt;&gt;"",VLOOKUP(B968,Zutaten!$C:$F,4,FALSE),"")*C968</f>
        <v>3.980572797</v>
      </c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  <c r="AC968" s="67"/>
    </row>
    <row r="969">
      <c r="A969" s="18" t="s">
        <v>211</v>
      </c>
      <c r="B969" s="18" t="s">
        <v>380</v>
      </c>
      <c r="C969" s="68">
        <v>45.0</v>
      </c>
      <c r="D969" s="63" t="s">
        <v>539</v>
      </c>
      <c r="E969" s="64">
        <v>0.0</v>
      </c>
      <c r="F969" s="65">
        <f t="shared" si="1"/>
        <v>45</v>
      </c>
      <c r="G969" s="66">
        <f>IF(B969&lt;&gt;"",VLOOKUP(B969,Zutaten!$C:$F,4,FALSE),"")*C969</f>
        <v>0.1863529412</v>
      </c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  <c r="AC969" s="67"/>
    </row>
    <row r="970">
      <c r="A970" s="18" t="s">
        <v>211</v>
      </c>
      <c r="B970" s="61" t="s">
        <v>25</v>
      </c>
      <c r="C970" s="68">
        <v>150.0</v>
      </c>
      <c r="D970" s="63" t="s">
        <v>539</v>
      </c>
      <c r="E970" s="64">
        <v>0.0</v>
      </c>
      <c r="F970" s="65">
        <f t="shared" si="1"/>
        <v>150</v>
      </c>
      <c r="G970" s="66">
        <f>IF(B970&lt;&gt;"",VLOOKUP(B970,Zutaten!$C:$F,4,FALSE),"")*C970</f>
        <v>1.117501114</v>
      </c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  <c r="AC970" s="67"/>
    </row>
    <row r="971">
      <c r="A971" s="18" t="s">
        <v>211</v>
      </c>
      <c r="B971" s="18" t="s">
        <v>210</v>
      </c>
      <c r="C971" s="68">
        <v>50.0</v>
      </c>
      <c r="D971" s="63" t="s">
        <v>539</v>
      </c>
      <c r="E971" s="64">
        <v>0.0</v>
      </c>
      <c r="F971" s="65">
        <f t="shared" si="1"/>
        <v>50</v>
      </c>
      <c r="G971" s="66">
        <f>IF(B971&lt;&gt;"",VLOOKUP(B971,Zutaten!$C:$F,4,FALSE),"")*C971</f>
        <v>0.2747234014</v>
      </c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  <c r="AC971" s="67"/>
    </row>
    <row r="972">
      <c r="A972" s="18" t="s">
        <v>211</v>
      </c>
      <c r="B972" s="18" t="s">
        <v>448</v>
      </c>
      <c r="C972" s="68">
        <v>250.0</v>
      </c>
      <c r="D972" s="63" t="s">
        <v>539</v>
      </c>
      <c r="E972" s="64">
        <v>0.0</v>
      </c>
      <c r="F972" s="65">
        <f t="shared" si="1"/>
        <v>250</v>
      </c>
      <c r="G972" s="66">
        <f>IF(B972&lt;&gt;"",VLOOKUP(B972,Zutaten!$C:$F,4,FALSE),"")*C972</f>
        <v>0.7775</v>
      </c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  <c r="AC972" s="67"/>
    </row>
    <row r="973">
      <c r="A973" s="18" t="s">
        <v>211</v>
      </c>
      <c r="B973" s="18" t="s">
        <v>50</v>
      </c>
      <c r="C973" s="68">
        <v>60.0</v>
      </c>
      <c r="D973" s="63" t="s">
        <v>539</v>
      </c>
      <c r="E973" s="64">
        <v>0.0</v>
      </c>
      <c r="F973" s="65">
        <f t="shared" si="1"/>
        <v>60</v>
      </c>
      <c r="G973" s="66">
        <f>IF(B973&lt;&gt;"",VLOOKUP(B973,Zutaten!$C:$F,4,FALSE),"")*C973</f>
        <v>0.1038092151</v>
      </c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  <c r="AC973" s="67"/>
    </row>
    <row r="974">
      <c r="A974" s="77" t="s">
        <v>212</v>
      </c>
      <c r="B974" s="20" t="s">
        <v>326</v>
      </c>
      <c r="C974" s="68">
        <v>20.0</v>
      </c>
      <c r="D974" s="63" t="s">
        <v>539</v>
      </c>
      <c r="E974" s="64">
        <v>0.0</v>
      </c>
      <c r="F974" s="65">
        <f t="shared" si="1"/>
        <v>20</v>
      </c>
      <c r="G974" s="66">
        <f>IF(B974&lt;&gt;"",VLOOKUP(B974,Zutaten!$C:$F,4,FALSE),"")*C974</f>
        <v>0.26</v>
      </c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  <c r="AC974" s="67"/>
    </row>
    <row r="975">
      <c r="A975" s="18" t="s">
        <v>213</v>
      </c>
      <c r="B975" s="18" t="s">
        <v>349</v>
      </c>
      <c r="C975" s="68">
        <v>45.0</v>
      </c>
      <c r="D975" s="63" t="s">
        <v>539</v>
      </c>
      <c r="E975" s="64">
        <v>0.0</v>
      </c>
      <c r="F975" s="65">
        <f t="shared" si="1"/>
        <v>45</v>
      </c>
      <c r="G975" s="66">
        <f>IF(B975&lt;&gt;"",VLOOKUP(B975,Zutaten!$C:$F,4,FALSE),"")*C975</f>
        <v>0.36</v>
      </c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  <c r="AC975" s="67"/>
    </row>
    <row r="976">
      <c r="A976" s="77" t="s">
        <v>214</v>
      </c>
      <c r="B976" s="18" t="s">
        <v>116</v>
      </c>
      <c r="C976" s="68">
        <v>20.0</v>
      </c>
      <c r="D976" s="63" t="s">
        <v>539</v>
      </c>
      <c r="E976" s="64">
        <v>0.0</v>
      </c>
      <c r="F976" s="65">
        <f t="shared" si="1"/>
        <v>20</v>
      </c>
      <c r="G976" s="66">
        <f>IF(B976&lt;&gt;"",VLOOKUP(B976,Zutaten!$C:$F,4,FALSE),"")*C976</f>
        <v>0.0798</v>
      </c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  <c r="AC976" s="67"/>
    </row>
    <row r="977">
      <c r="A977" s="77" t="s">
        <v>215</v>
      </c>
      <c r="B977" s="18" t="s">
        <v>364</v>
      </c>
      <c r="C977" s="68">
        <v>20.0</v>
      </c>
      <c r="D977" s="63" t="s">
        <v>539</v>
      </c>
      <c r="E977" s="64">
        <v>0.0</v>
      </c>
      <c r="F977" s="65">
        <f t="shared" si="1"/>
        <v>20</v>
      </c>
      <c r="G977" s="66">
        <f>IF(B977&lt;&gt;"",VLOOKUP(B977,Zutaten!$C:$F,4,FALSE),"")*C977</f>
        <v>0.08319327731</v>
      </c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  <c r="AC977" s="67"/>
    </row>
    <row r="978">
      <c r="A978" s="18" t="s">
        <v>216</v>
      </c>
      <c r="B978" s="18" t="s">
        <v>360</v>
      </c>
      <c r="C978" s="68">
        <v>20.0</v>
      </c>
      <c r="D978" s="63" t="s">
        <v>539</v>
      </c>
      <c r="E978" s="64">
        <v>0.0</v>
      </c>
      <c r="F978" s="65">
        <f t="shared" si="1"/>
        <v>20</v>
      </c>
      <c r="G978" s="66">
        <f>IF(B978&lt;&gt;"",VLOOKUP(B978,Zutaten!$C:$F,4,FALSE),"")*C978</f>
        <v>0.2144578313</v>
      </c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  <c r="AC978" s="67"/>
    </row>
    <row r="979">
      <c r="A979" s="18" t="s">
        <v>217</v>
      </c>
      <c r="B979" s="18" t="s">
        <v>371</v>
      </c>
      <c r="C979" s="68">
        <v>20.0</v>
      </c>
      <c r="D979" s="63" t="s">
        <v>539</v>
      </c>
      <c r="E979" s="64">
        <v>0.0</v>
      </c>
      <c r="F979" s="65">
        <f t="shared" si="1"/>
        <v>20</v>
      </c>
      <c r="G979" s="66">
        <f>IF(B979&lt;&gt;"",VLOOKUP(B979,Zutaten!$C:$F,4,FALSE),"")*C979</f>
        <v>1.218</v>
      </c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  <c r="AC979" s="67"/>
    </row>
    <row r="980">
      <c r="A980" s="18" t="s">
        <v>218</v>
      </c>
      <c r="B980" s="18" t="s">
        <v>372</v>
      </c>
      <c r="C980" s="68">
        <v>20.0</v>
      </c>
      <c r="D980" s="63" t="s">
        <v>539</v>
      </c>
      <c r="E980" s="64">
        <v>0.0</v>
      </c>
      <c r="F980" s="65">
        <f t="shared" si="1"/>
        <v>20</v>
      </c>
      <c r="G980" s="66">
        <f>IF(B980&lt;&gt;"",VLOOKUP(B980,Zutaten!$C:$F,4,FALSE),"")*C980</f>
        <v>0.4688</v>
      </c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  <c r="AC980" s="67"/>
    </row>
    <row r="981">
      <c r="A981" s="18" t="s">
        <v>219</v>
      </c>
      <c r="B981" s="18" t="s">
        <v>373</v>
      </c>
      <c r="C981" s="68">
        <v>30.0</v>
      </c>
      <c r="D981" s="63" t="s">
        <v>539</v>
      </c>
      <c r="E981" s="64">
        <v>0.0</v>
      </c>
      <c r="F981" s="65">
        <f t="shared" si="1"/>
        <v>30</v>
      </c>
      <c r="G981" s="66">
        <f>IF(B981&lt;&gt;"",VLOOKUP(B981,Zutaten!$C:$F,4,FALSE),"")*C981</f>
        <v>0.48</v>
      </c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  <c r="AC981" s="67"/>
    </row>
    <row r="982">
      <c r="A982" s="77" t="s">
        <v>220</v>
      </c>
      <c r="B982" s="18" t="s">
        <v>391</v>
      </c>
      <c r="C982" s="68">
        <v>20.0</v>
      </c>
      <c r="D982" s="63" t="s">
        <v>539</v>
      </c>
      <c r="E982" s="64">
        <v>0.0</v>
      </c>
      <c r="F982" s="65">
        <f t="shared" si="1"/>
        <v>20</v>
      </c>
      <c r="G982" s="66">
        <f>IF(B982&lt;&gt;"",VLOOKUP(B982,Zutaten!$C:$F,4,FALSE),"")*C982</f>
        <v>0.2670658683</v>
      </c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  <c r="AC982" s="67"/>
    </row>
    <row r="983">
      <c r="A983" s="18" t="s">
        <v>221</v>
      </c>
      <c r="B983" s="18" t="s">
        <v>418</v>
      </c>
      <c r="C983" s="68">
        <v>10.0</v>
      </c>
      <c r="D983" s="63" t="s">
        <v>539</v>
      </c>
      <c r="E983" s="64">
        <v>0.0</v>
      </c>
      <c r="F983" s="65">
        <f t="shared" si="1"/>
        <v>10</v>
      </c>
      <c r="G983" s="66">
        <f>IF(B983&lt;&gt;"",VLOOKUP(B983,Zutaten!$C:$F,4,FALSE),"")*C983</f>
        <v>0.128</v>
      </c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  <c r="AC983" s="67"/>
    </row>
    <row r="984">
      <c r="A984" s="77" t="s">
        <v>222</v>
      </c>
      <c r="B984" s="18" t="s">
        <v>432</v>
      </c>
      <c r="C984" s="68">
        <v>20.0</v>
      </c>
      <c r="D984" s="63" t="s">
        <v>539</v>
      </c>
      <c r="E984" s="64">
        <v>0.0</v>
      </c>
      <c r="F984" s="65">
        <f t="shared" si="1"/>
        <v>20</v>
      </c>
      <c r="G984" s="66">
        <f>IF(B984&lt;&gt;"",VLOOKUP(B984,Zutaten!$C:$F,4,FALSE),"")*C984</f>
        <v>0.2204545455</v>
      </c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  <c r="AC984" s="67"/>
    </row>
    <row r="985">
      <c r="A985" s="18" t="s">
        <v>223</v>
      </c>
      <c r="B985" s="18" t="s">
        <v>474</v>
      </c>
      <c r="C985" s="68">
        <v>20.0</v>
      </c>
      <c r="D985" s="63" t="s">
        <v>539</v>
      </c>
      <c r="E985" s="64">
        <v>0.0</v>
      </c>
      <c r="F985" s="65">
        <f t="shared" si="1"/>
        <v>20</v>
      </c>
      <c r="G985" s="66">
        <f>IF(B985&lt;&gt;"",VLOOKUP(B985,Zutaten!$C:$F,4,FALSE),"")*C985</f>
        <v>0.1853333333</v>
      </c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  <c r="AC985" s="67"/>
    </row>
    <row r="986">
      <c r="A986" s="77" t="s">
        <v>224</v>
      </c>
      <c r="B986" s="18" t="s">
        <v>501</v>
      </c>
      <c r="C986" s="68">
        <v>20.0</v>
      </c>
      <c r="D986" s="63" t="s">
        <v>539</v>
      </c>
      <c r="E986" s="64">
        <v>0.0</v>
      </c>
      <c r="F986" s="65">
        <f t="shared" si="1"/>
        <v>20</v>
      </c>
      <c r="G986" s="66">
        <f>IF(B986&lt;&gt;"",VLOOKUP(B986,Zutaten!$C:$F,4,FALSE),"")*C986</f>
        <v>0.277</v>
      </c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  <c r="AC986" s="67"/>
    </row>
    <row r="987">
      <c r="A987" s="18" t="s">
        <v>225</v>
      </c>
      <c r="B987" s="18" t="s">
        <v>117</v>
      </c>
      <c r="C987" s="68">
        <v>20.0</v>
      </c>
      <c r="D987" s="63" t="s">
        <v>539</v>
      </c>
      <c r="E987" s="64">
        <v>0.0</v>
      </c>
      <c r="F987" s="65">
        <f t="shared" si="1"/>
        <v>20</v>
      </c>
      <c r="G987" s="66">
        <f>IF(B987&lt;&gt;"",VLOOKUP(B987,Zutaten!$C:$F,4,FALSE),"")*C987</f>
        <v>0.1018</v>
      </c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  <c r="AC987" s="67"/>
    </row>
    <row r="988">
      <c r="A988" s="63" t="s">
        <v>226</v>
      </c>
      <c r="B988" s="13" t="s">
        <v>491</v>
      </c>
      <c r="C988" s="80">
        <v>1000.0</v>
      </c>
      <c r="D988" s="71" t="s">
        <v>539</v>
      </c>
      <c r="E988" s="64">
        <v>0.0</v>
      </c>
      <c r="F988" s="65">
        <f t="shared" si="1"/>
        <v>1000</v>
      </c>
      <c r="G988" s="66">
        <f>IF(B988&lt;&gt;"",VLOOKUP(B988,Zutaten!$C:$F,4,FALSE),"")*C988</f>
        <v>5.9</v>
      </c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  <c r="AC988" s="67"/>
    </row>
    <row r="989">
      <c r="A989" s="63" t="s">
        <v>226</v>
      </c>
      <c r="B989" s="63" t="s">
        <v>511</v>
      </c>
      <c r="C989" s="80">
        <v>3000.0</v>
      </c>
      <c r="D989" s="71" t="s">
        <v>539</v>
      </c>
      <c r="E989" s="64">
        <v>0.0</v>
      </c>
      <c r="F989" s="65">
        <f t="shared" si="1"/>
        <v>3000</v>
      </c>
      <c r="G989" s="66">
        <f>IF(B989&lt;&gt;"",VLOOKUP(B989,Zutaten!$C:$F,4,FALSE),"")*C989</f>
        <v>3.57</v>
      </c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  <c r="AC989" s="67"/>
    </row>
    <row r="990">
      <c r="A990" s="70" t="s">
        <v>227</v>
      </c>
      <c r="B990" s="63" t="s">
        <v>226</v>
      </c>
      <c r="C990" s="68">
        <v>140.0</v>
      </c>
      <c r="D990" s="63" t="s">
        <v>539</v>
      </c>
      <c r="E990" s="64">
        <v>0.0</v>
      </c>
      <c r="F990" s="65">
        <f t="shared" si="1"/>
        <v>140</v>
      </c>
      <c r="G990" s="66">
        <f>IF(B990&lt;&gt;"",VLOOKUP(B990,Zutaten!$C:$F,4,FALSE),"")*C990</f>
        <v>0.33145</v>
      </c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  <c r="AC990" s="67"/>
    </row>
    <row r="991">
      <c r="A991" s="70" t="s">
        <v>227</v>
      </c>
      <c r="B991" s="13" t="s">
        <v>339</v>
      </c>
      <c r="C991" s="68">
        <v>1.0</v>
      </c>
      <c r="D991" s="63" t="s">
        <v>539</v>
      </c>
      <c r="E991" s="64">
        <v>0.0</v>
      </c>
      <c r="F991" s="65">
        <f t="shared" si="1"/>
        <v>1</v>
      </c>
      <c r="G991" s="66">
        <f>IF(B991&lt;&gt;"",VLOOKUP(B991,Zutaten!$C:$F,4,FALSE),"")*C991</f>
        <v>0.0558</v>
      </c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  <c r="AB991" s="67"/>
      <c r="AC991" s="67"/>
    </row>
    <row r="992">
      <c r="A992" s="70" t="s">
        <v>228</v>
      </c>
      <c r="B992" s="71" t="s">
        <v>226</v>
      </c>
      <c r="C992" s="86">
        <v>240.0</v>
      </c>
      <c r="D992" s="63" t="s">
        <v>539</v>
      </c>
      <c r="E992" s="64">
        <v>0.0</v>
      </c>
      <c r="F992" s="65">
        <f t="shared" si="1"/>
        <v>240</v>
      </c>
      <c r="G992" s="66">
        <f>IF(B992&lt;&gt;"",VLOOKUP(B992,Zutaten!$C:$F,4,FALSE),"")*C992</f>
        <v>0.5682</v>
      </c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  <c r="AB992" s="67"/>
      <c r="AC992" s="67"/>
    </row>
    <row r="993">
      <c r="A993" s="70" t="s">
        <v>228</v>
      </c>
      <c r="B993" s="70" t="s">
        <v>341</v>
      </c>
      <c r="C993" s="72">
        <v>1.0</v>
      </c>
      <c r="D993" s="63" t="s">
        <v>539</v>
      </c>
      <c r="E993" s="64">
        <v>0.0</v>
      </c>
      <c r="F993" s="65">
        <f t="shared" si="1"/>
        <v>1</v>
      </c>
      <c r="G993" s="66">
        <f>IF(B993&lt;&gt;"",VLOOKUP(B993,Zutaten!$C:$F,4,FALSE),"")*C993</f>
        <v>0.1990104453</v>
      </c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  <c r="AB993" s="67"/>
      <c r="AC993" s="67"/>
    </row>
    <row r="994">
      <c r="A994" s="60" t="s">
        <v>229</v>
      </c>
      <c r="B994" s="61" t="s">
        <v>328</v>
      </c>
      <c r="C994" s="62">
        <v>1000.0</v>
      </c>
      <c r="D994" s="63" t="s">
        <v>539</v>
      </c>
      <c r="E994" s="64">
        <v>0.0</v>
      </c>
      <c r="F994" s="65">
        <f t="shared" si="1"/>
        <v>1000</v>
      </c>
      <c r="G994" s="66">
        <f>IF(B994&lt;&gt;"",VLOOKUP(B994,Zutaten!$C:$F,4,FALSE),"")*C994</f>
        <v>6.79</v>
      </c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  <c r="AB994" s="67"/>
      <c r="AC994" s="67"/>
    </row>
    <row r="995">
      <c r="A995" s="60" t="s">
        <v>229</v>
      </c>
      <c r="B995" s="61" t="s">
        <v>408</v>
      </c>
      <c r="C995" s="62">
        <v>2000.0</v>
      </c>
      <c r="D995" s="63" t="s">
        <v>539</v>
      </c>
      <c r="E995" s="64">
        <v>0.0</v>
      </c>
      <c r="F995" s="65">
        <f t="shared" si="1"/>
        <v>2000</v>
      </c>
      <c r="G995" s="66">
        <f>IF(B995&lt;&gt;"",VLOOKUP(B995,Zutaten!$C:$F,4,FALSE),"")*C995</f>
        <v>1.144</v>
      </c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  <c r="AB995" s="67"/>
      <c r="AC995" s="67"/>
    </row>
    <row r="996">
      <c r="A996" s="60" t="s">
        <v>229</v>
      </c>
      <c r="B996" s="61" t="s">
        <v>527</v>
      </c>
      <c r="C996" s="62">
        <v>200.0</v>
      </c>
      <c r="D996" s="63" t="s">
        <v>540</v>
      </c>
      <c r="E996" s="64">
        <v>0.0</v>
      </c>
      <c r="F996" s="65">
        <f t="shared" si="1"/>
        <v>200</v>
      </c>
      <c r="G996" s="66">
        <f>IF(B996&lt;&gt;"",VLOOKUP(B996,Zutaten!$C:$F,4,FALSE),"")*C996</f>
        <v>0.48</v>
      </c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  <c r="AA996" s="67"/>
      <c r="AB996" s="67"/>
      <c r="AC996" s="67"/>
    </row>
    <row r="997">
      <c r="A997" s="60" t="s">
        <v>229</v>
      </c>
      <c r="B997" s="61" t="s">
        <v>393</v>
      </c>
      <c r="C997" s="62">
        <v>100.0</v>
      </c>
      <c r="D997" s="63" t="s">
        <v>539</v>
      </c>
      <c r="E997" s="64">
        <v>0.0</v>
      </c>
      <c r="F997" s="65">
        <f t="shared" si="1"/>
        <v>100</v>
      </c>
      <c r="G997" s="66">
        <f>IF(B997&lt;&gt;"",VLOOKUP(B997,Zutaten!$C:$F,4,FALSE),"")*C997</f>
        <v>2.127586207</v>
      </c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  <c r="AA997" s="67"/>
      <c r="AB997" s="67"/>
      <c r="AC997" s="67"/>
    </row>
    <row r="998">
      <c r="A998" s="60" t="s">
        <v>229</v>
      </c>
      <c r="B998" s="61" t="s">
        <v>528</v>
      </c>
      <c r="C998" s="62">
        <v>30.0</v>
      </c>
      <c r="D998" s="63" t="s">
        <v>539</v>
      </c>
      <c r="E998" s="64">
        <v>0.0</v>
      </c>
      <c r="F998" s="65">
        <f t="shared" si="1"/>
        <v>30</v>
      </c>
      <c r="G998" s="66">
        <f>IF(B998&lt;&gt;"",VLOOKUP(B998,Zutaten!$C:$F,4,FALSE),"")*C998</f>
        <v>0.0432</v>
      </c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  <c r="AA998" s="67"/>
      <c r="AB998" s="67"/>
      <c r="AC998" s="67"/>
    </row>
    <row r="999">
      <c r="A999" s="60" t="s">
        <v>229</v>
      </c>
      <c r="B999" s="61" t="s">
        <v>467</v>
      </c>
      <c r="C999" s="62">
        <v>30.0</v>
      </c>
      <c r="D999" s="63" t="s">
        <v>539</v>
      </c>
      <c r="E999" s="64">
        <v>0.0</v>
      </c>
      <c r="F999" s="65">
        <f t="shared" si="1"/>
        <v>30</v>
      </c>
      <c r="G999" s="66">
        <f>IF(B999&lt;&gt;"",VLOOKUP(B999,Zutaten!$C:$F,4,FALSE),"")*C999</f>
        <v>0.01104</v>
      </c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  <c r="AA999" s="67"/>
      <c r="AB999" s="67"/>
      <c r="AC999" s="67"/>
    </row>
    <row r="1000">
      <c r="A1000" s="60" t="s">
        <v>229</v>
      </c>
      <c r="B1000" s="61" t="s">
        <v>442</v>
      </c>
      <c r="C1000" s="62">
        <v>5.0</v>
      </c>
      <c r="D1000" s="63" t="s">
        <v>539</v>
      </c>
      <c r="E1000" s="64">
        <v>0.0</v>
      </c>
      <c r="F1000" s="65">
        <f t="shared" si="1"/>
        <v>5</v>
      </c>
      <c r="G1000" s="66">
        <f>IF(B1000&lt;&gt;"",VLOOKUP(B1000,Zutaten!$C:$F,4,FALSE),"")*C1000</f>
        <v>0.162</v>
      </c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  <c r="AA1000" s="67"/>
      <c r="AB1000" s="67"/>
      <c r="AC1000" s="67"/>
    </row>
    <row r="1001">
      <c r="A1001" s="60" t="s">
        <v>229</v>
      </c>
      <c r="B1001" s="61" t="s">
        <v>471</v>
      </c>
      <c r="C1001" s="62">
        <v>100.0</v>
      </c>
      <c r="D1001" s="63" t="s">
        <v>539</v>
      </c>
      <c r="E1001" s="64">
        <v>0.0</v>
      </c>
      <c r="F1001" s="65">
        <f t="shared" si="1"/>
        <v>100</v>
      </c>
      <c r="G1001" s="66">
        <f>IF(B1001&lt;&gt;"",VLOOKUP(B1001,Zutaten!$C:$F,4,FALSE),"")*C1001</f>
        <v>2.712</v>
      </c>
      <c r="H1001" s="67"/>
      <c r="I1001" s="67"/>
      <c r="J1001" s="67"/>
      <c r="K1001" s="67"/>
      <c r="L1001" s="67"/>
      <c r="M1001" s="67"/>
      <c r="N1001" s="67"/>
      <c r="O1001" s="67"/>
      <c r="P1001" s="67"/>
      <c r="Q1001" s="67"/>
      <c r="R1001" s="67"/>
      <c r="S1001" s="67"/>
      <c r="T1001" s="67"/>
      <c r="U1001" s="67"/>
      <c r="V1001" s="67"/>
      <c r="W1001" s="67"/>
      <c r="X1001" s="67"/>
      <c r="Y1001" s="67"/>
      <c r="Z1001" s="67"/>
      <c r="AA1001" s="67"/>
      <c r="AB1001" s="67"/>
      <c r="AC1001" s="67"/>
    </row>
    <row r="1002">
      <c r="A1002" s="61" t="s">
        <v>230</v>
      </c>
      <c r="B1002" s="61" t="s">
        <v>351</v>
      </c>
      <c r="C1002" s="62">
        <v>2500.0</v>
      </c>
      <c r="D1002" s="63" t="s">
        <v>539</v>
      </c>
      <c r="E1002" s="64">
        <v>0.5</v>
      </c>
      <c r="F1002" s="65">
        <f t="shared" si="1"/>
        <v>1250</v>
      </c>
      <c r="G1002" s="66">
        <f>IF(B1002&lt;&gt;"",VLOOKUP(B1002,Zutaten!$C:$F,4,FALSE),"")*C1002</f>
        <v>1.775</v>
      </c>
      <c r="H1002" s="67"/>
      <c r="I1002" s="67"/>
      <c r="J1002" s="67"/>
      <c r="K1002" s="67"/>
      <c r="L1002" s="67"/>
      <c r="M1002" s="67"/>
      <c r="N1002" s="67"/>
      <c r="O1002" s="67"/>
      <c r="P1002" s="67"/>
      <c r="Q1002" s="67"/>
      <c r="R1002" s="67"/>
      <c r="S1002" s="67"/>
      <c r="T1002" s="67"/>
      <c r="U1002" s="67"/>
      <c r="V1002" s="67"/>
      <c r="W1002" s="67"/>
      <c r="X1002" s="67"/>
      <c r="Y1002" s="67"/>
      <c r="Z1002" s="67"/>
      <c r="AA1002" s="67"/>
      <c r="AB1002" s="67"/>
      <c r="AC1002" s="67"/>
    </row>
    <row r="1003">
      <c r="A1003" s="61" t="s">
        <v>230</v>
      </c>
      <c r="B1003" s="61" t="s">
        <v>392</v>
      </c>
      <c r="C1003" s="62">
        <v>80.0</v>
      </c>
      <c r="D1003" s="63" t="s">
        <v>539</v>
      </c>
      <c r="E1003" s="64">
        <v>0.0</v>
      </c>
      <c r="F1003" s="65">
        <f t="shared" si="1"/>
        <v>80</v>
      </c>
      <c r="G1003" s="66">
        <f>IF(B1003&lt;&gt;"",VLOOKUP(B1003,Zutaten!$C:$F,4,FALSE),"")*C1003</f>
        <v>0.54336</v>
      </c>
      <c r="H1003" s="67"/>
      <c r="I1003" s="67"/>
      <c r="J1003" s="67"/>
      <c r="K1003" s="67"/>
      <c r="L1003" s="67"/>
      <c r="M1003" s="67"/>
      <c r="N1003" s="67"/>
      <c r="O1003" s="67"/>
      <c r="P1003" s="67"/>
      <c r="Q1003" s="67"/>
      <c r="R1003" s="67"/>
      <c r="S1003" s="67"/>
      <c r="T1003" s="67"/>
      <c r="U1003" s="67"/>
      <c r="V1003" s="67"/>
      <c r="W1003" s="67"/>
      <c r="X1003" s="67"/>
      <c r="Y1003" s="67"/>
      <c r="Z1003" s="67"/>
      <c r="AA1003" s="67"/>
      <c r="AB1003" s="67"/>
      <c r="AC1003" s="67"/>
    </row>
    <row r="1004">
      <c r="A1004" s="61" t="s">
        <v>230</v>
      </c>
      <c r="B1004" s="61" t="s">
        <v>524</v>
      </c>
      <c r="C1004" s="62">
        <v>16.0</v>
      </c>
      <c r="D1004" s="63" t="s">
        <v>539</v>
      </c>
      <c r="E1004" s="64">
        <v>0.0</v>
      </c>
      <c r="F1004" s="65">
        <f t="shared" si="1"/>
        <v>16</v>
      </c>
      <c r="G1004" s="66">
        <f>IF(B1004&lt;&gt;"",VLOOKUP(B1004,Zutaten!$C:$F,4,FALSE),"")*C1004</f>
        <v>0.5290666667</v>
      </c>
      <c r="H1004" s="67"/>
      <c r="I1004" s="67"/>
      <c r="J1004" s="67"/>
      <c r="K1004" s="67"/>
      <c r="L1004" s="67"/>
      <c r="M1004" s="67"/>
      <c r="N1004" s="67"/>
      <c r="O1004" s="67"/>
      <c r="P1004" s="67"/>
      <c r="Q1004" s="67"/>
      <c r="R1004" s="67"/>
      <c r="S1004" s="67"/>
      <c r="T1004" s="67"/>
      <c r="U1004" s="67"/>
      <c r="V1004" s="67"/>
      <c r="W1004" s="67"/>
      <c r="X1004" s="67"/>
      <c r="Y1004" s="67"/>
      <c r="Z1004" s="67"/>
      <c r="AA1004" s="67"/>
      <c r="AB1004" s="67"/>
      <c r="AC1004" s="67"/>
    </row>
    <row r="1005">
      <c r="A1005" s="61" t="s">
        <v>230</v>
      </c>
      <c r="B1005" s="61" t="s">
        <v>396</v>
      </c>
      <c r="C1005" s="62">
        <v>3.0</v>
      </c>
      <c r="D1005" s="63" t="s">
        <v>539</v>
      </c>
      <c r="E1005" s="64">
        <v>0.0</v>
      </c>
      <c r="F1005" s="65">
        <f t="shared" si="1"/>
        <v>3</v>
      </c>
      <c r="G1005" s="66">
        <f>IF(B1005&lt;&gt;"",VLOOKUP(B1005,Zutaten!$C:$F,4,FALSE),"")*C1005</f>
        <v>0.0819</v>
      </c>
      <c r="H1005" s="67"/>
      <c r="I1005" s="67"/>
      <c r="J1005" s="67"/>
      <c r="K1005" s="67"/>
      <c r="L1005" s="67"/>
      <c r="M1005" s="67"/>
      <c r="N1005" s="67"/>
      <c r="O1005" s="67"/>
      <c r="P1005" s="67"/>
      <c r="Q1005" s="67"/>
      <c r="R1005" s="67"/>
      <c r="S1005" s="67"/>
      <c r="T1005" s="67"/>
      <c r="U1005" s="67"/>
      <c r="V1005" s="67"/>
      <c r="W1005" s="67"/>
      <c r="X1005" s="67"/>
      <c r="Y1005" s="67"/>
      <c r="Z1005" s="67"/>
      <c r="AA1005" s="67"/>
      <c r="AB1005" s="67"/>
      <c r="AC1005" s="67"/>
    </row>
    <row r="1006">
      <c r="A1006" s="61" t="s">
        <v>230</v>
      </c>
      <c r="B1006" s="61" t="s">
        <v>495</v>
      </c>
      <c r="C1006" s="62">
        <v>8.0</v>
      </c>
      <c r="D1006" s="63" t="s">
        <v>539</v>
      </c>
      <c r="E1006" s="64">
        <v>0.0</v>
      </c>
      <c r="F1006" s="65">
        <f t="shared" si="1"/>
        <v>8</v>
      </c>
      <c r="G1006" s="66">
        <f>IF(B1006&lt;&gt;"",VLOOKUP(B1006,Zutaten!$C:$F,4,FALSE),"")*C1006</f>
        <v>0.1055319149</v>
      </c>
      <c r="H1006" s="67"/>
      <c r="I1006" s="67"/>
      <c r="J1006" s="67"/>
      <c r="K1006" s="67"/>
      <c r="L1006" s="67"/>
      <c r="M1006" s="67"/>
      <c r="N1006" s="67"/>
      <c r="O1006" s="67"/>
      <c r="P1006" s="67"/>
      <c r="Q1006" s="67"/>
      <c r="R1006" s="67"/>
      <c r="S1006" s="67"/>
      <c r="T1006" s="67"/>
      <c r="U1006" s="67"/>
      <c r="V1006" s="67"/>
      <c r="W1006" s="67"/>
      <c r="X1006" s="67"/>
      <c r="Y1006" s="67"/>
      <c r="Z1006" s="67"/>
      <c r="AA1006" s="67"/>
      <c r="AB1006" s="67"/>
      <c r="AC1006" s="67"/>
    </row>
    <row r="1007">
      <c r="A1007" s="61" t="s">
        <v>230</v>
      </c>
      <c r="B1007" s="61" t="s">
        <v>459</v>
      </c>
      <c r="C1007" s="62">
        <v>2500.0</v>
      </c>
      <c r="D1007" s="63" t="s">
        <v>539</v>
      </c>
      <c r="E1007" s="64">
        <v>0.0</v>
      </c>
      <c r="F1007" s="65">
        <f t="shared" si="1"/>
        <v>2500</v>
      </c>
      <c r="G1007" s="66">
        <f>IF(B1007&lt;&gt;"",VLOOKUP(B1007,Zutaten!$C:$F,4,FALSE),"")*C1007</f>
        <v>6.05</v>
      </c>
      <c r="H1007" s="67"/>
      <c r="I1007" s="67"/>
      <c r="J1007" s="67"/>
      <c r="K1007" s="67"/>
      <c r="L1007" s="67"/>
      <c r="M1007" s="67"/>
      <c r="N1007" s="67"/>
      <c r="O1007" s="67"/>
      <c r="P1007" s="67"/>
      <c r="Q1007" s="67"/>
      <c r="R1007" s="67"/>
      <c r="S1007" s="67"/>
      <c r="T1007" s="67"/>
      <c r="U1007" s="67"/>
      <c r="V1007" s="67"/>
      <c r="W1007" s="67"/>
      <c r="X1007" s="67"/>
      <c r="Y1007" s="67"/>
      <c r="Z1007" s="67"/>
      <c r="AA1007" s="67"/>
      <c r="AB1007" s="67"/>
      <c r="AC1007" s="67"/>
    </row>
    <row r="1008">
      <c r="A1008" s="61" t="s">
        <v>230</v>
      </c>
      <c r="B1008" s="61" t="s">
        <v>468</v>
      </c>
      <c r="C1008" s="62">
        <v>23.0</v>
      </c>
      <c r="D1008" s="63" t="s">
        <v>539</v>
      </c>
      <c r="E1008" s="64">
        <v>0.0</v>
      </c>
      <c r="F1008" s="65">
        <f t="shared" si="1"/>
        <v>23</v>
      </c>
      <c r="G1008" s="66">
        <f>IF(B1008&lt;&gt;"",VLOOKUP(B1008,Zutaten!$C:$F,4,FALSE),"")*C1008</f>
        <v>0.1495</v>
      </c>
      <c r="H1008" s="67"/>
      <c r="I1008" s="67"/>
      <c r="J1008" s="67"/>
      <c r="K1008" s="67"/>
      <c r="L1008" s="67"/>
      <c r="M1008" s="67"/>
      <c r="N1008" s="67"/>
      <c r="O1008" s="67"/>
      <c r="P1008" s="67"/>
      <c r="Q1008" s="67"/>
      <c r="R1008" s="67"/>
      <c r="S1008" s="67"/>
      <c r="T1008" s="67"/>
      <c r="U1008" s="67"/>
      <c r="V1008" s="67"/>
      <c r="W1008" s="67"/>
      <c r="X1008" s="67"/>
      <c r="Y1008" s="67"/>
      <c r="Z1008" s="67"/>
      <c r="AA1008" s="67"/>
      <c r="AB1008" s="67"/>
      <c r="AC1008" s="67"/>
    </row>
    <row r="1009">
      <c r="A1009" s="61" t="s">
        <v>230</v>
      </c>
      <c r="B1009" s="61" t="s">
        <v>375</v>
      </c>
      <c r="C1009" s="62">
        <v>100.0</v>
      </c>
      <c r="D1009" s="63" t="s">
        <v>539</v>
      </c>
      <c r="E1009" s="64">
        <v>0.0</v>
      </c>
      <c r="F1009" s="65">
        <f t="shared" si="1"/>
        <v>100</v>
      </c>
      <c r="G1009" s="66">
        <f>IF(B1009&lt;&gt;"",VLOOKUP(B1009,Zutaten!$C:$F,4,FALSE),"")*C1009</f>
        <v>2</v>
      </c>
      <c r="H1009" s="67"/>
      <c r="I1009" s="67"/>
      <c r="J1009" s="67"/>
      <c r="K1009" s="67"/>
      <c r="L1009" s="67"/>
      <c r="M1009" s="67"/>
      <c r="N1009" s="67"/>
      <c r="O1009" s="67"/>
      <c r="P1009" s="67"/>
      <c r="Q1009" s="67"/>
      <c r="R1009" s="67"/>
      <c r="S1009" s="67"/>
      <c r="T1009" s="67"/>
      <c r="U1009" s="67"/>
      <c r="V1009" s="67"/>
      <c r="W1009" s="67"/>
      <c r="X1009" s="67"/>
      <c r="Y1009" s="67"/>
      <c r="Z1009" s="67"/>
      <c r="AA1009" s="67"/>
      <c r="AB1009" s="67"/>
      <c r="AC1009" s="67"/>
    </row>
    <row r="1010">
      <c r="A1010" s="61" t="s">
        <v>231</v>
      </c>
      <c r="B1010" s="61" t="s">
        <v>504</v>
      </c>
      <c r="C1010" s="62">
        <v>2000.0</v>
      </c>
      <c r="D1010" s="63" t="s">
        <v>540</v>
      </c>
      <c r="E1010" s="64">
        <v>0.0</v>
      </c>
      <c r="F1010" s="65">
        <f t="shared" si="1"/>
        <v>2000</v>
      </c>
      <c r="G1010" s="66">
        <f>IF(B1010&lt;&gt;"",VLOOKUP(B1010,Zutaten!$C:$F,4,FALSE),"")*C1010</f>
        <v>1.071698113</v>
      </c>
      <c r="H1010" s="67"/>
      <c r="I1010" s="67"/>
      <c r="J1010" s="67"/>
      <c r="K1010" s="67"/>
      <c r="L1010" s="67"/>
      <c r="M1010" s="67"/>
      <c r="N1010" s="67"/>
      <c r="O1010" s="67"/>
      <c r="P1010" s="67"/>
      <c r="Q1010" s="67"/>
      <c r="R1010" s="67"/>
      <c r="S1010" s="67"/>
      <c r="T1010" s="67"/>
      <c r="U1010" s="67"/>
      <c r="V1010" s="67"/>
      <c r="W1010" s="67"/>
      <c r="X1010" s="67"/>
      <c r="Y1010" s="67"/>
      <c r="Z1010" s="67"/>
      <c r="AA1010" s="67"/>
      <c r="AB1010" s="67"/>
      <c r="AC1010" s="67"/>
    </row>
    <row r="1011">
      <c r="A1011" s="61" t="s">
        <v>231</v>
      </c>
      <c r="B1011" s="61" t="s">
        <v>321</v>
      </c>
      <c r="C1011" s="62">
        <v>70.0</v>
      </c>
      <c r="D1011" s="63" t="s">
        <v>539</v>
      </c>
      <c r="E1011" s="64">
        <v>0.0</v>
      </c>
      <c r="F1011" s="65">
        <f t="shared" si="1"/>
        <v>70</v>
      </c>
      <c r="G1011" s="66">
        <f>IF(B1011&lt;&gt;"",VLOOKUP(B1011,Zutaten!$C:$F,4,FALSE),"")*C1011</f>
        <v>3.006315789</v>
      </c>
      <c r="H1011" s="67"/>
      <c r="I1011" s="67"/>
      <c r="J1011" s="67"/>
      <c r="K1011" s="67"/>
      <c r="L1011" s="67"/>
      <c r="M1011" s="67"/>
      <c r="N1011" s="67"/>
      <c r="O1011" s="67"/>
      <c r="P1011" s="67"/>
      <c r="Q1011" s="67"/>
      <c r="R1011" s="67"/>
      <c r="S1011" s="67"/>
      <c r="T1011" s="67"/>
      <c r="U1011" s="67"/>
      <c r="V1011" s="67"/>
      <c r="W1011" s="67"/>
      <c r="X1011" s="67"/>
      <c r="Y1011" s="67"/>
      <c r="Z1011" s="67"/>
      <c r="AA1011" s="67"/>
      <c r="AB1011" s="67"/>
      <c r="AC1011" s="67"/>
    </row>
    <row r="1012">
      <c r="A1012" s="61" t="s">
        <v>231</v>
      </c>
      <c r="B1012" s="61" t="s">
        <v>467</v>
      </c>
      <c r="C1012" s="62">
        <v>20.0</v>
      </c>
      <c r="D1012" s="63" t="s">
        <v>539</v>
      </c>
      <c r="E1012" s="64">
        <v>0.0</v>
      </c>
      <c r="F1012" s="65">
        <f t="shared" si="1"/>
        <v>20</v>
      </c>
      <c r="G1012" s="66">
        <f>IF(B1012&lt;&gt;"",VLOOKUP(B1012,Zutaten!$C:$F,4,FALSE),"")*C1012</f>
        <v>0.00736</v>
      </c>
      <c r="H1012" s="67"/>
      <c r="I1012" s="67"/>
      <c r="J1012" s="67"/>
      <c r="K1012" s="67"/>
      <c r="L1012" s="67"/>
      <c r="M1012" s="67"/>
      <c r="N1012" s="67"/>
      <c r="O1012" s="67"/>
      <c r="P1012" s="67"/>
      <c r="Q1012" s="67"/>
      <c r="R1012" s="67"/>
      <c r="S1012" s="67"/>
      <c r="T1012" s="67"/>
      <c r="U1012" s="67"/>
      <c r="V1012" s="67"/>
      <c r="W1012" s="67"/>
      <c r="X1012" s="67"/>
      <c r="Y1012" s="67"/>
      <c r="Z1012" s="67"/>
      <c r="AA1012" s="67"/>
      <c r="AB1012" s="67"/>
      <c r="AC1012" s="67"/>
    </row>
    <row r="1013">
      <c r="A1013" s="61" t="s">
        <v>231</v>
      </c>
      <c r="B1013" s="61" t="s">
        <v>528</v>
      </c>
      <c r="C1013" s="62">
        <v>20.0</v>
      </c>
      <c r="D1013" s="63" t="s">
        <v>539</v>
      </c>
      <c r="E1013" s="64">
        <v>0.0</v>
      </c>
      <c r="F1013" s="65">
        <f t="shared" si="1"/>
        <v>20</v>
      </c>
      <c r="G1013" s="66">
        <f>IF(B1013&lt;&gt;"",VLOOKUP(B1013,Zutaten!$C:$F,4,FALSE),"")*C1013</f>
        <v>0.0288</v>
      </c>
      <c r="H1013" s="67"/>
      <c r="I1013" s="67"/>
      <c r="J1013" s="67"/>
      <c r="K1013" s="67"/>
      <c r="L1013" s="67"/>
      <c r="M1013" s="67"/>
      <c r="N1013" s="67"/>
      <c r="O1013" s="67"/>
      <c r="P1013" s="67"/>
      <c r="Q1013" s="67"/>
      <c r="R1013" s="67"/>
      <c r="S1013" s="67"/>
      <c r="T1013" s="67"/>
      <c r="U1013" s="67"/>
      <c r="V1013" s="67"/>
      <c r="W1013" s="67"/>
      <c r="X1013" s="67"/>
      <c r="Y1013" s="67"/>
      <c r="Z1013" s="67"/>
      <c r="AA1013" s="67"/>
      <c r="AB1013" s="67"/>
      <c r="AC1013" s="67"/>
    </row>
    <row r="1014">
      <c r="A1014" s="61" t="s">
        <v>231</v>
      </c>
      <c r="B1014" s="61" t="s">
        <v>392</v>
      </c>
      <c r="C1014" s="62">
        <v>270.0</v>
      </c>
      <c r="D1014" s="63" t="s">
        <v>539</v>
      </c>
      <c r="E1014" s="64">
        <v>0.0</v>
      </c>
      <c r="F1014" s="65">
        <f t="shared" si="1"/>
        <v>270</v>
      </c>
      <c r="G1014" s="66">
        <f>IF(B1014&lt;&gt;"",VLOOKUP(B1014,Zutaten!$C:$F,4,FALSE),"")*C1014</f>
        <v>1.83384</v>
      </c>
      <c r="H1014" s="67"/>
      <c r="I1014" s="67"/>
      <c r="J1014" s="67"/>
      <c r="K1014" s="67"/>
      <c r="L1014" s="67"/>
      <c r="M1014" s="67"/>
      <c r="N1014" s="67"/>
      <c r="O1014" s="67"/>
      <c r="P1014" s="67"/>
      <c r="Q1014" s="67"/>
      <c r="R1014" s="67"/>
      <c r="S1014" s="67"/>
      <c r="T1014" s="67"/>
      <c r="U1014" s="67"/>
      <c r="V1014" s="67"/>
      <c r="W1014" s="67"/>
      <c r="X1014" s="67"/>
      <c r="Y1014" s="67"/>
      <c r="Z1014" s="67"/>
      <c r="AA1014" s="67"/>
      <c r="AB1014" s="67"/>
      <c r="AC1014" s="67"/>
    </row>
    <row r="1015">
      <c r="A1015" s="61" t="s">
        <v>231</v>
      </c>
      <c r="B1015" s="61" t="s">
        <v>428</v>
      </c>
      <c r="C1015" s="62">
        <v>500.0</v>
      </c>
      <c r="D1015" s="63" t="s">
        <v>540</v>
      </c>
      <c r="E1015" s="64">
        <v>0.0</v>
      </c>
      <c r="F1015" s="65">
        <f t="shared" si="1"/>
        <v>500</v>
      </c>
      <c r="G1015" s="66">
        <f>IF(B1015&lt;&gt;"",VLOOKUP(B1015,Zutaten!$C:$F,4,FALSE),"")*C1015</f>
        <v>4.32</v>
      </c>
      <c r="H1015" s="67"/>
      <c r="I1015" s="67"/>
      <c r="J1015" s="67"/>
      <c r="K1015" s="67"/>
      <c r="L1015" s="67"/>
      <c r="M1015" s="67"/>
      <c r="N1015" s="67"/>
      <c r="O1015" s="67"/>
      <c r="P1015" s="67"/>
      <c r="Q1015" s="67"/>
      <c r="R1015" s="67"/>
      <c r="S1015" s="67"/>
      <c r="T1015" s="67"/>
      <c r="U1015" s="67"/>
      <c r="V1015" s="67"/>
      <c r="W1015" s="67"/>
      <c r="X1015" s="67"/>
      <c r="Y1015" s="67"/>
      <c r="Z1015" s="67"/>
      <c r="AA1015" s="67"/>
      <c r="AB1015" s="67"/>
      <c r="AC1015" s="67"/>
    </row>
    <row r="1016">
      <c r="A1016" s="61" t="s">
        <v>231</v>
      </c>
      <c r="B1016" s="61" t="s">
        <v>442</v>
      </c>
      <c r="C1016" s="62">
        <v>10.0</v>
      </c>
      <c r="D1016" s="63" t="s">
        <v>539</v>
      </c>
      <c r="E1016" s="64">
        <v>0.0</v>
      </c>
      <c r="F1016" s="65">
        <f t="shared" si="1"/>
        <v>10</v>
      </c>
      <c r="G1016" s="66">
        <f>IF(B1016&lt;&gt;"",VLOOKUP(B1016,Zutaten!$C:$F,4,FALSE),"")*C1016</f>
        <v>0.324</v>
      </c>
      <c r="H1016" s="67"/>
      <c r="I1016" s="67"/>
      <c r="J1016" s="67"/>
      <c r="K1016" s="67"/>
      <c r="L1016" s="67"/>
      <c r="M1016" s="67"/>
      <c r="N1016" s="67"/>
      <c r="O1016" s="67"/>
      <c r="P1016" s="67"/>
      <c r="Q1016" s="67"/>
      <c r="R1016" s="67"/>
      <c r="S1016" s="67"/>
      <c r="T1016" s="67"/>
      <c r="U1016" s="67"/>
      <c r="V1016" s="67"/>
      <c r="W1016" s="67"/>
      <c r="X1016" s="67"/>
      <c r="Y1016" s="67"/>
      <c r="Z1016" s="67"/>
      <c r="AA1016" s="67"/>
      <c r="AB1016" s="67"/>
      <c r="AC1016" s="67"/>
    </row>
    <row r="1017">
      <c r="A1017" s="61" t="s">
        <v>231</v>
      </c>
      <c r="B1017" s="61" t="s">
        <v>291</v>
      </c>
      <c r="C1017" s="62">
        <v>100.0</v>
      </c>
      <c r="D1017" s="63" t="s">
        <v>540</v>
      </c>
      <c r="E1017" s="64">
        <v>0.0</v>
      </c>
      <c r="F1017" s="65">
        <f t="shared" si="1"/>
        <v>100</v>
      </c>
      <c r="G1017" s="66">
        <f>IF(B1017&lt;&gt;"",VLOOKUP(B1017,Zutaten!$C:$F,4,FALSE),"")*C1017</f>
        <v>0.157</v>
      </c>
      <c r="H1017" s="67"/>
      <c r="I1017" s="67"/>
      <c r="J1017" s="67"/>
      <c r="K1017" s="67"/>
      <c r="L1017" s="67"/>
      <c r="M1017" s="67"/>
      <c r="N1017" s="67"/>
      <c r="O1017" s="67"/>
      <c r="P1017" s="67"/>
      <c r="Q1017" s="67"/>
      <c r="R1017" s="67"/>
      <c r="S1017" s="67"/>
      <c r="T1017" s="67"/>
      <c r="U1017" s="67"/>
      <c r="V1017" s="67"/>
      <c r="W1017" s="67"/>
      <c r="X1017" s="67"/>
      <c r="Y1017" s="67"/>
      <c r="Z1017" s="67"/>
      <c r="AA1017" s="67"/>
      <c r="AB1017" s="67"/>
      <c r="AC1017" s="67"/>
    </row>
    <row r="1018">
      <c r="A1018" s="18" t="s">
        <v>232</v>
      </c>
      <c r="B1018" s="18" t="s">
        <v>458</v>
      </c>
      <c r="C1018" s="68">
        <v>170.0</v>
      </c>
      <c r="D1018" s="63" t="s">
        <v>539</v>
      </c>
      <c r="E1018" s="64">
        <v>0.0</v>
      </c>
      <c r="F1018" s="65">
        <f t="shared" si="1"/>
        <v>170</v>
      </c>
      <c r="G1018" s="66">
        <f>IF(B1018&lt;&gt;"",VLOOKUP(B1018,Zutaten!$C:$F,4,FALSE),"")*C1018</f>
        <v>1.4433</v>
      </c>
      <c r="H1018" s="67"/>
      <c r="I1018" s="67"/>
      <c r="J1018" s="67"/>
      <c r="K1018" s="67"/>
      <c r="L1018" s="67"/>
      <c r="M1018" s="67"/>
      <c r="N1018" s="67"/>
      <c r="O1018" s="67"/>
      <c r="P1018" s="67"/>
      <c r="Q1018" s="67"/>
      <c r="R1018" s="67"/>
      <c r="S1018" s="67"/>
      <c r="T1018" s="67"/>
      <c r="U1018" s="67"/>
      <c r="V1018" s="67"/>
      <c r="W1018" s="67"/>
      <c r="X1018" s="67"/>
      <c r="Y1018" s="67"/>
      <c r="Z1018" s="67"/>
      <c r="AA1018" s="67"/>
      <c r="AB1018" s="67"/>
      <c r="AC1018" s="67"/>
    </row>
    <row r="1019">
      <c r="A1019" s="18" t="s">
        <v>232</v>
      </c>
      <c r="B1019" s="18" t="s">
        <v>313</v>
      </c>
      <c r="C1019" s="68">
        <v>80.0</v>
      </c>
      <c r="D1019" s="63" t="s">
        <v>539</v>
      </c>
      <c r="E1019" s="64">
        <v>0.0</v>
      </c>
      <c r="F1019" s="65">
        <f t="shared" si="1"/>
        <v>80</v>
      </c>
      <c r="G1019" s="66">
        <f>IF(B1019&lt;&gt;"",VLOOKUP(B1019,Zutaten!$C:$F,4,FALSE),"")*C1019</f>
        <v>0.5</v>
      </c>
      <c r="H1019" s="67"/>
      <c r="I1019" s="67"/>
      <c r="J1019" s="67"/>
      <c r="K1019" s="67"/>
      <c r="L1019" s="67"/>
      <c r="M1019" s="67"/>
      <c r="N1019" s="67"/>
      <c r="O1019" s="67"/>
      <c r="P1019" s="67"/>
      <c r="Q1019" s="67"/>
      <c r="R1019" s="67"/>
      <c r="S1019" s="67"/>
      <c r="T1019" s="67"/>
      <c r="U1019" s="67"/>
      <c r="V1019" s="67"/>
      <c r="W1019" s="67"/>
      <c r="X1019" s="67"/>
      <c r="Y1019" s="67"/>
      <c r="Z1019" s="67"/>
      <c r="AA1019" s="67"/>
      <c r="AB1019" s="67"/>
      <c r="AC1019" s="67"/>
    </row>
    <row r="1020">
      <c r="A1020" s="18" t="s">
        <v>232</v>
      </c>
      <c r="B1020" s="18" t="s">
        <v>152</v>
      </c>
      <c r="C1020" s="68">
        <v>120.0</v>
      </c>
      <c r="D1020" s="63" t="s">
        <v>539</v>
      </c>
      <c r="E1020" s="64">
        <v>0.0</v>
      </c>
      <c r="F1020" s="65">
        <f t="shared" si="1"/>
        <v>120</v>
      </c>
      <c r="G1020" s="66">
        <f>IF(B1020&lt;&gt;"",VLOOKUP(B1020,Zutaten!$C:$F,4,FALSE),"")*C1020</f>
        <v>1.177138626</v>
      </c>
      <c r="H1020" s="67"/>
      <c r="I1020" s="67"/>
      <c r="J1020" s="67"/>
      <c r="K1020" s="67"/>
      <c r="L1020" s="67"/>
      <c r="M1020" s="67"/>
      <c r="N1020" s="67"/>
      <c r="O1020" s="67"/>
      <c r="P1020" s="67"/>
      <c r="Q1020" s="67"/>
      <c r="R1020" s="67"/>
      <c r="S1020" s="67"/>
      <c r="T1020" s="67"/>
      <c r="U1020" s="67"/>
      <c r="V1020" s="67"/>
      <c r="W1020" s="67"/>
      <c r="X1020" s="67"/>
      <c r="Y1020" s="67"/>
      <c r="Z1020" s="67"/>
      <c r="AA1020" s="67"/>
      <c r="AB1020" s="67"/>
      <c r="AC1020" s="67"/>
    </row>
    <row r="1021">
      <c r="A1021" s="18" t="s">
        <v>232</v>
      </c>
      <c r="B1021" s="18" t="s">
        <v>336</v>
      </c>
      <c r="C1021" s="68">
        <v>20.0</v>
      </c>
      <c r="D1021" s="63" t="s">
        <v>539</v>
      </c>
      <c r="E1021" s="64">
        <v>0.0</v>
      </c>
      <c r="F1021" s="65">
        <f t="shared" si="1"/>
        <v>20</v>
      </c>
      <c r="G1021" s="66">
        <f>IF(B1021&lt;&gt;"",VLOOKUP(B1021,Zutaten!$C:$F,4,FALSE),"")*C1021</f>
        <v>0.1278</v>
      </c>
      <c r="H1021" s="67"/>
      <c r="I1021" s="67"/>
      <c r="J1021" s="67"/>
      <c r="K1021" s="67"/>
      <c r="L1021" s="67"/>
      <c r="M1021" s="67"/>
      <c r="N1021" s="67"/>
      <c r="O1021" s="67"/>
      <c r="P1021" s="67"/>
      <c r="Q1021" s="67"/>
      <c r="R1021" s="67"/>
      <c r="S1021" s="67"/>
      <c r="T1021" s="67"/>
      <c r="U1021" s="67"/>
      <c r="V1021" s="67"/>
      <c r="W1021" s="67"/>
      <c r="X1021" s="67"/>
      <c r="Y1021" s="67"/>
      <c r="Z1021" s="67"/>
      <c r="AA1021" s="67"/>
      <c r="AB1021" s="67"/>
      <c r="AC1021" s="67"/>
    </row>
    <row r="1022">
      <c r="A1022" s="18" t="s">
        <v>232</v>
      </c>
      <c r="B1022" s="60" t="s">
        <v>233</v>
      </c>
      <c r="C1022" s="68">
        <v>50.0</v>
      </c>
      <c r="D1022" s="63" t="s">
        <v>539</v>
      </c>
      <c r="E1022" s="64">
        <v>0.0</v>
      </c>
      <c r="F1022" s="65">
        <f t="shared" si="1"/>
        <v>50</v>
      </c>
      <c r="G1022" s="66">
        <f>IF(B1022&lt;&gt;"",VLOOKUP(B1022,Zutaten!$C:$F,4,FALSE),"")*C1022</f>
        <v>0.1372187618</v>
      </c>
      <c r="H1022" s="67"/>
      <c r="I1022" s="67"/>
      <c r="J1022" s="67"/>
      <c r="K1022" s="67"/>
      <c r="L1022" s="67"/>
      <c r="M1022" s="67"/>
      <c r="N1022" s="67"/>
      <c r="O1022" s="67"/>
      <c r="P1022" s="67"/>
      <c r="Q1022" s="67"/>
      <c r="R1022" s="67"/>
      <c r="S1022" s="67"/>
      <c r="T1022" s="67"/>
      <c r="U1022" s="67"/>
      <c r="V1022" s="67"/>
      <c r="W1022" s="67"/>
      <c r="X1022" s="67"/>
      <c r="Y1022" s="67"/>
      <c r="Z1022" s="67"/>
      <c r="AA1022" s="67"/>
      <c r="AB1022" s="67"/>
      <c r="AC1022" s="67"/>
    </row>
    <row r="1023">
      <c r="A1023" s="60" t="s">
        <v>233</v>
      </c>
      <c r="B1023" s="61" t="s">
        <v>133</v>
      </c>
      <c r="C1023" s="62">
        <v>4000.0</v>
      </c>
      <c r="D1023" s="63" t="s">
        <v>539</v>
      </c>
      <c r="E1023" s="64">
        <v>0.0</v>
      </c>
      <c r="F1023" s="65">
        <f t="shared" si="1"/>
        <v>4000</v>
      </c>
      <c r="G1023" s="66">
        <f>IF(B1023&lt;&gt;"",VLOOKUP(B1023,Zutaten!$C:$F,4,FALSE),"")*C1023</f>
        <v>11.35550823</v>
      </c>
      <c r="H1023" s="67"/>
      <c r="I1023" s="67"/>
      <c r="J1023" s="67"/>
      <c r="K1023" s="67"/>
      <c r="L1023" s="67"/>
      <c r="M1023" s="67"/>
      <c r="N1023" s="67"/>
      <c r="O1023" s="67"/>
      <c r="P1023" s="67"/>
      <c r="Q1023" s="67"/>
      <c r="R1023" s="67"/>
      <c r="S1023" s="67"/>
      <c r="T1023" s="67"/>
      <c r="U1023" s="67"/>
      <c r="V1023" s="67"/>
      <c r="W1023" s="67"/>
      <c r="X1023" s="67"/>
      <c r="Y1023" s="67"/>
      <c r="Z1023" s="67"/>
      <c r="AA1023" s="67"/>
      <c r="AB1023" s="67"/>
      <c r="AC1023" s="67"/>
    </row>
    <row r="1024">
      <c r="A1024" s="60" t="s">
        <v>233</v>
      </c>
      <c r="B1024" s="61" t="s">
        <v>234</v>
      </c>
      <c r="C1024" s="62">
        <v>2000.0</v>
      </c>
      <c r="D1024" s="63" t="s">
        <v>539</v>
      </c>
      <c r="E1024" s="64">
        <v>0.0</v>
      </c>
      <c r="F1024" s="65">
        <f t="shared" si="1"/>
        <v>2000</v>
      </c>
      <c r="G1024" s="66">
        <f>IF(B1024&lt;&gt;"",VLOOKUP(B1024,Zutaten!$C:$F,4,FALSE),"")*C1024</f>
        <v>4.2717687</v>
      </c>
      <c r="H1024" s="67"/>
      <c r="I1024" s="67"/>
      <c r="J1024" s="67"/>
      <c r="K1024" s="67"/>
      <c r="L1024" s="67"/>
      <c r="M1024" s="67"/>
      <c r="N1024" s="67"/>
      <c r="O1024" s="67"/>
      <c r="P1024" s="67"/>
      <c r="Q1024" s="67"/>
      <c r="R1024" s="67"/>
      <c r="S1024" s="67"/>
      <c r="T1024" s="67"/>
      <c r="U1024" s="67"/>
      <c r="V1024" s="67"/>
      <c r="W1024" s="67"/>
      <c r="X1024" s="67"/>
      <c r="Y1024" s="67"/>
      <c r="Z1024" s="67"/>
      <c r="AA1024" s="67"/>
      <c r="AB1024" s="67"/>
      <c r="AC1024" s="67"/>
    </row>
    <row r="1025">
      <c r="A1025" s="60" t="s">
        <v>233</v>
      </c>
      <c r="B1025" s="61" t="s">
        <v>321</v>
      </c>
      <c r="C1025" s="62">
        <v>5.0</v>
      </c>
      <c r="D1025" s="63" t="s">
        <v>539</v>
      </c>
      <c r="E1025" s="64">
        <v>0.0</v>
      </c>
      <c r="F1025" s="65">
        <f t="shared" si="1"/>
        <v>5</v>
      </c>
      <c r="G1025" s="66">
        <f>IF(B1025&lt;&gt;"",VLOOKUP(B1025,Zutaten!$C:$F,4,FALSE),"")*C1025</f>
        <v>0.2147368421</v>
      </c>
      <c r="H1025" s="67"/>
      <c r="I1025" s="67"/>
      <c r="J1025" s="67"/>
      <c r="K1025" s="67"/>
      <c r="L1025" s="67"/>
      <c r="M1025" s="67"/>
      <c r="N1025" s="67"/>
      <c r="O1025" s="67"/>
      <c r="P1025" s="67"/>
      <c r="Q1025" s="67"/>
      <c r="R1025" s="67"/>
      <c r="S1025" s="67"/>
      <c r="T1025" s="67"/>
      <c r="U1025" s="67"/>
      <c r="V1025" s="67"/>
      <c r="W1025" s="67"/>
      <c r="X1025" s="67"/>
      <c r="Y1025" s="67"/>
      <c r="Z1025" s="67"/>
      <c r="AA1025" s="67"/>
      <c r="AB1025" s="67"/>
      <c r="AC1025" s="67"/>
    </row>
    <row r="1026">
      <c r="A1026" s="60" t="s">
        <v>233</v>
      </c>
      <c r="B1026" s="61" t="s">
        <v>231</v>
      </c>
      <c r="C1026" s="62">
        <v>750.0</v>
      </c>
      <c r="D1026" s="63" t="s">
        <v>539</v>
      </c>
      <c r="E1026" s="64">
        <v>0.0</v>
      </c>
      <c r="F1026" s="65">
        <f t="shared" si="1"/>
        <v>750</v>
      </c>
      <c r="G1026" s="66">
        <f>IF(B1026&lt;&gt;"",VLOOKUP(B1026,Zutaten!$C:$F,4,FALSE),"")*C1026</f>
        <v>2.696240945</v>
      </c>
      <c r="H1026" s="67"/>
      <c r="I1026" s="67"/>
      <c r="J1026" s="67"/>
      <c r="K1026" s="67"/>
      <c r="L1026" s="67"/>
      <c r="M1026" s="67"/>
      <c r="N1026" s="67"/>
      <c r="O1026" s="67"/>
      <c r="P1026" s="67"/>
      <c r="Q1026" s="67"/>
      <c r="R1026" s="67"/>
      <c r="S1026" s="67"/>
      <c r="T1026" s="67"/>
      <c r="U1026" s="67"/>
      <c r="V1026" s="67"/>
      <c r="W1026" s="67"/>
      <c r="X1026" s="67"/>
      <c r="Y1026" s="67"/>
      <c r="Z1026" s="67"/>
      <c r="AA1026" s="67"/>
      <c r="AB1026" s="67"/>
      <c r="AC1026" s="67"/>
    </row>
    <row r="1027">
      <c r="A1027" s="60" t="s">
        <v>234</v>
      </c>
      <c r="B1027" s="61" t="s">
        <v>505</v>
      </c>
      <c r="C1027" s="62">
        <v>1500.0</v>
      </c>
      <c r="D1027" s="63" t="s">
        <v>539</v>
      </c>
      <c r="E1027" s="64">
        <v>0.0</v>
      </c>
      <c r="F1027" s="65">
        <f t="shared" si="1"/>
        <v>1500</v>
      </c>
      <c r="G1027" s="66">
        <f>IF(B1027&lt;&gt;"",VLOOKUP(B1027,Zutaten!$C:$F,4,FALSE),"")*C1027</f>
        <v>4.275</v>
      </c>
      <c r="H1027" s="67"/>
      <c r="I1027" s="67"/>
      <c r="J1027" s="67"/>
      <c r="K1027" s="67"/>
      <c r="L1027" s="67"/>
      <c r="M1027" s="67"/>
      <c r="N1027" s="67"/>
      <c r="O1027" s="67"/>
      <c r="P1027" s="67"/>
      <c r="Q1027" s="67"/>
      <c r="R1027" s="67"/>
      <c r="S1027" s="67"/>
      <c r="T1027" s="67"/>
      <c r="U1027" s="67"/>
      <c r="V1027" s="67"/>
      <c r="W1027" s="67"/>
      <c r="X1027" s="67"/>
      <c r="Y1027" s="67"/>
      <c r="Z1027" s="67"/>
      <c r="AA1027" s="67"/>
      <c r="AB1027" s="67"/>
      <c r="AC1027" s="67"/>
    </row>
    <row r="1028">
      <c r="A1028" s="60" t="s">
        <v>234</v>
      </c>
      <c r="B1028" s="61" t="s">
        <v>291</v>
      </c>
      <c r="C1028" s="62">
        <v>3000.0</v>
      </c>
      <c r="D1028" s="63" t="s">
        <v>540</v>
      </c>
      <c r="E1028" s="64">
        <v>0.5</v>
      </c>
      <c r="F1028" s="65">
        <f t="shared" si="1"/>
        <v>1500</v>
      </c>
      <c r="G1028" s="66">
        <f>IF(B1028&lt;&gt;"",VLOOKUP(B1028,Zutaten!$C:$F,4,FALSE),"")*C1028</f>
        <v>4.71</v>
      </c>
      <c r="H1028" s="67"/>
      <c r="I1028" s="67"/>
      <c r="J1028" s="67"/>
      <c r="K1028" s="67"/>
      <c r="L1028" s="67"/>
      <c r="M1028" s="67"/>
      <c r="N1028" s="67"/>
      <c r="O1028" s="67"/>
      <c r="P1028" s="67"/>
      <c r="Q1028" s="67"/>
      <c r="R1028" s="67"/>
      <c r="S1028" s="67"/>
      <c r="T1028" s="67"/>
      <c r="U1028" s="67"/>
      <c r="V1028" s="67"/>
      <c r="W1028" s="67"/>
      <c r="X1028" s="67"/>
      <c r="Y1028" s="67"/>
      <c r="Z1028" s="67"/>
      <c r="AA1028" s="67"/>
      <c r="AB1028" s="67"/>
      <c r="AC1028" s="67"/>
    </row>
    <row r="1029">
      <c r="A1029" s="60" t="s">
        <v>234</v>
      </c>
      <c r="B1029" s="61" t="s">
        <v>528</v>
      </c>
      <c r="C1029" s="62">
        <v>5000.0</v>
      </c>
      <c r="D1029" s="63" t="s">
        <v>539</v>
      </c>
      <c r="E1029" s="64">
        <v>0.0</v>
      </c>
      <c r="F1029" s="65">
        <f t="shared" si="1"/>
        <v>5000</v>
      </c>
      <c r="G1029" s="66">
        <f>IF(B1029&lt;&gt;"",VLOOKUP(B1029,Zutaten!$C:$F,4,FALSE),"")*C1029</f>
        <v>7.2</v>
      </c>
      <c r="H1029" s="67"/>
      <c r="I1029" s="67"/>
      <c r="J1029" s="67"/>
      <c r="K1029" s="67"/>
      <c r="L1029" s="67"/>
      <c r="M1029" s="67"/>
      <c r="N1029" s="67"/>
      <c r="O1029" s="67"/>
      <c r="P1029" s="67"/>
      <c r="Q1029" s="67"/>
      <c r="R1029" s="67"/>
      <c r="S1029" s="67"/>
      <c r="T1029" s="67"/>
      <c r="U1029" s="67"/>
      <c r="V1029" s="67"/>
      <c r="W1029" s="67"/>
      <c r="X1029" s="67"/>
      <c r="Y1029" s="67"/>
      <c r="Z1029" s="67"/>
      <c r="AA1029" s="67"/>
      <c r="AB1029" s="67"/>
      <c r="AC1029" s="67"/>
    </row>
    <row r="1030">
      <c r="A1030" s="60" t="s">
        <v>234</v>
      </c>
      <c r="B1030" s="61" t="s">
        <v>467</v>
      </c>
      <c r="C1030" s="62">
        <v>25.0</v>
      </c>
      <c r="D1030" s="63" t="s">
        <v>539</v>
      </c>
      <c r="E1030" s="64">
        <v>0.0</v>
      </c>
      <c r="F1030" s="65">
        <f t="shared" si="1"/>
        <v>25</v>
      </c>
      <c r="G1030" s="66">
        <f>IF(B1030&lt;&gt;"",VLOOKUP(B1030,Zutaten!$C:$F,4,FALSE),"")*C1030</f>
        <v>0.0092</v>
      </c>
      <c r="H1030" s="67"/>
      <c r="I1030" s="67"/>
      <c r="J1030" s="67"/>
      <c r="K1030" s="67"/>
      <c r="L1030" s="67"/>
      <c r="M1030" s="67"/>
      <c r="N1030" s="67"/>
      <c r="O1030" s="67"/>
      <c r="P1030" s="67"/>
      <c r="Q1030" s="67"/>
      <c r="R1030" s="67"/>
      <c r="S1030" s="67"/>
      <c r="T1030" s="67"/>
      <c r="U1030" s="67"/>
      <c r="V1030" s="67"/>
      <c r="W1030" s="67"/>
      <c r="X1030" s="67"/>
      <c r="Y1030" s="67"/>
      <c r="Z1030" s="67"/>
      <c r="AA1030" s="67"/>
      <c r="AB1030" s="67"/>
      <c r="AC1030" s="67"/>
    </row>
    <row r="1031">
      <c r="A1031" s="60" t="s">
        <v>234</v>
      </c>
      <c r="B1031" s="61" t="s">
        <v>514</v>
      </c>
      <c r="C1031" s="62">
        <v>1000.0</v>
      </c>
      <c r="D1031" s="63" t="s">
        <v>540</v>
      </c>
      <c r="E1031" s="64">
        <v>0.5</v>
      </c>
      <c r="F1031" s="65">
        <f t="shared" si="1"/>
        <v>500</v>
      </c>
      <c r="G1031" s="66">
        <f>IF(B1031&lt;&gt;"",VLOOKUP(B1031,Zutaten!$C:$F,4,FALSE),"")*C1031</f>
        <v>0.01</v>
      </c>
      <c r="H1031" s="67"/>
      <c r="I1031" s="67"/>
      <c r="J1031" s="67"/>
      <c r="K1031" s="67"/>
      <c r="L1031" s="67"/>
      <c r="M1031" s="67"/>
      <c r="N1031" s="67"/>
      <c r="O1031" s="67"/>
      <c r="P1031" s="67"/>
      <c r="Q1031" s="67"/>
      <c r="R1031" s="67"/>
      <c r="S1031" s="67"/>
      <c r="T1031" s="67"/>
      <c r="U1031" s="67"/>
      <c r="V1031" s="67"/>
      <c r="W1031" s="67"/>
      <c r="X1031" s="67"/>
      <c r="Y1031" s="67"/>
      <c r="Z1031" s="67"/>
      <c r="AA1031" s="67"/>
      <c r="AB1031" s="67"/>
      <c r="AC1031" s="67"/>
    </row>
    <row r="1032">
      <c r="A1032" s="60" t="s">
        <v>234</v>
      </c>
      <c r="B1032" s="61" t="s">
        <v>290</v>
      </c>
      <c r="C1032" s="62">
        <v>1000.0</v>
      </c>
      <c r="D1032" s="63" t="s">
        <v>539</v>
      </c>
      <c r="E1032" s="64">
        <v>0.0</v>
      </c>
      <c r="F1032" s="65">
        <f t="shared" si="1"/>
        <v>1000</v>
      </c>
      <c r="G1032" s="66">
        <f>IF(B1032&lt;&gt;"",VLOOKUP(B1032,Zutaten!$C:$F,4,FALSE),"")*C1032</f>
        <v>4.695652174</v>
      </c>
      <c r="H1032" s="67"/>
      <c r="I1032" s="67"/>
      <c r="J1032" s="67"/>
      <c r="K1032" s="67"/>
      <c r="L1032" s="67"/>
      <c r="M1032" s="67"/>
      <c r="N1032" s="67"/>
      <c r="O1032" s="67"/>
      <c r="P1032" s="67"/>
      <c r="Q1032" s="67"/>
      <c r="R1032" s="67"/>
      <c r="S1032" s="67"/>
      <c r="T1032" s="67"/>
      <c r="U1032" s="67"/>
      <c r="V1032" s="67"/>
      <c r="W1032" s="67"/>
      <c r="X1032" s="67"/>
      <c r="Y1032" s="67"/>
      <c r="Z1032" s="67"/>
      <c r="AA1032" s="67"/>
      <c r="AB1032" s="67"/>
      <c r="AC1032" s="67"/>
    </row>
    <row r="1033">
      <c r="A1033" s="60" t="s">
        <v>234</v>
      </c>
      <c r="B1033" s="61" t="s">
        <v>518</v>
      </c>
      <c r="C1033" s="62">
        <v>400.0</v>
      </c>
      <c r="D1033" s="63" t="s">
        <v>539</v>
      </c>
      <c r="E1033" s="64">
        <v>0.0</v>
      </c>
      <c r="F1033" s="65">
        <f t="shared" si="1"/>
        <v>400</v>
      </c>
      <c r="G1033" s="66">
        <f>IF(B1033&lt;&gt;"",VLOOKUP(B1033,Zutaten!$C:$F,4,FALSE),"")*C1033</f>
        <v>0.2988</v>
      </c>
      <c r="H1033" s="67"/>
      <c r="I1033" s="67"/>
      <c r="J1033" s="67"/>
      <c r="K1033" s="67"/>
      <c r="L1033" s="67"/>
      <c r="M1033" s="67"/>
      <c r="N1033" s="67"/>
      <c r="O1033" s="67"/>
      <c r="P1033" s="67"/>
      <c r="Q1033" s="67"/>
      <c r="R1033" s="67"/>
      <c r="S1033" s="67"/>
      <c r="T1033" s="67"/>
      <c r="U1033" s="67"/>
      <c r="V1033" s="67"/>
      <c r="W1033" s="67"/>
      <c r="X1033" s="67"/>
      <c r="Y1033" s="67"/>
      <c r="Z1033" s="67"/>
      <c r="AA1033" s="67"/>
      <c r="AB1033" s="67"/>
      <c r="AC1033" s="67"/>
    </row>
    <row r="1034">
      <c r="A1034" s="18" t="s">
        <v>235</v>
      </c>
      <c r="B1034" s="18" t="s">
        <v>543</v>
      </c>
      <c r="C1034" s="68">
        <v>280.0</v>
      </c>
      <c r="D1034" s="63" t="s">
        <v>539</v>
      </c>
      <c r="E1034" s="64">
        <v>0.0</v>
      </c>
      <c r="F1034" s="65">
        <f t="shared" si="1"/>
        <v>280</v>
      </c>
      <c r="G1034" s="66">
        <f>IF(B1034&lt;&gt;"",VLOOKUP(B1034,Zutaten!$C:$F,4,FALSE),"")*C1034</f>
        <v>3.113481148</v>
      </c>
      <c r="H1034" s="67"/>
      <c r="I1034" s="67"/>
      <c r="J1034" s="67"/>
      <c r="K1034" s="67"/>
      <c r="L1034" s="67"/>
      <c r="M1034" s="67"/>
      <c r="N1034" s="67"/>
      <c r="O1034" s="67"/>
      <c r="P1034" s="67"/>
      <c r="Q1034" s="67"/>
      <c r="R1034" s="67"/>
      <c r="S1034" s="67"/>
      <c r="T1034" s="67"/>
      <c r="U1034" s="67"/>
      <c r="V1034" s="67"/>
      <c r="W1034" s="67"/>
      <c r="X1034" s="67"/>
      <c r="Y1034" s="67"/>
      <c r="Z1034" s="67"/>
      <c r="AA1034" s="67"/>
      <c r="AB1034" s="67"/>
      <c r="AC1034" s="67"/>
    </row>
    <row r="1035">
      <c r="A1035" s="18" t="s">
        <v>235</v>
      </c>
      <c r="B1035" s="18" t="s">
        <v>96</v>
      </c>
      <c r="C1035" s="68">
        <v>45.0</v>
      </c>
      <c r="D1035" s="63" t="s">
        <v>539</v>
      </c>
      <c r="E1035" s="64">
        <v>0.0</v>
      </c>
      <c r="F1035" s="65">
        <f t="shared" si="1"/>
        <v>45</v>
      </c>
      <c r="G1035" s="66">
        <f>IF(B1035&lt;&gt;"",VLOOKUP(B1035,Zutaten!$C:$F,4,FALSE),"")*C1035</f>
        <v>0.1942369565</v>
      </c>
      <c r="H1035" s="67"/>
      <c r="I1035" s="67"/>
      <c r="J1035" s="67"/>
      <c r="K1035" s="67"/>
      <c r="L1035" s="67"/>
      <c r="M1035" s="67"/>
      <c r="N1035" s="67"/>
      <c r="O1035" s="67"/>
      <c r="P1035" s="67"/>
      <c r="Q1035" s="67"/>
      <c r="R1035" s="67"/>
      <c r="S1035" s="67"/>
      <c r="T1035" s="67"/>
      <c r="U1035" s="67"/>
      <c r="V1035" s="67"/>
      <c r="W1035" s="67"/>
      <c r="X1035" s="67"/>
      <c r="Y1035" s="67"/>
      <c r="Z1035" s="67"/>
      <c r="AA1035" s="67"/>
      <c r="AB1035" s="67"/>
      <c r="AC1035" s="67"/>
    </row>
    <row r="1036">
      <c r="A1036" s="18" t="s">
        <v>235</v>
      </c>
      <c r="B1036" s="60" t="s">
        <v>234</v>
      </c>
      <c r="C1036" s="68">
        <v>50.0</v>
      </c>
      <c r="D1036" s="63" t="s">
        <v>539</v>
      </c>
      <c r="E1036" s="64">
        <v>0.0</v>
      </c>
      <c r="F1036" s="65">
        <f t="shared" si="1"/>
        <v>50</v>
      </c>
      <c r="G1036" s="66">
        <f>IF(B1036&lt;&gt;"",VLOOKUP(B1036,Zutaten!$C:$F,4,FALSE),"")*C1036</f>
        <v>0.1067942175</v>
      </c>
      <c r="H1036" s="67"/>
      <c r="I1036" s="67"/>
      <c r="J1036" s="67"/>
      <c r="K1036" s="67"/>
      <c r="L1036" s="67"/>
      <c r="M1036" s="67"/>
      <c r="N1036" s="67"/>
      <c r="O1036" s="67"/>
      <c r="P1036" s="67"/>
      <c r="Q1036" s="67"/>
      <c r="R1036" s="67"/>
      <c r="S1036" s="67"/>
      <c r="T1036" s="67"/>
      <c r="U1036" s="67"/>
      <c r="V1036" s="67"/>
      <c r="W1036" s="67"/>
      <c r="X1036" s="67"/>
      <c r="Y1036" s="67"/>
      <c r="Z1036" s="67"/>
      <c r="AA1036" s="67"/>
      <c r="AB1036" s="67"/>
      <c r="AC1036" s="67"/>
    </row>
    <row r="1037">
      <c r="A1037" s="18" t="s">
        <v>235</v>
      </c>
      <c r="B1037" s="18" t="s">
        <v>448</v>
      </c>
      <c r="C1037" s="68">
        <v>250.0</v>
      </c>
      <c r="D1037" s="63" t="s">
        <v>539</v>
      </c>
      <c r="E1037" s="64">
        <v>0.0</v>
      </c>
      <c r="F1037" s="65">
        <f t="shared" si="1"/>
        <v>250</v>
      </c>
      <c r="G1037" s="66">
        <f>IF(B1037&lt;&gt;"",VLOOKUP(B1037,Zutaten!$C:$F,4,FALSE),"")*C1037</f>
        <v>0.7775</v>
      </c>
      <c r="H1037" s="67"/>
      <c r="I1037" s="67"/>
      <c r="J1037" s="67"/>
      <c r="K1037" s="67"/>
      <c r="L1037" s="67"/>
      <c r="M1037" s="67"/>
      <c r="N1037" s="67"/>
      <c r="O1037" s="67"/>
      <c r="P1037" s="67"/>
      <c r="Q1037" s="67"/>
      <c r="R1037" s="67"/>
      <c r="S1037" s="67"/>
      <c r="T1037" s="67"/>
      <c r="U1037" s="67"/>
      <c r="V1037" s="67"/>
      <c r="W1037" s="67"/>
      <c r="X1037" s="67"/>
      <c r="Y1037" s="67"/>
      <c r="Z1037" s="67"/>
      <c r="AA1037" s="67"/>
      <c r="AB1037" s="67"/>
      <c r="AC1037" s="67"/>
    </row>
    <row r="1038">
      <c r="A1038" s="18" t="s">
        <v>236</v>
      </c>
      <c r="B1038" s="20" t="s">
        <v>496</v>
      </c>
      <c r="C1038" s="68">
        <v>250.0</v>
      </c>
      <c r="D1038" s="63" t="s">
        <v>539</v>
      </c>
      <c r="E1038" s="64">
        <v>0.0</v>
      </c>
      <c r="F1038" s="65">
        <f t="shared" si="1"/>
        <v>250</v>
      </c>
      <c r="G1038" s="66">
        <f>IF(B1038&lt;&gt;"",VLOOKUP(B1038,Zutaten!$C:$F,4,FALSE),"")*C1038</f>
        <v>1.3725</v>
      </c>
      <c r="H1038" s="67"/>
      <c r="I1038" s="67"/>
      <c r="J1038" s="67"/>
      <c r="K1038" s="67"/>
      <c r="L1038" s="67"/>
      <c r="M1038" s="67"/>
      <c r="N1038" s="67"/>
      <c r="O1038" s="67"/>
      <c r="P1038" s="67"/>
      <c r="Q1038" s="67"/>
      <c r="R1038" s="67"/>
      <c r="S1038" s="67"/>
      <c r="T1038" s="67"/>
      <c r="U1038" s="67"/>
      <c r="V1038" s="67"/>
      <c r="W1038" s="67"/>
      <c r="X1038" s="67"/>
      <c r="Y1038" s="67"/>
      <c r="Z1038" s="67"/>
      <c r="AA1038" s="67"/>
      <c r="AB1038" s="67"/>
      <c r="AC1038" s="67"/>
    </row>
    <row r="1039">
      <c r="A1039" s="60" t="s">
        <v>237</v>
      </c>
      <c r="B1039" s="61" t="s">
        <v>499</v>
      </c>
      <c r="C1039" s="62">
        <v>500.0</v>
      </c>
      <c r="D1039" s="63" t="s">
        <v>539</v>
      </c>
      <c r="E1039" s="64">
        <v>0.0</v>
      </c>
      <c r="F1039" s="65">
        <f t="shared" si="1"/>
        <v>500</v>
      </c>
      <c r="G1039" s="66">
        <f>IF(B1039&lt;&gt;"",VLOOKUP(B1039,Zutaten!$C:$F,4,FALSE),"")*C1039</f>
        <v>8.983333333</v>
      </c>
      <c r="H1039" s="67"/>
      <c r="I1039" s="67"/>
      <c r="J1039" s="67"/>
      <c r="K1039" s="67"/>
      <c r="L1039" s="67"/>
      <c r="M1039" s="67"/>
      <c r="N1039" s="67"/>
      <c r="O1039" s="67"/>
      <c r="P1039" s="67"/>
      <c r="Q1039" s="67"/>
      <c r="R1039" s="67"/>
      <c r="S1039" s="67"/>
      <c r="T1039" s="67"/>
      <c r="U1039" s="67"/>
      <c r="V1039" s="67"/>
      <c r="W1039" s="67"/>
      <c r="X1039" s="67"/>
      <c r="Y1039" s="67"/>
      <c r="Z1039" s="67"/>
      <c r="AA1039" s="67"/>
      <c r="AB1039" s="67"/>
      <c r="AC1039" s="67"/>
    </row>
    <row r="1040">
      <c r="A1040" s="60" t="s">
        <v>237</v>
      </c>
      <c r="B1040" s="61" t="s">
        <v>527</v>
      </c>
      <c r="C1040" s="62">
        <v>250.0</v>
      </c>
      <c r="D1040" s="63" t="s">
        <v>540</v>
      </c>
      <c r="E1040" s="64">
        <v>0.0</v>
      </c>
      <c r="F1040" s="65">
        <f t="shared" si="1"/>
        <v>250</v>
      </c>
      <c r="G1040" s="66">
        <f>IF(B1040&lt;&gt;"",VLOOKUP(B1040,Zutaten!$C:$F,4,FALSE),"")*C1040</f>
        <v>0.6</v>
      </c>
      <c r="H1040" s="67"/>
      <c r="I1040" s="67"/>
      <c r="J1040" s="67"/>
      <c r="K1040" s="67"/>
      <c r="L1040" s="67"/>
      <c r="M1040" s="67"/>
      <c r="N1040" s="67"/>
      <c r="O1040" s="67"/>
      <c r="P1040" s="67"/>
      <c r="Q1040" s="67"/>
      <c r="R1040" s="67"/>
      <c r="S1040" s="67"/>
      <c r="T1040" s="67"/>
      <c r="U1040" s="67"/>
      <c r="V1040" s="67"/>
      <c r="W1040" s="67"/>
      <c r="X1040" s="67"/>
      <c r="Y1040" s="67"/>
      <c r="Z1040" s="67"/>
      <c r="AA1040" s="67"/>
      <c r="AB1040" s="67"/>
      <c r="AC1040" s="67"/>
    </row>
    <row r="1041">
      <c r="A1041" s="60" t="s">
        <v>237</v>
      </c>
      <c r="B1041" s="61" t="s">
        <v>428</v>
      </c>
      <c r="C1041" s="62">
        <v>1000.0</v>
      </c>
      <c r="D1041" s="63" t="s">
        <v>540</v>
      </c>
      <c r="E1041" s="64">
        <v>0.0</v>
      </c>
      <c r="F1041" s="65">
        <f t="shared" si="1"/>
        <v>1000</v>
      </c>
      <c r="G1041" s="66">
        <f>IF(B1041&lt;&gt;"",VLOOKUP(B1041,Zutaten!$C:$F,4,FALSE),"")*C1041</f>
        <v>8.64</v>
      </c>
      <c r="H1041" s="67"/>
      <c r="I1041" s="67"/>
      <c r="J1041" s="67"/>
      <c r="K1041" s="67"/>
      <c r="L1041" s="67"/>
      <c r="M1041" s="67"/>
      <c r="N1041" s="67"/>
      <c r="O1041" s="67"/>
      <c r="P1041" s="67"/>
      <c r="Q1041" s="67"/>
      <c r="R1041" s="67"/>
      <c r="S1041" s="67"/>
      <c r="T1041" s="67"/>
      <c r="U1041" s="67"/>
      <c r="V1041" s="67"/>
      <c r="W1041" s="67"/>
      <c r="X1041" s="67"/>
      <c r="Y1041" s="67"/>
      <c r="Z1041" s="67"/>
      <c r="AA1041" s="67"/>
      <c r="AB1041" s="67"/>
      <c r="AC1041" s="67"/>
    </row>
    <row r="1042">
      <c r="A1042" s="60" t="s">
        <v>237</v>
      </c>
      <c r="B1042" s="61" t="s">
        <v>467</v>
      </c>
      <c r="C1042" s="62">
        <v>10.0</v>
      </c>
      <c r="D1042" s="63" t="s">
        <v>539</v>
      </c>
      <c r="E1042" s="64">
        <v>0.0</v>
      </c>
      <c r="F1042" s="65">
        <f t="shared" si="1"/>
        <v>10</v>
      </c>
      <c r="G1042" s="66">
        <f>IF(B1042&lt;&gt;"",VLOOKUP(B1042,Zutaten!$C:$F,4,FALSE),"")*C1042</f>
        <v>0.00368</v>
      </c>
      <c r="H1042" s="67"/>
      <c r="I1042" s="67"/>
      <c r="J1042" s="67"/>
      <c r="K1042" s="67"/>
      <c r="L1042" s="67"/>
      <c r="M1042" s="67"/>
      <c r="N1042" s="67"/>
      <c r="O1042" s="67"/>
      <c r="P1042" s="67"/>
      <c r="Q1042" s="67"/>
      <c r="R1042" s="67"/>
      <c r="S1042" s="67"/>
      <c r="T1042" s="67"/>
      <c r="U1042" s="67"/>
      <c r="V1042" s="67"/>
      <c r="W1042" s="67"/>
      <c r="X1042" s="67"/>
      <c r="Y1042" s="67"/>
      <c r="Z1042" s="67"/>
      <c r="AA1042" s="67"/>
      <c r="AB1042" s="67"/>
      <c r="AC1042" s="67"/>
    </row>
    <row r="1043">
      <c r="A1043" s="18" t="s">
        <v>238</v>
      </c>
      <c r="B1043" s="60" t="s">
        <v>101</v>
      </c>
      <c r="C1043" s="68">
        <v>150.0</v>
      </c>
      <c r="D1043" s="63" t="s">
        <v>539</v>
      </c>
      <c r="E1043" s="64">
        <v>0.0</v>
      </c>
      <c r="F1043" s="65">
        <f t="shared" si="1"/>
        <v>150</v>
      </c>
      <c r="G1043" s="66">
        <f>IF(B1043&lt;&gt;"",VLOOKUP(B1043,Zutaten!$C:$F,4,FALSE),"")*C1043</f>
        <v>0.9830411669</v>
      </c>
      <c r="H1043" s="67"/>
      <c r="I1043" s="67"/>
      <c r="J1043" s="67"/>
      <c r="K1043" s="67"/>
      <c r="L1043" s="67"/>
      <c r="M1043" s="67"/>
      <c r="N1043" s="67"/>
      <c r="O1043" s="67"/>
      <c r="P1043" s="67"/>
      <c r="Q1043" s="67"/>
      <c r="R1043" s="67"/>
      <c r="S1043" s="67"/>
      <c r="T1043" s="67"/>
      <c r="U1043" s="67"/>
      <c r="V1043" s="67"/>
      <c r="W1043" s="67"/>
      <c r="X1043" s="67"/>
      <c r="Y1043" s="67"/>
      <c r="Z1043" s="67"/>
      <c r="AA1043" s="67"/>
      <c r="AB1043" s="67"/>
      <c r="AC1043" s="67"/>
    </row>
    <row r="1044">
      <c r="A1044" s="18" t="s">
        <v>238</v>
      </c>
      <c r="B1044" s="18" t="s">
        <v>313</v>
      </c>
      <c r="C1044" s="68">
        <v>80.0</v>
      </c>
      <c r="D1044" s="63" t="s">
        <v>539</v>
      </c>
      <c r="E1044" s="64">
        <v>0.0</v>
      </c>
      <c r="F1044" s="65">
        <f t="shared" si="1"/>
        <v>80</v>
      </c>
      <c r="G1044" s="66">
        <f>IF(B1044&lt;&gt;"",VLOOKUP(B1044,Zutaten!$C:$F,4,FALSE),"")*C1044</f>
        <v>0.5</v>
      </c>
      <c r="H1044" s="67"/>
      <c r="I1044" s="67"/>
      <c r="J1044" s="67"/>
      <c r="K1044" s="67"/>
      <c r="L1044" s="67"/>
      <c r="M1044" s="67"/>
      <c r="N1044" s="67"/>
      <c r="O1044" s="67"/>
      <c r="P1044" s="67"/>
      <c r="Q1044" s="67"/>
      <c r="R1044" s="67"/>
      <c r="S1044" s="67"/>
      <c r="T1044" s="67"/>
      <c r="U1044" s="67"/>
      <c r="V1044" s="67"/>
      <c r="W1044" s="67"/>
      <c r="X1044" s="67"/>
      <c r="Y1044" s="67"/>
      <c r="Z1044" s="67"/>
      <c r="AA1044" s="67"/>
      <c r="AB1044" s="67"/>
      <c r="AC1044" s="67"/>
    </row>
    <row r="1045">
      <c r="A1045" s="18" t="s">
        <v>238</v>
      </c>
      <c r="B1045" s="18" t="s">
        <v>336</v>
      </c>
      <c r="C1045" s="68">
        <v>20.0</v>
      </c>
      <c r="D1045" s="63" t="s">
        <v>539</v>
      </c>
      <c r="E1045" s="64">
        <v>0.0</v>
      </c>
      <c r="F1045" s="65">
        <f t="shared" si="1"/>
        <v>20</v>
      </c>
      <c r="G1045" s="66">
        <f>IF(B1045&lt;&gt;"",VLOOKUP(B1045,Zutaten!$C:$F,4,FALSE),"")*C1045</f>
        <v>0.1278</v>
      </c>
      <c r="H1045" s="67"/>
      <c r="I1045" s="67"/>
      <c r="J1045" s="67"/>
      <c r="K1045" s="67"/>
      <c r="L1045" s="67"/>
      <c r="M1045" s="67"/>
      <c r="N1045" s="67"/>
      <c r="O1045" s="67"/>
      <c r="P1045" s="67"/>
      <c r="Q1045" s="67"/>
      <c r="R1045" s="67"/>
      <c r="S1045" s="67"/>
      <c r="T1045" s="67"/>
      <c r="U1045" s="67"/>
      <c r="V1045" s="67"/>
      <c r="W1045" s="67"/>
      <c r="X1045" s="67"/>
      <c r="Y1045" s="67"/>
      <c r="Z1045" s="67"/>
      <c r="AA1045" s="67"/>
      <c r="AB1045" s="67"/>
      <c r="AC1045" s="67"/>
    </row>
    <row r="1046">
      <c r="A1046" s="18" t="s">
        <v>238</v>
      </c>
      <c r="B1046" s="18" t="s">
        <v>100</v>
      </c>
      <c r="C1046" s="68">
        <v>40.0</v>
      </c>
      <c r="D1046" s="63" t="s">
        <v>539</v>
      </c>
      <c r="E1046" s="64">
        <v>0.0</v>
      </c>
      <c r="F1046" s="65">
        <f t="shared" si="1"/>
        <v>40</v>
      </c>
      <c r="G1046" s="66">
        <f>IF(B1046&lt;&gt;"",VLOOKUP(B1046,Zutaten!$C:$F,4,FALSE),"")*C1046</f>
        <v>0.2991892751</v>
      </c>
      <c r="H1046" s="67"/>
      <c r="I1046" s="67"/>
      <c r="J1046" s="67"/>
      <c r="K1046" s="67"/>
      <c r="L1046" s="67"/>
      <c r="M1046" s="67"/>
      <c r="N1046" s="67"/>
      <c r="O1046" s="67"/>
      <c r="P1046" s="67"/>
      <c r="Q1046" s="67"/>
      <c r="R1046" s="67"/>
      <c r="S1046" s="67"/>
      <c r="T1046" s="67"/>
      <c r="U1046" s="67"/>
      <c r="V1046" s="67"/>
      <c r="W1046" s="67"/>
      <c r="X1046" s="67"/>
      <c r="Y1046" s="67"/>
      <c r="Z1046" s="67"/>
      <c r="AA1046" s="67"/>
      <c r="AB1046" s="67"/>
      <c r="AC1046" s="67"/>
    </row>
    <row r="1047">
      <c r="A1047" s="18" t="s">
        <v>238</v>
      </c>
      <c r="B1047" s="18" t="s">
        <v>502</v>
      </c>
      <c r="C1047" s="68">
        <v>60.0</v>
      </c>
      <c r="D1047" s="63" t="s">
        <v>539</v>
      </c>
      <c r="E1047" s="64">
        <v>0.0</v>
      </c>
      <c r="F1047" s="65">
        <f t="shared" si="1"/>
        <v>60</v>
      </c>
      <c r="G1047" s="66">
        <f>IF(B1047&lt;&gt;"",VLOOKUP(B1047,Zutaten!$C:$F,4,FALSE),"")*C1047</f>
        <v>0.16578</v>
      </c>
      <c r="H1047" s="67"/>
      <c r="I1047" s="67"/>
      <c r="J1047" s="67"/>
      <c r="K1047" s="67"/>
      <c r="L1047" s="67"/>
      <c r="M1047" s="67"/>
      <c r="N1047" s="67"/>
      <c r="O1047" s="67"/>
      <c r="P1047" s="67"/>
      <c r="Q1047" s="67"/>
      <c r="R1047" s="67"/>
      <c r="S1047" s="67"/>
      <c r="T1047" s="67"/>
      <c r="U1047" s="67"/>
      <c r="V1047" s="67"/>
      <c r="W1047" s="67"/>
      <c r="X1047" s="67"/>
      <c r="Y1047" s="67"/>
      <c r="Z1047" s="67"/>
      <c r="AA1047" s="67"/>
      <c r="AB1047" s="67"/>
      <c r="AC1047" s="67"/>
    </row>
    <row r="1048">
      <c r="A1048" s="18" t="s">
        <v>238</v>
      </c>
      <c r="B1048" s="63" t="s">
        <v>239</v>
      </c>
      <c r="C1048" s="68">
        <v>50.0</v>
      </c>
      <c r="D1048" s="63" t="s">
        <v>539</v>
      </c>
      <c r="E1048" s="64">
        <v>0.0</v>
      </c>
      <c r="F1048" s="65">
        <f t="shared" si="1"/>
        <v>50</v>
      </c>
      <c r="G1048" s="66">
        <f>IF(B1048&lt;&gt;"",VLOOKUP(B1048,Zutaten!$C:$F,4,FALSE),"")*C1048</f>
        <v>0.1526727108</v>
      </c>
      <c r="H1048" s="67"/>
      <c r="I1048" s="67"/>
      <c r="J1048" s="67"/>
      <c r="K1048" s="67"/>
      <c r="L1048" s="67"/>
      <c r="M1048" s="67"/>
      <c r="N1048" s="67"/>
      <c r="O1048" s="67"/>
      <c r="P1048" s="67"/>
      <c r="Q1048" s="67"/>
      <c r="R1048" s="67"/>
      <c r="S1048" s="67"/>
      <c r="T1048" s="67"/>
      <c r="U1048" s="67"/>
      <c r="V1048" s="67"/>
      <c r="W1048" s="67"/>
      <c r="X1048" s="67"/>
      <c r="Y1048" s="67"/>
      <c r="Z1048" s="67"/>
      <c r="AA1048" s="67"/>
      <c r="AB1048" s="67"/>
      <c r="AC1048" s="67"/>
    </row>
    <row r="1049">
      <c r="A1049" s="63" t="s">
        <v>239</v>
      </c>
      <c r="B1049" s="61" t="s">
        <v>455</v>
      </c>
      <c r="C1049" s="62">
        <v>8000.0</v>
      </c>
      <c r="D1049" s="63" t="s">
        <v>540</v>
      </c>
      <c r="E1049" s="64">
        <v>0.0</v>
      </c>
      <c r="F1049" s="65">
        <f t="shared" si="1"/>
        <v>8000</v>
      </c>
      <c r="G1049" s="66">
        <f>IF(B1049&lt;&gt;"",VLOOKUP(B1049,Zutaten!$C:$F,4,FALSE),"")*C1049</f>
        <v>15.92</v>
      </c>
      <c r="H1049" s="67"/>
      <c r="I1049" s="67"/>
      <c r="J1049" s="67"/>
      <c r="K1049" s="67"/>
      <c r="L1049" s="67"/>
      <c r="M1049" s="67"/>
      <c r="N1049" s="67"/>
      <c r="O1049" s="67"/>
      <c r="P1049" s="67"/>
      <c r="Q1049" s="67"/>
      <c r="R1049" s="67"/>
      <c r="S1049" s="67"/>
      <c r="T1049" s="67"/>
      <c r="U1049" s="67"/>
      <c r="V1049" s="67"/>
      <c r="W1049" s="67"/>
      <c r="X1049" s="67"/>
      <c r="Y1049" s="67"/>
      <c r="Z1049" s="67"/>
      <c r="AA1049" s="67"/>
      <c r="AB1049" s="67"/>
      <c r="AC1049" s="67"/>
    </row>
    <row r="1050">
      <c r="A1050" s="63" t="s">
        <v>239</v>
      </c>
      <c r="B1050" s="61" t="s">
        <v>510</v>
      </c>
      <c r="C1050" s="62">
        <v>1000.0</v>
      </c>
      <c r="D1050" s="63" t="s">
        <v>539</v>
      </c>
      <c r="E1050" s="64">
        <v>0.0</v>
      </c>
      <c r="F1050" s="65">
        <f t="shared" si="1"/>
        <v>1000</v>
      </c>
      <c r="G1050" s="66">
        <f>IF(B1050&lt;&gt;"",VLOOKUP(B1050,Zutaten!$C:$F,4,FALSE),"")*C1050</f>
        <v>4.64</v>
      </c>
      <c r="H1050" s="67"/>
      <c r="I1050" s="67"/>
      <c r="J1050" s="67"/>
      <c r="K1050" s="67"/>
      <c r="L1050" s="67"/>
      <c r="M1050" s="67"/>
      <c r="N1050" s="67"/>
      <c r="O1050" s="67"/>
      <c r="P1050" s="67"/>
      <c r="Q1050" s="67"/>
      <c r="R1050" s="67"/>
      <c r="S1050" s="67"/>
      <c r="T1050" s="67"/>
      <c r="U1050" s="67"/>
      <c r="V1050" s="67"/>
      <c r="W1050" s="67"/>
      <c r="X1050" s="67"/>
      <c r="Y1050" s="67"/>
      <c r="Z1050" s="67"/>
      <c r="AA1050" s="67"/>
      <c r="AB1050" s="67"/>
      <c r="AC1050" s="67"/>
    </row>
    <row r="1051">
      <c r="A1051" s="63" t="s">
        <v>239</v>
      </c>
      <c r="B1051" s="61" t="s">
        <v>332</v>
      </c>
      <c r="C1051" s="62">
        <v>1000.0</v>
      </c>
      <c r="D1051" s="63" t="s">
        <v>539</v>
      </c>
      <c r="E1051" s="64">
        <v>0.0</v>
      </c>
      <c r="F1051" s="65">
        <f t="shared" si="1"/>
        <v>1000</v>
      </c>
      <c r="G1051" s="66">
        <f>IF(B1051&lt;&gt;"",VLOOKUP(B1051,Zutaten!$C:$F,4,FALSE),"")*C1051</f>
        <v>8.49</v>
      </c>
      <c r="H1051" s="67"/>
      <c r="I1051" s="67"/>
      <c r="J1051" s="67"/>
      <c r="K1051" s="67"/>
      <c r="L1051" s="67"/>
      <c r="M1051" s="67"/>
      <c r="N1051" s="67"/>
      <c r="O1051" s="67"/>
      <c r="P1051" s="67"/>
      <c r="Q1051" s="67"/>
      <c r="R1051" s="67"/>
      <c r="S1051" s="67"/>
      <c r="T1051" s="67"/>
      <c r="U1051" s="67"/>
      <c r="V1051" s="67"/>
      <c r="W1051" s="67"/>
      <c r="X1051" s="67"/>
      <c r="Y1051" s="67"/>
      <c r="Z1051" s="67"/>
      <c r="AA1051" s="67"/>
      <c r="AB1051" s="67"/>
      <c r="AC1051" s="67"/>
    </row>
    <row r="1052">
      <c r="A1052" s="63" t="s">
        <v>239</v>
      </c>
      <c r="B1052" s="61" t="s">
        <v>467</v>
      </c>
      <c r="C1052" s="62">
        <v>50.0</v>
      </c>
      <c r="D1052" s="63" t="s">
        <v>539</v>
      </c>
      <c r="E1052" s="64">
        <v>0.0</v>
      </c>
      <c r="F1052" s="65">
        <f t="shared" si="1"/>
        <v>50</v>
      </c>
      <c r="G1052" s="66">
        <f>IF(B1052&lt;&gt;"",VLOOKUP(B1052,Zutaten!$C:$F,4,FALSE),"")*C1052</f>
        <v>0.0184</v>
      </c>
      <c r="H1052" s="67"/>
      <c r="I1052" s="67"/>
      <c r="J1052" s="67"/>
      <c r="K1052" s="67"/>
      <c r="L1052" s="67"/>
      <c r="M1052" s="67"/>
      <c r="N1052" s="67"/>
      <c r="O1052" s="67"/>
      <c r="P1052" s="67"/>
      <c r="Q1052" s="67"/>
      <c r="R1052" s="67"/>
      <c r="S1052" s="67"/>
      <c r="T1052" s="67"/>
      <c r="U1052" s="67"/>
      <c r="V1052" s="67"/>
      <c r="W1052" s="67"/>
      <c r="X1052" s="67"/>
      <c r="Y1052" s="67"/>
      <c r="Z1052" s="67"/>
      <c r="AA1052" s="67"/>
      <c r="AB1052" s="67"/>
      <c r="AC1052" s="67"/>
    </row>
    <row r="1053">
      <c r="A1053" s="63" t="s">
        <v>239</v>
      </c>
      <c r="B1053" s="61" t="s">
        <v>528</v>
      </c>
      <c r="C1053" s="62">
        <v>80.0</v>
      </c>
      <c r="D1053" s="63" t="s">
        <v>539</v>
      </c>
      <c r="E1053" s="64">
        <v>0.0</v>
      </c>
      <c r="F1053" s="65">
        <f t="shared" si="1"/>
        <v>80</v>
      </c>
      <c r="G1053" s="66">
        <f>IF(B1053&lt;&gt;"",VLOOKUP(B1053,Zutaten!$C:$F,4,FALSE),"")*C1053</f>
        <v>0.1152</v>
      </c>
      <c r="H1053" s="67"/>
      <c r="I1053" s="67"/>
      <c r="J1053" s="67"/>
      <c r="K1053" s="67"/>
      <c r="L1053" s="67"/>
      <c r="M1053" s="67"/>
      <c r="N1053" s="67"/>
      <c r="O1053" s="67"/>
      <c r="P1053" s="67"/>
      <c r="Q1053" s="67"/>
      <c r="R1053" s="67"/>
      <c r="S1053" s="67"/>
      <c r="T1053" s="67"/>
      <c r="U1053" s="67"/>
      <c r="V1053" s="67"/>
      <c r="W1053" s="67"/>
      <c r="X1053" s="67"/>
      <c r="Y1053" s="67"/>
      <c r="Z1053" s="67"/>
      <c r="AA1053" s="67"/>
      <c r="AB1053" s="67"/>
      <c r="AC1053" s="67"/>
    </row>
    <row r="1054">
      <c r="A1054" s="63" t="s">
        <v>239</v>
      </c>
      <c r="B1054" s="61" t="s">
        <v>351</v>
      </c>
      <c r="C1054" s="62">
        <v>200.0</v>
      </c>
      <c r="D1054" s="63" t="s">
        <v>540</v>
      </c>
      <c r="E1054" s="64">
        <v>0.0</v>
      </c>
      <c r="F1054" s="65">
        <f t="shared" si="1"/>
        <v>200</v>
      </c>
      <c r="G1054" s="66">
        <f>IF(B1054&lt;&gt;"",VLOOKUP(B1054,Zutaten!$C:$F,4,FALSE),"")*C1054</f>
        <v>0.142</v>
      </c>
      <c r="H1054" s="67"/>
      <c r="I1054" s="67"/>
      <c r="J1054" s="67"/>
      <c r="K1054" s="67"/>
      <c r="L1054" s="67"/>
      <c r="M1054" s="67"/>
      <c r="N1054" s="67"/>
      <c r="O1054" s="67"/>
      <c r="P1054" s="67"/>
      <c r="Q1054" s="67"/>
      <c r="R1054" s="67"/>
      <c r="S1054" s="67"/>
      <c r="T1054" s="67"/>
      <c r="U1054" s="67"/>
      <c r="V1054" s="67"/>
      <c r="W1054" s="67"/>
      <c r="X1054" s="67"/>
      <c r="Y1054" s="67"/>
      <c r="Z1054" s="67"/>
      <c r="AA1054" s="67"/>
      <c r="AB1054" s="67"/>
      <c r="AC1054" s="67"/>
    </row>
    <row r="1055">
      <c r="A1055" s="63" t="s">
        <v>239</v>
      </c>
      <c r="B1055" s="63" t="s">
        <v>240</v>
      </c>
      <c r="C1055" s="63">
        <v>700.0</v>
      </c>
      <c r="D1055" s="63" t="s">
        <v>540</v>
      </c>
      <c r="E1055" s="64">
        <v>0.0</v>
      </c>
      <c r="F1055" s="65">
        <f t="shared" si="1"/>
        <v>700</v>
      </c>
      <c r="G1055" s="66">
        <f>IF(B1055&lt;&gt;"",VLOOKUP(B1055,Zutaten!$C:$F,4,FALSE),"")*C1055</f>
        <v>4.354</v>
      </c>
      <c r="H1055" s="67"/>
      <c r="I1055" s="67"/>
      <c r="J1055" s="67"/>
      <c r="K1055" s="67"/>
      <c r="L1055" s="67"/>
      <c r="M1055" s="67"/>
      <c r="N1055" s="67"/>
      <c r="O1055" s="67"/>
      <c r="P1055" s="67"/>
      <c r="Q1055" s="67"/>
      <c r="R1055" s="67"/>
      <c r="S1055" s="67"/>
      <c r="T1055" s="67"/>
      <c r="U1055" s="67"/>
      <c r="V1055" s="67"/>
      <c r="W1055" s="67"/>
      <c r="X1055" s="67"/>
      <c r="Y1055" s="67"/>
      <c r="Z1055" s="67"/>
      <c r="AA1055" s="67"/>
      <c r="AB1055" s="67"/>
      <c r="AC1055" s="67"/>
    </row>
    <row r="1056">
      <c r="A1056" s="63" t="s">
        <v>240</v>
      </c>
      <c r="B1056" s="63" t="s">
        <v>492</v>
      </c>
      <c r="C1056" s="63">
        <v>1000.0</v>
      </c>
      <c r="D1056" s="63" t="s">
        <v>540</v>
      </c>
      <c r="E1056" s="64">
        <v>0.0</v>
      </c>
      <c r="F1056" s="65">
        <f t="shared" si="1"/>
        <v>1000</v>
      </c>
      <c r="G1056" s="66">
        <f>IF(B1056&lt;&gt;"",VLOOKUP(B1056,Zutaten!$C:$F,4,FALSE),"")*C1056</f>
        <v>11</v>
      </c>
      <c r="H1056" s="67"/>
      <c r="I1056" s="67"/>
      <c r="J1056" s="67"/>
      <c r="K1056" s="67"/>
      <c r="L1056" s="67"/>
      <c r="M1056" s="67"/>
      <c r="N1056" s="67"/>
      <c r="O1056" s="67"/>
      <c r="P1056" s="67"/>
      <c r="Q1056" s="67"/>
      <c r="R1056" s="67"/>
      <c r="S1056" s="67"/>
      <c r="T1056" s="67"/>
      <c r="U1056" s="67"/>
      <c r="V1056" s="67"/>
      <c r="W1056" s="67"/>
      <c r="X1056" s="67"/>
      <c r="Y1056" s="67"/>
      <c r="Z1056" s="67"/>
      <c r="AA1056" s="67"/>
      <c r="AB1056" s="67"/>
      <c r="AC1056" s="67"/>
    </row>
    <row r="1057">
      <c r="A1057" s="63" t="s">
        <v>240</v>
      </c>
      <c r="B1057" s="63" t="s">
        <v>528</v>
      </c>
      <c r="C1057" s="63">
        <v>1000.0</v>
      </c>
      <c r="D1057" s="63" t="s">
        <v>539</v>
      </c>
      <c r="E1057" s="64">
        <v>0.0</v>
      </c>
      <c r="F1057" s="65">
        <f t="shared" si="1"/>
        <v>1000</v>
      </c>
      <c r="G1057" s="66">
        <f>IF(B1057&lt;&gt;"",VLOOKUP(B1057,Zutaten!$C:$F,4,FALSE),"")*C1057</f>
        <v>1.44</v>
      </c>
      <c r="H1057" s="67"/>
      <c r="I1057" s="67"/>
      <c r="J1057" s="67"/>
      <c r="K1057" s="67"/>
      <c r="L1057" s="67"/>
      <c r="M1057" s="67"/>
      <c r="N1057" s="67"/>
      <c r="O1057" s="67"/>
      <c r="P1057" s="67"/>
      <c r="Q1057" s="67"/>
      <c r="R1057" s="67"/>
      <c r="S1057" s="67"/>
      <c r="T1057" s="67"/>
      <c r="U1057" s="67"/>
      <c r="V1057" s="67"/>
      <c r="W1057" s="67"/>
      <c r="X1057" s="67"/>
      <c r="Y1057" s="67"/>
      <c r="Z1057" s="67"/>
      <c r="AA1057" s="67"/>
      <c r="AB1057" s="67"/>
      <c r="AC1057" s="67"/>
    </row>
    <row r="1058">
      <c r="A1058" s="18" t="s">
        <v>241</v>
      </c>
      <c r="B1058" s="18" t="s">
        <v>457</v>
      </c>
      <c r="C1058" s="68">
        <f>275*1.2</f>
        <v>330</v>
      </c>
      <c r="D1058" s="63" t="s">
        <v>539</v>
      </c>
      <c r="E1058" s="64">
        <v>0.0</v>
      </c>
      <c r="F1058" s="65">
        <f t="shared" si="1"/>
        <v>330</v>
      </c>
      <c r="G1058" s="66">
        <f>IF(B1058&lt;&gt;"",VLOOKUP(B1058,Zutaten!$C:$F,4,FALSE),"")*C1058</f>
        <v>1.9767</v>
      </c>
      <c r="H1058" s="67"/>
      <c r="I1058" s="67"/>
      <c r="J1058" s="67"/>
      <c r="K1058" s="67"/>
      <c r="L1058" s="67"/>
      <c r="M1058" s="67"/>
      <c r="N1058" s="67"/>
      <c r="O1058" s="67"/>
      <c r="P1058" s="67"/>
      <c r="Q1058" s="67"/>
      <c r="R1058" s="67"/>
      <c r="S1058" s="67"/>
      <c r="T1058" s="67"/>
      <c r="U1058" s="67"/>
      <c r="V1058" s="67"/>
      <c r="W1058" s="67"/>
      <c r="X1058" s="67"/>
      <c r="Y1058" s="67"/>
      <c r="Z1058" s="67"/>
      <c r="AA1058" s="67"/>
      <c r="AB1058" s="67"/>
      <c r="AC1058" s="67"/>
    </row>
    <row r="1059">
      <c r="A1059" s="18" t="s">
        <v>241</v>
      </c>
      <c r="B1059" s="18" t="s">
        <v>318</v>
      </c>
      <c r="C1059" s="68">
        <v>20.0</v>
      </c>
      <c r="D1059" s="63" t="s">
        <v>539</v>
      </c>
      <c r="E1059" s="64">
        <v>0.0</v>
      </c>
      <c r="F1059" s="65">
        <f t="shared" si="1"/>
        <v>20</v>
      </c>
      <c r="G1059" s="66">
        <f>IF(B1059&lt;&gt;"",VLOOKUP(B1059,Zutaten!$C:$F,4,FALSE),"")*C1059</f>
        <v>0.2278</v>
      </c>
      <c r="H1059" s="67"/>
      <c r="I1059" s="67"/>
      <c r="J1059" s="67"/>
      <c r="K1059" s="67"/>
      <c r="L1059" s="67"/>
      <c r="M1059" s="67"/>
      <c r="N1059" s="67"/>
      <c r="O1059" s="67"/>
      <c r="P1059" s="67"/>
      <c r="Q1059" s="67"/>
      <c r="R1059" s="67"/>
      <c r="S1059" s="67"/>
      <c r="T1059" s="67"/>
      <c r="U1059" s="67"/>
      <c r="V1059" s="67"/>
      <c r="W1059" s="67"/>
      <c r="X1059" s="67"/>
      <c r="Y1059" s="67"/>
      <c r="Z1059" s="67"/>
      <c r="AA1059" s="67"/>
      <c r="AB1059" s="67"/>
      <c r="AC1059" s="67"/>
    </row>
    <row r="1060">
      <c r="A1060" s="18" t="s">
        <v>241</v>
      </c>
      <c r="B1060" s="18" t="s">
        <v>202</v>
      </c>
      <c r="C1060" s="68">
        <v>20.0</v>
      </c>
      <c r="D1060" s="63" t="s">
        <v>539</v>
      </c>
      <c r="E1060" s="64">
        <v>0.0</v>
      </c>
      <c r="F1060" s="65">
        <f t="shared" si="1"/>
        <v>20</v>
      </c>
      <c r="G1060" s="66">
        <f>IF(B1060&lt;&gt;"",VLOOKUP(B1060,Zutaten!$C:$F,4,FALSE),"")*C1060</f>
        <v>0.05888280828</v>
      </c>
      <c r="H1060" s="67"/>
      <c r="I1060" s="67"/>
      <c r="J1060" s="67"/>
      <c r="K1060" s="67"/>
      <c r="L1060" s="67"/>
      <c r="M1060" s="67"/>
      <c r="N1060" s="67"/>
      <c r="O1060" s="67"/>
      <c r="P1060" s="67"/>
      <c r="Q1060" s="67"/>
      <c r="R1060" s="67"/>
      <c r="S1060" s="67"/>
      <c r="T1060" s="67"/>
      <c r="U1060" s="67"/>
      <c r="V1060" s="67"/>
      <c r="W1060" s="67"/>
      <c r="X1060" s="67"/>
      <c r="Y1060" s="67"/>
      <c r="Z1060" s="67"/>
      <c r="AA1060" s="67"/>
      <c r="AB1060" s="67"/>
      <c r="AC1060" s="67"/>
    </row>
    <row r="1061">
      <c r="A1061" s="18" t="s">
        <v>241</v>
      </c>
      <c r="B1061" s="18" t="s">
        <v>302</v>
      </c>
      <c r="C1061" s="68">
        <v>35.0</v>
      </c>
      <c r="D1061" s="63" t="s">
        <v>539</v>
      </c>
      <c r="E1061" s="64">
        <v>0.0</v>
      </c>
      <c r="F1061" s="65">
        <f t="shared" si="1"/>
        <v>35</v>
      </c>
      <c r="G1061" s="66">
        <f>IF(B1061&lt;&gt;"",VLOOKUP(B1061,Zutaten!$C:$F,4,FALSE),"")*C1061</f>
        <v>0.3899</v>
      </c>
      <c r="H1061" s="67"/>
      <c r="I1061" s="67"/>
      <c r="J1061" s="67"/>
      <c r="K1061" s="67"/>
      <c r="L1061" s="67"/>
      <c r="M1061" s="67"/>
      <c r="N1061" s="67"/>
      <c r="O1061" s="67"/>
      <c r="P1061" s="67"/>
      <c r="Q1061" s="67"/>
      <c r="R1061" s="67"/>
      <c r="S1061" s="67"/>
      <c r="T1061" s="67"/>
      <c r="U1061" s="67"/>
      <c r="V1061" s="67"/>
      <c r="W1061" s="67"/>
      <c r="X1061" s="67"/>
      <c r="Y1061" s="67"/>
      <c r="Z1061" s="67"/>
      <c r="AA1061" s="67"/>
      <c r="AB1061" s="67"/>
      <c r="AC1061" s="67"/>
    </row>
    <row r="1062">
      <c r="A1062" s="18" t="s">
        <v>241</v>
      </c>
      <c r="B1062" s="18" t="s">
        <v>359</v>
      </c>
      <c r="C1062" s="68">
        <v>20.0</v>
      </c>
      <c r="D1062" s="63" t="s">
        <v>539</v>
      </c>
      <c r="E1062" s="64">
        <v>0.0</v>
      </c>
      <c r="F1062" s="65">
        <f t="shared" si="1"/>
        <v>20</v>
      </c>
      <c r="G1062" s="66">
        <f>IF(B1062&lt;&gt;"",VLOOKUP(B1062,Zutaten!$C:$F,4,FALSE),"")*C1062</f>
        <v>0.04160714286</v>
      </c>
      <c r="H1062" s="67"/>
      <c r="I1062" s="67"/>
      <c r="J1062" s="67"/>
      <c r="K1062" s="67"/>
      <c r="L1062" s="67"/>
      <c r="M1062" s="67"/>
      <c r="N1062" s="67"/>
      <c r="O1062" s="67"/>
      <c r="P1062" s="67"/>
      <c r="Q1062" s="67"/>
      <c r="R1062" s="67"/>
      <c r="S1062" s="67"/>
      <c r="T1062" s="67"/>
      <c r="U1062" s="67"/>
      <c r="V1062" s="67"/>
      <c r="W1062" s="67"/>
      <c r="X1062" s="67"/>
      <c r="Y1062" s="67"/>
      <c r="Z1062" s="67"/>
      <c r="AA1062" s="67"/>
      <c r="AB1062" s="67"/>
      <c r="AC1062" s="67"/>
    </row>
    <row r="1063">
      <c r="A1063" s="18" t="s">
        <v>241</v>
      </c>
      <c r="B1063" s="18" t="s">
        <v>541</v>
      </c>
      <c r="C1063" s="68">
        <v>40.0</v>
      </c>
      <c r="D1063" s="63" t="s">
        <v>539</v>
      </c>
      <c r="E1063" s="64">
        <v>0.0</v>
      </c>
      <c r="F1063" s="65">
        <f t="shared" si="1"/>
        <v>40</v>
      </c>
      <c r="G1063" s="66">
        <f>IF(B1063&lt;&gt;"",VLOOKUP(B1063,Zutaten!$C:$F,4,FALSE),"")*C1063</f>
        <v>0.8144</v>
      </c>
      <c r="H1063" s="67"/>
      <c r="I1063" s="67"/>
      <c r="J1063" s="67"/>
      <c r="K1063" s="67"/>
      <c r="L1063" s="67"/>
      <c r="M1063" s="67"/>
      <c r="N1063" s="67"/>
      <c r="O1063" s="67"/>
      <c r="P1063" s="67"/>
      <c r="Q1063" s="67"/>
      <c r="R1063" s="67"/>
      <c r="S1063" s="67"/>
      <c r="T1063" s="67"/>
      <c r="U1063" s="67"/>
      <c r="V1063" s="67"/>
      <c r="W1063" s="67"/>
      <c r="X1063" s="67"/>
      <c r="Y1063" s="67"/>
      <c r="Z1063" s="67"/>
      <c r="AA1063" s="67"/>
      <c r="AB1063" s="67"/>
      <c r="AC1063" s="67"/>
    </row>
    <row r="1064">
      <c r="A1064" s="18" t="s">
        <v>241</v>
      </c>
      <c r="B1064" s="63" t="s">
        <v>209</v>
      </c>
      <c r="C1064" s="68">
        <v>50.0</v>
      </c>
      <c r="D1064" s="63" t="s">
        <v>539</v>
      </c>
      <c r="E1064" s="64">
        <v>0.0</v>
      </c>
      <c r="F1064" s="65">
        <f t="shared" si="1"/>
        <v>50</v>
      </c>
      <c r="G1064" s="66">
        <f>IF(B1064&lt;&gt;"",VLOOKUP(B1064,Zutaten!$C:$F,4,FALSE),"")*C1064</f>
        <v>0.144483156</v>
      </c>
      <c r="H1064" s="67"/>
      <c r="I1064" s="67"/>
      <c r="J1064" s="67"/>
      <c r="K1064" s="67"/>
      <c r="L1064" s="67"/>
      <c r="M1064" s="67"/>
      <c r="N1064" s="67"/>
      <c r="O1064" s="67"/>
      <c r="P1064" s="67"/>
      <c r="Q1064" s="67"/>
      <c r="R1064" s="67"/>
      <c r="S1064" s="67"/>
      <c r="T1064" s="67"/>
      <c r="U1064" s="67"/>
      <c r="V1064" s="67"/>
      <c r="W1064" s="67"/>
      <c r="X1064" s="67"/>
      <c r="Y1064" s="67"/>
      <c r="Z1064" s="67"/>
      <c r="AA1064" s="67"/>
      <c r="AB1064" s="67"/>
      <c r="AC1064" s="67"/>
    </row>
    <row r="1065">
      <c r="A1065" s="63" t="s">
        <v>242</v>
      </c>
      <c r="B1065" s="63" t="s">
        <v>466</v>
      </c>
      <c r="C1065" s="63">
        <v>1000.0</v>
      </c>
      <c r="D1065" s="63" t="s">
        <v>540</v>
      </c>
      <c r="E1065" s="64">
        <v>0.0</v>
      </c>
      <c r="F1065" s="65">
        <f t="shared" si="1"/>
        <v>1000</v>
      </c>
      <c r="G1065" s="66">
        <f>IF(B1065&lt;&gt;"",VLOOKUP(B1065,Zutaten!$C:$F,4,FALSE),"")*C1065</f>
        <v>4.43</v>
      </c>
      <c r="H1065" s="67"/>
      <c r="I1065" s="67"/>
      <c r="J1065" s="67"/>
      <c r="K1065" s="67"/>
      <c r="L1065" s="67"/>
      <c r="M1065" s="67"/>
      <c r="N1065" s="67"/>
      <c r="O1065" s="67"/>
      <c r="P1065" s="67"/>
      <c r="Q1065" s="67"/>
      <c r="R1065" s="67"/>
      <c r="S1065" s="67"/>
      <c r="T1065" s="67"/>
      <c r="U1065" s="67"/>
      <c r="V1065" s="67"/>
      <c r="W1065" s="67"/>
      <c r="X1065" s="67"/>
      <c r="Y1065" s="67"/>
      <c r="Z1065" s="67"/>
      <c r="AA1065" s="67"/>
      <c r="AB1065" s="67"/>
      <c r="AC1065" s="67"/>
    </row>
    <row r="1066">
      <c r="A1066" s="63" t="s">
        <v>242</v>
      </c>
      <c r="B1066" s="18" t="s">
        <v>314</v>
      </c>
      <c r="C1066" s="63">
        <v>250.0</v>
      </c>
      <c r="D1066" s="63" t="s">
        <v>539</v>
      </c>
      <c r="E1066" s="64">
        <v>0.0</v>
      </c>
      <c r="F1066" s="65">
        <f t="shared" si="1"/>
        <v>250</v>
      </c>
      <c r="G1066" s="66">
        <f>IF(B1066&lt;&gt;"",VLOOKUP(B1066,Zutaten!$C:$F,4,FALSE),"")*C1066</f>
        <v>1.8</v>
      </c>
      <c r="H1066" s="67"/>
      <c r="I1066" s="67"/>
      <c r="J1066" s="67"/>
      <c r="K1066" s="67"/>
      <c r="L1066" s="67"/>
      <c r="M1066" s="67"/>
      <c r="N1066" s="67"/>
      <c r="O1066" s="67"/>
      <c r="P1066" s="67"/>
      <c r="Q1066" s="67"/>
      <c r="R1066" s="67"/>
      <c r="S1066" s="67"/>
      <c r="T1066" s="67"/>
      <c r="U1066" s="67"/>
      <c r="V1066" s="67"/>
      <c r="W1066" s="67"/>
      <c r="X1066" s="67"/>
      <c r="Y1066" s="67"/>
      <c r="Z1066" s="67"/>
      <c r="AA1066" s="67"/>
      <c r="AB1066" s="67"/>
      <c r="AC1066" s="67"/>
    </row>
    <row r="1067">
      <c r="A1067" s="63" t="s">
        <v>242</v>
      </c>
      <c r="B1067" s="63" t="s">
        <v>528</v>
      </c>
      <c r="C1067" s="63">
        <v>500.0</v>
      </c>
      <c r="D1067" s="63" t="s">
        <v>539</v>
      </c>
      <c r="E1067" s="64">
        <v>0.0</v>
      </c>
      <c r="F1067" s="65">
        <f t="shared" si="1"/>
        <v>500</v>
      </c>
      <c r="G1067" s="66">
        <f>IF(B1067&lt;&gt;"",VLOOKUP(B1067,Zutaten!$C:$F,4,FALSE),"")*C1067</f>
        <v>0.72</v>
      </c>
      <c r="H1067" s="67"/>
      <c r="I1067" s="67"/>
      <c r="J1067" s="67"/>
      <c r="K1067" s="67"/>
      <c r="L1067" s="67"/>
      <c r="M1067" s="67"/>
      <c r="N1067" s="67"/>
      <c r="O1067" s="67"/>
      <c r="P1067" s="67"/>
      <c r="Q1067" s="67"/>
      <c r="R1067" s="67"/>
      <c r="S1067" s="67"/>
      <c r="T1067" s="67"/>
      <c r="U1067" s="67"/>
      <c r="V1067" s="67"/>
      <c r="W1067" s="67"/>
      <c r="X1067" s="67"/>
      <c r="Y1067" s="67"/>
      <c r="Z1067" s="67"/>
      <c r="AA1067" s="67"/>
      <c r="AB1067" s="67"/>
      <c r="AC1067" s="67"/>
    </row>
    <row r="1068">
      <c r="A1068" s="60" t="s">
        <v>243</v>
      </c>
      <c r="B1068" s="18" t="s">
        <v>502</v>
      </c>
      <c r="C1068" s="63">
        <v>2000.0</v>
      </c>
      <c r="D1068" s="63" t="s">
        <v>539</v>
      </c>
      <c r="E1068" s="64">
        <v>0.0</v>
      </c>
      <c r="F1068" s="65">
        <f t="shared" si="1"/>
        <v>2000</v>
      </c>
      <c r="G1068" s="66">
        <f>IF(B1068&lt;&gt;"",VLOOKUP(B1068,Zutaten!$C:$F,4,FALSE),"")*C1068</f>
        <v>5.526</v>
      </c>
      <c r="H1068" s="67"/>
      <c r="I1068" s="67"/>
      <c r="J1068" s="67"/>
      <c r="K1068" s="67"/>
      <c r="L1068" s="67"/>
      <c r="M1068" s="67"/>
      <c r="N1068" s="67"/>
      <c r="O1068" s="67"/>
      <c r="P1068" s="67"/>
      <c r="Q1068" s="67"/>
      <c r="R1068" s="67"/>
      <c r="S1068" s="67"/>
      <c r="T1068" s="67"/>
      <c r="U1068" s="67"/>
      <c r="V1068" s="67"/>
      <c r="W1068" s="67"/>
      <c r="X1068" s="67"/>
      <c r="Y1068" s="67"/>
      <c r="Z1068" s="67"/>
      <c r="AA1068" s="67"/>
      <c r="AB1068" s="67"/>
      <c r="AC1068" s="67"/>
    </row>
    <row r="1069">
      <c r="A1069" s="60" t="s">
        <v>243</v>
      </c>
      <c r="B1069" s="63" t="s">
        <v>528</v>
      </c>
      <c r="C1069" s="63">
        <v>1500.0</v>
      </c>
      <c r="D1069" s="63" t="s">
        <v>539</v>
      </c>
      <c r="E1069" s="64">
        <v>0.0</v>
      </c>
      <c r="F1069" s="65">
        <f t="shared" si="1"/>
        <v>1500</v>
      </c>
      <c r="G1069" s="66">
        <f>IF(B1069&lt;&gt;"",VLOOKUP(B1069,Zutaten!$C:$F,4,FALSE),"")*C1069</f>
        <v>2.16</v>
      </c>
      <c r="H1069" s="67"/>
      <c r="I1069" s="67"/>
      <c r="J1069" s="67"/>
      <c r="K1069" s="67"/>
      <c r="L1069" s="67"/>
      <c r="M1069" s="67"/>
      <c r="N1069" s="67"/>
      <c r="O1069" s="67"/>
      <c r="P1069" s="67"/>
      <c r="Q1069" s="67"/>
      <c r="R1069" s="67"/>
      <c r="S1069" s="67"/>
      <c r="T1069" s="67"/>
      <c r="U1069" s="67"/>
      <c r="V1069" s="67"/>
      <c r="W1069" s="67"/>
      <c r="X1069" s="67"/>
      <c r="Y1069" s="67"/>
      <c r="Z1069" s="67"/>
      <c r="AA1069" s="67"/>
      <c r="AB1069" s="67"/>
      <c r="AC1069" s="67"/>
    </row>
    <row r="1070">
      <c r="A1070" s="60" t="s">
        <v>243</v>
      </c>
      <c r="B1070" s="63" t="s">
        <v>396</v>
      </c>
      <c r="C1070" s="63">
        <v>40.0</v>
      </c>
      <c r="D1070" s="63" t="s">
        <v>539</v>
      </c>
      <c r="E1070" s="64">
        <v>0.0</v>
      </c>
      <c r="F1070" s="65">
        <f t="shared" si="1"/>
        <v>40</v>
      </c>
      <c r="G1070" s="66">
        <f>IF(B1070&lt;&gt;"",VLOOKUP(B1070,Zutaten!$C:$F,4,FALSE),"")*C1070</f>
        <v>1.092</v>
      </c>
      <c r="H1070" s="67"/>
      <c r="I1070" s="67"/>
      <c r="J1070" s="67"/>
      <c r="K1070" s="67"/>
      <c r="L1070" s="67"/>
      <c r="M1070" s="67"/>
      <c r="N1070" s="67"/>
      <c r="O1070" s="67"/>
      <c r="P1070" s="67"/>
      <c r="Q1070" s="67"/>
      <c r="R1070" s="67"/>
      <c r="S1070" s="67"/>
      <c r="T1070" s="67"/>
      <c r="U1070" s="67"/>
      <c r="V1070" s="67"/>
      <c r="W1070" s="67"/>
      <c r="X1070" s="67"/>
      <c r="Y1070" s="67"/>
      <c r="Z1070" s="67"/>
      <c r="AA1070" s="67"/>
      <c r="AB1070" s="67"/>
      <c r="AC1070" s="67"/>
    </row>
    <row r="1071">
      <c r="A1071" s="60" t="s">
        <v>243</v>
      </c>
      <c r="B1071" s="63" t="s">
        <v>321</v>
      </c>
      <c r="C1071" s="63">
        <v>1.0</v>
      </c>
      <c r="D1071" s="63" t="s">
        <v>539</v>
      </c>
      <c r="E1071" s="64">
        <v>0.0</v>
      </c>
      <c r="F1071" s="65">
        <f t="shared" si="1"/>
        <v>1</v>
      </c>
      <c r="G1071" s="66">
        <f>IF(B1071&lt;&gt;"",VLOOKUP(B1071,Zutaten!$C:$F,4,FALSE),"")*C1071</f>
        <v>0.04294736842</v>
      </c>
      <c r="H1071" s="67"/>
      <c r="I1071" s="67"/>
      <c r="J1071" s="67"/>
      <c r="K1071" s="67"/>
      <c r="L1071" s="67"/>
      <c r="M1071" s="67"/>
      <c r="N1071" s="67"/>
      <c r="O1071" s="67"/>
      <c r="P1071" s="67"/>
      <c r="Q1071" s="67"/>
      <c r="R1071" s="67"/>
      <c r="S1071" s="67"/>
      <c r="T1071" s="67"/>
      <c r="U1071" s="67"/>
      <c r="V1071" s="67"/>
      <c r="W1071" s="67"/>
      <c r="X1071" s="67"/>
      <c r="Y1071" s="67"/>
      <c r="Z1071" s="67"/>
      <c r="AA1071" s="67"/>
      <c r="AB1071" s="67"/>
      <c r="AC1071" s="67"/>
    </row>
    <row r="1072">
      <c r="A1072" s="18" t="s">
        <v>244</v>
      </c>
      <c r="B1072" s="18" t="s">
        <v>302</v>
      </c>
      <c r="C1072" s="68">
        <v>35.0</v>
      </c>
      <c r="D1072" s="63" t="s">
        <v>539</v>
      </c>
      <c r="E1072" s="64">
        <v>0.0</v>
      </c>
      <c r="F1072" s="65">
        <f t="shared" si="1"/>
        <v>35</v>
      </c>
      <c r="G1072" s="66">
        <f>IF(B1072&lt;&gt;"",VLOOKUP(B1072,Zutaten!$C:$F,4,FALSE),"")*C1072</f>
        <v>0.3899</v>
      </c>
      <c r="H1072" s="67"/>
      <c r="I1072" s="67"/>
      <c r="J1072" s="67"/>
      <c r="K1072" s="67"/>
      <c r="L1072" s="67"/>
      <c r="M1072" s="67"/>
      <c r="N1072" s="67"/>
      <c r="O1072" s="67"/>
      <c r="P1072" s="67"/>
      <c r="Q1072" s="67"/>
      <c r="R1072" s="67"/>
      <c r="S1072" s="67"/>
      <c r="T1072" s="67"/>
      <c r="U1072" s="67"/>
      <c r="V1072" s="67"/>
      <c r="W1072" s="67"/>
      <c r="X1072" s="67"/>
      <c r="Y1072" s="67"/>
      <c r="Z1072" s="67"/>
      <c r="AA1072" s="67"/>
      <c r="AB1072" s="67"/>
      <c r="AC1072" s="67"/>
    </row>
    <row r="1073">
      <c r="A1073" s="18" t="s">
        <v>245</v>
      </c>
      <c r="B1073" s="71" t="s">
        <v>308</v>
      </c>
      <c r="C1073" s="72">
        <v>40.0</v>
      </c>
      <c r="D1073" s="63" t="s">
        <v>539</v>
      </c>
      <c r="E1073" s="64">
        <v>0.0</v>
      </c>
      <c r="F1073" s="65">
        <f t="shared" si="1"/>
        <v>40</v>
      </c>
      <c r="G1073" s="66">
        <f>IF(B1073&lt;&gt;"",VLOOKUP(B1073,Zutaten!$C:$F,4,FALSE),"")*C1073</f>
        <v>0.7824</v>
      </c>
      <c r="H1073" s="67"/>
      <c r="I1073" s="67"/>
      <c r="J1073" s="67"/>
      <c r="K1073" s="67"/>
      <c r="L1073" s="67"/>
      <c r="M1073" s="67"/>
      <c r="N1073" s="67"/>
      <c r="O1073" s="67"/>
      <c r="P1073" s="67"/>
      <c r="Q1073" s="67"/>
      <c r="R1073" s="67"/>
      <c r="S1073" s="67"/>
      <c r="T1073" s="67"/>
      <c r="U1073" s="67"/>
      <c r="V1073" s="67"/>
      <c r="W1073" s="67"/>
      <c r="X1073" s="67"/>
      <c r="Y1073" s="67"/>
      <c r="Z1073" s="67"/>
      <c r="AA1073" s="67"/>
      <c r="AB1073" s="67"/>
      <c r="AC1073" s="67"/>
    </row>
    <row r="1074">
      <c r="A1074" s="18" t="s">
        <v>246</v>
      </c>
      <c r="B1074" s="18" t="s">
        <v>317</v>
      </c>
      <c r="C1074" s="68">
        <v>80.0</v>
      </c>
      <c r="D1074" s="63" t="s">
        <v>539</v>
      </c>
      <c r="E1074" s="64">
        <v>0.0</v>
      </c>
      <c r="F1074" s="65">
        <f t="shared" si="1"/>
        <v>80</v>
      </c>
      <c r="G1074" s="66">
        <f>IF(B1074&lt;&gt;"",VLOOKUP(B1074,Zutaten!$C:$F,4,FALSE),"")*C1074</f>
        <v>0.42096</v>
      </c>
      <c r="H1074" s="67"/>
      <c r="I1074" s="67"/>
      <c r="J1074" s="67"/>
      <c r="K1074" s="67"/>
      <c r="L1074" s="67"/>
      <c r="M1074" s="67"/>
      <c r="N1074" s="67"/>
      <c r="O1074" s="67"/>
      <c r="P1074" s="67"/>
      <c r="Q1074" s="67"/>
      <c r="R1074" s="67"/>
      <c r="S1074" s="67"/>
      <c r="T1074" s="67"/>
      <c r="U1074" s="67"/>
      <c r="V1074" s="67"/>
      <c r="W1074" s="67"/>
      <c r="X1074" s="67"/>
      <c r="Y1074" s="67"/>
      <c r="Z1074" s="67"/>
      <c r="AA1074" s="67"/>
      <c r="AB1074" s="67"/>
      <c r="AC1074" s="67"/>
    </row>
    <row r="1075">
      <c r="A1075" s="18" t="s">
        <v>247</v>
      </c>
      <c r="B1075" s="18" t="s">
        <v>318</v>
      </c>
      <c r="C1075" s="68">
        <v>20.0</v>
      </c>
      <c r="D1075" s="63" t="s">
        <v>539</v>
      </c>
      <c r="E1075" s="64">
        <v>0.0</v>
      </c>
      <c r="F1075" s="65">
        <f t="shared" si="1"/>
        <v>20</v>
      </c>
      <c r="G1075" s="66">
        <f>IF(B1075&lt;&gt;"",VLOOKUP(B1075,Zutaten!$C:$F,4,FALSE),"")*C1075</f>
        <v>0.2278</v>
      </c>
      <c r="H1075" s="67"/>
      <c r="I1075" s="67"/>
      <c r="J1075" s="67"/>
      <c r="K1075" s="67"/>
      <c r="L1075" s="67"/>
      <c r="M1075" s="67"/>
      <c r="N1075" s="67"/>
      <c r="O1075" s="67"/>
      <c r="P1075" s="67"/>
      <c r="Q1075" s="67"/>
      <c r="R1075" s="67"/>
      <c r="S1075" s="67"/>
      <c r="T1075" s="67"/>
      <c r="U1075" s="67"/>
      <c r="V1075" s="67"/>
      <c r="W1075" s="67"/>
      <c r="X1075" s="67"/>
      <c r="Y1075" s="67"/>
      <c r="Z1075" s="67"/>
      <c r="AA1075" s="67"/>
      <c r="AB1075" s="67"/>
      <c r="AC1075" s="67"/>
    </row>
    <row r="1076">
      <c r="A1076" s="18" t="s">
        <v>248</v>
      </c>
      <c r="B1076" s="71" t="s">
        <v>336</v>
      </c>
      <c r="C1076" s="72">
        <v>20.0</v>
      </c>
      <c r="D1076" s="63" t="s">
        <v>539</v>
      </c>
      <c r="E1076" s="64">
        <v>0.0</v>
      </c>
      <c r="F1076" s="65">
        <f t="shared" si="1"/>
        <v>20</v>
      </c>
      <c r="G1076" s="66">
        <f>IF(B1076&lt;&gt;"",VLOOKUP(B1076,Zutaten!$C:$F,4,FALSE),"")*C1076</f>
        <v>0.1278</v>
      </c>
      <c r="H1076" s="67"/>
      <c r="I1076" s="67"/>
      <c r="J1076" s="67"/>
      <c r="K1076" s="67"/>
      <c r="L1076" s="67"/>
      <c r="M1076" s="67"/>
      <c r="N1076" s="67"/>
      <c r="O1076" s="67"/>
      <c r="P1076" s="67"/>
      <c r="Q1076" s="67"/>
      <c r="R1076" s="67"/>
      <c r="S1076" s="67"/>
      <c r="T1076" s="67"/>
      <c r="U1076" s="67"/>
      <c r="V1076" s="67"/>
      <c r="W1076" s="67"/>
      <c r="X1076" s="67"/>
      <c r="Y1076" s="67"/>
      <c r="Z1076" s="67"/>
      <c r="AA1076" s="67"/>
      <c r="AB1076" s="67"/>
      <c r="AC1076" s="67"/>
    </row>
    <row r="1077">
      <c r="A1077" s="18" t="s">
        <v>249</v>
      </c>
      <c r="B1077" s="18" t="s">
        <v>152</v>
      </c>
      <c r="C1077" s="68">
        <v>70.0</v>
      </c>
      <c r="D1077" s="63" t="s">
        <v>539</v>
      </c>
      <c r="E1077" s="64">
        <v>0.0</v>
      </c>
      <c r="F1077" s="65">
        <f t="shared" si="1"/>
        <v>70</v>
      </c>
      <c r="G1077" s="66">
        <f>IF(B1077&lt;&gt;"",VLOOKUP(B1077,Zutaten!$C:$F,4,FALSE),"")*C1077</f>
        <v>0.6866641985</v>
      </c>
      <c r="H1077" s="67"/>
      <c r="I1077" s="67"/>
      <c r="J1077" s="67"/>
      <c r="K1077" s="67"/>
      <c r="L1077" s="67"/>
      <c r="M1077" s="67"/>
      <c r="N1077" s="67"/>
      <c r="O1077" s="67"/>
      <c r="P1077" s="67"/>
      <c r="Q1077" s="67"/>
      <c r="R1077" s="67"/>
      <c r="S1077" s="67"/>
      <c r="T1077" s="67"/>
      <c r="U1077" s="67"/>
      <c r="V1077" s="67"/>
      <c r="W1077" s="67"/>
      <c r="X1077" s="67"/>
      <c r="Y1077" s="67"/>
      <c r="Z1077" s="67"/>
      <c r="AA1077" s="67"/>
      <c r="AB1077" s="67"/>
      <c r="AC1077" s="67"/>
    </row>
    <row r="1078">
      <c r="A1078" s="18" t="s">
        <v>250</v>
      </c>
      <c r="B1078" s="18" t="s">
        <v>359</v>
      </c>
      <c r="C1078" s="68">
        <v>20.0</v>
      </c>
      <c r="D1078" s="63" t="s">
        <v>539</v>
      </c>
      <c r="E1078" s="64">
        <v>0.0</v>
      </c>
      <c r="F1078" s="65">
        <f t="shared" si="1"/>
        <v>20</v>
      </c>
      <c r="G1078" s="66">
        <f>IF(B1078&lt;&gt;"",VLOOKUP(B1078,Zutaten!$C:$F,4,FALSE),"")*C1078</f>
        <v>0.04160714286</v>
      </c>
      <c r="H1078" s="67"/>
      <c r="I1078" s="67"/>
      <c r="J1078" s="67"/>
      <c r="K1078" s="67"/>
      <c r="L1078" s="67"/>
      <c r="M1078" s="67"/>
      <c r="N1078" s="67"/>
      <c r="O1078" s="67"/>
      <c r="P1078" s="67"/>
      <c r="Q1078" s="67"/>
      <c r="R1078" s="67"/>
      <c r="S1078" s="67"/>
      <c r="T1078" s="67"/>
      <c r="U1078" s="67"/>
      <c r="V1078" s="67"/>
      <c r="W1078" s="67"/>
      <c r="X1078" s="67"/>
      <c r="Y1078" s="67"/>
      <c r="Z1078" s="67"/>
      <c r="AA1078" s="67"/>
      <c r="AB1078" s="67"/>
      <c r="AC1078" s="67"/>
    </row>
    <row r="1079">
      <c r="A1079" s="18" t="s">
        <v>251</v>
      </c>
      <c r="B1079" s="70" t="s">
        <v>380</v>
      </c>
      <c r="C1079" s="86">
        <v>20.0</v>
      </c>
      <c r="D1079" s="63" t="s">
        <v>539</v>
      </c>
      <c r="E1079" s="64">
        <v>0.0</v>
      </c>
      <c r="F1079" s="65">
        <f t="shared" si="1"/>
        <v>20</v>
      </c>
      <c r="G1079" s="66">
        <f>IF(B1079&lt;&gt;"",VLOOKUP(B1079,Zutaten!$C:$F,4,FALSE),"")*C1079</f>
        <v>0.08282352941</v>
      </c>
      <c r="H1079" s="67"/>
      <c r="I1079" s="67"/>
      <c r="J1079" s="67"/>
      <c r="K1079" s="67"/>
      <c r="L1079" s="67"/>
      <c r="M1079" s="67"/>
      <c r="N1079" s="67"/>
      <c r="O1079" s="67"/>
      <c r="P1079" s="67"/>
      <c r="Q1079" s="67"/>
      <c r="R1079" s="67"/>
      <c r="S1079" s="67"/>
      <c r="T1079" s="67"/>
      <c r="U1079" s="67"/>
      <c r="V1079" s="67"/>
      <c r="W1079" s="67"/>
      <c r="X1079" s="67"/>
      <c r="Y1079" s="67"/>
      <c r="Z1079" s="67"/>
      <c r="AA1079" s="67"/>
      <c r="AB1079" s="67"/>
      <c r="AC1079" s="67"/>
    </row>
    <row r="1080">
      <c r="A1080" s="18" t="s">
        <v>252</v>
      </c>
      <c r="B1080" s="18" t="s">
        <v>123</v>
      </c>
      <c r="C1080" s="68">
        <v>120.0</v>
      </c>
      <c r="D1080" s="63" t="s">
        <v>539</v>
      </c>
      <c r="E1080" s="64">
        <v>0.0</v>
      </c>
      <c r="F1080" s="65">
        <f t="shared" si="1"/>
        <v>120</v>
      </c>
      <c r="G1080" s="66">
        <f>IF(B1080&lt;&gt;"",VLOOKUP(B1080,Zutaten!$C:$F,4,FALSE),"")*C1080</f>
        <v>0.680909902</v>
      </c>
      <c r="H1080" s="67"/>
      <c r="I1080" s="67"/>
      <c r="J1080" s="67"/>
      <c r="K1080" s="67"/>
      <c r="L1080" s="67"/>
      <c r="M1080" s="67"/>
      <c r="N1080" s="67"/>
      <c r="O1080" s="67"/>
      <c r="P1080" s="67"/>
      <c r="Q1080" s="67"/>
      <c r="R1080" s="67"/>
      <c r="S1080" s="67"/>
      <c r="T1080" s="67"/>
      <c r="U1080" s="67"/>
      <c r="V1080" s="67"/>
      <c r="W1080" s="67"/>
      <c r="X1080" s="67"/>
      <c r="Y1080" s="67"/>
      <c r="Z1080" s="67"/>
      <c r="AA1080" s="67"/>
      <c r="AB1080" s="67"/>
      <c r="AC1080" s="67"/>
    </row>
    <row r="1081">
      <c r="A1081" s="18" t="s">
        <v>253</v>
      </c>
      <c r="B1081" s="18" t="s">
        <v>157</v>
      </c>
      <c r="C1081" s="68">
        <v>15.0</v>
      </c>
      <c r="D1081" s="63" t="s">
        <v>539</v>
      </c>
      <c r="E1081" s="64">
        <v>0.0</v>
      </c>
      <c r="F1081" s="65">
        <f t="shared" si="1"/>
        <v>15</v>
      </c>
      <c r="G1081" s="66">
        <f>IF(B1081&lt;&gt;"",VLOOKUP(B1081,Zutaten!$C:$F,4,FALSE),"")*C1081</f>
        <v>0.06709401316</v>
      </c>
      <c r="H1081" s="67"/>
      <c r="I1081" s="67"/>
      <c r="J1081" s="67"/>
      <c r="K1081" s="67"/>
      <c r="L1081" s="67"/>
      <c r="M1081" s="67"/>
      <c r="N1081" s="67"/>
      <c r="O1081" s="67"/>
      <c r="P1081" s="67"/>
      <c r="Q1081" s="67"/>
      <c r="R1081" s="67"/>
      <c r="S1081" s="67"/>
      <c r="T1081" s="67"/>
      <c r="U1081" s="67"/>
      <c r="V1081" s="67"/>
      <c r="W1081" s="67"/>
      <c r="X1081" s="67"/>
      <c r="Y1081" s="67"/>
      <c r="Z1081" s="67"/>
      <c r="AA1081" s="67"/>
      <c r="AB1081" s="67"/>
      <c r="AC1081" s="67"/>
    </row>
    <row r="1082">
      <c r="A1082" s="18" t="s">
        <v>254</v>
      </c>
      <c r="B1082" s="71" t="s">
        <v>445</v>
      </c>
      <c r="C1082" s="72">
        <v>15.0</v>
      </c>
      <c r="D1082" s="63" t="s">
        <v>539</v>
      </c>
      <c r="E1082" s="64">
        <v>0.0</v>
      </c>
      <c r="F1082" s="65">
        <f t="shared" si="1"/>
        <v>15</v>
      </c>
      <c r="G1082" s="66">
        <f>IF(B1082&lt;&gt;"",VLOOKUP(B1082,Zutaten!$C:$F,4,FALSE),"")*C1082</f>
        <v>0.067</v>
      </c>
      <c r="H1082" s="67"/>
      <c r="I1082" s="67"/>
      <c r="J1082" s="67"/>
      <c r="K1082" s="67"/>
      <c r="L1082" s="67"/>
      <c r="M1082" s="67"/>
      <c r="N1082" s="67"/>
      <c r="O1082" s="67"/>
      <c r="P1082" s="67"/>
      <c r="Q1082" s="67"/>
      <c r="R1082" s="67"/>
      <c r="S1082" s="67"/>
      <c r="T1082" s="67"/>
      <c r="U1082" s="67"/>
      <c r="V1082" s="67"/>
      <c r="W1082" s="67"/>
      <c r="X1082" s="67"/>
      <c r="Y1082" s="67"/>
      <c r="Z1082" s="67"/>
      <c r="AA1082" s="67"/>
      <c r="AB1082" s="67"/>
      <c r="AC1082" s="67"/>
    </row>
    <row r="1083">
      <c r="A1083" s="18" t="s">
        <v>255</v>
      </c>
      <c r="B1083" s="18" t="s">
        <v>454</v>
      </c>
      <c r="C1083" s="68">
        <v>50.0</v>
      </c>
      <c r="D1083" s="63" t="s">
        <v>539</v>
      </c>
      <c r="E1083" s="64">
        <v>0.0</v>
      </c>
      <c r="F1083" s="65">
        <f t="shared" si="1"/>
        <v>50</v>
      </c>
      <c r="G1083" s="66">
        <f>IF(B1083&lt;&gt;"",VLOOKUP(B1083,Zutaten!$C:$F,4,FALSE),"")*C1083</f>
        <v>0.66125</v>
      </c>
      <c r="H1083" s="67"/>
      <c r="I1083" s="67"/>
      <c r="J1083" s="67"/>
      <c r="K1083" s="67"/>
      <c r="L1083" s="67"/>
      <c r="M1083" s="67"/>
      <c r="N1083" s="67"/>
      <c r="O1083" s="67"/>
      <c r="P1083" s="67"/>
      <c r="Q1083" s="67"/>
      <c r="R1083" s="67"/>
      <c r="S1083" s="67"/>
      <c r="T1083" s="67"/>
      <c r="U1083" s="67"/>
      <c r="V1083" s="67"/>
      <c r="W1083" s="67"/>
      <c r="X1083" s="67"/>
      <c r="Y1083" s="67"/>
      <c r="Z1083" s="67"/>
      <c r="AA1083" s="67"/>
      <c r="AB1083" s="67"/>
      <c r="AC1083" s="67"/>
    </row>
    <row r="1084">
      <c r="A1084" s="18" t="s">
        <v>256</v>
      </c>
      <c r="B1084" s="71" t="s">
        <v>170</v>
      </c>
      <c r="C1084" s="72">
        <v>20.0</v>
      </c>
      <c r="D1084" s="63" t="s">
        <v>539</v>
      </c>
      <c r="E1084" s="64">
        <v>0.0</v>
      </c>
      <c r="F1084" s="65">
        <f t="shared" si="1"/>
        <v>20</v>
      </c>
      <c r="G1084" s="66">
        <f>IF(B1084&lt;&gt;"",VLOOKUP(B1084,Zutaten!$C:$F,4,FALSE),"")*C1084</f>
        <v>0.02176983607</v>
      </c>
      <c r="H1084" s="67"/>
      <c r="I1084" s="67"/>
      <c r="J1084" s="67"/>
      <c r="K1084" s="67"/>
      <c r="L1084" s="67"/>
      <c r="M1084" s="67"/>
      <c r="N1084" s="67"/>
      <c r="O1084" s="67"/>
      <c r="P1084" s="67"/>
      <c r="Q1084" s="67"/>
      <c r="R1084" s="67"/>
      <c r="S1084" s="67"/>
      <c r="T1084" s="67"/>
      <c r="U1084" s="67"/>
      <c r="V1084" s="67"/>
      <c r="W1084" s="67"/>
      <c r="X1084" s="67"/>
      <c r="Y1084" s="67"/>
      <c r="Z1084" s="67"/>
      <c r="AA1084" s="67"/>
      <c r="AB1084" s="67"/>
      <c r="AC1084" s="67"/>
    </row>
    <row r="1085">
      <c r="A1085" s="18" t="s">
        <v>257</v>
      </c>
      <c r="B1085" s="18" t="s">
        <v>469</v>
      </c>
      <c r="C1085" s="68">
        <v>50.0</v>
      </c>
      <c r="D1085" s="63" t="s">
        <v>539</v>
      </c>
      <c r="E1085" s="64">
        <v>0.0</v>
      </c>
      <c r="F1085" s="65">
        <f t="shared" si="1"/>
        <v>50</v>
      </c>
      <c r="G1085" s="66">
        <f>IF(B1085&lt;&gt;"",VLOOKUP(B1085,Zutaten!$C:$F,4,FALSE),"")*C1085</f>
        <v>0.5533333333</v>
      </c>
      <c r="H1085" s="67"/>
      <c r="I1085" s="67"/>
      <c r="J1085" s="67"/>
      <c r="K1085" s="67"/>
      <c r="L1085" s="67"/>
      <c r="M1085" s="67"/>
      <c r="N1085" s="67"/>
      <c r="O1085" s="67"/>
      <c r="P1085" s="67"/>
      <c r="Q1085" s="67"/>
      <c r="R1085" s="67"/>
      <c r="S1085" s="67"/>
      <c r="T1085" s="67"/>
      <c r="U1085" s="67"/>
      <c r="V1085" s="67"/>
      <c r="W1085" s="67"/>
      <c r="X1085" s="67"/>
      <c r="Y1085" s="67"/>
      <c r="Z1085" s="67"/>
      <c r="AA1085" s="67"/>
      <c r="AB1085" s="67"/>
      <c r="AC1085" s="67"/>
    </row>
    <row r="1086">
      <c r="A1086" s="18" t="s">
        <v>258</v>
      </c>
      <c r="B1086" s="18" t="s">
        <v>202</v>
      </c>
      <c r="C1086" s="68">
        <v>20.0</v>
      </c>
      <c r="D1086" s="63" t="s">
        <v>539</v>
      </c>
      <c r="E1086" s="64">
        <v>0.0</v>
      </c>
      <c r="F1086" s="65">
        <f t="shared" si="1"/>
        <v>20</v>
      </c>
      <c r="G1086" s="66">
        <f>IF(B1086&lt;&gt;"",VLOOKUP(B1086,Zutaten!$C:$F,4,FALSE),"")*C1086</f>
        <v>0.05888280828</v>
      </c>
      <c r="H1086" s="67"/>
      <c r="I1086" s="67"/>
      <c r="J1086" s="67"/>
      <c r="K1086" s="67"/>
      <c r="L1086" s="67"/>
      <c r="M1086" s="67"/>
      <c r="N1086" s="67"/>
      <c r="O1086" s="67"/>
      <c r="P1086" s="67"/>
      <c r="Q1086" s="67"/>
      <c r="R1086" s="67"/>
      <c r="S1086" s="67"/>
      <c r="T1086" s="67"/>
      <c r="U1086" s="67"/>
      <c r="V1086" s="67"/>
      <c r="W1086" s="67"/>
      <c r="X1086" s="67"/>
      <c r="Y1086" s="67"/>
      <c r="Z1086" s="67"/>
      <c r="AA1086" s="67"/>
      <c r="AB1086" s="67"/>
      <c r="AC1086" s="67"/>
    </row>
    <row r="1087">
      <c r="A1087" s="18" t="s">
        <v>259</v>
      </c>
      <c r="B1087" s="18" t="s">
        <v>502</v>
      </c>
      <c r="C1087" s="68">
        <v>60.0</v>
      </c>
      <c r="D1087" s="63" t="s">
        <v>539</v>
      </c>
      <c r="E1087" s="64">
        <v>0.0</v>
      </c>
      <c r="F1087" s="65">
        <f t="shared" si="1"/>
        <v>60</v>
      </c>
      <c r="G1087" s="66">
        <f>IF(B1087&lt;&gt;"",VLOOKUP(B1087,Zutaten!$C:$F,4,FALSE),"")*C1087</f>
        <v>0.16578</v>
      </c>
      <c r="H1087" s="67"/>
      <c r="I1087" s="67"/>
      <c r="J1087" s="67"/>
      <c r="K1087" s="67"/>
      <c r="L1087" s="67"/>
      <c r="M1087" s="67"/>
      <c r="N1087" s="67"/>
      <c r="O1087" s="67"/>
      <c r="P1087" s="67"/>
      <c r="Q1087" s="67"/>
      <c r="R1087" s="67"/>
      <c r="S1087" s="67"/>
      <c r="T1087" s="67"/>
      <c r="U1087" s="67"/>
      <c r="V1087" s="67"/>
      <c r="W1087" s="67"/>
      <c r="X1087" s="67"/>
      <c r="Y1087" s="67"/>
      <c r="Z1087" s="67"/>
      <c r="AA1087" s="67"/>
      <c r="AB1087" s="67"/>
      <c r="AC1087" s="67"/>
    </row>
    <row r="1088">
      <c r="A1088" s="18" t="s">
        <v>260</v>
      </c>
      <c r="B1088" s="18" t="s">
        <v>522</v>
      </c>
      <c r="C1088" s="68">
        <v>90.0</v>
      </c>
      <c r="D1088" s="63" t="s">
        <v>539</v>
      </c>
      <c r="E1088" s="64">
        <v>0.0</v>
      </c>
      <c r="F1088" s="65">
        <f t="shared" si="1"/>
        <v>90</v>
      </c>
      <c r="G1088" s="66">
        <f>IF(B1088&lt;&gt;"",VLOOKUP(B1088,Zutaten!$C:$F,4,FALSE),"")*C1088</f>
        <v>1.2654</v>
      </c>
      <c r="H1088" s="67"/>
      <c r="I1088" s="67"/>
      <c r="J1088" s="67"/>
      <c r="K1088" s="67"/>
      <c r="L1088" s="67"/>
      <c r="M1088" s="67"/>
      <c r="N1088" s="67"/>
      <c r="O1088" s="67"/>
      <c r="P1088" s="67"/>
      <c r="Q1088" s="67"/>
      <c r="R1088" s="67"/>
      <c r="S1088" s="67"/>
      <c r="T1088" s="67"/>
      <c r="U1088" s="67"/>
      <c r="V1088" s="67"/>
      <c r="W1088" s="67"/>
      <c r="X1088" s="67"/>
      <c r="Y1088" s="67"/>
      <c r="Z1088" s="67"/>
      <c r="AA1088" s="67"/>
      <c r="AB1088" s="67"/>
      <c r="AC1088" s="67"/>
    </row>
    <row r="1089">
      <c r="A1089" s="18" t="s">
        <v>261</v>
      </c>
      <c r="B1089" s="18" t="s">
        <v>467</v>
      </c>
      <c r="C1089" s="18">
        <v>8.0</v>
      </c>
      <c r="D1089" s="63" t="s">
        <v>539</v>
      </c>
      <c r="E1089" s="64">
        <v>0.0</v>
      </c>
      <c r="F1089" s="65">
        <f t="shared" si="1"/>
        <v>8</v>
      </c>
      <c r="G1089" s="66">
        <f>IF(B1089&lt;&gt;"",VLOOKUP(B1089,Zutaten!$C:$F,4,FALSE),"")*C1089</f>
        <v>0.002944</v>
      </c>
      <c r="H1089" s="67"/>
      <c r="I1089" s="67"/>
      <c r="J1089" s="67"/>
      <c r="K1089" s="67"/>
      <c r="L1089" s="67"/>
      <c r="M1089" s="67"/>
      <c r="N1089" s="67"/>
      <c r="O1089" s="67"/>
      <c r="P1089" s="67"/>
      <c r="Q1089" s="67"/>
      <c r="R1089" s="67"/>
      <c r="S1089" s="67"/>
      <c r="T1089" s="67"/>
      <c r="U1089" s="67"/>
      <c r="V1089" s="67"/>
      <c r="W1089" s="67"/>
      <c r="X1089" s="67"/>
      <c r="Y1089" s="67"/>
      <c r="Z1089" s="67"/>
      <c r="AA1089" s="67"/>
      <c r="AB1089" s="67"/>
      <c r="AC1089" s="67"/>
    </row>
    <row r="1090">
      <c r="A1090" s="18" t="s">
        <v>261</v>
      </c>
      <c r="B1090" s="18" t="s">
        <v>384</v>
      </c>
      <c r="C1090" s="18">
        <v>3000.0</v>
      </c>
      <c r="D1090" s="63" t="s">
        <v>539</v>
      </c>
      <c r="E1090" s="64">
        <v>0.0</v>
      </c>
      <c r="F1090" s="65">
        <f t="shared" si="1"/>
        <v>3000</v>
      </c>
      <c r="G1090" s="66">
        <f>IF(B1090&lt;&gt;"",VLOOKUP(B1090,Zutaten!$C:$F,4,FALSE),"")*C1090</f>
        <v>2.1</v>
      </c>
      <c r="H1090" s="67"/>
      <c r="I1090" s="67"/>
      <c r="J1090" s="67"/>
      <c r="K1090" s="67"/>
      <c r="L1090" s="67"/>
      <c r="M1090" s="67"/>
      <c r="N1090" s="67"/>
      <c r="O1090" s="67"/>
      <c r="P1090" s="67"/>
      <c r="Q1090" s="67"/>
      <c r="R1090" s="67"/>
      <c r="S1090" s="67"/>
      <c r="T1090" s="67"/>
      <c r="U1090" s="67"/>
      <c r="V1090" s="67"/>
      <c r="W1090" s="67"/>
      <c r="X1090" s="67"/>
      <c r="Y1090" s="67"/>
      <c r="Z1090" s="67"/>
      <c r="AA1090" s="67"/>
      <c r="AB1090" s="67"/>
      <c r="AC1090" s="67"/>
    </row>
    <row r="1091">
      <c r="A1091" s="18" t="s">
        <v>261</v>
      </c>
      <c r="B1091" s="18" t="s">
        <v>314</v>
      </c>
      <c r="C1091" s="18">
        <v>250.0</v>
      </c>
      <c r="D1091" s="63" t="s">
        <v>539</v>
      </c>
      <c r="E1091" s="64">
        <v>0.0</v>
      </c>
      <c r="F1091" s="65">
        <f t="shared" si="1"/>
        <v>250</v>
      </c>
      <c r="G1091" s="66">
        <f>IF(B1091&lt;&gt;"",VLOOKUP(B1091,Zutaten!$C:$F,4,FALSE),"")*C1091</f>
        <v>1.8</v>
      </c>
      <c r="H1091" s="67"/>
      <c r="I1091" s="67"/>
      <c r="J1091" s="67"/>
      <c r="K1091" s="67"/>
      <c r="L1091" s="67"/>
      <c r="M1091" s="67"/>
      <c r="N1091" s="67"/>
      <c r="O1091" s="67"/>
      <c r="P1091" s="67"/>
      <c r="Q1091" s="67"/>
      <c r="R1091" s="67"/>
      <c r="S1091" s="67"/>
      <c r="T1091" s="67"/>
      <c r="U1091" s="67"/>
      <c r="V1091" s="67"/>
      <c r="W1091" s="67"/>
      <c r="X1091" s="67"/>
      <c r="Y1091" s="67"/>
      <c r="Z1091" s="67"/>
      <c r="AA1091" s="67"/>
      <c r="AB1091" s="67"/>
      <c r="AC1091" s="67"/>
    </row>
    <row r="1092">
      <c r="A1092" s="18" t="s">
        <v>261</v>
      </c>
      <c r="B1092" s="18" t="s">
        <v>530</v>
      </c>
      <c r="C1092" s="18">
        <v>100.0</v>
      </c>
      <c r="D1092" s="63" t="s">
        <v>539</v>
      </c>
      <c r="E1092" s="64">
        <v>0.0</v>
      </c>
      <c r="F1092" s="65">
        <f t="shared" si="1"/>
        <v>100</v>
      </c>
      <c r="G1092" s="66">
        <f>IF(B1092&lt;&gt;"",VLOOKUP(B1092,Zutaten!$C:$F,4,FALSE),"")*C1092</f>
        <v>0.12</v>
      </c>
      <c r="H1092" s="67"/>
      <c r="I1092" s="67"/>
      <c r="J1092" s="67"/>
      <c r="K1092" s="67"/>
      <c r="L1092" s="67"/>
      <c r="M1092" s="67"/>
      <c r="N1092" s="67"/>
      <c r="O1092" s="67"/>
      <c r="P1092" s="67"/>
      <c r="Q1092" s="67"/>
      <c r="R1092" s="67"/>
      <c r="S1092" s="67"/>
      <c r="T1092" s="67"/>
      <c r="U1092" s="67"/>
      <c r="V1092" s="67"/>
      <c r="W1092" s="67"/>
      <c r="X1092" s="67"/>
      <c r="Y1092" s="67"/>
      <c r="Z1092" s="67"/>
      <c r="AA1092" s="67"/>
      <c r="AB1092" s="67"/>
      <c r="AC1092" s="67"/>
    </row>
    <row r="1093">
      <c r="A1093" s="18" t="s">
        <v>261</v>
      </c>
      <c r="B1093" s="18" t="s">
        <v>302</v>
      </c>
      <c r="C1093" s="18">
        <v>200.0</v>
      </c>
      <c r="D1093" s="63" t="s">
        <v>539</v>
      </c>
      <c r="E1093" s="64">
        <v>0.0</v>
      </c>
      <c r="F1093" s="65">
        <f t="shared" si="1"/>
        <v>200</v>
      </c>
      <c r="G1093" s="66">
        <f>IF(B1093&lt;&gt;"",VLOOKUP(B1093,Zutaten!$C:$F,4,FALSE),"")*C1093</f>
        <v>2.228</v>
      </c>
      <c r="H1093" s="67"/>
      <c r="I1093" s="67"/>
      <c r="J1093" s="67"/>
      <c r="K1093" s="67"/>
      <c r="L1093" s="67"/>
      <c r="M1093" s="67"/>
      <c r="N1093" s="67"/>
      <c r="O1093" s="67"/>
      <c r="P1093" s="67"/>
      <c r="Q1093" s="67"/>
      <c r="R1093" s="67"/>
      <c r="S1093" s="67"/>
      <c r="T1093" s="67"/>
      <c r="U1093" s="67"/>
      <c r="V1093" s="67"/>
      <c r="W1093" s="67"/>
      <c r="X1093" s="67"/>
      <c r="Y1093" s="67"/>
      <c r="Z1093" s="67"/>
      <c r="AA1093" s="67"/>
      <c r="AB1093" s="67"/>
      <c r="AC1093" s="67"/>
    </row>
    <row r="1094">
      <c r="A1094" s="18" t="s">
        <v>261</v>
      </c>
      <c r="B1094" s="18" t="s">
        <v>442</v>
      </c>
      <c r="C1094" s="18">
        <v>3.0</v>
      </c>
      <c r="D1094" s="63" t="s">
        <v>539</v>
      </c>
      <c r="E1094" s="64">
        <v>0.0</v>
      </c>
      <c r="F1094" s="65">
        <f t="shared" si="1"/>
        <v>3</v>
      </c>
      <c r="G1094" s="66">
        <f>IF(B1094&lt;&gt;"",VLOOKUP(B1094,Zutaten!$C:$F,4,FALSE),"")*C1094</f>
        <v>0.0972</v>
      </c>
      <c r="H1094" s="67"/>
      <c r="I1094" s="67"/>
      <c r="J1094" s="67"/>
      <c r="K1094" s="67"/>
      <c r="L1094" s="67"/>
      <c r="M1094" s="67"/>
      <c r="N1094" s="67"/>
      <c r="O1094" s="67"/>
      <c r="P1094" s="67"/>
      <c r="Q1094" s="67"/>
      <c r="R1094" s="67"/>
      <c r="S1094" s="67"/>
      <c r="T1094" s="67"/>
      <c r="U1094" s="67"/>
      <c r="V1094" s="67"/>
      <c r="W1094" s="67"/>
      <c r="X1094" s="67"/>
      <c r="Y1094" s="67"/>
      <c r="Z1094" s="67"/>
      <c r="AA1094" s="67"/>
      <c r="AB1094" s="67"/>
      <c r="AC1094" s="67"/>
    </row>
    <row r="1095">
      <c r="A1095" s="18" t="s">
        <v>261</v>
      </c>
      <c r="B1095" s="18" t="s">
        <v>441</v>
      </c>
      <c r="C1095" s="18">
        <v>5.0</v>
      </c>
      <c r="D1095" s="63" t="s">
        <v>539</v>
      </c>
      <c r="E1095" s="64">
        <v>0.0</v>
      </c>
      <c r="F1095" s="65">
        <f t="shared" si="1"/>
        <v>5</v>
      </c>
      <c r="G1095" s="66">
        <f>IF(B1095&lt;&gt;"",VLOOKUP(B1095,Zutaten!$C:$F,4,FALSE),"")*C1095</f>
        <v>0.0476</v>
      </c>
      <c r="H1095" s="67"/>
      <c r="I1095" s="67">
        <f>SUM(C1098:C1104)</f>
        <v>5395</v>
      </c>
      <c r="J1095" s="67"/>
      <c r="K1095" s="67"/>
      <c r="L1095" s="67"/>
      <c r="M1095" s="67"/>
      <c r="N1095" s="67"/>
      <c r="O1095" s="67"/>
      <c r="P1095" s="67"/>
      <c r="Q1095" s="67"/>
      <c r="R1095" s="67"/>
      <c r="S1095" s="67"/>
      <c r="T1095" s="67"/>
      <c r="U1095" s="67"/>
      <c r="V1095" s="67"/>
      <c r="W1095" s="67"/>
      <c r="X1095" s="67"/>
      <c r="Y1095" s="67"/>
      <c r="Z1095" s="67"/>
      <c r="AA1095" s="67"/>
      <c r="AB1095" s="67"/>
      <c r="AC1095" s="67"/>
    </row>
    <row r="1096">
      <c r="A1096" s="18" t="s">
        <v>261</v>
      </c>
      <c r="B1096" s="18" t="s">
        <v>510</v>
      </c>
      <c r="C1096" s="18">
        <v>1000.0</v>
      </c>
      <c r="D1096" s="63" t="s">
        <v>539</v>
      </c>
      <c r="E1096" s="64">
        <v>0.0</v>
      </c>
      <c r="F1096" s="65">
        <f t="shared" si="1"/>
        <v>1000</v>
      </c>
      <c r="G1096" s="66">
        <f>IF(B1096&lt;&gt;"",VLOOKUP(B1096,Zutaten!$C:$F,4,FALSE),"")*C1096</f>
        <v>4.64</v>
      </c>
      <c r="H1096" s="67"/>
      <c r="I1096" s="67"/>
      <c r="J1096" s="67"/>
      <c r="K1096" s="67"/>
      <c r="L1096" s="67"/>
      <c r="M1096" s="67"/>
      <c r="N1096" s="67"/>
      <c r="O1096" s="67"/>
      <c r="P1096" s="67"/>
      <c r="Q1096" s="67"/>
      <c r="R1096" s="67"/>
      <c r="S1096" s="67"/>
      <c r="T1096" s="67"/>
      <c r="U1096" s="67"/>
      <c r="V1096" s="67"/>
      <c r="W1096" s="67"/>
      <c r="X1096" s="67"/>
      <c r="Y1096" s="67"/>
      <c r="Z1096" s="67"/>
      <c r="AA1096" s="67"/>
      <c r="AB1096" s="67"/>
      <c r="AC1096" s="67"/>
    </row>
    <row r="1097">
      <c r="A1097" s="18" t="s">
        <v>262</v>
      </c>
      <c r="B1097" s="18" t="s">
        <v>261</v>
      </c>
      <c r="C1097" s="68">
        <v>250.0</v>
      </c>
      <c r="D1097" s="63" t="s">
        <v>539</v>
      </c>
      <c r="E1097" s="64">
        <v>0.0</v>
      </c>
      <c r="F1097" s="65">
        <f t="shared" si="1"/>
        <v>250</v>
      </c>
      <c r="G1097" s="66">
        <f>IF(B1097&lt;&gt;"",VLOOKUP(B1097,Zutaten!$C:$F,4,FALSE),"")*C1097</f>
        <v>0.6042347788</v>
      </c>
      <c r="H1097" s="67"/>
      <c r="I1097" s="67"/>
      <c r="J1097" s="67"/>
      <c r="K1097" s="67"/>
      <c r="L1097" s="67"/>
      <c r="M1097" s="67"/>
      <c r="N1097" s="67"/>
      <c r="O1097" s="67"/>
      <c r="P1097" s="67"/>
      <c r="Q1097" s="67"/>
      <c r="R1097" s="67"/>
      <c r="S1097" s="67"/>
      <c r="T1097" s="67"/>
      <c r="U1097" s="67"/>
      <c r="V1097" s="67"/>
      <c r="W1097" s="67"/>
      <c r="X1097" s="67"/>
      <c r="Y1097" s="67"/>
      <c r="Z1097" s="67"/>
      <c r="AA1097" s="67"/>
      <c r="AB1097" s="67"/>
      <c r="AC1097" s="67"/>
    </row>
    <row r="1098">
      <c r="A1098" s="60" t="s">
        <v>263</v>
      </c>
      <c r="B1098" s="61" t="s">
        <v>455</v>
      </c>
      <c r="C1098" s="62">
        <v>4000.0</v>
      </c>
      <c r="D1098" s="63" t="s">
        <v>540</v>
      </c>
      <c r="E1098" s="64">
        <v>0.0</v>
      </c>
      <c r="F1098" s="65">
        <f t="shared" si="1"/>
        <v>4000</v>
      </c>
      <c r="G1098" s="66">
        <f>IF(B1098&lt;&gt;"",VLOOKUP(B1098,Zutaten!$C:$F,4,FALSE),"")*C1098</f>
        <v>7.96</v>
      </c>
      <c r="H1098" s="67"/>
      <c r="I1098" s="67"/>
      <c r="J1098" s="67"/>
      <c r="K1098" s="67"/>
      <c r="L1098" s="67"/>
      <c r="M1098" s="67"/>
      <c r="N1098" s="67"/>
      <c r="O1098" s="67"/>
      <c r="P1098" s="67"/>
      <c r="Q1098" s="67"/>
      <c r="R1098" s="67"/>
      <c r="S1098" s="67"/>
      <c r="T1098" s="67"/>
      <c r="U1098" s="67"/>
      <c r="V1098" s="67"/>
      <c r="W1098" s="67"/>
      <c r="X1098" s="67"/>
      <c r="Y1098" s="67"/>
      <c r="Z1098" s="67"/>
      <c r="AA1098" s="67"/>
      <c r="AB1098" s="67"/>
      <c r="AC1098" s="67"/>
    </row>
    <row r="1099">
      <c r="A1099" s="60" t="s">
        <v>263</v>
      </c>
      <c r="B1099" s="61" t="s">
        <v>510</v>
      </c>
      <c r="C1099" s="62">
        <v>1000.0</v>
      </c>
      <c r="D1099" s="63" t="s">
        <v>540</v>
      </c>
      <c r="E1099" s="64">
        <v>0.0</v>
      </c>
      <c r="F1099" s="65">
        <f t="shared" si="1"/>
        <v>1000</v>
      </c>
      <c r="G1099" s="66">
        <f>IF(B1099&lt;&gt;"",VLOOKUP(B1099,Zutaten!$C:$F,4,FALSE),"")*C1099</f>
        <v>4.64</v>
      </c>
      <c r="H1099" s="67"/>
      <c r="I1099" s="67"/>
      <c r="J1099" s="67"/>
      <c r="K1099" s="67"/>
      <c r="L1099" s="67"/>
      <c r="M1099" s="67"/>
      <c r="N1099" s="67"/>
      <c r="O1099" s="67"/>
      <c r="P1099" s="67"/>
      <c r="Q1099" s="67"/>
      <c r="R1099" s="67"/>
      <c r="S1099" s="67"/>
      <c r="T1099" s="67"/>
      <c r="U1099" s="67"/>
      <c r="V1099" s="67"/>
      <c r="W1099" s="67"/>
      <c r="X1099" s="67"/>
      <c r="Y1099" s="67"/>
      <c r="Z1099" s="67"/>
      <c r="AA1099" s="67"/>
      <c r="AB1099" s="67"/>
      <c r="AC1099" s="67"/>
    </row>
    <row r="1100">
      <c r="A1100" s="60" t="s">
        <v>263</v>
      </c>
      <c r="B1100" s="61" t="s">
        <v>467</v>
      </c>
      <c r="C1100" s="62">
        <v>30.0</v>
      </c>
      <c r="D1100" s="63" t="s">
        <v>539</v>
      </c>
      <c r="E1100" s="64">
        <v>0.0</v>
      </c>
      <c r="F1100" s="65">
        <f t="shared" si="1"/>
        <v>30</v>
      </c>
      <c r="G1100" s="66">
        <f>IF(B1100&lt;&gt;"",VLOOKUP(B1100,Zutaten!$C:$F,4,FALSE),"")*C1100</f>
        <v>0.01104</v>
      </c>
      <c r="H1100" s="67"/>
      <c r="I1100" s="67"/>
      <c r="J1100" s="67"/>
      <c r="K1100" s="67"/>
      <c r="L1100" s="67"/>
      <c r="M1100" s="67"/>
      <c r="N1100" s="67"/>
      <c r="O1100" s="67"/>
      <c r="P1100" s="67"/>
      <c r="Q1100" s="67"/>
      <c r="R1100" s="67"/>
      <c r="S1100" s="67"/>
      <c r="T1100" s="67"/>
      <c r="U1100" s="67"/>
      <c r="V1100" s="67"/>
      <c r="W1100" s="67"/>
      <c r="X1100" s="67"/>
      <c r="Y1100" s="67"/>
      <c r="Z1100" s="67"/>
      <c r="AA1100" s="67"/>
      <c r="AB1100" s="67"/>
      <c r="AC1100" s="67"/>
    </row>
    <row r="1101">
      <c r="A1101" s="60" t="s">
        <v>263</v>
      </c>
      <c r="B1101" s="61" t="s">
        <v>528</v>
      </c>
      <c r="C1101" s="62">
        <v>10.0</v>
      </c>
      <c r="D1101" s="63" t="s">
        <v>539</v>
      </c>
      <c r="E1101" s="64">
        <v>0.0</v>
      </c>
      <c r="F1101" s="65">
        <f t="shared" si="1"/>
        <v>10</v>
      </c>
      <c r="G1101" s="66">
        <f>IF(B1101&lt;&gt;"",VLOOKUP(B1101,Zutaten!$C:$F,4,FALSE),"")*C1101</f>
        <v>0.0144</v>
      </c>
      <c r="H1101" s="67"/>
      <c r="I1101" s="67"/>
      <c r="J1101" s="67"/>
      <c r="K1101" s="67"/>
      <c r="L1101" s="67"/>
      <c r="M1101" s="67"/>
      <c r="N1101" s="67"/>
      <c r="O1101" s="67"/>
      <c r="P1101" s="67"/>
      <c r="Q1101" s="67"/>
      <c r="R1101" s="67"/>
      <c r="S1101" s="67"/>
      <c r="T1101" s="67"/>
      <c r="U1101" s="67"/>
      <c r="V1101" s="67"/>
      <c r="W1101" s="67"/>
      <c r="X1101" s="67"/>
      <c r="Y1101" s="67"/>
      <c r="Z1101" s="67"/>
      <c r="AA1101" s="67"/>
      <c r="AB1101" s="67"/>
      <c r="AC1101" s="67"/>
    </row>
    <row r="1102">
      <c r="A1102" s="60" t="s">
        <v>263</v>
      </c>
      <c r="B1102" s="61" t="s">
        <v>351</v>
      </c>
      <c r="C1102" s="62">
        <v>100.0</v>
      </c>
      <c r="D1102" s="63" t="s">
        <v>540</v>
      </c>
      <c r="E1102" s="64">
        <v>0.0</v>
      </c>
      <c r="F1102" s="65">
        <f t="shared" si="1"/>
        <v>100</v>
      </c>
      <c r="G1102" s="66">
        <f>IF(B1102&lt;&gt;"",VLOOKUP(B1102,Zutaten!$C:$F,4,FALSE),"")*C1102</f>
        <v>0.071</v>
      </c>
      <c r="H1102" s="67"/>
      <c r="I1102" s="67"/>
      <c r="J1102" s="67"/>
      <c r="K1102" s="67"/>
      <c r="L1102" s="67"/>
      <c r="M1102" s="67"/>
      <c r="N1102" s="67"/>
      <c r="O1102" s="67"/>
      <c r="P1102" s="67"/>
      <c r="Q1102" s="67"/>
      <c r="R1102" s="67"/>
      <c r="S1102" s="67"/>
      <c r="T1102" s="67"/>
      <c r="U1102" s="67"/>
      <c r="V1102" s="67"/>
      <c r="W1102" s="67"/>
      <c r="X1102" s="67"/>
      <c r="Y1102" s="67"/>
      <c r="Z1102" s="67"/>
      <c r="AA1102" s="67"/>
      <c r="AB1102" s="67"/>
      <c r="AC1102" s="67"/>
    </row>
    <row r="1103">
      <c r="A1103" s="60" t="s">
        <v>263</v>
      </c>
      <c r="B1103" s="61" t="s">
        <v>506</v>
      </c>
      <c r="C1103" s="62">
        <v>250.0</v>
      </c>
      <c r="D1103" s="63" t="s">
        <v>540</v>
      </c>
      <c r="E1103" s="64">
        <v>0.0</v>
      </c>
      <c r="F1103" s="65">
        <f t="shared" si="1"/>
        <v>250</v>
      </c>
      <c r="G1103" s="66">
        <f>IF(B1103&lt;&gt;"",VLOOKUP(B1103,Zutaten!$C:$F,4,FALSE),"")*C1103</f>
        <v>15.39</v>
      </c>
      <c r="H1103" s="67"/>
      <c r="I1103" s="67"/>
      <c r="J1103" s="67"/>
      <c r="K1103" s="67"/>
      <c r="L1103" s="67"/>
      <c r="M1103" s="67"/>
      <c r="N1103" s="67"/>
      <c r="O1103" s="67"/>
      <c r="P1103" s="67"/>
      <c r="Q1103" s="67"/>
      <c r="R1103" s="67"/>
      <c r="S1103" s="67"/>
      <c r="T1103" s="67"/>
      <c r="U1103" s="67"/>
      <c r="V1103" s="67"/>
      <c r="W1103" s="67"/>
      <c r="X1103" s="67"/>
      <c r="Y1103" s="67"/>
      <c r="Z1103" s="67"/>
      <c r="AA1103" s="67"/>
      <c r="AB1103" s="67"/>
      <c r="AC1103" s="67"/>
    </row>
    <row r="1104">
      <c r="A1104" s="60" t="s">
        <v>263</v>
      </c>
      <c r="B1104" s="61" t="s">
        <v>442</v>
      </c>
      <c r="C1104" s="62">
        <v>5.0</v>
      </c>
      <c r="D1104" s="63" t="s">
        <v>539</v>
      </c>
      <c r="E1104" s="64">
        <v>0.0</v>
      </c>
      <c r="F1104" s="65">
        <f t="shared" si="1"/>
        <v>5</v>
      </c>
      <c r="G1104" s="66">
        <f>IF(B1104&lt;&gt;"",VLOOKUP(B1104,Zutaten!$C:$F,4,FALSE),"")*C1104</f>
        <v>0.162</v>
      </c>
      <c r="H1104" s="67"/>
      <c r="I1104" s="67"/>
      <c r="J1104" s="67"/>
      <c r="K1104" s="67"/>
      <c r="L1104" s="67"/>
      <c r="M1104" s="67"/>
      <c r="N1104" s="67"/>
      <c r="O1104" s="67"/>
      <c r="P1104" s="67"/>
      <c r="Q1104" s="67"/>
      <c r="R1104" s="67"/>
      <c r="S1104" s="67"/>
      <c r="T1104" s="67"/>
      <c r="U1104" s="67"/>
      <c r="V1104" s="67"/>
      <c r="W1104" s="67"/>
      <c r="X1104" s="67"/>
      <c r="Y1104" s="67"/>
      <c r="Z1104" s="67"/>
      <c r="AA1104" s="67"/>
      <c r="AB1104" s="67"/>
      <c r="AC1104" s="67"/>
    </row>
    <row r="1105">
      <c r="A1105" s="70" t="s">
        <v>264</v>
      </c>
      <c r="B1105" s="70" t="s">
        <v>265</v>
      </c>
      <c r="C1105" s="68">
        <v>100.0</v>
      </c>
      <c r="D1105" s="63" t="s">
        <v>539</v>
      </c>
      <c r="E1105" s="64">
        <v>0.0</v>
      </c>
      <c r="F1105" s="65">
        <f t="shared" si="1"/>
        <v>100</v>
      </c>
      <c r="G1105" s="66">
        <f>IF(B1105&lt;&gt;"",VLOOKUP(B1105,Zutaten!$C:$F,4,FALSE),"")*C1105</f>
        <v>0.3475387387</v>
      </c>
      <c r="H1105" s="67"/>
      <c r="I1105" s="67"/>
      <c r="J1105" s="67"/>
      <c r="K1105" s="67"/>
      <c r="L1105" s="67"/>
      <c r="M1105" s="67"/>
      <c r="N1105" s="67"/>
      <c r="O1105" s="67"/>
      <c r="P1105" s="67"/>
      <c r="Q1105" s="67"/>
      <c r="R1105" s="67"/>
      <c r="S1105" s="67"/>
      <c r="T1105" s="67"/>
      <c r="U1105" s="67"/>
      <c r="V1105" s="67"/>
      <c r="W1105" s="67"/>
      <c r="X1105" s="67"/>
      <c r="Y1105" s="67"/>
      <c r="Z1105" s="67"/>
      <c r="AA1105" s="67"/>
      <c r="AB1105" s="67"/>
      <c r="AC1105" s="67"/>
    </row>
    <row r="1106">
      <c r="A1106" s="70" t="s">
        <v>264</v>
      </c>
      <c r="B1106" s="77" t="s">
        <v>269</v>
      </c>
      <c r="C1106" s="68">
        <v>100.0</v>
      </c>
      <c r="D1106" s="63" t="s">
        <v>539</v>
      </c>
      <c r="E1106" s="64">
        <v>0.0</v>
      </c>
      <c r="F1106" s="65">
        <f t="shared" si="1"/>
        <v>100</v>
      </c>
      <c r="G1106" s="66">
        <f>IF(B1106&lt;&gt;"",VLOOKUP(B1106,Zutaten!$C:$F,4,FALSE),"")*C1106</f>
        <v>0.7699402715</v>
      </c>
      <c r="H1106" s="67"/>
      <c r="I1106" s="67"/>
      <c r="J1106" s="67"/>
      <c r="K1106" s="67"/>
      <c r="L1106" s="67"/>
      <c r="M1106" s="67"/>
      <c r="N1106" s="67"/>
      <c r="O1106" s="67"/>
      <c r="P1106" s="67"/>
      <c r="Q1106" s="67"/>
      <c r="R1106" s="67"/>
      <c r="S1106" s="67"/>
      <c r="T1106" s="67"/>
      <c r="U1106" s="67"/>
      <c r="V1106" s="67"/>
      <c r="W1106" s="67"/>
      <c r="X1106" s="67"/>
      <c r="Y1106" s="67"/>
      <c r="Z1106" s="67"/>
      <c r="AA1106" s="67"/>
      <c r="AB1106" s="67"/>
      <c r="AC1106" s="67"/>
    </row>
    <row r="1107">
      <c r="A1107" s="70" t="s">
        <v>264</v>
      </c>
      <c r="B1107" s="79" t="s">
        <v>267</v>
      </c>
      <c r="C1107" s="68">
        <v>50.0</v>
      </c>
      <c r="D1107" s="63" t="s">
        <v>539</v>
      </c>
      <c r="E1107" s="64">
        <v>0.0</v>
      </c>
      <c r="F1107" s="65">
        <f t="shared" si="1"/>
        <v>50</v>
      </c>
      <c r="G1107" s="66">
        <f>IF(B1107&lt;&gt;"",VLOOKUP(B1107,Zutaten!$C:$F,4,FALSE),"")*C1107</f>
        <v>0.2904547362</v>
      </c>
      <c r="H1107" s="67"/>
      <c r="I1107" s="67"/>
      <c r="J1107" s="67"/>
      <c r="K1107" s="67"/>
      <c r="L1107" s="67"/>
      <c r="M1107" s="67"/>
      <c r="N1107" s="67"/>
      <c r="O1107" s="67"/>
      <c r="P1107" s="67"/>
      <c r="Q1107" s="67"/>
      <c r="R1107" s="67"/>
      <c r="S1107" s="67"/>
      <c r="T1107" s="67"/>
      <c r="U1107" s="67"/>
      <c r="V1107" s="67"/>
      <c r="W1107" s="67"/>
      <c r="X1107" s="67"/>
      <c r="Y1107" s="67"/>
      <c r="Z1107" s="67"/>
      <c r="AA1107" s="67"/>
      <c r="AB1107" s="67"/>
      <c r="AC1107" s="67"/>
    </row>
    <row r="1108">
      <c r="A1108" s="70" t="s">
        <v>264</v>
      </c>
      <c r="B1108" s="71" t="s">
        <v>270</v>
      </c>
      <c r="C1108" s="68">
        <v>60.0</v>
      </c>
      <c r="D1108" s="63" t="s">
        <v>539</v>
      </c>
      <c r="E1108" s="64">
        <v>0.0</v>
      </c>
      <c r="F1108" s="65">
        <f t="shared" si="1"/>
        <v>60</v>
      </c>
      <c r="G1108" s="66">
        <f>IF(B1108&lt;&gt;"",VLOOKUP(B1108,Zutaten!$C:$F,4,FALSE),"")*C1108</f>
        <v>0.07255245283</v>
      </c>
      <c r="H1108" s="67"/>
      <c r="I1108" s="67"/>
      <c r="J1108" s="67"/>
      <c r="K1108" s="67"/>
      <c r="L1108" s="67"/>
      <c r="M1108" s="67"/>
      <c r="N1108" s="67"/>
      <c r="O1108" s="67"/>
      <c r="P1108" s="67"/>
      <c r="Q1108" s="67"/>
      <c r="R1108" s="67"/>
      <c r="S1108" s="67"/>
      <c r="T1108" s="67"/>
      <c r="U1108" s="67"/>
      <c r="V1108" s="67"/>
      <c r="W1108" s="67"/>
      <c r="X1108" s="67"/>
      <c r="Y1108" s="67"/>
      <c r="Z1108" s="67"/>
      <c r="AA1108" s="67"/>
      <c r="AB1108" s="67"/>
      <c r="AC1108" s="67"/>
    </row>
    <row r="1109">
      <c r="A1109" s="70" t="s">
        <v>264</v>
      </c>
      <c r="B1109" s="70" t="s">
        <v>268</v>
      </c>
      <c r="C1109" s="88">
        <v>50.0</v>
      </c>
      <c r="D1109" s="63" t="s">
        <v>539</v>
      </c>
      <c r="E1109" s="64">
        <v>0.0</v>
      </c>
      <c r="F1109" s="65">
        <f t="shared" si="1"/>
        <v>50</v>
      </c>
      <c r="G1109" s="66">
        <f>IF(B1109&lt;&gt;"",VLOOKUP(B1109,Zutaten!$C:$F,4,FALSE),"")*C1109</f>
        <v>0.1715370036</v>
      </c>
      <c r="H1109" s="67"/>
      <c r="I1109" s="67"/>
      <c r="J1109" s="67"/>
      <c r="K1109" s="67"/>
      <c r="L1109" s="67"/>
      <c r="M1109" s="67"/>
      <c r="N1109" s="67"/>
      <c r="O1109" s="67"/>
      <c r="P1109" s="67"/>
      <c r="Q1109" s="67"/>
      <c r="R1109" s="67"/>
      <c r="S1109" s="67"/>
      <c r="T1109" s="67"/>
      <c r="U1109" s="67"/>
      <c r="V1109" s="67"/>
      <c r="W1109" s="67"/>
      <c r="X1109" s="67"/>
      <c r="Y1109" s="67"/>
      <c r="Z1109" s="67"/>
      <c r="AA1109" s="67"/>
      <c r="AB1109" s="67"/>
      <c r="AC1109" s="67"/>
    </row>
    <row r="1110">
      <c r="A1110" s="70" t="s">
        <v>264</v>
      </c>
      <c r="B1110" s="77" t="s">
        <v>266</v>
      </c>
      <c r="C1110" s="68">
        <v>130.0</v>
      </c>
      <c r="D1110" s="63" t="s">
        <v>539</v>
      </c>
      <c r="E1110" s="64">
        <v>0.0</v>
      </c>
      <c r="F1110" s="65">
        <f t="shared" si="1"/>
        <v>130</v>
      </c>
      <c r="G1110" s="66">
        <f>IF(B1110&lt;&gt;"",VLOOKUP(B1110,Zutaten!$C:$F,4,FALSE),"")*C1110</f>
        <v>0.2790018225</v>
      </c>
      <c r="H1110" s="67"/>
      <c r="I1110" s="67"/>
      <c r="J1110" s="67"/>
      <c r="K1110" s="67"/>
      <c r="L1110" s="67"/>
      <c r="M1110" s="67"/>
      <c r="N1110" s="67"/>
      <c r="O1110" s="67"/>
      <c r="P1110" s="67"/>
      <c r="Q1110" s="67"/>
      <c r="R1110" s="67"/>
      <c r="S1110" s="67"/>
      <c r="T1110" s="67"/>
      <c r="U1110" s="67"/>
      <c r="V1110" s="67"/>
      <c r="W1110" s="67"/>
      <c r="X1110" s="67"/>
      <c r="Y1110" s="67"/>
      <c r="Z1110" s="67"/>
      <c r="AA1110" s="67"/>
      <c r="AB1110" s="67"/>
      <c r="AC1110" s="67"/>
    </row>
    <row r="1111">
      <c r="A1111" s="70" t="s">
        <v>265</v>
      </c>
      <c r="B1111" s="71" t="s">
        <v>295</v>
      </c>
      <c r="C1111" s="89">
        <v>1000.0</v>
      </c>
      <c r="D1111" s="71" t="s">
        <v>539</v>
      </c>
      <c r="E1111" s="64">
        <v>0.0</v>
      </c>
      <c r="F1111" s="65">
        <f t="shared" si="1"/>
        <v>1000</v>
      </c>
      <c r="G1111" s="66">
        <f>IF(B1111&lt;&gt;"",VLOOKUP(B1111,Zutaten!$C:$F,4,FALSE),"")*C1111</f>
        <v>2.99</v>
      </c>
      <c r="H1111" s="67"/>
      <c r="I1111" s="67"/>
      <c r="J1111" s="67"/>
      <c r="K1111" s="67"/>
      <c r="L1111" s="67"/>
      <c r="M1111" s="67"/>
      <c r="N1111" s="67"/>
      <c r="O1111" s="67"/>
      <c r="P1111" s="67"/>
      <c r="Q1111" s="67"/>
      <c r="R1111" s="67"/>
      <c r="S1111" s="67"/>
      <c r="T1111" s="67"/>
      <c r="U1111" s="67"/>
      <c r="V1111" s="67"/>
      <c r="W1111" s="67"/>
      <c r="X1111" s="67"/>
      <c r="Y1111" s="67"/>
      <c r="Z1111" s="67"/>
      <c r="AA1111" s="67"/>
      <c r="AB1111" s="67"/>
      <c r="AC1111" s="67"/>
    </row>
    <row r="1112">
      <c r="A1112" s="70" t="s">
        <v>265</v>
      </c>
      <c r="B1112" s="71" t="s">
        <v>565</v>
      </c>
      <c r="C1112" s="89">
        <v>100.0</v>
      </c>
      <c r="D1112" s="71" t="s">
        <v>540</v>
      </c>
      <c r="E1112" s="64">
        <v>0.0</v>
      </c>
      <c r="F1112" s="65">
        <f t="shared" si="1"/>
        <v>100</v>
      </c>
      <c r="G1112" s="66">
        <f>IF(B1112&lt;&gt;"",VLOOKUP(B1112,Zutaten!$C:$F,4,FALSE),"")*C1112</f>
        <v>0.864</v>
      </c>
      <c r="H1112" s="67"/>
      <c r="I1112" s="67"/>
      <c r="J1112" s="67"/>
      <c r="K1112" s="67"/>
      <c r="L1112" s="67"/>
      <c r="M1112" s="67"/>
      <c r="N1112" s="67"/>
      <c r="O1112" s="67"/>
      <c r="P1112" s="67"/>
      <c r="Q1112" s="67"/>
      <c r="R1112" s="67"/>
      <c r="S1112" s="67"/>
      <c r="T1112" s="67"/>
      <c r="U1112" s="67"/>
      <c r="V1112" s="67"/>
      <c r="W1112" s="67"/>
      <c r="X1112" s="67"/>
      <c r="Y1112" s="67"/>
      <c r="Z1112" s="67"/>
      <c r="AA1112" s="67"/>
      <c r="AB1112" s="67"/>
      <c r="AC1112" s="67"/>
    </row>
    <row r="1113">
      <c r="A1113" s="70" t="s">
        <v>265</v>
      </c>
      <c r="B1113" s="71" t="s">
        <v>545</v>
      </c>
      <c r="C1113" s="89">
        <v>10.0</v>
      </c>
      <c r="D1113" s="71" t="s">
        <v>539</v>
      </c>
      <c r="E1113" s="64">
        <v>0.0</v>
      </c>
      <c r="F1113" s="65">
        <f t="shared" si="1"/>
        <v>10</v>
      </c>
      <c r="G1113" s="66">
        <f>IF(B1113&lt;&gt;"",VLOOKUP(B1113,Zutaten!$C:$F,4,FALSE),"")*C1113</f>
        <v>0.00368</v>
      </c>
      <c r="H1113" s="67"/>
      <c r="I1113" s="67"/>
      <c r="J1113" s="67"/>
      <c r="K1113" s="67"/>
      <c r="L1113" s="67"/>
      <c r="M1113" s="67"/>
      <c r="N1113" s="67"/>
      <c r="O1113" s="67"/>
      <c r="P1113" s="67"/>
      <c r="Q1113" s="67"/>
      <c r="R1113" s="67"/>
      <c r="S1113" s="67"/>
      <c r="T1113" s="67"/>
      <c r="U1113" s="67"/>
      <c r="V1113" s="67"/>
      <c r="W1113" s="67"/>
      <c r="X1113" s="67"/>
      <c r="Y1113" s="67"/>
      <c r="Z1113" s="67"/>
      <c r="AA1113" s="67"/>
      <c r="AB1113" s="67"/>
      <c r="AC1113" s="67"/>
    </row>
    <row r="1114">
      <c r="A1114" s="77" t="s">
        <v>266</v>
      </c>
      <c r="B1114" s="71" t="s">
        <v>38</v>
      </c>
      <c r="C1114" s="90">
        <v>2000.0</v>
      </c>
      <c r="D1114" s="85" t="s">
        <v>539</v>
      </c>
      <c r="E1114" s="64">
        <v>0.0</v>
      </c>
      <c r="F1114" s="65">
        <f t="shared" si="1"/>
        <v>2000</v>
      </c>
      <c r="G1114" s="66">
        <f>IF(B1114&lt;&gt;"",VLOOKUP(B1114,Zutaten!$C:$F,4,FALSE),"")*C1114</f>
        <v>7.12</v>
      </c>
      <c r="H1114" s="67"/>
      <c r="I1114" s="67"/>
      <c r="J1114" s="67"/>
      <c r="K1114" s="67"/>
      <c r="L1114" s="67"/>
      <c r="M1114" s="67"/>
      <c r="N1114" s="67"/>
      <c r="O1114" s="67"/>
      <c r="P1114" s="67"/>
      <c r="Q1114" s="67"/>
      <c r="R1114" s="67"/>
      <c r="S1114" s="67"/>
      <c r="T1114" s="67"/>
      <c r="U1114" s="67"/>
      <c r="V1114" s="67"/>
      <c r="W1114" s="67"/>
      <c r="X1114" s="67"/>
      <c r="Y1114" s="67"/>
      <c r="Z1114" s="67"/>
      <c r="AA1114" s="67"/>
      <c r="AB1114" s="67"/>
      <c r="AC1114" s="67"/>
    </row>
    <row r="1115">
      <c r="A1115" s="77" t="s">
        <v>266</v>
      </c>
      <c r="B1115" s="71" t="s">
        <v>467</v>
      </c>
      <c r="C1115" s="91">
        <v>40.0</v>
      </c>
      <c r="D1115" s="71" t="s">
        <v>539</v>
      </c>
      <c r="E1115" s="64">
        <v>0.0</v>
      </c>
      <c r="F1115" s="65">
        <f t="shared" si="1"/>
        <v>40</v>
      </c>
      <c r="G1115" s="66">
        <f>IF(B1115&lt;&gt;"",VLOOKUP(B1115,Zutaten!$C:$F,4,FALSE),"")*C1115</f>
        <v>0.01472</v>
      </c>
      <c r="H1115" s="67"/>
      <c r="I1115" s="67"/>
      <c r="J1115" s="67"/>
      <c r="K1115" s="67"/>
      <c r="L1115" s="67"/>
      <c r="M1115" s="67"/>
      <c r="N1115" s="67"/>
      <c r="O1115" s="67"/>
      <c r="P1115" s="67"/>
      <c r="Q1115" s="67"/>
      <c r="R1115" s="67"/>
      <c r="S1115" s="67"/>
      <c r="T1115" s="67"/>
      <c r="U1115" s="67"/>
      <c r="V1115" s="67"/>
      <c r="W1115" s="67"/>
      <c r="X1115" s="67"/>
      <c r="Y1115" s="67"/>
      <c r="Z1115" s="67"/>
      <c r="AA1115" s="67"/>
      <c r="AB1115" s="67"/>
      <c r="AC1115" s="67"/>
    </row>
    <row r="1116">
      <c r="A1116" s="77" t="s">
        <v>266</v>
      </c>
      <c r="B1116" s="71" t="s">
        <v>428</v>
      </c>
      <c r="C1116" s="91">
        <v>30.0</v>
      </c>
      <c r="D1116" s="71" t="s">
        <v>540</v>
      </c>
      <c r="E1116" s="64">
        <v>0.0</v>
      </c>
      <c r="F1116" s="65">
        <f t="shared" si="1"/>
        <v>30</v>
      </c>
      <c r="G1116" s="66">
        <f>IF(B1116&lt;&gt;"",VLOOKUP(B1116,Zutaten!$C:$F,4,FALSE),"")*C1116</f>
        <v>0.2592</v>
      </c>
      <c r="H1116" s="67"/>
      <c r="I1116" s="67"/>
      <c r="J1116" s="67"/>
      <c r="K1116" s="67"/>
      <c r="L1116" s="67"/>
      <c r="M1116" s="67"/>
      <c r="N1116" s="67"/>
      <c r="O1116" s="67"/>
      <c r="P1116" s="67"/>
      <c r="Q1116" s="67"/>
      <c r="R1116" s="67"/>
      <c r="S1116" s="67"/>
      <c r="T1116" s="67"/>
      <c r="U1116" s="67"/>
      <c r="V1116" s="67"/>
      <c r="W1116" s="67"/>
      <c r="X1116" s="67"/>
      <c r="Y1116" s="67"/>
      <c r="Z1116" s="67"/>
      <c r="AA1116" s="67"/>
      <c r="AB1116" s="67"/>
      <c r="AC1116" s="67"/>
    </row>
    <row r="1117">
      <c r="A1117" s="77" t="s">
        <v>266</v>
      </c>
      <c r="B1117" s="71" t="s">
        <v>514</v>
      </c>
      <c r="C1117" s="91">
        <v>2000.0</v>
      </c>
      <c r="D1117" s="71" t="s">
        <v>540</v>
      </c>
      <c r="E1117" s="64">
        <v>0.0</v>
      </c>
      <c r="F1117" s="65">
        <f t="shared" si="1"/>
        <v>2000</v>
      </c>
      <c r="G1117" s="66">
        <f>IF(B1117&lt;&gt;"",VLOOKUP(B1117,Zutaten!$C:$F,4,FALSE),"")*C1117</f>
        <v>0.02</v>
      </c>
      <c r="H1117" s="67"/>
      <c r="I1117" s="67"/>
      <c r="J1117" s="67"/>
      <c r="K1117" s="67"/>
      <c r="L1117" s="67"/>
      <c r="M1117" s="67"/>
      <c r="N1117" s="67"/>
      <c r="O1117" s="67"/>
      <c r="P1117" s="67"/>
      <c r="Q1117" s="67"/>
      <c r="R1117" s="67"/>
      <c r="S1117" s="67"/>
      <c r="T1117" s="67"/>
      <c r="U1117" s="67"/>
      <c r="V1117" s="67"/>
      <c r="W1117" s="67"/>
      <c r="X1117" s="67"/>
      <c r="Y1117" s="67"/>
      <c r="Z1117" s="67"/>
      <c r="AA1117" s="67"/>
      <c r="AB1117" s="67"/>
      <c r="AC1117" s="67"/>
    </row>
    <row r="1118">
      <c r="A1118" s="77" t="s">
        <v>266</v>
      </c>
      <c r="B1118" s="71" t="s">
        <v>437</v>
      </c>
      <c r="C1118" s="91">
        <v>70.0</v>
      </c>
      <c r="D1118" s="71" t="s">
        <v>539</v>
      </c>
      <c r="E1118" s="64">
        <v>0.0</v>
      </c>
      <c r="F1118" s="65">
        <f t="shared" si="1"/>
        <v>70</v>
      </c>
      <c r="G1118" s="66">
        <f>IF(B1118&lt;&gt;"",VLOOKUP(B1118,Zutaten!$C:$F,4,FALSE),"")*C1118</f>
        <v>1.211</v>
      </c>
      <c r="H1118" s="67"/>
      <c r="I1118" s="67"/>
      <c r="J1118" s="67"/>
      <c r="K1118" s="67"/>
      <c r="L1118" s="67"/>
      <c r="M1118" s="67"/>
      <c r="N1118" s="67"/>
      <c r="O1118" s="67"/>
      <c r="P1118" s="67"/>
      <c r="Q1118" s="67"/>
      <c r="R1118" s="67"/>
      <c r="S1118" s="67"/>
      <c r="T1118" s="67"/>
      <c r="U1118" s="67"/>
      <c r="V1118" s="67"/>
      <c r="W1118" s="67"/>
      <c r="X1118" s="67"/>
      <c r="Y1118" s="67"/>
      <c r="Z1118" s="67"/>
      <c r="AA1118" s="67"/>
      <c r="AB1118" s="67"/>
      <c r="AC1118" s="67"/>
    </row>
    <row r="1119">
      <c r="A1119" s="77" t="s">
        <v>266</v>
      </c>
      <c r="B1119" s="71" t="s">
        <v>398</v>
      </c>
      <c r="C1119" s="91">
        <v>30.0</v>
      </c>
      <c r="D1119" s="71" t="s">
        <v>539</v>
      </c>
      <c r="E1119" s="64">
        <v>0.0</v>
      </c>
      <c r="F1119" s="65">
        <f t="shared" si="1"/>
        <v>30</v>
      </c>
      <c r="G1119" s="66">
        <f>IF(B1119&lt;&gt;"",VLOOKUP(B1119,Zutaten!$C:$F,4,FALSE),"")*C1119</f>
        <v>0.3246</v>
      </c>
      <c r="H1119" s="67"/>
      <c r="I1119" s="67"/>
      <c r="J1119" s="67"/>
      <c r="K1119" s="67"/>
      <c r="L1119" s="67"/>
      <c r="M1119" s="67"/>
      <c r="N1119" s="67"/>
      <c r="O1119" s="67"/>
      <c r="P1119" s="67"/>
      <c r="Q1119" s="67"/>
      <c r="R1119" s="67"/>
      <c r="S1119" s="67"/>
      <c r="T1119" s="67"/>
      <c r="U1119" s="67"/>
      <c r="V1119" s="67"/>
      <c r="W1119" s="67"/>
      <c r="X1119" s="67"/>
      <c r="Y1119" s="67"/>
      <c r="Z1119" s="67"/>
      <c r="AA1119" s="67"/>
      <c r="AB1119" s="67"/>
      <c r="AC1119" s="67"/>
    </row>
    <row r="1120">
      <c r="A1120" s="70" t="s">
        <v>267</v>
      </c>
      <c r="B1120" s="71" t="s">
        <v>545</v>
      </c>
      <c r="C1120" s="89">
        <v>5.0</v>
      </c>
      <c r="D1120" s="71" t="s">
        <v>539</v>
      </c>
      <c r="E1120" s="64">
        <v>0.0</v>
      </c>
      <c r="F1120" s="65">
        <f t="shared" si="1"/>
        <v>5</v>
      </c>
      <c r="G1120" s="66">
        <f>IF(B1120&lt;&gt;"",VLOOKUP(B1120,Zutaten!$C:$F,4,FALSE),"")*C1120</f>
        <v>0.00184</v>
      </c>
      <c r="H1120" s="67"/>
      <c r="I1120" s="67"/>
      <c r="J1120" s="67"/>
      <c r="K1120" s="67"/>
      <c r="L1120" s="67"/>
      <c r="M1120" s="67"/>
      <c r="N1120" s="67"/>
      <c r="O1120" s="67"/>
      <c r="P1120" s="67"/>
      <c r="Q1120" s="67"/>
      <c r="R1120" s="67"/>
      <c r="S1120" s="67"/>
      <c r="T1120" s="67"/>
      <c r="U1120" s="67"/>
      <c r="V1120" s="67"/>
      <c r="W1120" s="67"/>
      <c r="X1120" s="67"/>
      <c r="Y1120" s="67"/>
      <c r="Z1120" s="67"/>
      <c r="AA1120" s="67"/>
      <c r="AB1120" s="67"/>
      <c r="AC1120" s="67"/>
    </row>
    <row r="1121">
      <c r="A1121" s="70" t="s">
        <v>267</v>
      </c>
      <c r="B1121" s="70" t="s">
        <v>389</v>
      </c>
      <c r="C1121" s="92">
        <v>1000.0</v>
      </c>
      <c r="D1121" s="85" t="s">
        <v>539</v>
      </c>
      <c r="E1121" s="64">
        <v>0.0</v>
      </c>
      <c r="F1121" s="65">
        <f t="shared" si="1"/>
        <v>1000</v>
      </c>
      <c r="G1121" s="66">
        <f>IF(B1121&lt;&gt;"",VLOOKUP(B1121,Zutaten!$C:$F,4,FALSE),"")*C1121</f>
        <v>4.583333333</v>
      </c>
      <c r="H1121" s="67"/>
      <c r="I1121" s="67"/>
      <c r="J1121" s="67"/>
      <c r="K1121" s="67"/>
      <c r="L1121" s="67"/>
      <c r="M1121" s="67"/>
      <c r="N1121" s="67"/>
      <c r="O1121" s="67"/>
      <c r="P1121" s="67"/>
      <c r="Q1121" s="67"/>
      <c r="R1121" s="67"/>
      <c r="S1121" s="67"/>
      <c r="T1121" s="67"/>
      <c r="U1121" s="67"/>
      <c r="V1121" s="67"/>
      <c r="W1121" s="67"/>
      <c r="X1121" s="67"/>
      <c r="Y1121" s="67"/>
      <c r="Z1121" s="67"/>
      <c r="AA1121" s="67"/>
      <c r="AB1121" s="67"/>
      <c r="AC1121" s="67"/>
    </row>
    <row r="1122">
      <c r="A1122" s="70" t="s">
        <v>267</v>
      </c>
      <c r="B1122" s="71" t="s">
        <v>551</v>
      </c>
      <c r="C1122" s="89">
        <v>5.0</v>
      </c>
      <c r="D1122" s="71" t="s">
        <v>540</v>
      </c>
      <c r="E1122" s="64">
        <v>0.0</v>
      </c>
      <c r="F1122" s="65">
        <f t="shared" si="1"/>
        <v>5</v>
      </c>
      <c r="G1122" s="66">
        <f>IF(B1122&lt;&gt;"",VLOOKUP(B1122,Zutaten!$C:$F,4,FALSE),"")*C1122</f>
        <v>0.0559</v>
      </c>
      <c r="H1122" s="67"/>
      <c r="I1122" s="67"/>
      <c r="J1122" s="67"/>
      <c r="K1122" s="67"/>
      <c r="L1122" s="67"/>
      <c r="M1122" s="67"/>
      <c r="N1122" s="67"/>
      <c r="O1122" s="67"/>
      <c r="P1122" s="67"/>
      <c r="Q1122" s="67"/>
      <c r="R1122" s="67"/>
      <c r="S1122" s="67"/>
      <c r="T1122" s="67"/>
      <c r="U1122" s="67"/>
      <c r="V1122" s="67"/>
      <c r="W1122" s="67"/>
      <c r="X1122" s="67"/>
      <c r="Y1122" s="67"/>
      <c r="Z1122" s="67"/>
      <c r="AA1122" s="67"/>
      <c r="AB1122" s="67"/>
      <c r="AC1122" s="67"/>
    </row>
    <row r="1123">
      <c r="A1123" s="70" t="s">
        <v>267</v>
      </c>
      <c r="B1123" s="71" t="s">
        <v>565</v>
      </c>
      <c r="C1123" s="89">
        <v>50.0</v>
      </c>
      <c r="D1123" s="71" t="s">
        <v>540</v>
      </c>
      <c r="E1123" s="64">
        <v>0.0</v>
      </c>
      <c r="F1123" s="65">
        <f t="shared" si="1"/>
        <v>50</v>
      </c>
      <c r="G1123" s="66">
        <f>IF(B1123&lt;&gt;"",VLOOKUP(B1123,Zutaten!$C:$F,4,FALSE),"")*C1123</f>
        <v>0.432</v>
      </c>
      <c r="H1123" s="67"/>
      <c r="I1123" s="67"/>
      <c r="J1123" s="67"/>
      <c r="K1123" s="67"/>
      <c r="L1123" s="67"/>
      <c r="M1123" s="67"/>
      <c r="N1123" s="67"/>
      <c r="O1123" s="67"/>
      <c r="P1123" s="67"/>
      <c r="Q1123" s="67"/>
      <c r="R1123" s="67"/>
      <c r="S1123" s="67"/>
      <c r="T1123" s="67"/>
      <c r="U1123" s="67"/>
      <c r="V1123" s="67"/>
      <c r="W1123" s="67"/>
      <c r="X1123" s="67"/>
      <c r="Y1123" s="67"/>
      <c r="Z1123" s="67"/>
      <c r="AA1123" s="67"/>
      <c r="AB1123" s="67"/>
      <c r="AC1123" s="67"/>
    </row>
    <row r="1124">
      <c r="A1124" s="70" t="s">
        <v>267</v>
      </c>
      <c r="B1124" s="71" t="s">
        <v>566</v>
      </c>
      <c r="C1124" s="89">
        <v>50.0</v>
      </c>
      <c r="D1124" s="71" t="s">
        <v>539</v>
      </c>
      <c r="E1124" s="64">
        <v>0.0</v>
      </c>
      <c r="F1124" s="65">
        <f t="shared" si="1"/>
        <v>50</v>
      </c>
      <c r="G1124" s="66">
        <f>IF(B1124&lt;&gt;"",VLOOKUP(B1124,Zutaten!$C:$F,4,FALSE),"")*C1124</f>
        <v>1.365</v>
      </c>
      <c r="H1124" s="67"/>
      <c r="I1124" s="67"/>
      <c r="J1124" s="67"/>
      <c r="K1124" s="67"/>
      <c r="L1124" s="67"/>
      <c r="M1124" s="67"/>
      <c r="N1124" s="67"/>
      <c r="O1124" s="67"/>
      <c r="P1124" s="67"/>
      <c r="Q1124" s="67"/>
      <c r="R1124" s="67"/>
      <c r="S1124" s="67"/>
      <c r="T1124" s="67"/>
      <c r="U1124" s="67"/>
      <c r="V1124" s="67"/>
      <c r="W1124" s="67"/>
      <c r="X1124" s="67"/>
      <c r="Y1124" s="67"/>
      <c r="Z1124" s="67"/>
      <c r="AA1124" s="67"/>
      <c r="AB1124" s="67"/>
      <c r="AC1124" s="67"/>
    </row>
    <row r="1125">
      <c r="A1125" s="70" t="s">
        <v>267</v>
      </c>
      <c r="B1125" s="71" t="s">
        <v>398</v>
      </c>
      <c r="C1125" s="89">
        <v>2.0</v>
      </c>
      <c r="D1125" s="71" t="s">
        <v>539</v>
      </c>
      <c r="E1125" s="64">
        <v>0.0</v>
      </c>
      <c r="F1125" s="65">
        <f t="shared" si="1"/>
        <v>2</v>
      </c>
      <c r="G1125" s="66">
        <f>IF(B1125&lt;&gt;"",VLOOKUP(B1125,Zutaten!$C:$F,4,FALSE),"")*C1125</f>
        <v>0.02164</v>
      </c>
      <c r="H1125" s="67"/>
      <c r="I1125" s="67"/>
      <c r="J1125" s="67"/>
      <c r="K1125" s="67"/>
      <c r="L1125" s="67"/>
      <c r="M1125" s="67"/>
      <c r="N1125" s="67"/>
      <c r="O1125" s="67"/>
      <c r="P1125" s="67"/>
      <c r="Q1125" s="67"/>
      <c r="R1125" s="67"/>
      <c r="S1125" s="67"/>
      <c r="T1125" s="67"/>
      <c r="U1125" s="67"/>
      <c r="V1125" s="67"/>
      <c r="W1125" s="67"/>
      <c r="X1125" s="67"/>
      <c r="Y1125" s="67"/>
      <c r="Z1125" s="67"/>
      <c r="AA1125" s="67"/>
      <c r="AB1125" s="67"/>
      <c r="AC1125" s="67"/>
    </row>
    <row r="1126">
      <c r="A1126" s="70" t="s">
        <v>268</v>
      </c>
      <c r="B1126" s="71" t="s">
        <v>545</v>
      </c>
      <c r="C1126" s="89">
        <v>5.0</v>
      </c>
      <c r="D1126" s="71" t="s">
        <v>539</v>
      </c>
      <c r="E1126" s="64">
        <v>0.0</v>
      </c>
      <c r="F1126" s="65">
        <f t="shared" si="1"/>
        <v>5</v>
      </c>
      <c r="G1126" s="66">
        <f>IF(B1126&lt;&gt;"",VLOOKUP(B1126,Zutaten!$C:$F,4,FALSE),"")*C1126</f>
        <v>0.00184</v>
      </c>
      <c r="H1126" s="67"/>
      <c r="I1126" s="67"/>
      <c r="J1126" s="67"/>
      <c r="K1126" s="67"/>
      <c r="L1126" s="67"/>
      <c r="M1126" s="67"/>
      <c r="N1126" s="67"/>
      <c r="O1126" s="67"/>
      <c r="P1126" s="67"/>
      <c r="Q1126" s="67"/>
      <c r="R1126" s="67"/>
      <c r="S1126" s="67"/>
      <c r="T1126" s="67"/>
      <c r="U1126" s="67"/>
      <c r="V1126" s="67"/>
      <c r="W1126" s="67"/>
      <c r="X1126" s="67"/>
      <c r="Y1126" s="67"/>
      <c r="Z1126" s="67"/>
      <c r="AA1126" s="67"/>
      <c r="AB1126" s="67"/>
      <c r="AC1126" s="67"/>
    </row>
    <row r="1127">
      <c r="A1127" s="70" t="s">
        <v>268</v>
      </c>
      <c r="B1127" s="71" t="s">
        <v>567</v>
      </c>
      <c r="C1127" s="92">
        <v>1000.0</v>
      </c>
      <c r="D1127" s="85" t="s">
        <v>539</v>
      </c>
      <c r="E1127" s="64">
        <v>0.0</v>
      </c>
      <c r="F1127" s="65">
        <f t="shared" si="1"/>
        <v>1000</v>
      </c>
      <c r="G1127" s="66">
        <f>IF(B1127&lt;&gt;"",VLOOKUP(B1127,Zutaten!$C:$F,4,FALSE),"")*C1127</f>
        <v>2.89</v>
      </c>
      <c r="H1127" s="67"/>
      <c r="I1127" s="67"/>
      <c r="J1127" s="67"/>
      <c r="K1127" s="67"/>
      <c r="L1127" s="67"/>
      <c r="M1127" s="67"/>
      <c r="N1127" s="67"/>
      <c r="O1127" s="67"/>
      <c r="P1127" s="67"/>
      <c r="Q1127" s="67"/>
      <c r="R1127" s="67"/>
      <c r="S1127" s="67"/>
      <c r="T1127" s="67"/>
      <c r="U1127" s="67"/>
      <c r="V1127" s="67"/>
      <c r="W1127" s="67"/>
      <c r="X1127" s="67"/>
      <c r="Y1127" s="67"/>
      <c r="Z1127" s="67"/>
      <c r="AA1127" s="67"/>
      <c r="AB1127" s="67"/>
      <c r="AC1127" s="67"/>
    </row>
    <row r="1128">
      <c r="A1128" s="70" t="s">
        <v>268</v>
      </c>
      <c r="B1128" s="71" t="s">
        <v>565</v>
      </c>
      <c r="C1128" s="89">
        <v>100.0</v>
      </c>
      <c r="D1128" s="71" t="s">
        <v>540</v>
      </c>
      <c r="E1128" s="64">
        <v>0.0</v>
      </c>
      <c r="F1128" s="65">
        <f t="shared" si="1"/>
        <v>100</v>
      </c>
      <c r="G1128" s="66">
        <f>IF(B1128&lt;&gt;"",VLOOKUP(B1128,Zutaten!$C:$F,4,FALSE),"")*C1128</f>
        <v>0.864</v>
      </c>
      <c r="H1128" s="67"/>
      <c r="I1128" s="67"/>
      <c r="J1128" s="67"/>
      <c r="K1128" s="67"/>
      <c r="L1128" s="67"/>
      <c r="M1128" s="67"/>
      <c r="N1128" s="67"/>
      <c r="O1128" s="67"/>
      <c r="P1128" s="67"/>
      <c r="Q1128" s="67"/>
      <c r="R1128" s="67"/>
      <c r="S1128" s="67"/>
      <c r="T1128" s="67"/>
      <c r="U1128" s="67"/>
      <c r="V1128" s="67"/>
      <c r="W1128" s="67"/>
      <c r="X1128" s="67"/>
      <c r="Y1128" s="67"/>
      <c r="Z1128" s="67"/>
      <c r="AA1128" s="67"/>
      <c r="AB1128" s="67"/>
      <c r="AC1128" s="67"/>
    </row>
    <row r="1129">
      <c r="A1129" s="70" t="s">
        <v>268</v>
      </c>
      <c r="B1129" s="71" t="s">
        <v>437</v>
      </c>
      <c r="C1129" s="89">
        <v>2.0</v>
      </c>
      <c r="D1129" s="71" t="s">
        <v>539</v>
      </c>
      <c r="E1129" s="64">
        <v>0.0</v>
      </c>
      <c r="F1129" s="65">
        <f t="shared" si="1"/>
        <v>2</v>
      </c>
      <c r="G1129" s="66">
        <f>IF(B1129&lt;&gt;"",VLOOKUP(B1129,Zutaten!$C:$F,4,FALSE),"")*C1129</f>
        <v>0.0346</v>
      </c>
      <c r="H1129" s="67"/>
      <c r="I1129" s="67"/>
      <c r="J1129" s="67"/>
      <c r="K1129" s="67"/>
      <c r="L1129" s="67"/>
      <c r="M1129" s="67"/>
      <c r="N1129" s="67"/>
      <c r="O1129" s="67"/>
      <c r="P1129" s="67"/>
      <c r="Q1129" s="67"/>
      <c r="R1129" s="67"/>
      <c r="S1129" s="67"/>
      <c r="T1129" s="67"/>
      <c r="U1129" s="67"/>
      <c r="V1129" s="67"/>
      <c r="W1129" s="67"/>
      <c r="X1129" s="67"/>
      <c r="Y1129" s="67"/>
      <c r="Z1129" s="67"/>
      <c r="AA1129" s="67"/>
      <c r="AB1129" s="67"/>
      <c r="AC1129" s="67"/>
    </row>
    <row r="1130">
      <c r="A1130" s="70" t="s">
        <v>268</v>
      </c>
      <c r="B1130" s="71" t="s">
        <v>398</v>
      </c>
      <c r="C1130" s="89">
        <v>1.0</v>
      </c>
      <c r="D1130" s="71" t="s">
        <v>539</v>
      </c>
      <c r="E1130" s="64">
        <v>0.0</v>
      </c>
      <c r="F1130" s="65">
        <f t="shared" si="1"/>
        <v>1</v>
      </c>
      <c r="G1130" s="66">
        <f>IF(B1130&lt;&gt;"",VLOOKUP(B1130,Zutaten!$C:$F,4,FALSE),"")*C1130</f>
        <v>0.01082</v>
      </c>
      <c r="H1130" s="67"/>
      <c r="I1130" s="67"/>
      <c r="J1130" s="67"/>
      <c r="K1130" s="67"/>
      <c r="L1130" s="67"/>
      <c r="M1130" s="67"/>
      <c r="N1130" s="67"/>
      <c r="O1130" s="67"/>
      <c r="P1130" s="67"/>
      <c r="Q1130" s="67"/>
      <c r="R1130" s="67"/>
      <c r="S1130" s="67"/>
      <c r="T1130" s="67"/>
      <c r="U1130" s="67"/>
      <c r="V1130" s="67"/>
      <c r="W1130" s="67"/>
      <c r="X1130" s="67"/>
      <c r="Y1130" s="67"/>
      <c r="Z1130" s="67"/>
      <c r="AA1130" s="67"/>
      <c r="AB1130" s="67"/>
      <c r="AC1130" s="67"/>
    </row>
    <row r="1131">
      <c r="A1131" s="70" t="s">
        <v>269</v>
      </c>
      <c r="B1131" s="71" t="s">
        <v>545</v>
      </c>
      <c r="C1131" s="89">
        <v>5.0</v>
      </c>
      <c r="D1131" s="71" t="s">
        <v>539</v>
      </c>
      <c r="E1131" s="64">
        <v>0.0</v>
      </c>
      <c r="F1131" s="65">
        <f t="shared" si="1"/>
        <v>5</v>
      </c>
      <c r="G1131" s="66">
        <f>IF(B1131&lt;&gt;"",VLOOKUP(B1131,Zutaten!$C:$F,4,FALSE),"")*C1131</f>
        <v>0.00184</v>
      </c>
      <c r="H1131" s="67"/>
      <c r="I1131" s="67"/>
      <c r="J1131" s="67"/>
      <c r="K1131" s="67"/>
      <c r="L1131" s="67"/>
      <c r="M1131" s="67"/>
      <c r="N1131" s="67"/>
      <c r="O1131" s="67"/>
      <c r="P1131" s="67"/>
      <c r="Q1131" s="67"/>
      <c r="R1131" s="67"/>
      <c r="S1131" s="67"/>
      <c r="T1131" s="67"/>
      <c r="U1131" s="67"/>
      <c r="V1131" s="67"/>
      <c r="W1131" s="67"/>
      <c r="X1131" s="67"/>
      <c r="Y1131" s="67"/>
      <c r="Z1131" s="67"/>
      <c r="AA1131" s="67"/>
      <c r="AB1131" s="67"/>
      <c r="AC1131" s="67"/>
    </row>
    <row r="1132">
      <c r="A1132" s="70" t="s">
        <v>269</v>
      </c>
      <c r="B1132" s="93" t="s">
        <v>436</v>
      </c>
      <c r="C1132" s="92">
        <v>1000.0</v>
      </c>
      <c r="D1132" s="85" t="s">
        <v>539</v>
      </c>
      <c r="E1132" s="64">
        <v>0.0</v>
      </c>
      <c r="F1132" s="65">
        <f t="shared" si="1"/>
        <v>1000</v>
      </c>
      <c r="G1132" s="66">
        <f>IF(B1132&lt;&gt;"",VLOOKUP(B1132,Zutaten!$C:$F,4,FALSE),"")*C1132</f>
        <v>7.642</v>
      </c>
      <c r="H1132" s="67"/>
      <c r="I1132" s="67"/>
      <c r="J1132" s="67"/>
      <c r="K1132" s="67"/>
      <c r="L1132" s="67"/>
      <c r="M1132" s="67"/>
      <c r="N1132" s="67"/>
      <c r="O1132" s="67"/>
      <c r="P1132" s="67"/>
      <c r="Q1132" s="67"/>
      <c r="R1132" s="67"/>
      <c r="S1132" s="67"/>
      <c r="T1132" s="67"/>
      <c r="U1132" s="67"/>
      <c r="V1132" s="67"/>
      <c r="W1132" s="67"/>
      <c r="X1132" s="67"/>
      <c r="Y1132" s="67"/>
      <c r="Z1132" s="67"/>
      <c r="AA1132" s="67"/>
      <c r="AB1132" s="67"/>
      <c r="AC1132" s="67"/>
    </row>
    <row r="1133">
      <c r="A1133" s="70" t="s">
        <v>269</v>
      </c>
      <c r="B1133" s="71" t="s">
        <v>565</v>
      </c>
      <c r="C1133" s="89">
        <v>100.0</v>
      </c>
      <c r="D1133" s="71" t="s">
        <v>540</v>
      </c>
      <c r="E1133" s="64">
        <v>0.0</v>
      </c>
      <c r="F1133" s="65">
        <f t="shared" si="1"/>
        <v>100</v>
      </c>
      <c r="G1133" s="66">
        <f>IF(B1133&lt;&gt;"",VLOOKUP(B1133,Zutaten!$C:$F,4,FALSE),"")*C1133</f>
        <v>0.864</v>
      </c>
      <c r="H1133" s="67"/>
      <c r="I1133" s="67"/>
      <c r="J1133" s="67"/>
      <c r="K1133" s="67"/>
      <c r="L1133" s="67"/>
      <c r="M1133" s="67"/>
      <c r="N1133" s="67"/>
      <c r="O1133" s="67"/>
      <c r="P1133" s="67"/>
      <c r="Q1133" s="67"/>
      <c r="R1133" s="67"/>
      <c r="S1133" s="67"/>
      <c r="T1133" s="67"/>
      <c r="U1133" s="67"/>
      <c r="V1133" s="67"/>
      <c r="W1133" s="67"/>
      <c r="X1133" s="67"/>
      <c r="Y1133" s="67"/>
      <c r="Z1133" s="67"/>
      <c r="AA1133" s="67"/>
      <c r="AB1133" s="67"/>
      <c r="AC1133" s="67"/>
    </row>
    <row r="1134">
      <c r="A1134" s="70" t="s">
        <v>270</v>
      </c>
      <c r="B1134" s="71" t="s">
        <v>464</v>
      </c>
      <c r="C1134" s="92">
        <v>1000.0</v>
      </c>
      <c r="D1134" s="85" t="s">
        <v>539</v>
      </c>
      <c r="E1134" s="64">
        <v>0.0</v>
      </c>
      <c r="F1134" s="65">
        <f t="shared" si="1"/>
        <v>1000</v>
      </c>
      <c r="G1134" s="66">
        <f>IF(B1134&lt;&gt;"",VLOOKUP(B1134,Zutaten!$C:$F,4,FALSE),"")*C1134</f>
        <v>1.148</v>
      </c>
      <c r="H1134" s="67"/>
      <c r="I1134" s="67"/>
      <c r="J1134" s="67"/>
      <c r="K1134" s="67"/>
      <c r="L1134" s="67"/>
      <c r="M1134" s="67"/>
      <c r="N1134" s="67"/>
      <c r="O1134" s="67"/>
      <c r="P1134" s="67"/>
      <c r="Q1134" s="67"/>
      <c r="R1134" s="67"/>
      <c r="S1134" s="67"/>
      <c r="T1134" s="67"/>
      <c r="U1134" s="67"/>
      <c r="V1134" s="67"/>
      <c r="W1134" s="67"/>
      <c r="X1134" s="67"/>
      <c r="Y1134" s="67"/>
      <c r="Z1134" s="67"/>
      <c r="AA1134" s="67"/>
      <c r="AB1134" s="67"/>
      <c r="AC1134" s="67"/>
    </row>
    <row r="1135">
      <c r="A1135" s="70" t="s">
        <v>270</v>
      </c>
      <c r="B1135" s="71" t="s">
        <v>545</v>
      </c>
      <c r="C1135" s="89">
        <v>25.0</v>
      </c>
      <c r="D1135" s="71" t="s">
        <v>539</v>
      </c>
      <c r="E1135" s="64">
        <v>0.0</v>
      </c>
      <c r="F1135" s="65">
        <f t="shared" si="1"/>
        <v>25</v>
      </c>
      <c r="G1135" s="66">
        <f>IF(B1135&lt;&gt;"",VLOOKUP(B1135,Zutaten!$C:$F,4,FALSE),"")*C1135</f>
        <v>0.0092</v>
      </c>
      <c r="H1135" s="67"/>
      <c r="I1135" s="67"/>
      <c r="J1135" s="67"/>
      <c r="K1135" s="67"/>
      <c r="L1135" s="67"/>
      <c r="M1135" s="67"/>
      <c r="N1135" s="67"/>
      <c r="O1135" s="67"/>
      <c r="P1135" s="67"/>
      <c r="Q1135" s="67"/>
      <c r="R1135" s="67"/>
      <c r="S1135" s="67"/>
      <c r="T1135" s="67"/>
      <c r="U1135" s="67"/>
      <c r="V1135" s="67"/>
      <c r="W1135" s="67"/>
      <c r="X1135" s="67"/>
      <c r="Y1135" s="67"/>
      <c r="Z1135" s="67"/>
      <c r="AA1135" s="67"/>
      <c r="AB1135" s="67"/>
      <c r="AC1135" s="67"/>
    </row>
    <row r="1136">
      <c r="A1136" s="70" t="s">
        <v>270</v>
      </c>
      <c r="B1136" s="81" t="s">
        <v>528</v>
      </c>
      <c r="C1136" s="89">
        <v>200.0</v>
      </c>
      <c r="D1136" s="71" t="s">
        <v>539</v>
      </c>
      <c r="E1136" s="64">
        <v>0.0</v>
      </c>
      <c r="F1136" s="65">
        <f t="shared" si="1"/>
        <v>200</v>
      </c>
      <c r="G1136" s="66">
        <f>IF(B1136&lt;&gt;"",VLOOKUP(B1136,Zutaten!$C:$F,4,FALSE),"")*C1136</f>
        <v>0.288</v>
      </c>
      <c r="H1136" s="67"/>
      <c r="I1136" s="67"/>
      <c r="J1136" s="67"/>
      <c r="K1136" s="67"/>
      <c r="L1136" s="67"/>
      <c r="M1136" s="67"/>
      <c r="N1136" s="67"/>
      <c r="O1136" s="67"/>
      <c r="P1136" s="67"/>
      <c r="Q1136" s="67"/>
      <c r="R1136" s="67"/>
      <c r="S1136" s="67"/>
      <c r="T1136" s="67"/>
      <c r="U1136" s="67"/>
      <c r="V1136" s="67"/>
      <c r="W1136" s="67"/>
      <c r="X1136" s="67"/>
      <c r="Y1136" s="67"/>
      <c r="Z1136" s="67"/>
      <c r="AA1136" s="67"/>
      <c r="AB1136" s="67"/>
      <c r="AC1136" s="67"/>
    </row>
    <row r="1137">
      <c r="A1137" s="70" t="s">
        <v>270</v>
      </c>
      <c r="B1137" s="67" t="s">
        <v>291</v>
      </c>
      <c r="C1137" s="89">
        <v>100.0</v>
      </c>
      <c r="D1137" s="71" t="s">
        <v>540</v>
      </c>
      <c r="E1137" s="64">
        <v>0.0</v>
      </c>
      <c r="F1137" s="65">
        <f t="shared" si="1"/>
        <v>100</v>
      </c>
      <c r="G1137" s="66">
        <f>IF(B1137&lt;&gt;"",VLOOKUP(B1137,Zutaten!$C:$F,4,FALSE),"")*C1137</f>
        <v>0.157</v>
      </c>
      <c r="H1137" s="67"/>
      <c r="I1137" s="67"/>
      <c r="J1137" s="67"/>
      <c r="K1137" s="67"/>
      <c r="L1137" s="67"/>
      <c r="M1137" s="67"/>
      <c r="N1137" s="67"/>
      <c r="O1137" s="67"/>
      <c r="P1137" s="67"/>
      <c r="Q1137" s="67"/>
      <c r="R1137" s="67"/>
      <c r="S1137" s="67"/>
      <c r="T1137" s="67"/>
      <c r="U1137" s="67"/>
      <c r="V1137" s="67"/>
      <c r="W1137" s="67"/>
      <c r="X1137" s="67"/>
      <c r="Y1137" s="67"/>
      <c r="Z1137" s="67"/>
      <c r="AA1137" s="67"/>
      <c r="AB1137" s="67"/>
      <c r="AC1137" s="67"/>
    </row>
    <row r="1138">
      <c r="A1138" s="18" t="s">
        <v>271</v>
      </c>
      <c r="B1138" s="63" t="s">
        <v>39</v>
      </c>
      <c r="C1138" s="68">
        <v>135.0</v>
      </c>
      <c r="D1138" s="63" t="s">
        <v>539</v>
      </c>
      <c r="E1138" s="64">
        <v>0.0</v>
      </c>
      <c r="F1138" s="65">
        <f t="shared" si="1"/>
        <v>135</v>
      </c>
      <c r="G1138" s="66">
        <f>IF(B1138&lt;&gt;"",VLOOKUP(B1138,Zutaten!$C:$F,4,FALSE),"")*C1138</f>
        <v>0.7071530679</v>
      </c>
      <c r="H1138" s="67"/>
      <c r="I1138" s="67"/>
      <c r="J1138" s="67"/>
      <c r="K1138" s="67"/>
      <c r="L1138" s="67"/>
      <c r="M1138" s="67"/>
      <c r="N1138" s="67"/>
      <c r="O1138" s="67"/>
      <c r="P1138" s="67"/>
      <c r="Q1138" s="67"/>
      <c r="R1138" s="67"/>
      <c r="S1138" s="67"/>
      <c r="T1138" s="67"/>
      <c r="U1138" s="67"/>
      <c r="V1138" s="67"/>
      <c r="W1138" s="67"/>
      <c r="X1138" s="67"/>
      <c r="Y1138" s="67"/>
      <c r="Z1138" s="67"/>
      <c r="AA1138" s="67"/>
      <c r="AB1138" s="67"/>
      <c r="AC1138" s="67"/>
    </row>
    <row r="1139">
      <c r="A1139" s="18" t="s">
        <v>271</v>
      </c>
      <c r="B1139" s="18" t="s">
        <v>100</v>
      </c>
      <c r="C1139" s="68">
        <v>100.0</v>
      </c>
      <c r="D1139" s="63" t="s">
        <v>539</v>
      </c>
      <c r="E1139" s="64">
        <v>0.0</v>
      </c>
      <c r="F1139" s="65">
        <f t="shared" si="1"/>
        <v>100</v>
      </c>
      <c r="G1139" s="66">
        <f>IF(B1139&lt;&gt;"",VLOOKUP(B1139,Zutaten!$C:$F,4,FALSE),"")*C1139</f>
        <v>0.7479731877</v>
      </c>
      <c r="H1139" s="67"/>
      <c r="I1139" s="67"/>
      <c r="J1139" s="67"/>
      <c r="K1139" s="67"/>
      <c r="L1139" s="67"/>
      <c r="M1139" s="67"/>
      <c r="N1139" s="67"/>
      <c r="O1139" s="67"/>
      <c r="P1139" s="67"/>
      <c r="Q1139" s="67"/>
      <c r="R1139" s="67"/>
      <c r="S1139" s="67"/>
      <c r="T1139" s="67"/>
      <c r="U1139" s="67"/>
      <c r="V1139" s="67"/>
      <c r="W1139" s="67"/>
      <c r="X1139" s="67"/>
      <c r="Y1139" s="67"/>
      <c r="Z1139" s="67"/>
      <c r="AA1139" s="67"/>
      <c r="AB1139" s="67"/>
      <c r="AC1139" s="67"/>
    </row>
    <row r="1140">
      <c r="A1140" s="18" t="s">
        <v>271</v>
      </c>
      <c r="B1140" s="18" t="s">
        <v>300</v>
      </c>
      <c r="C1140" s="68">
        <v>15.0</v>
      </c>
      <c r="D1140" s="63" t="s">
        <v>539</v>
      </c>
      <c r="E1140" s="64">
        <v>0.0</v>
      </c>
      <c r="F1140" s="65">
        <f t="shared" si="1"/>
        <v>15</v>
      </c>
      <c r="G1140" s="66">
        <f>IF(B1140&lt;&gt;"",VLOOKUP(B1140,Zutaten!$C:$F,4,FALSE),"")*C1140</f>
        <v>0.213</v>
      </c>
      <c r="H1140" s="67"/>
      <c r="I1140" s="67"/>
      <c r="J1140" s="67"/>
      <c r="K1140" s="67"/>
      <c r="L1140" s="67"/>
      <c r="M1140" s="67"/>
      <c r="N1140" s="67"/>
      <c r="O1140" s="67"/>
      <c r="P1140" s="67"/>
      <c r="Q1140" s="67"/>
      <c r="R1140" s="67"/>
      <c r="S1140" s="67"/>
      <c r="T1140" s="67"/>
      <c r="U1140" s="67"/>
      <c r="V1140" s="67"/>
      <c r="W1140" s="67"/>
      <c r="X1140" s="67"/>
      <c r="Y1140" s="67"/>
      <c r="Z1140" s="67"/>
      <c r="AA1140" s="67"/>
      <c r="AB1140" s="67"/>
      <c r="AC1140" s="67"/>
    </row>
    <row r="1141">
      <c r="A1141" s="18" t="s">
        <v>271</v>
      </c>
      <c r="B1141" s="18" t="s">
        <v>336</v>
      </c>
      <c r="C1141" s="68">
        <v>20.0</v>
      </c>
      <c r="D1141" s="63" t="s">
        <v>539</v>
      </c>
      <c r="E1141" s="64">
        <v>0.0</v>
      </c>
      <c r="F1141" s="65">
        <f t="shared" si="1"/>
        <v>20</v>
      </c>
      <c r="G1141" s="66">
        <f>IF(B1141&lt;&gt;"",VLOOKUP(B1141,Zutaten!$C:$F,4,FALSE),"")*C1141</f>
        <v>0.1278</v>
      </c>
      <c r="H1141" s="67"/>
      <c r="I1141" s="67"/>
      <c r="J1141" s="67"/>
      <c r="K1141" s="67"/>
      <c r="L1141" s="67"/>
      <c r="M1141" s="67"/>
      <c r="N1141" s="67"/>
      <c r="O1141" s="67"/>
      <c r="P1141" s="67"/>
      <c r="Q1141" s="67"/>
      <c r="R1141" s="67"/>
      <c r="S1141" s="67"/>
      <c r="T1141" s="67"/>
      <c r="U1141" s="67"/>
      <c r="V1141" s="67"/>
      <c r="W1141" s="67"/>
      <c r="X1141" s="67"/>
      <c r="Y1141" s="67"/>
      <c r="Z1141" s="67"/>
      <c r="AA1141" s="67"/>
      <c r="AB1141" s="67"/>
      <c r="AC1141" s="67"/>
    </row>
    <row r="1142">
      <c r="A1142" s="18" t="s">
        <v>271</v>
      </c>
      <c r="B1142" s="18" t="s">
        <v>502</v>
      </c>
      <c r="C1142" s="68">
        <v>60.0</v>
      </c>
      <c r="D1142" s="63" t="s">
        <v>539</v>
      </c>
      <c r="E1142" s="64">
        <v>0.0</v>
      </c>
      <c r="F1142" s="65">
        <f t="shared" si="1"/>
        <v>60</v>
      </c>
      <c r="G1142" s="66">
        <f>IF(B1142&lt;&gt;"",VLOOKUP(B1142,Zutaten!$C:$F,4,FALSE),"")*C1142</f>
        <v>0.16578</v>
      </c>
      <c r="H1142" s="67"/>
      <c r="I1142" s="67"/>
      <c r="J1142" s="67"/>
      <c r="K1142" s="67"/>
      <c r="L1142" s="67"/>
      <c r="M1142" s="67"/>
      <c r="N1142" s="67"/>
      <c r="O1142" s="67"/>
      <c r="P1142" s="67"/>
      <c r="Q1142" s="67"/>
      <c r="R1142" s="67"/>
      <c r="S1142" s="67"/>
      <c r="T1142" s="67"/>
      <c r="U1142" s="67"/>
      <c r="V1142" s="67"/>
      <c r="W1142" s="67"/>
      <c r="X1142" s="67"/>
      <c r="Y1142" s="67"/>
      <c r="Z1142" s="67"/>
      <c r="AA1142" s="67"/>
      <c r="AB1142" s="67"/>
      <c r="AC1142" s="67"/>
    </row>
    <row r="1143">
      <c r="A1143" s="18" t="s">
        <v>271</v>
      </c>
      <c r="B1143" s="18" t="s">
        <v>445</v>
      </c>
      <c r="C1143" s="68">
        <v>15.0</v>
      </c>
      <c r="D1143" s="63" t="s">
        <v>539</v>
      </c>
      <c r="E1143" s="64">
        <v>0.0</v>
      </c>
      <c r="F1143" s="65">
        <f t="shared" si="1"/>
        <v>15</v>
      </c>
      <c r="G1143" s="66">
        <f>IF(B1143&lt;&gt;"",VLOOKUP(B1143,Zutaten!$C:$F,4,FALSE),"")*C1143</f>
        <v>0.067</v>
      </c>
      <c r="H1143" s="67"/>
      <c r="I1143" s="67"/>
      <c r="J1143" s="67"/>
      <c r="K1143" s="67"/>
      <c r="L1143" s="67"/>
      <c r="M1143" s="67"/>
      <c r="N1143" s="67"/>
      <c r="O1143" s="67"/>
      <c r="P1143" s="67"/>
      <c r="Q1143" s="67"/>
      <c r="R1143" s="67"/>
      <c r="S1143" s="67"/>
      <c r="T1143" s="67"/>
      <c r="U1143" s="67"/>
      <c r="V1143" s="67"/>
      <c r="W1143" s="67"/>
      <c r="X1143" s="67"/>
      <c r="Y1143" s="67"/>
      <c r="Z1143" s="67"/>
      <c r="AA1143" s="67"/>
      <c r="AB1143" s="67"/>
      <c r="AC1143" s="67"/>
    </row>
    <row r="1144">
      <c r="A1144" s="18" t="s">
        <v>271</v>
      </c>
      <c r="B1144" s="18" t="s">
        <v>313</v>
      </c>
      <c r="C1144" s="68">
        <v>80.0</v>
      </c>
      <c r="D1144" s="63" t="s">
        <v>539</v>
      </c>
      <c r="E1144" s="64">
        <v>0.0</v>
      </c>
      <c r="F1144" s="65">
        <f t="shared" si="1"/>
        <v>80</v>
      </c>
      <c r="G1144" s="66">
        <f>IF(B1144&lt;&gt;"",VLOOKUP(B1144,Zutaten!$C:$F,4,FALSE),"")*C1144</f>
        <v>0.5</v>
      </c>
      <c r="H1144" s="67"/>
      <c r="I1144" s="67"/>
      <c r="J1144" s="67"/>
      <c r="K1144" s="67"/>
      <c r="L1144" s="67"/>
      <c r="M1144" s="67"/>
      <c r="N1144" s="67"/>
      <c r="O1144" s="67"/>
      <c r="P1144" s="67"/>
      <c r="Q1144" s="67"/>
      <c r="R1144" s="67"/>
      <c r="S1144" s="67"/>
      <c r="T1144" s="67"/>
      <c r="U1144" s="67"/>
      <c r="V1144" s="67"/>
      <c r="W1144" s="67"/>
      <c r="X1144" s="67"/>
      <c r="Y1144" s="67"/>
      <c r="Z1144" s="67"/>
      <c r="AA1144" s="67"/>
      <c r="AB1144" s="67"/>
      <c r="AC1144" s="67"/>
    </row>
    <row r="1145">
      <c r="A1145" s="63" t="s">
        <v>272</v>
      </c>
      <c r="B1145" s="63" t="s">
        <v>314</v>
      </c>
      <c r="C1145" s="63">
        <v>375.0</v>
      </c>
      <c r="D1145" s="63" t="s">
        <v>539</v>
      </c>
      <c r="E1145" s="64">
        <v>0.0</v>
      </c>
      <c r="F1145" s="65">
        <f t="shared" si="1"/>
        <v>375</v>
      </c>
      <c r="G1145" s="66">
        <f>IF(B1145&lt;&gt;"",VLOOKUP(B1145,Zutaten!$C:$F,4,FALSE),"")*C1145</f>
        <v>2.7</v>
      </c>
      <c r="H1145" s="67"/>
      <c r="I1145" s="67"/>
      <c r="J1145" s="67"/>
      <c r="K1145" s="67"/>
      <c r="L1145" s="67"/>
      <c r="M1145" s="67"/>
      <c r="N1145" s="67"/>
      <c r="O1145" s="67"/>
      <c r="P1145" s="67"/>
      <c r="Q1145" s="67"/>
      <c r="R1145" s="67"/>
      <c r="S1145" s="67"/>
      <c r="T1145" s="67"/>
      <c r="U1145" s="67"/>
      <c r="V1145" s="67"/>
      <c r="W1145" s="67"/>
      <c r="X1145" s="67"/>
      <c r="Y1145" s="67"/>
      <c r="Z1145" s="67"/>
      <c r="AA1145" s="67"/>
      <c r="AB1145" s="67"/>
      <c r="AC1145" s="67"/>
    </row>
    <row r="1146">
      <c r="A1146" s="63" t="s">
        <v>272</v>
      </c>
      <c r="B1146" s="63" t="s">
        <v>332</v>
      </c>
      <c r="C1146" s="63">
        <v>400.0</v>
      </c>
      <c r="D1146" s="63" t="s">
        <v>539</v>
      </c>
      <c r="E1146" s="64">
        <v>0.0</v>
      </c>
      <c r="F1146" s="65">
        <f t="shared" si="1"/>
        <v>400</v>
      </c>
      <c r="G1146" s="66">
        <f>IF(B1146&lt;&gt;"",VLOOKUP(B1146,Zutaten!$C:$F,4,FALSE),"")*C1146</f>
        <v>3.396</v>
      </c>
      <c r="H1146" s="67"/>
      <c r="I1146" s="67"/>
      <c r="J1146" s="67"/>
      <c r="K1146" s="67"/>
      <c r="L1146" s="67"/>
      <c r="M1146" s="67"/>
      <c r="N1146" s="67"/>
      <c r="O1146" s="67"/>
      <c r="P1146" s="67"/>
      <c r="Q1146" s="67"/>
      <c r="R1146" s="67"/>
      <c r="S1146" s="67"/>
      <c r="T1146" s="67"/>
      <c r="U1146" s="67"/>
      <c r="V1146" s="67"/>
      <c r="W1146" s="67"/>
      <c r="X1146" s="67"/>
      <c r="Y1146" s="67"/>
      <c r="Z1146" s="67"/>
      <c r="AA1146" s="67"/>
      <c r="AB1146" s="67"/>
      <c r="AC1146" s="67"/>
    </row>
    <row r="1147">
      <c r="A1147" s="63" t="s">
        <v>272</v>
      </c>
      <c r="B1147" s="63" t="s">
        <v>466</v>
      </c>
      <c r="C1147" s="63">
        <v>1000.0</v>
      </c>
      <c r="D1147" s="63" t="s">
        <v>539</v>
      </c>
      <c r="E1147" s="64">
        <v>0.0</v>
      </c>
      <c r="F1147" s="65">
        <f t="shared" si="1"/>
        <v>1000</v>
      </c>
      <c r="G1147" s="66">
        <f>IF(B1147&lt;&gt;"",VLOOKUP(B1147,Zutaten!$C:$F,4,FALSE),"")*C1147</f>
        <v>4.43</v>
      </c>
      <c r="H1147" s="67"/>
      <c r="I1147" s="67"/>
      <c r="J1147" s="67"/>
      <c r="K1147" s="67"/>
      <c r="L1147" s="67"/>
      <c r="M1147" s="67"/>
      <c r="N1147" s="67"/>
      <c r="O1147" s="67"/>
      <c r="P1147" s="67"/>
      <c r="Q1147" s="67"/>
      <c r="R1147" s="67"/>
      <c r="S1147" s="67"/>
      <c r="T1147" s="67"/>
      <c r="U1147" s="67"/>
      <c r="V1147" s="67"/>
      <c r="W1147" s="67"/>
      <c r="X1147" s="67"/>
      <c r="Y1147" s="67"/>
      <c r="Z1147" s="67"/>
      <c r="AA1147" s="67"/>
      <c r="AB1147" s="67"/>
      <c r="AC1147" s="67"/>
    </row>
    <row r="1148">
      <c r="A1148" s="63" t="s">
        <v>272</v>
      </c>
      <c r="B1148" s="63" t="s">
        <v>386</v>
      </c>
      <c r="C1148" s="63">
        <v>200.0</v>
      </c>
      <c r="D1148" s="63" t="s">
        <v>539</v>
      </c>
      <c r="E1148" s="64">
        <v>0.0</v>
      </c>
      <c r="F1148" s="65">
        <f t="shared" si="1"/>
        <v>200</v>
      </c>
      <c r="G1148" s="66">
        <f>IF(B1148&lt;&gt;"",VLOOKUP(B1148,Zutaten!$C:$F,4,FALSE),"")*C1148</f>
        <v>0.416</v>
      </c>
      <c r="H1148" s="67"/>
      <c r="I1148" s="67"/>
      <c r="J1148" s="67"/>
      <c r="K1148" s="67"/>
      <c r="L1148" s="67"/>
      <c r="M1148" s="67"/>
      <c r="N1148" s="67"/>
      <c r="O1148" s="67"/>
      <c r="P1148" s="67"/>
      <c r="Q1148" s="67"/>
      <c r="R1148" s="67"/>
      <c r="S1148" s="67"/>
      <c r="T1148" s="67"/>
      <c r="U1148" s="67"/>
      <c r="V1148" s="67"/>
      <c r="W1148" s="67"/>
      <c r="X1148" s="67"/>
      <c r="Y1148" s="67"/>
      <c r="Z1148" s="67"/>
      <c r="AA1148" s="67"/>
      <c r="AB1148" s="67"/>
      <c r="AC1148" s="67"/>
    </row>
    <row r="1149">
      <c r="A1149" s="63" t="s">
        <v>272</v>
      </c>
      <c r="B1149" s="63" t="s">
        <v>395</v>
      </c>
      <c r="C1149" s="63">
        <v>400.0</v>
      </c>
      <c r="D1149" s="63" t="s">
        <v>539</v>
      </c>
      <c r="E1149" s="64">
        <v>0.0</v>
      </c>
      <c r="F1149" s="65">
        <f t="shared" si="1"/>
        <v>400</v>
      </c>
      <c r="G1149" s="66">
        <f>IF(B1149&lt;&gt;"",VLOOKUP(B1149,Zutaten!$C:$F,4,FALSE),"")*C1149</f>
        <v>1.52</v>
      </c>
      <c r="H1149" s="67"/>
      <c r="I1149" s="67"/>
      <c r="J1149" s="67"/>
      <c r="K1149" s="67"/>
      <c r="L1149" s="67"/>
      <c r="M1149" s="67"/>
      <c r="N1149" s="67"/>
      <c r="O1149" s="67"/>
      <c r="P1149" s="67"/>
      <c r="Q1149" s="67"/>
      <c r="R1149" s="67"/>
      <c r="S1149" s="67"/>
      <c r="T1149" s="67"/>
      <c r="U1149" s="67"/>
      <c r="V1149" s="67"/>
      <c r="W1149" s="67"/>
      <c r="X1149" s="67"/>
      <c r="Y1149" s="67"/>
      <c r="Z1149" s="67"/>
      <c r="AA1149" s="67"/>
      <c r="AB1149" s="67"/>
      <c r="AC1149" s="67"/>
    </row>
    <row r="1150">
      <c r="A1150" s="63" t="s">
        <v>272</v>
      </c>
      <c r="B1150" s="63" t="s">
        <v>528</v>
      </c>
      <c r="C1150" s="63">
        <v>280.0</v>
      </c>
      <c r="D1150" s="63" t="s">
        <v>539</v>
      </c>
      <c r="E1150" s="64">
        <v>0.0</v>
      </c>
      <c r="F1150" s="65">
        <f t="shared" si="1"/>
        <v>280</v>
      </c>
      <c r="G1150" s="66">
        <f>IF(B1150&lt;&gt;"",VLOOKUP(B1150,Zutaten!$C:$F,4,FALSE),"")*C1150</f>
        <v>0.4032</v>
      </c>
      <c r="H1150" s="67"/>
      <c r="I1150" s="67"/>
      <c r="J1150" s="67"/>
      <c r="K1150" s="67"/>
      <c r="L1150" s="67"/>
      <c r="M1150" s="67"/>
      <c r="N1150" s="67"/>
      <c r="O1150" s="67"/>
      <c r="P1150" s="67"/>
      <c r="Q1150" s="67"/>
      <c r="R1150" s="67"/>
      <c r="S1150" s="67"/>
      <c r="T1150" s="67"/>
      <c r="U1150" s="67"/>
      <c r="V1150" s="67"/>
      <c r="W1150" s="67"/>
      <c r="X1150" s="67"/>
      <c r="Y1150" s="67"/>
      <c r="Z1150" s="67"/>
      <c r="AA1150" s="67"/>
      <c r="AB1150" s="67"/>
      <c r="AC1150" s="67"/>
    </row>
    <row r="1151">
      <c r="A1151" s="63" t="s">
        <v>272</v>
      </c>
      <c r="B1151" s="63" t="s">
        <v>518</v>
      </c>
      <c r="C1151" s="63">
        <v>800.0</v>
      </c>
      <c r="D1151" s="63" t="s">
        <v>539</v>
      </c>
      <c r="E1151" s="64">
        <v>0.0</v>
      </c>
      <c r="F1151" s="65">
        <f t="shared" si="1"/>
        <v>800</v>
      </c>
      <c r="G1151" s="66">
        <f>IF(B1151&lt;&gt;"",VLOOKUP(B1151,Zutaten!$C:$F,4,FALSE),"")*C1151</f>
        <v>0.5976</v>
      </c>
      <c r="H1151" s="67"/>
      <c r="I1151" s="67"/>
      <c r="J1151" s="67"/>
      <c r="K1151" s="67"/>
      <c r="L1151" s="67"/>
      <c r="M1151" s="67"/>
      <c r="N1151" s="67"/>
      <c r="O1151" s="67"/>
      <c r="P1151" s="67"/>
      <c r="Q1151" s="67"/>
      <c r="R1151" s="67"/>
      <c r="S1151" s="67"/>
      <c r="T1151" s="67"/>
      <c r="U1151" s="67"/>
      <c r="V1151" s="67"/>
      <c r="W1151" s="67"/>
      <c r="X1151" s="67"/>
      <c r="Y1151" s="67"/>
      <c r="Z1151" s="67"/>
      <c r="AA1151" s="67"/>
      <c r="AB1151" s="67"/>
      <c r="AC1151" s="67"/>
    </row>
    <row r="1152">
      <c r="A1152" s="63" t="s">
        <v>273</v>
      </c>
      <c r="B1152" s="63" t="s">
        <v>560</v>
      </c>
      <c r="C1152" s="63">
        <v>500.0</v>
      </c>
      <c r="D1152" s="63" t="s">
        <v>539</v>
      </c>
      <c r="E1152" s="64">
        <v>0.0</v>
      </c>
      <c r="F1152" s="65">
        <f t="shared" si="1"/>
        <v>500</v>
      </c>
      <c r="G1152" s="66">
        <f>IF(B1152&lt;&gt;"",VLOOKUP(B1152,Zutaten!$C:$F,4,FALSE),"")*C1152</f>
        <v>2.545</v>
      </c>
      <c r="H1152" s="67"/>
      <c r="I1152" s="67"/>
      <c r="J1152" s="67"/>
      <c r="K1152" s="67"/>
      <c r="L1152" s="67"/>
      <c r="M1152" s="67"/>
      <c r="N1152" s="67"/>
      <c r="O1152" s="67"/>
      <c r="P1152" s="67"/>
      <c r="Q1152" s="67"/>
      <c r="R1152" s="67"/>
      <c r="S1152" s="67"/>
      <c r="T1152" s="67"/>
      <c r="U1152" s="67"/>
      <c r="V1152" s="67"/>
      <c r="W1152" s="67"/>
      <c r="X1152" s="67"/>
      <c r="Y1152" s="67"/>
      <c r="Z1152" s="67"/>
      <c r="AA1152" s="67"/>
      <c r="AB1152" s="67"/>
      <c r="AC1152" s="67"/>
    </row>
    <row r="1153">
      <c r="A1153" s="63" t="s">
        <v>273</v>
      </c>
      <c r="B1153" s="63" t="s">
        <v>455</v>
      </c>
      <c r="C1153" s="63">
        <v>2000.0</v>
      </c>
      <c r="D1153" s="63" t="s">
        <v>540</v>
      </c>
      <c r="E1153" s="64">
        <v>0.0</v>
      </c>
      <c r="F1153" s="65">
        <f t="shared" si="1"/>
        <v>2000</v>
      </c>
      <c r="G1153" s="66">
        <f>IF(B1153&lt;&gt;"",VLOOKUP(B1153,Zutaten!$C:$F,4,FALSE),"")*C1153</f>
        <v>3.98</v>
      </c>
      <c r="H1153" s="67"/>
      <c r="I1153" s="67"/>
      <c r="J1153" s="67"/>
      <c r="K1153" s="67"/>
      <c r="L1153" s="67"/>
      <c r="M1153" s="67"/>
      <c r="N1153" s="67"/>
      <c r="O1153" s="67"/>
      <c r="P1153" s="67"/>
      <c r="Q1153" s="67"/>
      <c r="R1153" s="67"/>
      <c r="S1153" s="67"/>
      <c r="T1153" s="67"/>
      <c r="U1153" s="67"/>
      <c r="V1153" s="67"/>
      <c r="W1153" s="67"/>
      <c r="X1153" s="67"/>
      <c r="Y1153" s="67"/>
      <c r="Z1153" s="67"/>
      <c r="AA1153" s="67"/>
      <c r="AB1153" s="67"/>
      <c r="AC1153" s="67"/>
    </row>
    <row r="1154">
      <c r="A1154" s="63" t="s">
        <v>273</v>
      </c>
      <c r="B1154" s="63" t="s">
        <v>377</v>
      </c>
      <c r="C1154" s="63">
        <v>250.0</v>
      </c>
      <c r="D1154" s="63" t="s">
        <v>539</v>
      </c>
      <c r="E1154" s="64">
        <v>0.0</v>
      </c>
      <c r="F1154" s="65">
        <f t="shared" si="1"/>
        <v>250</v>
      </c>
      <c r="G1154" s="66">
        <f>IF(B1154&lt;&gt;"",VLOOKUP(B1154,Zutaten!$C:$F,4,FALSE),"")*C1154</f>
        <v>2.555</v>
      </c>
      <c r="H1154" s="67"/>
      <c r="I1154" s="67"/>
      <c r="J1154" s="67"/>
      <c r="K1154" s="67"/>
      <c r="L1154" s="67"/>
      <c r="M1154" s="67"/>
      <c r="N1154" s="67"/>
      <c r="O1154" s="67"/>
      <c r="P1154" s="67"/>
      <c r="Q1154" s="67"/>
      <c r="R1154" s="67"/>
      <c r="S1154" s="67"/>
      <c r="T1154" s="67"/>
      <c r="U1154" s="67"/>
      <c r="V1154" s="67"/>
      <c r="W1154" s="67"/>
      <c r="X1154" s="67"/>
      <c r="Y1154" s="67"/>
      <c r="Z1154" s="67"/>
      <c r="AA1154" s="67"/>
      <c r="AB1154" s="67"/>
      <c r="AC1154" s="67"/>
    </row>
    <row r="1155">
      <c r="A1155" s="63" t="s">
        <v>273</v>
      </c>
      <c r="B1155" s="63" t="s">
        <v>351</v>
      </c>
      <c r="C1155" s="63">
        <v>250.0</v>
      </c>
      <c r="D1155" s="63" t="s">
        <v>540</v>
      </c>
      <c r="E1155" s="64">
        <v>0.0</v>
      </c>
      <c r="F1155" s="65">
        <f t="shared" si="1"/>
        <v>250</v>
      </c>
      <c r="G1155" s="66">
        <f>IF(B1155&lt;&gt;"",VLOOKUP(B1155,Zutaten!$C:$F,4,FALSE),"")*C1155</f>
        <v>0.1775</v>
      </c>
      <c r="H1155" s="67"/>
      <c r="I1155" s="67"/>
      <c r="J1155" s="67"/>
      <c r="K1155" s="67"/>
      <c r="L1155" s="67"/>
      <c r="M1155" s="67"/>
      <c r="N1155" s="67"/>
      <c r="O1155" s="67"/>
      <c r="P1155" s="67"/>
      <c r="Q1155" s="67"/>
      <c r="R1155" s="67"/>
      <c r="S1155" s="67"/>
      <c r="T1155" s="67"/>
      <c r="U1155" s="67"/>
      <c r="V1155" s="67"/>
      <c r="W1155" s="67"/>
      <c r="X1155" s="67"/>
      <c r="Y1155" s="67"/>
      <c r="Z1155" s="67"/>
      <c r="AA1155" s="67"/>
      <c r="AB1155" s="67"/>
      <c r="AC1155" s="67"/>
    </row>
    <row r="1156">
      <c r="A1156" s="63" t="s">
        <v>273</v>
      </c>
      <c r="B1156" s="63" t="s">
        <v>467</v>
      </c>
      <c r="C1156" s="63">
        <v>20.0</v>
      </c>
      <c r="D1156" s="63" t="s">
        <v>539</v>
      </c>
      <c r="E1156" s="64">
        <v>0.0</v>
      </c>
      <c r="F1156" s="65">
        <f t="shared" si="1"/>
        <v>20</v>
      </c>
      <c r="G1156" s="66">
        <f>IF(B1156&lt;&gt;"",VLOOKUP(B1156,Zutaten!$C:$F,4,FALSE),"")*C1156</f>
        <v>0.00736</v>
      </c>
      <c r="H1156" s="67"/>
      <c r="I1156" s="67"/>
      <c r="J1156" s="67"/>
      <c r="K1156" s="67"/>
      <c r="L1156" s="67"/>
      <c r="M1156" s="67"/>
      <c r="N1156" s="67"/>
      <c r="O1156" s="67"/>
      <c r="P1156" s="67"/>
      <c r="Q1156" s="67"/>
      <c r="R1156" s="67"/>
      <c r="S1156" s="67"/>
      <c r="T1156" s="67"/>
      <c r="U1156" s="67"/>
      <c r="V1156" s="67"/>
      <c r="W1156" s="67"/>
      <c r="X1156" s="67"/>
      <c r="Y1156" s="67"/>
      <c r="Z1156" s="67"/>
      <c r="AA1156" s="67"/>
      <c r="AB1156" s="67"/>
      <c r="AC1156" s="67"/>
    </row>
    <row r="1157">
      <c r="A1157" s="60" t="s">
        <v>274</v>
      </c>
      <c r="B1157" s="61" t="s">
        <v>515</v>
      </c>
      <c r="C1157" s="62">
        <v>2500.0</v>
      </c>
      <c r="D1157" s="63" t="s">
        <v>539</v>
      </c>
      <c r="E1157" s="64">
        <v>0.0</v>
      </c>
      <c r="F1157" s="65">
        <f t="shared" si="1"/>
        <v>2500</v>
      </c>
      <c r="G1157" s="66">
        <f>IF(B1157&lt;&gt;"",VLOOKUP(B1157,Zutaten!$C:$F,4,FALSE),"")*C1157</f>
        <v>46.975</v>
      </c>
      <c r="H1157" s="67"/>
      <c r="I1157" s="67"/>
      <c r="J1157" s="67"/>
      <c r="K1157" s="67"/>
      <c r="L1157" s="67"/>
      <c r="M1157" s="67"/>
      <c r="N1157" s="67"/>
      <c r="O1157" s="67"/>
      <c r="P1157" s="67"/>
      <c r="Q1157" s="67"/>
      <c r="R1157" s="67"/>
      <c r="S1157" s="67"/>
      <c r="T1157" s="67"/>
      <c r="U1157" s="67"/>
      <c r="V1157" s="67"/>
      <c r="W1157" s="67"/>
      <c r="X1157" s="67"/>
      <c r="Y1157" s="67"/>
      <c r="Z1157" s="67"/>
      <c r="AA1157" s="67"/>
      <c r="AB1157" s="67"/>
      <c r="AC1157" s="67"/>
    </row>
    <row r="1158">
      <c r="A1158" s="60" t="s">
        <v>274</v>
      </c>
      <c r="B1158" s="61" t="s">
        <v>466</v>
      </c>
      <c r="C1158" s="62">
        <v>2500.0</v>
      </c>
      <c r="D1158" s="63" t="s">
        <v>539</v>
      </c>
      <c r="E1158" s="64">
        <v>0.0</v>
      </c>
      <c r="F1158" s="65">
        <f t="shared" si="1"/>
        <v>2500</v>
      </c>
      <c r="G1158" s="66">
        <f>IF(B1158&lt;&gt;"",VLOOKUP(B1158,Zutaten!$C:$F,4,FALSE),"")*C1158</f>
        <v>11.075</v>
      </c>
      <c r="H1158" s="67"/>
      <c r="I1158" s="67"/>
      <c r="J1158" s="67"/>
      <c r="K1158" s="67"/>
      <c r="L1158" s="67"/>
      <c r="M1158" s="67"/>
      <c r="N1158" s="67"/>
      <c r="O1158" s="67"/>
      <c r="P1158" s="67"/>
      <c r="Q1158" s="67"/>
      <c r="R1158" s="67"/>
      <c r="S1158" s="67"/>
      <c r="T1158" s="67"/>
      <c r="U1158" s="67"/>
      <c r="V1158" s="67"/>
      <c r="W1158" s="67"/>
      <c r="X1158" s="67"/>
      <c r="Y1158" s="67"/>
      <c r="Z1158" s="67"/>
      <c r="AA1158" s="67"/>
      <c r="AB1158" s="67"/>
      <c r="AC1158" s="67"/>
    </row>
    <row r="1159">
      <c r="A1159" s="18" t="s">
        <v>275</v>
      </c>
      <c r="B1159" s="63" t="s">
        <v>276</v>
      </c>
      <c r="C1159" s="68">
        <v>170.0</v>
      </c>
      <c r="D1159" s="63" t="s">
        <v>539</v>
      </c>
      <c r="E1159" s="64">
        <v>0.0</v>
      </c>
      <c r="F1159" s="65">
        <f t="shared" si="1"/>
        <v>170</v>
      </c>
      <c r="G1159" s="66">
        <f>IF(B1159&lt;&gt;"",VLOOKUP(B1159,Zutaten!$C:$F,4,FALSE),"")*C1159</f>
        <v>1.751</v>
      </c>
      <c r="H1159" s="67"/>
      <c r="I1159" s="67"/>
      <c r="J1159" s="67"/>
      <c r="K1159" s="67"/>
      <c r="L1159" s="67"/>
      <c r="M1159" s="67"/>
      <c r="N1159" s="67"/>
      <c r="O1159" s="67"/>
      <c r="P1159" s="67"/>
      <c r="Q1159" s="67"/>
      <c r="R1159" s="67"/>
      <c r="S1159" s="67"/>
      <c r="T1159" s="67"/>
      <c r="U1159" s="67"/>
      <c r="V1159" s="67"/>
      <c r="W1159" s="67"/>
      <c r="X1159" s="67"/>
      <c r="Y1159" s="67"/>
      <c r="Z1159" s="67"/>
      <c r="AA1159" s="67"/>
      <c r="AB1159" s="67"/>
      <c r="AC1159" s="67"/>
    </row>
    <row r="1160">
      <c r="A1160" s="18" t="s">
        <v>275</v>
      </c>
      <c r="B1160" s="18" t="s">
        <v>317</v>
      </c>
      <c r="C1160" s="68">
        <v>80.0</v>
      </c>
      <c r="D1160" s="63" t="s">
        <v>539</v>
      </c>
      <c r="E1160" s="64">
        <v>0.0</v>
      </c>
      <c r="F1160" s="65">
        <f t="shared" si="1"/>
        <v>80</v>
      </c>
      <c r="G1160" s="66">
        <f>IF(B1160&lt;&gt;"",VLOOKUP(B1160,Zutaten!$C:$F,4,FALSE),"")*C1160</f>
        <v>0.42096</v>
      </c>
      <c r="H1160" s="67"/>
      <c r="I1160" s="67"/>
      <c r="J1160" s="67"/>
      <c r="K1160" s="67"/>
      <c r="L1160" s="67"/>
      <c r="M1160" s="67"/>
      <c r="N1160" s="67"/>
      <c r="O1160" s="67"/>
      <c r="P1160" s="67"/>
      <c r="Q1160" s="67"/>
      <c r="R1160" s="67"/>
      <c r="S1160" s="67"/>
      <c r="T1160" s="67"/>
      <c r="U1160" s="67"/>
      <c r="V1160" s="67"/>
      <c r="W1160" s="67"/>
      <c r="X1160" s="67"/>
      <c r="Y1160" s="67"/>
      <c r="Z1160" s="67"/>
      <c r="AA1160" s="67"/>
      <c r="AB1160" s="67"/>
      <c r="AC1160" s="67"/>
    </row>
    <row r="1161">
      <c r="A1161" s="18" t="s">
        <v>275</v>
      </c>
      <c r="B1161" s="18" t="s">
        <v>308</v>
      </c>
      <c r="C1161" s="68">
        <v>40.0</v>
      </c>
      <c r="D1161" s="63" t="s">
        <v>539</v>
      </c>
      <c r="E1161" s="64">
        <v>0.0</v>
      </c>
      <c r="F1161" s="65">
        <f t="shared" si="1"/>
        <v>40</v>
      </c>
      <c r="G1161" s="66">
        <f>IF(B1161&lt;&gt;"",VLOOKUP(B1161,Zutaten!$C:$F,4,FALSE),"")*C1161</f>
        <v>0.7824</v>
      </c>
      <c r="H1161" s="67"/>
      <c r="I1161" s="67"/>
      <c r="J1161" s="67"/>
      <c r="K1161" s="67"/>
      <c r="L1161" s="67"/>
      <c r="M1161" s="67"/>
      <c r="N1161" s="67"/>
      <c r="O1161" s="67"/>
      <c r="P1161" s="67"/>
      <c r="Q1161" s="67"/>
      <c r="R1161" s="67"/>
      <c r="S1161" s="67"/>
      <c r="T1161" s="67"/>
      <c r="U1161" s="67"/>
      <c r="V1161" s="67"/>
      <c r="W1161" s="67"/>
      <c r="X1161" s="67"/>
      <c r="Y1161" s="67"/>
      <c r="Z1161" s="67"/>
      <c r="AA1161" s="67"/>
      <c r="AB1161" s="67"/>
      <c r="AC1161" s="67"/>
    </row>
    <row r="1162">
      <c r="A1162" s="18" t="s">
        <v>275</v>
      </c>
      <c r="B1162" s="18" t="s">
        <v>519</v>
      </c>
      <c r="C1162" s="68">
        <v>11.0</v>
      </c>
      <c r="D1162" s="63" t="s">
        <v>539</v>
      </c>
      <c r="E1162" s="64">
        <v>0.0</v>
      </c>
      <c r="F1162" s="65">
        <f t="shared" si="1"/>
        <v>11</v>
      </c>
      <c r="G1162" s="66">
        <f>IF(B1162&lt;&gt;"",VLOOKUP(B1162,Zutaten!$C:$F,4,FALSE),"")*C1162</f>
        <v>0.22396</v>
      </c>
      <c r="H1162" s="67"/>
      <c r="I1162" s="67"/>
      <c r="J1162" s="67"/>
      <c r="K1162" s="67"/>
      <c r="L1162" s="67"/>
      <c r="M1162" s="67"/>
      <c r="N1162" s="67"/>
      <c r="O1162" s="67"/>
      <c r="P1162" s="67"/>
      <c r="Q1162" s="67"/>
      <c r="R1162" s="67"/>
      <c r="S1162" s="67"/>
      <c r="T1162" s="67"/>
      <c r="U1162" s="67"/>
      <c r="V1162" s="67"/>
      <c r="W1162" s="67"/>
      <c r="X1162" s="67"/>
      <c r="Y1162" s="67"/>
      <c r="Z1162" s="67"/>
      <c r="AA1162" s="67"/>
      <c r="AB1162" s="67"/>
      <c r="AC1162" s="67"/>
    </row>
    <row r="1163">
      <c r="A1163" s="18" t="s">
        <v>275</v>
      </c>
      <c r="B1163" s="18" t="s">
        <v>263</v>
      </c>
      <c r="C1163" s="68">
        <v>60.0</v>
      </c>
      <c r="D1163" s="63" t="s">
        <v>539</v>
      </c>
      <c r="E1163" s="64">
        <v>0.0</v>
      </c>
      <c r="F1163" s="65">
        <f t="shared" si="1"/>
        <v>60</v>
      </c>
      <c r="G1163" s="66">
        <f>IF(B1163&lt;&gt;"",VLOOKUP(B1163,Zutaten!$C:$F,4,FALSE),"")*C1163</f>
        <v>0.3141624467</v>
      </c>
      <c r="H1163" s="67"/>
      <c r="I1163" s="67"/>
      <c r="J1163" s="67"/>
      <c r="K1163" s="67"/>
      <c r="L1163" s="67"/>
      <c r="M1163" s="67"/>
      <c r="N1163" s="67"/>
      <c r="O1163" s="67"/>
      <c r="P1163" s="67"/>
      <c r="Q1163" s="67"/>
      <c r="R1163" s="67"/>
      <c r="S1163" s="67"/>
      <c r="T1163" s="67"/>
      <c r="U1163" s="67"/>
      <c r="V1163" s="67"/>
      <c r="W1163" s="67"/>
      <c r="X1163" s="67"/>
      <c r="Y1163" s="67"/>
      <c r="Z1163" s="67"/>
      <c r="AA1163" s="67"/>
      <c r="AB1163" s="67"/>
      <c r="AC1163" s="67"/>
    </row>
    <row r="1164">
      <c r="A1164" s="18" t="s">
        <v>275</v>
      </c>
      <c r="B1164" s="18" t="s">
        <v>451</v>
      </c>
      <c r="C1164" s="68">
        <v>20.0</v>
      </c>
      <c r="D1164" s="63" t="s">
        <v>539</v>
      </c>
      <c r="E1164" s="64">
        <v>0.0</v>
      </c>
      <c r="F1164" s="65">
        <f t="shared" si="1"/>
        <v>20</v>
      </c>
      <c r="G1164" s="66">
        <f>IF(B1164&lt;&gt;"",VLOOKUP(B1164,Zutaten!$C:$F,4,FALSE),"")*C1164</f>
        <v>0.136</v>
      </c>
      <c r="H1164" s="67"/>
      <c r="I1164" s="67"/>
      <c r="J1164" s="67"/>
      <c r="K1164" s="67"/>
      <c r="L1164" s="67"/>
      <c r="M1164" s="67"/>
      <c r="N1164" s="67"/>
      <c r="O1164" s="67"/>
      <c r="P1164" s="67"/>
      <c r="Q1164" s="67"/>
      <c r="R1164" s="67"/>
      <c r="S1164" s="67"/>
      <c r="T1164" s="67"/>
      <c r="U1164" s="67"/>
      <c r="V1164" s="67"/>
      <c r="W1164" s="67"/>
      <c r="X1164" s="67"/>
      <c r="Y1164" s="67"/>
      <c r="Z1164" s="67"/>
      <c r="AA1164" s="67"/>
      <c r="AB1164" s="67"/>
      <c r="AC1164" s="67"/>
    </row>
    <row r="1165">
      <c r="A1165" s="18" t="s">
        <v>275</v>
      </c>
      <c r="B1165" s="18" t="s">
        <v>31</v>
      </c>
      <c r="C1165" s="68">
        <v>40.0</v>
      </c>
      <c r="D1165" s="63" t="s">
        <v>539</v>
      </c>
      <c r="E1165" s="64">
        <v>0.0</v>
      </c>
      <c r="F1165" s="65">
        <f t="shared" si="1"/>
        <v>40</v>
      </c>
      <c r="G1165" s="66">
        <f>IF(B1165&lt;&gt;"",VLOOKUP(B1165,Zutaten!$C:$F,4,FALSE),"")*C1165</f>
        <v>0.08586666667</v>
      </c>
      <c r="H1165" s="67"/>
      <c r="I1165" s="67"/>
      <c r="J1165" s="67"/>
      <c r="K1165" s="67"/>
      <c r="L1165" s="67"/>
      <c r="M1165" s="67"/>
      <c r="N1165" s="67"/>
      <c r="O1165" s="67"/>
      <c r="P1165" s="67"/>
      <c r="Q1165" s="67"/>
      <c r="R1165" s="67"/>
      <c r="S1165" s="67"/>
      <c r="T1165" s="67"/>
      <c r="U1165" s="67"/>
      <c r="V1165" s="67"/>
      <c r="W1165" s="67"/>
      <c r="X1165" s="67"/>
      <c r="Y1165" s="67"/>
      <c r="Z1165" s="67"/>
      <c r="AA1165" s="67"/>
      <c r="AB1165" s="67"/>
      <c r="AC1165" s="67"/>
    </row>
    <row r="1166">
      <c r="A1166" s="18" t="s">
        <v>275</v>
      </c>
      <c r="B1166" s="18" t="s">
        <v>170</v>
      </c>
      <c r="C1166" s="68">
        <v>20.0</v>
      </c>
      <c r="D1166" s="63" t="s">
        <v>539</v>
      </c>
      <c r="E1166" s="64">
        <v>0.0</v>
      </c>
      <c r="F1166" s="65">
        <f t="shared" si="1"/>
        <v>20</v>
      </c>
      <c r="G1166" s="66">
        <f>IF(B1166&lt;&gt;"",VLOOKUP(B1166,Zutaten!$C:$F,4,FALSE),"")*C1166</f>
        <v>0.02176983607</v>
      </c>
      <c r="H1166" s="67"/>
      <c r="I1166" s="67"/>
      <c r="J1166" s="67"/>
      <c r="K1166" s="67"/>
      <c r="L1166" s="67"/>
      <c r="M1166" s="67"/>
      <c r="N1166" s="67"/>
      <c r="O1166" s="67"/>
      <c r="P1166" s="67"/>
      <c r="Q1166" s="67"/>
      <c r="R1166" s="67"/>
      <c r="S1166" s="67"/>
      <c r="T1166" s="67"/>
      <c r="U1166" s="67"/>
      <c r="V1166" s="67"/>
      <c r="W1166" s="67"/>
      <c r="X1166" s="67"/>
      <c r="Y1166" s="67"/>
      <c r="Z1166" s="67"/>
      <c r="AA1166" s="67"/>
      <c r="AB1166" s="67"/>
      <c r="AC1166" s="67"/>
    </row>
    <row r="1167">
      <c r="A1167" s="18" t="s">
        <v>275</v>
      </c>
      <c r="B1167" s="18" t="s">
        <v>313</v>
      </c>
      <c r="C1167" s="68">
        <v>80.0</v>
      </c>
      <c r="D1167" s="63" t="s">
        <v>539</v>
      </c>
      <c r="E1167" s="64">
        <v>0.0</v>
      </c>
      <c r="F1167" s="65">
        <f t="shared" si="1"/>
        <v>80</v>
      </c>
      <c r="G1167" s="66">
        <f>IF(B1167&lt;&gt;"",VLOOKUP(B1167,Zutaten!$C:$F,4,FALSE),"")*C1167</f>
        <v>0.5</v>
      </c>
      <c r="H1167" s="67"/>
      <c r="I1167" s="67"/>
      <c r="J1167" s="67"/>
      <c r="K1167" s="67"/>
      <c r="L1167" s="67"/>
      <c r="M1167" s="67"/>
      <c r="N1167" s="67"/>
      <c r="O1167" s="67"/>
      <c r="P1167" s="67"/>
      <c r="Q1167" s="67"/>
      <c r="R1167" s="67"/>
      <c r="S1167" s="67"/>
      <c r="T1167" s="67"/>
      <c r="U1167" s="67"/>
      <c r="V1167" s="67"/>
      <c r="W1167" s="67"/>
      <c r="X1167" s="67"/>
      <c r="Y1167" s="67"/>
      <c r="Z1167" s="67"/>
      <c r="AA1167" s="67"/>
      <c r="AB1167" s="67"/>
      <c r="AC1167" s="67"/>
    </row>
    <row r="1168">
      <c r="A1168" s="63" t="s">
        <v>276</v>
      </c>
      <c r="B1168" s="63" t="s">
        <v>520</v>
      </c>
      <c r="C1168" s="63">
        <v>1000.0</v>
      </c>
      <c r="D1168" s="63" t="s">
        <v>539</v>
      </c>
      <c r="E1168" s="64">
        <v>0.0</v>
      </c>
      <c r="F1168" s="65">
        <f t="shared" si="1"/>
        <v>1000</v>
      </c>
      <c r="G1168" s="74">
        <v>14.71</v>
      </c>
      <c r="H1168" s="67"/>
      <c r="I1168" s="67"/>
      <c r="J1168" s="67"/>
      <c r="K1168" s="67"/>
      <c r="L1168" s="67"/>
      <c r="M1168" s="67"/>
      <c r="N1168" s="67"/>
      <c r="O1168" s="67"/>
      <c r="P1168" s="67"/>
      <c r="Q1168" s="67"/>
      <c r="R1168" s="67"/>
      <c r="S1168" s="67"/>
      <c r="T1168" s="67"/>
      <c r="U1168" s="67"/>
      <c r="V1168" s="67"/>
      <c r="W1168" s="67"/>
      <c r="X1168" s="67"/>
      <c r="Y1168" s="67"/>
      <c r="Z1168" s="67"/>
      <c r="AA1168" s="67"/>
      <c r="AB1168" s="67"/>
      <c r="AC1168" s="67"/>
    </row>
    <row r="1169">
      <c r="A1169" s="63" t="s">
        <v>276</v>
      </c>
      <c r="B1169" s="63" t="s">
        <v>479</v>
      </c>
      <c r="C1169" s="63">
        <v>1000.0</v>
      </c>
      <c r="D1169" s="63" t="s">
        <v>539</v>
      </c>
      <c r="E1169" s="64">
        <v>0.0</v>
      </c>
      <c r="F1169" s="65">
        <f t="shared" si="1"/>
        <v>1000</v>
      </c>
      <c r="G1169" s="66">
        <f>IF(B1169&lt;&gt;"",VLOOKUP(B1169,Zutaten!$C:$F,4,FALSE),"")*C1169</f>
        <v>5.89</v>
      </c>
      <c r="H1169" s="67"/>
      <c r="I1169" s="67"/>
      <c r="J1169" s="67"/>
      <c r="K1169" s="67"/>
      <c r="L1169" s="67"/>
      <c r="M1169" s="67"/>
      <c r="N1169" s="67"/>
      <c r="O1169" s="67"/>
      <c r="P1169" s="67"/>
      <c r="Q1169" s="67"/>
      <c r="R1169" s="67"/>
      <c r="S1169" s="67"/>
      <c r="T1169" s="67"/>
      <c r="U1169" s="67"/>
      <c r="V1169" s="67"/>
      <c r="W1169" s="67"/>
      <c r="X1169" s="67"/>
      <c r="Y1169" s="67"/>
      <c r="Z1169" s="67"/>
      <c r="AA1169" s="67"/>
      <c r="AB1169" s="67"/>
      <c r="AC1169" s="67"/>
    </row>
    <row r="1170">
      <c r="A1170" s="18" t="s">
        <v>277</v>
      </c>
      <c r="B1170" s="18" t="s">
        <v>368</v>
      </c>
      <c r="C1170" s="68">
        <v>25000.0</v>
      </c>
      <c r="D1170" s="82" t="s">
        <v>539</v>
      </c>
      <c r="E1170" s="64">
        <v>0.0</v>
      </c>
      <c r="F1170" s="65">
        <f t="shared" si="1"/>
        <v>25000</v>
      </c>
      <c r="G1170" s="66">
        <f>IF(B1170&lt;&gt;"",VLOOKUP(B1170,Zutaten!$C:$F,4,FALSE),"")*C1170</f>
        <v>129.75</v>
      </c>
      <c r="H1170" s="67"/>
      <c r="I1170" s="67"/>
      <c r="J1170" s="67"/>
      <c r="K1170" s="67"/>
      <c r="L1170" s="67"/>
      <c r="M1170" s="67"/>
      <c r="N1170" s="67"/>
      <c r="O1170" s="67"/>
      <c r="P1170" s="67"/>
      <c r="Q1170" s="67"/>
      <c r="R1170" s="67"/>
      <c r="S1170" s="67"/>
      <c r="T1170" s="67"/>
      <c r="U1170" s="67"/>
      <c r="V1170" s="67"/>
      <c r="W1170" s="67"/>
      <c r="X1170" s="67"/>
      <c r="Y1170" s="67"/>
      <c r="Z1170" s="67"/>
      <c r="AA1170" s="67"/>
      <c r="AB1170" s="67"/>
      <c r="AC1170" s="67"/>
    </row>
    <row r="1171">
      <c r="A1171" s="18" t="s">
        <v>277</v>
      </c>
      <c r="B1171" s="18" t="s">
        <v>510</v>
      </c>
      <c r="C1171" s="68">
        <v>5000.0</v>
      </c>
      <c r="D1171" s="82" t="s">
        <v>539</v>
      </c>
      <c r="E1171" s="64">
        <v>0.0</v>
      </c>
      <c r="F1171" s="65">
        <f t="shared" si="1"/>
        <v>5000</v>
      </c>
      <c r="G1171" s="66">
        <f>IF(B1171&lt;&gt;"",VLOOKUP(B1171,Zutaten!$C:$F,4,FALSE),"")*C1171</f>
        <v>23.2</v>
      </c>
      <c r="H1171" s="67"/>
      <c r="I1171" s="67"/>
      <c r="J1171" s="67"/>
      <c r="K1171" s="67"/>
      <c r="L1171" s="67"/>
      <c r="M1171" s="67"/>
      <c r="N1171" s="67"/>
      <c r="O1171" s="67"/>
      <c r="P1171" s="67"/>
      <c r="Q1171" s="67"/>
      <c r="R1171" s="67"/>
      <c r="S1171" s="67"/>
      <c r="T1171" s="67"/>
      <c r="U1171" s="67"/>
      <c r="V1171" s="67"/>
      <c r="W1171" s="67"/>
      <c r="X1171" s="67"/>
      <c r="Y1171" s="67"/>
      <c r="Z1171" s="67"/>
      <c r="AA1171" s="67"/>
      <c r="AB1171" s="67"/>
      <c r="AC1171" s="67"/>
    </row>
    <row r="1172">
      <c r="A1172" s="18" t="s">
        <v>277</v>
      </c>
      <c r="B1172" s="18" t="s">
        <v>518</v>
      </c>
      <c r="C1172" s="68">
        <v>1000.0</v>
      </c>
      <c r="D1172" s="82" t="s">
        <v>539</v>
      </c>
      <c r="E1172" s="64">
        <v>0.0</v>
      </c>
      <c r="F1172" s="65">
        <f t="shared" si="1"/>
        <v>1000</v>
      </c>
      <c r="G1172" s="66">
        <f>IF(B1172&lt;&gt;"",VLOOKUP(B1172,Zutaten!$C:$F,4,FALSE),"")*C1172</f>
        <v>0.747</v>
      </c>
      <c r="H1172" s="67"/>
      <c r="I1172" s="67"/>
      <c r="J1172" s="67"/>
      <c r="K1172" s="67"/>
      <c r="L1172" s="67"/>
      <c r="M1172" s="67"/>
      <c r="N1172" s="67"/>
      <c r="O1172" s="67"/>
      <c r="P1172" s="67"/>
      <c r="Q1172" s="67"/>
      <c r="R1172" s="67"/>
      <c r="S1172" s="67"/>
      <c r="T1172" s="67"/>
      <c r="U1172" s="67"/>
      <c r="V1172" s="67"/>
      <c r="W1172" s="67"/>
      <c r="X1172" s="67"/>
      <c r="Y1172" s="67"/>
      <c r="Z1172" s="67"/>
      <c r="AA1172" s="67"/>
      <c r="AB1172" s="67"/>
      <c r="AC1172" s="67"/>
    </row>
    <row r="1173">
      <c r="A1173" s="18" t="s">
        <v>277</v>
      </c>
      <c r="B1173" s="18" t="s">
        <v>433</v>
      </c>
      <c r="C1173" s="68">
        <v>5000.0</v>
      </c>
      <c r="D1173" s="82" t="s">
        <v>539</v>
      </c>
      <c r="E1173" s="64">
        <v>0.0</v>
      </c>
      <c r="F1173" s="65">
        <f t="shared" si="1"/>
        <v>5000</v>
      </c>
      <c r="G1173" s="66">
        <f>IF(B1173&lt;&gt;"",VLOOKUP(B1173,Zutaten!$C:$F,4,FALSE),"")*C1173</f>
        <v>28.45</v>
      </c>
      <c r="H1173" s="67"/>
      <c r="I1173" s="67"/>
      <c r="J1173" s="67"/>
      <c r="K1173" s="67"/>
      <c r="L1173" s="67"/>
      <c r="M1173" s="67"/>
      <c r="N1173" s="67"/>
      <c r="O1173" s="67"/>
      <c r="P1173" s="67"/>
      <c r="Q1173" s="67"/>
      <c r="R1173" s="67"/>
      <c r="S1173" s="67"/>
      <c r="T1173" s="67"/>
      <c r="U1173" s="67"/>
      <c r="V1173" s="67"/>
      <c r="W1173" s="67"/>
      <c r="X1173" s="67"/>
      <c r="Y1173" s="67"/>
      <c r="Z1173" s="67"/>
      <c r="AA1173" s="67"/>
      <c r="AB1173" s="67"/>
      <c r="AC1173" s="67"/>
    </row>
    <row r="1174">
      <c r="A1174" s="18" t="s">
        <v>278</v>
      </c>
      <c r="B1174" s="18" t="s">
        <v>519</v>
      </c>
      <c r="C1174" s="68">
        <v>50.0</v>
      </c>
      <c r="D1174" s="63" t="s">
        <v>539</v>
      </c>
      <c r="E1174" s="64">
        <v>0.0</v>
      </c>
      <c r="F1174" s="65">
        <f t="shared" si="1"/>
        <v>50</v>
      </c>
      <c r="G1174" s="66">
        <f>IF(B1174&lt;&gt;"",VLOOKUP(B1174,Zutaten!$C:$F,4,FALSE),"")*C1174</f>
        <v>1.018</v>
      </c>
      <c r="H1174" s="67"/>
      <c r="I1174" s="67"/>
      <c r="J1174" s="67"/>
      <c r="K1174" s="67"/>
      <c r="L1174" s="67"/>
      <c r="M1174" s="67"/>
      <c r="N1174" s="67"/>
      <c r="O1174" s="67"/>
      <c r="P1174" s="67"/>
      <c r="Q1174" s="67"/>
      <c r="R1174" s="67"/>
      <c r="S1174" s="67"/>
      <c r="T1174" s="67"/>
      <c r="U1174" s="67"/>
      <c r="V1174" s="67"/>
      <c r="W1174" s="67"/>
      <c r="X1174" s="67"/>
      <c r="Y1174" s="67"/>
      <c r="Z1174" s="67"/>
      <c r="AA1174" s="67"/>
      <c r="AB1174" s="67"/>
      <c r="AC1174" s="67"/>
    </row>
    <row r="1175">
      <c r="A1175" s="18" t="s">
        <v>278</v>
      </c>
      <c r="B1175" s="18" t="s">
        <v>497</v>
      </c>
      <c r="C1175" s="68">
        <v>10.0</v>
      </c>
      <c r="D1175" s="63" t="s">
        <v>539</v>
      </c>
      <c r="E1175" s="64">
        <v>0.0</v>
      </c>
      <c r="F1175" s="65">
        <f t="shared" si="1"/>
        <v>10</v>
      </c>
      <c r="G1175" s="66">
        <f>IF(B1175&lt;&gt;"",VLOOKUP(B1175,Zutaten!$C:$F,4,FALSE),"")*C1175</f>
        <v>0.02282</v>
      </c>
      <c r="H1175" s="67"/>
      <c r="I1175" s="67"/>
      <c r="J1175" s="67"/>
      <c r="K1175" s="67"/>
      <c r="L1175" s="67"/>
      <c r="M1175" s="67"/>
      <c r="N1175" s="67"/>
      <c r="O1175" s="67"/>
      <c r="P1175" s="67"/>
      <c r="Q1175" s="67"/>
      <c r="R1175" s="67"/>
      <c r="S1175" s="67"/>
      <c r="T1175" s="67"/>
      <c r="U1175" s="67"/>
      <c r="V1175" s="67"/>
      <c r="W1175" s="67"/>
      <c r="X1175" s="67"/>
      <c r="Y1175" s="67"/>
      <c r="Z1175" s="67"/>
      <c r="AA1175" s="67"/>
      <c r="AB1175" s="67"/>
      <c r="AC1175" s="67"/>
    </row>
    <row r="1176">
      <c r="A1176" s="18" t="s">
        <v>278</v>
      </c>
      <c r="B1176" s="18" t="s">
        <v>15</v>
      </c>
      <c r="C1176" s="68">
        <v>40.0</v>
      </c>
      <c r="D1176" s="63" t="s">
        <v>539</v>
      </c>
      <c r="E1176" s="64">
        <v>0.0</v>
      </c>
      <c r="F1176" s="65">
        <f t="shared" si="1"/>
        <v>40</v>
      </c>
      <c r="G1176" s="66">
        <f>IF(B1176&lt;&gt;"",VLOOKUP(B1176,Zutaten!$C:$F,4,FALSE),"")*C1176</f>
        <v>0.143339469</v>
      </c>
      <c r="H1176" s="67"/>
      <c r="I1176" s="67"/>
      <c r="J1176" s="67"/>
      <c r="K1176" s="67"/>
      <c r="L1176" s="67"/>
      <c r="M1176" s="67"/>
      <c r="N1176" s="67"/>
      <c r="O1176" s="67"/>
      <c r="P1176" s="67"/>
      <c r="Q1176" s="67"/>
      <c r="R1176" s="67"/>
      <c r="S1176" s="67"/>
      <c r="T1176" s="67"/>
      <c r="U1176" s="67"/>
      <c r="V1176" s="67"/>
      <c r="W1176" s="67"/>
      <c r="X1176" s="67"/>
      <c r="Y1176" s="67"/>
      <c r="Z1176" s="67"/>
      <c r="AA1176" s="67"/>
      <c r="AB1176" s="67"/>
      <c r="AC1176" s="67"/>
    </row>
    <row r="1177">
      <c r="A1177" s="18" t="s">
        <v>278</v>
      </c>
      <c r="B1177" s="18" t="s">
        <v>117</v>
      </c>
      <c r="C1177" s="68">
        <v>25.0</v>
      </c>
      <c r="D1177" s="63" t="s">
        <v>539</v>
      </c>
      <c r="E1177" s="64">
        <v>0.0</v>
      </c>
      <c r="F1177" s="65">
        <f t="shared" si="1"/>
        <v>25</v>
      </c>
      <c r="G1177" s="66">
        <f>IF(B1177&lt;&gt;"",VLOOKUP(B1177,Zutaten!$C:$F,4,FALSE),"")*C1177</f>
        <v>0.12725</v>
      </c>
      <c r="H1177" s="67"/>
      <c r="I1177" s="67"/>
      <c r="J1177" s="67"/>
      <c r="K1177" s="67"/>
      <c r="L1177" s="67"/>
      <c r="M1177" s="67"/>
      <c r="N1177" s="67"/>
      <c r="O1177" s="67"/>
      <c r="P1177" s="67"/>
      <c r="Q1177" s="67"/>
      <c r="R1177" s="67"/>
      <c r="S1177" s="67"/>
      <c r="T1177" s="67"/>
      <c r="U1177" s="67"/>
      <c r="V1177" s="67"/>
      <c r="W1177" s="67"/>
      <c r="X1177" s="67"/>
      <c r="Y1177" s="67"/>
      <c r="Z1177" s="67"/>
      <c r="AA1177" s="67"/>
      <c r="AB1177" s="67"/>
      <c r="AC1177" s="67"/>
    </row>
    <row r="1178">
      <c r="A1178" s="18" t="s">
        <v>278</v>
      </c>
      <c r="B1178" s="18" t="s">
        <v>78</v>
      </c>
      <c r="C1178" s="68">
        <v>70.0</v>
      </c>
      <c r="D1178" s="63" t="s">
        <v>539</v>
      </c>
      <c r="E1178" s="64">
        <v>0.0</v>
      </c>
      <c r="F1178" s="65">
        <f t="shared" si="1"/>
        <v>70</v>
      </c>
      <c r="G1178" s="66">
        <f>IF(B1178&lt;&gt;"",VLOOKUP(B1178,Zutaten!$C:$F,4,FALSE),"")*C1178</f>
        <v>0.6129527208</v>
      </c>
      <c r="H1178" s="67"/>
      <c r="I1178" s="67"/>
      <c r="J1178" s="67"/>
      <c r="K1178" s="67"/>
      <c r="L1178" s="67"/>
      <c r="M1178" s="67"/>
      <c r="N1178" s="67"/>
      <c r="O1178" s="67"/>
      <c r="P1178" s="67"/>
      <c r="Q1178" s="67"/>
      <c r="R1178" s="67"/>
      <c r="S1178" s="67"/>
      <c r="T1178" s="67"/>
      <c r="U1178" s="67"/>
      <c r="V1178" s="67"/>
      <c r="W1178" s="67"/>
      <c r="X1178" s="67"/>
      <c r="Y1178" s="67"/>
      <c r="Z1178" s="67"/>
      <c r="AA1178" s="67"/>
      <c r="AB1178" s="67"/>
      <c r="AC1178" s="67"/>
    </row>
    <row r="1179">
      <c r="A1179" s="18" t="s">
        <v>278</v>
      </c>
      <c r="B1179" s="18" t="s">
        <v>279</v>
      </c>
      <c r="C1179" s="68">
        <v>165.0</v>
      </c>
      <c r="D1179" s="63" t="s">
        <v>539</v>
      </c>
      <c r="E1179" s="64">
        <v>0.0</v>
      </c>
      <c r="F1179" s="65">
        <f t="shared" si="1"/>
        <v>165</v>
      </c>
      <c r="G1179" s="66">
        <f>IF(B1179&lt;&gt;"",VLOOKUP(B1179,Zutaten!$C:$F,4,FALSE),"")*C1179</f>
        <v>2.0508</v>
      </c>
      <c r="H1179" s="67"/>
      <c r="I1179" s="67"/>
      <c r="J1179" s="67"/>
      <c r="K1179" s="67"/>
      <c r="L1179" s="67"/>
      <c r="M1179" s="67"/>
      <c r="N1179" s="67"/>
      <c r="O1179" s="67"/>
      <c r="P1179" s="67"/>
      <c r="Q1179" s="67"/>
      <c r="R1179" s="67"/>
      <c r="S1179" s="67"/>
      <c r="T1179" s="67"/>
      <c r="U1179" s="67"/>
      <c r="V1179" s="67"/>
      <c r="W1179" s="67"/>
      <c r="X1179" s="67"/>
      <c r="Y1179" s="67"/>
      <c r="Z1179" s="67"/>
      <c r="AA1179" s="67"/>
      <c r="AB1179" s="67"/>
      <c r="AC1179" s="67"/>
    </row>
    <row r="1180">
      <c r="A1180" s="60" t="s">
        <v>279</v>
      </c>
      <c r="B1180" s="61" t="s">
        <v>522</v>
      </c>
      <c r="C1180" s="62">
        <v>45.0</v>
      </c>
      <c r="D1180" s="63" t="s">
        <v>539</v>
      </c>
      <c r="E1180" s="64">
        <v>0.0</v>
      </c>
      <c r="F1180" s="65">
        <f t="shared" si="1"/>
        <v>45</v>
      </c>
      <c r="G1180" s="66">
        <f>IF(B1180&lt;&gt;"",VLOOKUP(B1180,Zutaten!$C:$F,4,FALSE),"")*C1180</f>
        <v>0.6327</v>
      </c>
      <c r="H1180" s="67"/>
      <c r="I1180" s="67"/>
      <c r="J1180" s="67"/>
      <c r="K1180" s="67"/>
      <c r="L1180" s="67"/>
      <c r="M1180" s="67"/>
      <c r="N1180" s="67"/>
      <c r="O1180" s="67"/>
      <c r="P1180" s="67"/>
      <c r="Q1180" s="67"/>
      <c r="R1180" s="67"/>
      <c r="S1180" s="67"/>
      <c r="T1180" s="67"/>
      <c r="U1180" s="67"/>
      <c r="V1180" s="67"/>
      <c r="W1180" s="67"/>
      <c r="X1180" s="67"/>
      <c r="Y1180" s="67"/>
      <c r="Z1180" s="67"/>
      <c r="AA1180" s="67"/>
      <c r="AB1180" s="67"/>
      <c r="AC1180" s="67"/>
    </row>
    <row r="1181">
      <c r="A1181" s="60" t="s">
        <v>279</v>
      </c>
      <c r="B1181" s="61" t="s">
        <v>117</v>
      </c>
      <c r="C1181" s="62">
        <v>10.0</v>
      </c>
      <c r="D1181" s="63" t="s">
        <v>539</v>
      </c>
      <c r="E1181" s="64">
        <v>0.0</v>
      </c>
      <c r="F1181" s="65">
        <f t="shared" si="1"/>
        <v>10</v>
      </c>
      <c r="G1181" s="66">
        <f>IF(B1181&lt;&gt;"",VLOOKUP(B1181,Zutaten!$C:$F,4,FALSE),"")*C1181</f>
        <v>0.0509</v>
      </c>
      <c r="H1181" s="67"/>
      <c r="I1181" s="67"/>
      <c r="J1181" s="67"/>
      <c r="K1181" s="67"/>
      <c r="L1181" s="67"/>
      <c r="M1181" s="67"/>
      <c r="N1181" s="67"/>
      <c r="O1181" s="67"/>
      <c r="P1181" s="67"/>
      <c r="Q1181" s="67"/>
      <c r="R1181" s="67"/>
      <c r="S1181" s="67"/>
      <c r="T1181" s="67"/>
      <c r="U1181" s="67"/>
      <c r="V1181" s="67"/>
      <c r="W1181" s="67"/>
      <c r="X1181" s="67"/>
      <c r="Y1181" s="67"/>
      <c r="Z1181" s="67"/>
      <c r="AA1181" s="67"/>
      <c r="AB1181" s="67"/>
      <c r="AC1181" s="67"/>
    </row>
    <row r="1182">
      <c r="A1182" s="60" t="s">
        <v>280</v>
      </c>
      <c r="B1182" s="61" t="s">
        <v>527</v>
      </c>
      <c r="C1182" s="62">
        <v>6000.0</v>
      </c>
      <c r="D1182" s="63" t="s">
        <v>540</v>
      </c>
      <c r="E1182" s="64">
        <v>0.0</v>
      </c>
      <c r="F1182" s="65">
        <f t="shared" si="1"/>
        <v>6000</v>
      </c>
      <c r="G1182" s="66">
        <f>IF(B1182&lt;&gt;"",VLOOKUP(B1182,Zutaten!$C:$F,4,FALSE),"")*C1182</f>
        <v>14.4</v>
      </c>
      <c r="H1182" s="67"/>
      <c r="I1182" s="67"/>
      <c r="J1182" s="67"/>
      <c r="K1182" s="67"/>
      <c r="L1182" s="67"/>
      <c r="M1182" s="67"/>
      <c r="N1182" s="67"/>
      <c r="O1182" s="67"/>
      <c r="P1182" s="67"/>
      <c r="Q1182" s="67"/>
      <c r="R1182" s="67"/>
      <c r="S1182" s="67"/>
      <c r="T1182" s="67"/>
      <c r="U1182" s="67"/>
      <c r="V1182" s="67"/>
      <c r="W1182" s="67"/>
      <c r="X1182" s="67"/>
      <c r="Y1182" s="67"/>
      <c r="Z1182" s="67"/>
      <c r="AA1182" s="67"/>
      <c r="AB1182" s="67"/>
      <c r="AC1182" s="67"/>
    </row>
    <row r="1183">
      <c r="A1183" s="60" t="s">
        <v>280</v>
      </c>
      <c r="B1183" s="61" t="s">
        <v>528</v>
      </c>
      <c r="C1183" s="62">
        <v>4500.0</v>
      </c>
      <c r="D1183" s="63" t="s">
        <v>539</v>
      </c>
      <c r="E1183" s="64">
        <v>0.0</v>
      </c>
      <c r="F1183" s="65">
        <f t="shared" si="1"/>
        <v>4500</v>
      </c>
      <c r="G1183" s="66">
        <f>IF(B1183&lt;&gt;"",VLOOKUP(B1183,Zutaten!$C:$F,4,FALSE),"")*C1183</f>
        <v>6.48</v>
      </c>
      <c r="H1183" s="67"/>
      <c r="I1183" s="67"/>
      <c r="J1183" s="67"/>
      <c r="K1183" s="67"/>
      <c r="L1183" s="67"/>
      <c r="M1183" s="67"/>
      <c r="N1183" s="67"/>
      <c r="O1183" s="67"/>
      <c r="P1183" s="67"/>
      <c r="Q1183" s="67"/>
      <c r="R1183" s="67"/>
      <c r="S1183" s="67"/>
      <c r="T1183" s="67"/>
      <c r="U1183" s="67"/>
      <c r="V1183" s="67"/>
      <c r="W1183" s="67"/>
      <c r="X1183" s="67"/>
      <c r="Y1183" s="67"/>
      <c r="Z1183" s="67"/>
      <c r="AA1183" s="67"/>
      <c r="AB1183" s="67"/>
      <c r="AC1183" s="67"/>
    </row>
    <row r="1184">
      <c r="A1184" s="60" t="s">
        <v>280</v>
      </c>
      <c r="B1184" s="61" t="s">
        <v>526</v>
      </c>
      <c r="C1184" s="62">
        <v>100.0</v>
      </c>
      <c r="D1184" s="63" t="s">
        <v>539</v>
      </c>
      <c r="E1184" s="64">
        <v>0.0</v>
      </c>
      <c r="F1184" s="65">
        <f t="shared" si="1"/>
        <v>100</v>
      </c>
      <c r="G1184" s="66">
        <f>IF(B1184&lt;&gt;"",VLOOKUP(B1184,Zutaten!$C:$F,4,FALSE),"")*C1184</f>
        <v>2.559</v>
      </c>
      <c r="H1184" s="67"/>
      <c r="I1184" s="67"/>
      <c r="J1184" s="67"/>
      <c r="K1184" s="67"/>
      <c r="L1184" s="67"/>
      <c r="M1184" s="67"/>
      <c r="N1184" s="67"/>
      <c r="O1184" s="67"/>
      <c r="P1184" s="67"/>
      <c r="Q1184" s="67"/>
      <c r="R1184" s="67"/>
      <c r="S1184" s="67"/>
      <c r="T1184" s="67"/>
      <c r="U1184" s="67"/>
      <c r="V1184" s="67"/>
      <c r="W1184" s="67"/>
      <c r="X1184" s="67"/>
      <c r="Y1184" s="67"/>
      <c r="Z1184" s="67"/>
      <c r="AA1184" s="67"/>
      <c r="AB1184" s="67"/>
      <c r="AC1184" s="67"/>
    </row>
    <row r="1185">
      <c r="A1185" s="60" t="s">
        <v>280</v>
      </c>
      <c r="B1185" s="61" t="s">
        <v>401</v>
      </c>
      <c r="C1185" s="62">
        <v>100.0</v>
      </c>
      <c r="D1185" s="63" t="s">
        <v>539</v>
      </c>
      <c r="E1185" s="64">
        <v>0.0</v>
      </c>
      <c r="F1185" s="65">
        <f t="shared" si="1"/>
        <v>100</v>
      </c>
      <c r="G1185" s="66">
        <f>IF(B1185&lt;&gt;"",VLOOKUP(B1185,Zutaten!$C:$F,4,FALSE),"")*C1185</f>
        <v>1.125</v>
      </c>
      <c r="H1185" s="67"/>
      <c r="I1185" s="67"/>
      <c r="J1185" s="67"/>
      <c r="K1185" s="67"/>
      <c r="L1185" s="67"/>
      <c r="M1185" s="67"/>
      <c r="N1185" s="67"/>
      <c r="O1185" s="67"/>
      <c r="P1185" s="67"/>
      <c r="Q1185" s="67"/>
      <c r="R1185" s="67"/>
      <c r="S1185" s="67"/>
      <c r="T1185" s="67"/>
      <c r="U1185" s="67"/>
      <c r="V1185" s="67"/>
      <c r="W1185" s="67"/>
      <c r="X1185" s="67"/>
      <c r="Y1185" s="67"/>
      <c r="Z1185" s="67"/>
      <c r="AA1185" s="67"/>
      <c r="AB1185" s="67"/>
      <c r="AC1185" s="67"/>
    </row>
    <row r="1186">
      <c r="A1186" s="60" t="s">
        <v>280</v>
      </c>
      <c r="B1186" s="61" t="s">
        <v>378</v>
      </c>
      <c r="C1186" s="62">
        <v>400.0</v>
      </c>
      <c r="D1186" s="63" t="s">
        <v>539</v>
      </c>
      <c r="E1186" s="64">
        <v>0.0</v>
      </c>
      <c r="F1186" s="65">
        <f t="shared" si="1"/>
        <v>400</v>
      </c>
      <c r="G1186" s="66">
        <f>IF(B1186&lt;&gt;"",VLOOKUP(B1186,Zutaten!$C:$F,4,FALSE),"")*C1186</f>
        <v>3.0568</v>
      </c>
      <c r="H1186" s="67"/>
      <c r="I1186" s="67"/>
      <c r="J1186" s="67"/>
      <c r="K1186" s="67"/>
      <c r="L1186" s="67"/>
      <c r="M1186" s="67"/>
      <c r="N1186" s="67"/>
      <c r="O1186" s="67"/>
      <c r="P1186" s="67"/>
      <c r="Q1186" s="67"/>
      <c r="R1186" s="67"/>
      <c r="S1186" s="67"/>
      <c r="T1186" s="67"/>
      <c r="U1186" s="67"/>
      <c r="V1186" s="67"/>
      <c r="W1186" s="67"/>
      <c r="X1186" s="67"/>
      <c r="Y1186" s="67"/>
      <c r="Z1186" s="67"/>
      <c r="AA1186" s="67"/>
      <c r="AB1186" s="67"/>
      <c r="AC1186" s="67"/>
    </row>
    <row r="1187">
      <c r="A1187" s="60" t="s">
        <v>280</v>
      </c>
      <c r="B1187" s="61" t="s">
        <v>514</v>
      </c>
      <c r="C1187" s="62">
        <v>2000.0</v>
      </c>
      <c r="D1187" s="63" t="s">
        <v>540</v>
      </c>
      <c r="E1187" s="64">
        <v>0.0</v>
      </c>
      <c r="F1187" s="65">
        <f t="shared" si="1"/>
        <v>2000</v>
      </c>
      <c r="G1187" s="66">
        <f>IF(B1187&lt;&gt;"",VLOOKUP(B1187,Zutaten!$C:$F,4,FALSE),"")*C1187</f>
        <v>0.02</v>
      </c>
      <c r="H1187" s="67"/>
      <c r="I1187" s="67"/>
      <c r="J1187" s="67"/>
      <c r="K1187" s="67"/>
      <c r="L1187" s="67"/>
      <c r="M1187" s="67"/>
      <c r="N1187" s="67"/>
      <c r="O1187" s="67"/>
      <c r="P1187" s="67"/>
      <c r="Q1187" s="67"/>
      <c r="R1187" s="67"/>
      <c r="S1187" s="67"/>
      <c r="T1187" s="67"/>
      <c r="U1187" s="67"/>
      <c r="V1187" s="67"/>
      <c r="W1187" s="67"/>
      <c r="X1187" s="67"/>
      <c r="Y1187" s="67"/>
      <c r="Z1187" s="67"/>
      <c r="AA1187" s="67"/>
      <c r="AB1187" s="67"/>
      <c r="AC1187" s="67"/>
    </row>
    <row r="1188">
      <c r="A1188" s="60" t="s">
        <v>281</v>
      </c>
      <c r="B1188" s="61" t="s">
        <v>530</v>
      </c>
      <c r="C1188" s="63">
        <v>2500.0</v>
      </c>
      <c r="D1188" s="63" t="s">
        <v>539</v>
      </c>
      <c r="E1188" s="64">
        <v>0.0</v>
      </c>
      <c r="F1188" s="65">
        <f t="shared" si="1"/>
        <v>2500</v>
      </c>
      <c r="G1188" s="66">
        <f>IF(B1188&lt;&gt;"",VLOOKUP(B1188,Zutaten!$C:$F,4,FALSE),"")*C1188</f>
        <v>3</v>
      </c>
      <c r="H1188" s="67"/>
      <c r="I1188" s="67"/>
      <c r="J1188" s="67"/>
      <c r="K1188" s="67"/>
      <c r="L1188" s="67"/>
      <c r="M1188" s="67"/>
      <c r="N1188" s="67"/>
      <c r="O1188" s="67"/>
      <c r="P1188" s="67"/>
      <c r="Q1188" s="67"/>
      <c r="R1188" s="67"/>
      <c r="S1188" s="67"/>
      <c r="T1188" s="67"/>
      <c r="U1188" s="67"/>
      <c r="V1188" s="67"/>
      <c r="W1188" s="67"/>
      <c r="X1188" s="67"/>
      <c r="Y1188" s="67"/>
      <c r="Z1188" s="67"/>
      <c r="AA1188" s="67"/>
      <c r="AB1188" s="67"/>
      <c r="AC1188" s="67"/>
    </row>
    <row r="1189">
      <c r="A1189" s="60" t="s">
        <v>281</v>
      </c>
      <c r="B1189" s="84" t="s">
        <v>310</v>
      </c>
      <c r="C1189" s="63">
        <v>500.0</v>
      </c>
      <c r="D1189" s="63" t="s">
        <v>539</v>
      </c>
      <c r="E1189" s="64">
        <v>0.0</v>
      </c>
      <c r="F1189" s="65">
        <f t="shared" si="1"/>
        <v>500</v>
      </c>
      <c r="G1189" s="66">
        <f>IF(B1189&lt;&gt;"",VLOOKUP(B1189,Zutaten!$C:$F,4,FALSE),"")*C1189</f>
        <v>9.148</v>
      </c>
      <c r="H1189" s="67"/>
      <c r="I1189" s="67"/>
      <c r="J1189" s="67"/>
      <c r="K1189" s="67"/>
      <c r="L1189" s="67"/>
      <c r="M1189" s="67"/>
      <c r="N1189" s="67"/>
      <c r="O1189" s="67"/>
      <c r="P1189" s="67"/>
      <c r="Q1189" s="67"/>
      <c r="R1189" s="67"/>
      <c r="S1189" s="67"/>
      <c r="T1189" s="67"/>
      <c r="U1189" s="67"/>
      <c r="V1189" s="67"/>
      <c r="W1189" s="67"/>
      <c r="X1189" s="67"/>
      <c r="Y1189" s="67"/>
      <c r="Z1189" s="67"/>
      <c r="AA1189" s="67"/>
      <c r="AB1189" s="67"/>
      <c r="AC1189" s="67"/>
    </row>
    <row r="1190">
      <c r="A1190" s="60" t="s">
        <v>281</v>
      </c>
      <c r="B1190" s="63" t="s">
        <v>528</v>
      </c>
      <c r="C1190" s="63">
        <v>1000.0</v>
      </c>
      <c r="D1190" s="63" t="s">
        <v>539</v>
      </c>
      <c r="E1190" s="64">
        <v>0.0</v>
      </c>
      <c r="F1190" s="65">
        <f t="shared" si="1"/>
        <v>1000</v>
      </c>
      <c r="G1190" s="66">
        <f>IF(B1190&lt;&gt;"",VLOOKUP(B1190,Zutaten!$C:$F,4,FALSE),"")*C1190</f>
        <v>1.44</v>
      </c>
      <c r="H1190" s="67"/>
      <c r="I1190" s="67"/>
      <c r="J1190" s="67"/>
      <c r="K1190" s="67"/>
      <c r="L1190" s="67"/>
      <c r="M1190" s="67"/>
      <c r="N1190" s="67"/>
      <c r="O1190" s="67"/>
      <c r="P1190" s="67"/>
      <c r="Q1190" s="67"/>
      <c r="R1190" s="67"/>
      <c r="S1190" s="67"/>
      <c r="T1190" s="67"/>
      <c r="U1190" s="67"/>
      <c r="V1190" s="67"/>
      <c r="W1190" s="67"/>
      <c r="X1190" s="67"/>
      <c r="Y1190" s="67"/>
      <c r="Z1190" s="67"/>
      <c r="AA1190" s="67"/>
      <c r="AB1190" s="67"/>
      <c r="AC1190" s="67"/>
    </row>
    <row r="1191">
      <c r="A1191" s="60" t="s">
        <v>281</v>
      </c>
      <c r="B1191" s="61" t="s">
        <v>406</v>
      </c>
      <c r="C1191" s="63">
        <v>100.0</v>
      </c>
      <c r="D1191" s="63" t="s">
        <v>540</v>
      </c>
      <c r="E1191" s="64">
        <v>0.0</v>
      </c>
      <c r="F1191" s="65">
        <f t="shared" si="1"/>
        <v>100</v>
      </c>
      <c r="G1191" s="66">
        <f>IF(B1191&lt;&gt;"",VLOOKUP(B1191,Zutaten!$C:$F,4,FALSE),"")*C1191</f>
        <v>4.02027027</v>
      </c>
      <c r="H1191" s="67"/>
      <c r="I1191" s="67"/>
      <c r="J1191" s="67"/>
      <c r="K1191" s="67"/>
      <c r="L1191" s="67"/>
      <c r="M1191" s="67"/>
      <c r="N1191" s="67"/>
      <c r="O1191" s="67"/>
      <c r="P1191" s="67"/>
      <c r="Q1191" s="67"/>
      <c r="R1191" s="67"/>
      <c r="S1191" s="67"/>
      <c r="T1191" s="67"/>
      <c r="U1191" s="67"/>
      <c r="V1191" s="67"/>
      <c r="W1191" s="67"/>
      <c r="X1191" s="67"/>
      <c r="Y1191" s="67"/>
      <c r="Z1191" s="67"/>
      <c r="AA1191" s="67"/>
      <c r="AB1191" s="67"/>
      <c r="AC1191" s="67"/>
    </row>
    <row r="1192">
      <c r="A1192" s="60" t="s">
        <v>282</v>
      </c>
      <c r="B1192" s="61" t="s">
        <v>455</v>
      </c>
      <c r="C1192" s="62">
        <v>4000.0</v>
      </c>
      <c r="D1192" s="63" t="s">
        <v>540</v>
      </c>
      <c r="E1192" s="64">
        <v>0.0</v>
      </c>
      <c r="F1192" s="65">
        <f t="shared" si="1"/>
        <v>4000</v>
      </c>
      <c r="G1192" s="66">
        <f>IF(B1192&lt;&gt;"",VLOOKUP(B1192,Zutaten!$C:$F,4,FALSE),"")*C1192</f>
        <v>7.96</v>
      </c>
      <c r="H1192" s="67"/>
      <c r="I1192" s="67"/>
      <c r="J1192" s="67"/>
      <c r="K1192" s="67"/>
      <c r="L1192" s="67"/>
      <c r="M1192" s="67"/>
      <c r="N1192" s="67"/>
      <c r="O1192" s="67"/>
      <c r="P1192" s="67"/>
      <c r="Q1192" s="67"/>
      <c r="R1192" s="67"/>
      <c r="S1192" s="67"/>
      <c r="T1192" s="67"/>
      <c r="U1192" s="67"/>
      <c r="V1192" s="67"/>
      <c r="W1192" s="67"/>
      <c r="X1192" s="67"/>
      <c r="Y1192" s="67"/>
      <c r="Z1192" s="67"/>
      <c r="AA1192" s="67"/>
      <c r="AB1192" s="67"/>
      <c r="AC1192" s="67"/>
    </row>
    <row r="1193">
      <c r="A1193" s="60" t="s">
        <v>282</v>
      </c>
      <c r="B1193" s="61" t="s">
        <v>510</v>
      </c>
      <c r="C1193" s="62">
        <v>1000.0</v>
      </c>
      <c r="D1193" s="63" t="s">
        <v>540</v>
      </c>
      <c r="E1193" s="64">
        <v>0.0</v>
      </c>
      <c r="F1193" s="65">
        <f t="shared" si="1"/>
        <v>1000</v>
      </c>
      <c r="G1193" s="66">
        <f>IF(B1193&lt;&gt;"",VLOOKUP(B1193,Zutaten!$C:$F,4,FALSE),"")*C1193</f>
        <v>4.64</v>
      </c>
      <c r="H1193" s="67"/>
      <c r="I1193" s="67"/>
      <c r="J1193" s="67"/>
      <c r="K1193" s="67"/>
      <c r="L1193" s="67"/>
      <c r="M1193" s="67"/>
      <c r="N1193" s="67"/>
      <c r="O1193" s="67"/>
      <c r="P1193" s="67"/>
      <c r="Q1193" s="67"/>
      <c r="R1193" s="67"/>
      <c r="S1193" s="67"/>
      <c r="T1193" s="67"/>
      <c r="U1193" s="67"/>
      <c r="V1193" s="67"/>
      <c r="W1193" s="67"/>
      <c r="X1193" s="67"/>
      <c r="Y1193" s="67"/>
      <c r="Z1193" s="67"/>
      <c r="AA1193" s="67"/>
      <c r="AB1193" s="67"/>
      <c r="AC1193" s="67"/>
    </row>
    <row r="1194">
      <c r="A1194" s="60" t="s">
        <v>282</v>
      </c>
      <c r="B1194" s="61" t="s">
        <v>467</v>
      </c>
      <c r="C1194" s="62">
        <v>30.0</v>
      </c>
      <c r="D1194" s="63" t="s">
        <v>539</v>
      </c>
      <c r="E1194" s="64">
        <v>0.0</v>
      </c>
      <c r="F1194" s="65">
        <f t="shared" si="1"/>
        <v>30</v>
      </c>
      <c r="G1194" s="66">
        <f>IF(B1194&lt;&gt;"",VLOOKUP(B1194,Zutaten!$C:$F,4,FALSE),"")*C1194</f>
        <v>0.01104</v>
      </c>
      <c r="H1194" s="67"/>
      <c r="I1194" s="67"/>
      <c r="J1194" s="67"/>
      <c r="K1194" s="67"/>
      <c r="L1194" s="67"/>
      <c r="M1194" s="67"/>
      <c r="N1194" s="67"/>
      <c r="O1194" s="67"/>
      <c r="P1194" s="67"/>
      <c r="Q1194" s="67"/>
      <c r="R1194" s="67"/>
      <c r="S1194" s="67"/>
      <c r="T1194" s="67"/>
      <c r="U1194" s="67"/>
      <c r="V1194" s="67"/>
      <c r="W1194" s="67"/>
      <c r="X1194" s="67"/>
      <c r="Y1194" s="67"/>
      <c r="Z1194" s="67"/>
      <c r="AA1194" s="67"/>
      <c r="AB1194" s="67"/>
      <c r="AC1194" s="67"/>
    </row>
    <row r="1195">
      <c r="A1195" s="60" t="s">
        <v>282</v>
      </c>
      <c r="B1195" s="61" t="s">
        <v>528</v>
      </c>
      <c r="C1195" s="62">
        <v>10.0</v>
      </c>
      <c r="D1195" s="63" t="s">
        <v>539</v>
      </c>
      <c r="E1195" s="64">
        <v>0.0</v>
      </c>
      <c r="F1195" s="65">
        <f t="shared" si="1"/>
        <v>10</v>
      </c>
      <c r="G1195" s="66">
        <f>IF(B1195&lt;&gt;"",VLOOKUP(B1195,Zutaten!$C:$F,4,FALSE),"")*C1195</f>
        <v>0.0144</v>
      </c>
      <c r="H1195" s="67"/>
      <c r="I1195" s="67"/>
      <c r="J1195" s="67"/>
      <c r="K1195" s="67"/>
      <c r="L1195" s="67"/>
      <c r="M1195" s="67"/>
      <c r="N1195" s="67"/>
      <c r="O1195" s="67"/>
      <c r="P1195" s="67"/>
      <c r="Q1195" s="67"/>
      <c r="R1195" s="67"/>
      <c r="S1195" s="67"/>
      <c r="T1195" s="67"/>
      <c r="U1195" s="67"/>
      <c r="V1195" s="67"/>
      <c r="W1195" s="67"/>
      <c r="X1195" s="67"/>
      <c r="Y1195" s="67"/>
      <c r="Z1195" s="67"/>
      <c r="AA1195" s="67"/>
      <c r="AB1195" s="67"/>
      <c r="AC1195" s="67"/>
    </row>
    <row r="1196">
      <c r="A1196" s="60" t="s">
        <v>282</v>
      </c>
      <c r="B1196" s="61" t="s">
        <v>351</v>
      </c>
      <c r="C1196" s="62">
        <v>100.0</v>
      </c>
      <c r="D1196" s="63" t="s">
        <v>540</v>
      </c>
      <c r="E1196" s="64">
        <v>0.0</v>
      </c>
      <c r="F1196" s="65">
        <f t="shared" si="1"/>
        <v>100</v>
      </c>
      <c r="G1196" s="66">
        <f>IF(B1196&lt;&gt;"",VLOOKUP(B1196,Zutaten!$C:$F,4,FALSE),"")*C1196</f>
        <v>0.071</v>
      </c>
      <c r="H1196" s="67"/>
      <c r="I1196" s="67"/>
      <c r="J1196" s="67"/>
      <c r="K1196" s="67"/>
      <c r="L1196" s="67"/>
      <c r="M1196" s="67"/>
      <c r="N1196" s="67"/>
      <c r="O1196" s="67"/>
      <c r="P1196" s="67"/>
      <c r="Q1196" s="67"/>
      <c r="R1196" s="67"/>
      <c r="S1196" s="67"/>
      <c r="T1196" s="67"/>
      <c r="U1196" s="67"/>
      <c r="V1196" s="67"/>
      <c r="W1196" s="67"/>
      <c r="X1196" s="67"/>
      <c r="Y1196" s="67"/>
      <c r="Z1196" s="67"/>
      <c r="AA1196" s="67"/>
      <c r="AB1196" s="67"/>
      <c r="AC1196" s="67"/>
    </row>
    <row r="1197">
      <c r="A1197" s="60" t="s">
        <v>282</v>
      </c>
      <c r="B1197" s="61" t="s">
        <v>506</v>
      </c>
      <c r="C1197" s="62">
        <v>100.0</v>
      </c>
      <c r="D1197" s="63" t="s">
        <v>540</v>
      </c>
      <c r="E1197" s="64">
        <v>0.0</v>
      </c>
      <c r="F1197" s="65">
        <f t="shared" si="1"/>
        <v>100</v>
      </c>
      <c r="G1197" s="66">
        <f>IF(B1197&lt;&gt;"",VLOOKUP(B1197,Zutaten!$C:$F,4,FALSE),"")*C1197</f>
        <v>6.156</v>
      </c>
      <c r="H1197" s="67"/>
      <c r="I1197" s="67"/>
      <c r="J1197" s="67"/>
      <c r="K1197" s="67"/>
      <c r="L1197" s="67"/>
      <c r="M1197" s="67"/>
      <c r="N1197" s="67"/>
      <c r="O1197" s="67"/>
      <c r="P1197" s="67"/>
      <c r="Q1197" s="67"/>
      <c r="R1197" s="67"/>
      <c r="S1197" s="67"/>
      <c r="T1197" s="67"/>
      <c r="U1197" s="67"/>
      <c r="V1197" s="67"/>
      <c r="W1197" s="67"/>
      <c r="X1197" s="67"/>
      <c r="Y1197" s="67"/>
      <c r="Z1197" s="67"/>
      <c r="AA1197" s="67"/>
      <c r="AB1197" s="67"/>
      <c r="AC1197" s="67"/>
    </row>
    <row r="1198">
      <c r="A1198" s="60" t="s">
        <v>282</v>
      </c>
      <c r="B1198" s="61" t="s">
        <v>442</v>
      </c>
      <c r="C1198" s="62">
        <v>5.0</v>
      </c>
      <c r="D1198" s="63" t="s">
        <v>539</v>
      </c>
      <c r="E1198" s="64">
        <v>0.0</v>
      </c>
      <c r="F1198" s="65">
        <f t="shared" si="1"/>
        <v>5</v>
      </c>
      <c r="G1198" s="66">
        <f>IF(B1198&lt;&gt;"",VLOOKUP(B1198,Zutaten!$C:$F,4,FALSE),"")*C1198</f>
        <v>0.162</v>
      </c>
      <c r="H1198" s="67"/>
      <c r="I1198" s="67"/>
      <c r="J1198" s="67"/>
      <c r="K1198" s="67"/>
      <c r="L1198" s="67"/>
      <c r="M1198" s="67"/>
      <c r="N1198" s="67"/>
      <c r="O1198" s="67"/>
      <c r="P1198" s="67"/>
      <c r="Q1198" s="67"/>
      <c r="R1198" s="67"/>
      <c r="S1198" s="67"/>
      <c r="T1198" s="67"/>
      <c r="U1198" s="67"/>
      <c r="V1198" s="67"/>
      <c r="W1198" s="67"/>
      <c r="X1198" s="67"/>
      <c r="Y1198" s="67"/>
      <c r="Z1198" s="67"/>
      <c r="AA1198" s="67"/>
      <c r="AB1198" s="67"/>
      <c r="AC1198" s="67"/>
    </row>
    <row r="1199">
      <c r="A1199" s="60" t="s">
        <v>282</v>
      </c>
      <c r="B1199" s="18" t="s">
        <v>202</v>
      </c>
      <c r="C1199" s="62">
        <v>500.0</v>
      </c>
      <c r="D1199" s="63" t="s">
        <v>539</v>
      </c>
      <c r="E1199" s="64">
        <v>0.0</v>
      </c>
      <c r="F1199" s="65">
        <f t="shared" si="1"/>
        <v>500</v>
      </c>
      <c r="G1199" s="66">
        <f>IF(B1199&lt;&gt;"",VLOOKUP(B1199,Zutaten!$C:$F,4,FALSE),"")*C1199</f>
        <v>1.472070207</v>
      </c>
      <c r="H1199" s="67"/>
      <c r="I1199" s="67"/>
      <c r="J1199" s="67"/>
      <c r="K1199" s="67"/>
      <c r="L1199" s="67"/>
      <c r="M1199" s="67"/>
      <c r="N1199" s="67"/>
      <c r="O1199" s="67"/>
      <c r="P1199" s="67"/>
      <c r="Q1199" s="67"/>
      <c r="R1199" s="67"/>
      <c r="S1199" s="67"/>
      <c r="T1199" s="67"/>
      <c r="U1199" s="67"/>
      <c r="V1199" s="67"/>
      <c r="W1199" s="67"/>
      <c r="X1199" s="67"/>
      <c r="Y1199" s="67"/>
      <c r="Z1199" s="67"/>
      <c r="AA1199" s="67"/>
      <c r="AB1199" s="67"/>
      <c r="AC1199" s="67"/>
    </row>
    <row r="1200">
      <c r="A1200" s="60"/>
      <c r="B1200" s="60"/>
      <c r="C1200" s="62"/>
      <c r="D1200" s="63"/>
      <c r="E1200" s="64"/>
      <c r="F1200" s="65"/>
      <c r="G1200" s="66"/>
      <c r="H1200" s="67"/>
      <c r="I1200" s="67"/>
      <c r="J1200" s="67"/>
      <c r="K1200" s="67"/>
      <c r="L1200" s="67"/>
      <c r="M1200" s="67"/>
      <c r="N1200" s="67"/>
      <c r="O1200" s="67"/>
      <c r="P1200" s="67"/>
      <c r="Q1200" s="67"/>
      <c r="R1200" s="67"/>
      <c r="S1200" s="67"/>
      <c r="T1200" s="67"/>
      <c r="U1200" s="67"/>
      <c r="V1200" s="67"/>
      <c r="W1200" s="67"/>
      <c r="X1200" s="67"/>
      <c r="Y1200" s="67"/>
      <c r="Z1200" s="67"/>
      <c r="AA1200" s="67"/>
      <c r="AB1200" s="67"/>
      <c r="AC1200" s="67"/>
    </row>
    <row r="1201">
      <c r="A1201" s="60"/>
      <c r="B1201" s="60"/>
      <c r="C1201" s="62"/>
      <c r="D1201" s="63"/>
      <c r="E1201" s="64"/>
      <c r="F1201" s="65"/>
      <c r="G1201" s="66"/>
      <c r="H1201" s="67"/>
      <c r="I1201" s="67"/>
      <c r="J1201" s="67"/>
      <c r="K1201" s="67"/>
      <c r="L1201" s="67"/>
      <c r="M1201" s="67"/>
      <c r="N1201" s="67"/>
      <c r="O1201" s="67"/>
      <c r="P1201" s="67"/>
      <c r="Q1201" s="67"/>
      <c r="R1201" s="67"/>
      <c r="S1201" s="67"/>
      <c r="T1201" s="67"/>
      <c r="U1201" s="67"/>
      <c r="V1201" s="67"/>
      <c r="W1201" s="67"/>
      <c r="X1201" s="67"/>
      <c r="Y1201" s="67"/>
      <c r="Z1201" s="67"/>
      <c r="AA1201" s="67"/>
      <c r="AB1201" s="67"/>
      <c r="AC1201" s="67"/>
    </row>
    <row r="1202">
      <c r="A1202" s="60"/>
      <c r="B1202" s="60"/>
      <c r="C1202" s="62"/>
      <c r="D1202" s="63"/>
      <c r="E1202" s="64"/>
      <c r="F1202" s="65"/>
      <c r="G1202" s="66"/>
      <c r="H1202" s="67"/>
      <c r="I1202" s="67"/>
      <c r="J1202" s="67"/>
      <c r="K1202" s="67"/>
      <c r="L1202" s="67"/>
      <c r="M1202" s="67"/>
      <c r="N1202" s="67"/>
      <c r="O1202" s="67"/>
      <c r="P1202" s="67"/>
      <c r="Q1202" s="67"/>
      <c r="R1202" s="67"/>
      <c r="S1202" s="67"/>
      <c r="T1202" s="67"/>
      <c r="U1202" s="67"/>
      <c r="V1202" s="67"/>
      <c r="W1202" s="67"/>
      <c r="X1202" s="67"/>
      <c r="Y1202" s="67"/>
      <c r="Z1202" s="67"/>
      <c r="AA1202" s="67"/>
      <c r="AB1202" s="67"/>
      <c r="AC1202" s="67"/>
    </row>
    <row r="1203">
      <c r="A1203" s="60"/>
      <c r="B1203" s="60"/>
      <c r="C1203" s="62"/>
      <c r="D1203" s="63"/>
      <c r="E1203" s="64"/>
      <c r="F1203" s="65"/>
      <c r="G1203" s="66"/>
      <c r="H1203" s="67"/>
      <c r="I1203" s="67"/>
      <c r="J1203" s="67"/>
      <c r="K1203" s="67"/>
      <c r="L1203" s="67"/>
      <c r="M1203" s="67"/>
      <c r="N1203" s="67"/>
      <c r="O1203" s="67"/>
      <c r="P1203" s="67"/>
      <c r="Q1203" s="67"/>
      <c r="R1203" s="67"/>
      <c r="S1203" s="67"/>
      <c r="T1203" s="67"/>
      <c r="U1203" s="67"/>
      <c r="V1203" s="67"/>
      <c r="W1203" s="67"/>
      <c r="X1203" s="67"/>
      <c r="Y1203" s="67"/>
      <c r="Z1203" s="67"/>
      <c r="AA1203" s="67"/>
      <c r="AB1203" s="67"/>
      <c r="AC1203" s="67"/>
    </row>
    <row r="1204">
      <c r="A1204" s="60"/>
      <c r="B1204" s="60"/>
      <c r="C1204" s="62"/>
      <c r="D1204" s="63"/>
      <c r="E1204" s="64"/>
      <c r="F1204" s="65"/>
      <c r="G1204" s="66"/>
      <c r="H1204" s="67"/>
      <c r="I1204" s="67"/>
      <c r="J1204" s="67"/>
      <c r="K1204" s="67"/>
      <c r="L1204" s="67"/>
      <c r="M1204" s="67"/>
      <c r="N1204" s="67"/>
      <c r="O1204" s="67"/>
      <c r="P1204" s="67"/>
      <c r="Q1204" s="67"/>
      <c r="R1204" s="67"/>
      <c r="S1204" s="67"/>
      <c r="T1204" s="67"/>
      <c r="U1204" s="67"/>
      <c r="V1204" s="67"/>
      <c r="W1204" s="67"/>
      <c r="X1204" s="67"/>
      <c r="Y1204" s="67"/>
      <c r="Z1204" s="67"/>
      <c r="AA1204" s="67"/>
      <c r="AB1204" s="67"/>
      <c r="AC1204" s="67"/>
    </row>
    <row r="1205">
      <c r="A1205" s="60"/>
      <c r="B1205" s="60"/>
      <c r="C1205" s="62"/>
      <c r="D1205" s="63"/>
      <c r="E1205" s="64"/>
      <c r="F1205" s="65"/>
      <c r="G1205" s="66"/>
      <c r="H1205" s="67"/>
      <c r="I1205" s="67"/>
      <c r="J1205" s="67"/>
      <c r="K1205" s="67"/>
      <c r="L1205" s="67"/>
      <c r="M1205" s="67"/>
      <c r="N1205" s="67"/>
      <c r="O1205" s="67"/>
      <c r="P1205" s="67"/>
      <c r="Q1205" s="67"/>
      <c r="R1205" s="67"/>
      <c r="S1205" s="67"/>
      <c r="T1205" s="67"/>
      <c r="U1205" s="67"/>
      <c r="V1205" s="67"/>
      <c r="W1205" s="67"/>
      <c r="X1205" s="67"/>
      <c r="Y1205" s="67"/>
      <c r="Z1205" s="67"/>
      <c r="AA1205" s="67"/>
      <c r="AB1205" s="67"/>
      <c r="AC1205" s="67"/>
    </row>
    <row r="1206">
      <c r="A1206" s="60"/>
      <c r="B1206" s="60"/>
      <c r="C1206" s="62"/>
      <c r="D1206" s="63"/>
      <c r="E1206" s="64"/>
      <c r="F1206" s="65"/>
      <c r="G1206" s="66"/>
      <c r="H1206" s="67"/>
      <c r="I1206" s="67"/>
      <c r="J1206" s="67"/>
      <c r="K1206" s="67"/>
      <c r="L1206" s="67"/>
      <c r="M1206" s="67"/>
      <c r="N1206" s="67"/>
      <c r="O1206" s="67"/>
      <c r="P1206" s="67"/>
      <c r="Q1206" s="67"/>
      <c r="R1206" s="67"/>
      <c r="S1206" s="67"/>
      <c r="T1206" s="67"/>
      <c r="U1206" s="67"/>
      <c r="V1206" s="67"/>
      <c r="W1206" s="67"/>
      <c r="X1206" s="67"/>
      <c r="Y1206" s="67"/>
      <c r="Z1206" s="67"/>
      <c r="AA1206" s="67"/>
      <c r="AB1206" s="67"/>
      <c r="AC1206" s="67"/>
    </row>
    <row r="1207">
      <c r="A1207" s="60"/>
      <c r="B1207" s="60"/>
      <c r="C1207" s="62"/>
      <c r="D1207" s="63"/>
      <c r="E1207" s="64"/>
      <c r="F1207" s="65"/>
      <c r="G1207" s="66"/>
      <c r="H1207" s="67"/>
      <c r="I1207" s="67"/>
      <c r="J1207" s="67"/>
      <c r="K1207" s="67"/>
      <c r="L1207" s="67"/>
      <c r="M1207" s="67"/>
      <c r="N1207" s="67"/>
      <c r="O1207" s="67"/>
      <c r="P1207" s="67"/>
      <c r="Q1207" s="67"/>
      <c r="R1207" s="67"/>
      <c r="S1207" s="67"/>
      <c r="T1207" s="67"/>
      <c r="U1207" s="67"/>
      <c r="V1207" s="67"/>
      <c r="W1207" s="67"/>
      <c r="X1207" s="67"/>
      <c r="Y1207" s="67"/>
      <c r="Z1207" s="67"/>
      <c r="AA1207" s="67"/>
      <c r="AB1207" s="67"/>
      <c r="AC1207" s="67"/>
    </row>
    <row r="1208">
      <c r="A1208" s="60"/>
      <c r="B1208" s="60"/>
      <c r="C1208" s="62"/>
      <c r="D1208" s="63"/>
      <c r="E1208" s="64"/>
      <c r="F1208" s="65"/>
      <c r="G1208" s="66"/>
      <c r="H1208" s="67"/>
      <c r="I1208" s="67"/>
      <c r="J1208" s="67"/>
      <c r="K1208" s="67"/>
      <c r="L1208" s="67"/>
      <c r="M1208" s="67"/>
      <c r="N1208" s="67"/>
      <c r="O1208" s="67"/>
      <c r="P1208" s="67"/>
      <c r="Q1208" s="67"/>
      <c r="R1208" s="67"/>
      <c r="S1208" s="67"/>
      <c r="T1208" s="67"/>
      <c r="U1208" s="67"/>
      <c r="V1208" s="67"/>
      <c r="W1208" s="67"/>
      <c r="X1208" s="67"/>
      <c r="Y1208" s="67"/>
      <c r="Z1208" s="67"/>
      <c r="AA1208" s="67"/>
      <c r="AB1208" s="67"/>
      <c r="AC1208" s="67"/>
    </row>
    <row r="1209">
      <c r="A1209" s="60"/>
      <c r="B1209" s="60"/>
      <c r="C1209" s="62"/>
      <c r="D1209" s="63"/>
      <c r="E1209" s="64"/>
      <c r="F1209" s="65"/>
      <c r="G1209" s="66"/>
      <c r="H1209" s="67"/>
      <c r="I1209" s="67"/>
      <c r="J1209" s="67"/>
      <c r="K1209" s="67"/>
      <c r="L1209" s="67"/>
      <c r="M1209" s="67"/>
      <c r="N1209" s="67"/>
      <c r="O1209" s="67"/>
      <c r="P1209" s="67"/>
      <c r="Q1209" s="67"/>
      <c r="R1209" s="67"/>
      <c r="S1209" s="67"/>
      <c r="T1209" s="67"/>
      <c r="U1209" s="67"/>
      <c r="V1209" s="67"/>
      <c r="W1209" s="67"/>
      <c r="X1209" s="67"/>
      <c r="Y1209" s="67"/>
      <c r="Z1209" s="67"/>
      <c r="AA1209" s="67"/>
      <c r="AB1209" s="67"/>
      <c r="AC1209" s="67"/>
    </row>
    <row r="1210">
      <c r="A1210" s="60"/>
      <c r="B1210" s="60"/>
      <c r="C1210" s="62"/>
      <c r="D1210" s="63"/>
      <c r="E1210" s="64"/>
      <c r="F1210" s="65"/>
      <c r="G1210" s="66"/>
      <c r="H1210" s="67"/>
      <c r="I1210" s="67"/>
      <c r="J1210" s="67"/>
      <c r="K1210" s="67"/>
      <c r="L1210" s="67"/>
      <c r="M1210" s="67"/>
      <c r="N1210" s="67"/>
      <c r="O1210" s="67"/>
      <c r="P1210" s="67"/>
      <c r="Q1210" s="67"/>
      <c r="R1210" s="67"/>
      <c r="S1210" s="67"/>
      <c r="T1210" s="67"/>
      <c r="U1210" s="67"/>
      <c r="V1210" s="67"/>
      <c r="W1210" s="67"/>
      <c r="X1210" s="67"/>
      <c r="Y1210" s="67"/>
      <c r="Z1210" s="67"/>
      <c r="AA1210" s="67"/>
      <c r="AB1210" s="67"/>
      <c r="AC1210" s="67"/>
    </row>
    <row r="1211">
      <c r="A1211" s="60"/>
      <c r="B1211" s="60"/>
      <c r="C1211" s="62"/>
      <c r="D1211" s="63"/>
      <c r="E1211" s="64"/>
      <c r="F1211" s="65"/>
      <c r="G1211" s="66"/>
      <c r="H1211" s="67"/>
      <c r="I1211" s="67"/>
      <c r="J1211" s="67"/>
      <c r="K1211" s="67"/>
      <c r="L1211" s="67"/>
      <c r="M1211" s="67"/>
      <c r="N1211" s="67"/>
      <c r="O1211" s="67"/>
      <c r="P1211" s="67"/>
      <c r="Q1211" s="67"/>
      <c r="R1211" s="67"/>
      <c r="S1211" s="67"/>
      <c r="T1211" s="67"/>
      <c r="U1211" s="67"/>
      <c r="V1211" s="67"/>
      <c r="W1211" s="67"/>
      <c r="X1211" s="67"/>
      <c r="Y1211" s="67"/>
      <c r="Z1211" s="67"/>
      <c r="AA1211" s="67"/>
      <c r="AB1211" s="67"/>
      <c r="AC1211" s="67"/>
    </row>
    <row r="1212">
      <c r="A1212" s="60"/>
      <c r="B1212" s="60"/>
      <c r="C1212" s="62"/>
      <c r="D1212" s="63"/>
      <c r="E1212" s="64"/>
      <c r="F1212" s="65"/>
      <c r="G1212" s="66"/>
      <c r="H1212" s="67"/>
      <c r="I1212" s="67"/>
      <c r="J1212" s="67"/>
      <c r="K1212" s="67"/>
      <c r="L1212" s="67"/>
      <c r="M1212" s="67"/>
      <c r="N1212" s="67"/>
      <c r="O1212" s="67"/>
      <c r="P1212" s="67"/>
      <c r="Q1212" s="67"/>
      <c r="R1212" s="67"/>
      <c r="S1212" s="67"/>
      <c r="T1212" s="67"/>
      <c r="U1212" s="67"/>
      <c r="V1212" s="67"/>
      <c r="W1212" s="67"/>
      <c r="X1212" s="67"/>
      <c r="Y1212" s="67"/>
      <c r="Z1212" s="67"/>
      <c r="AA1212" s="67"/>
      <c r="AB1212" s="67"/>
      <c r="AC1212" s="67"/>
    </row>
    <row r="1213">
      <c r="A1213" s="60"/>
      <c r="B1213" s="60"/>
      <c r="C1213" s="62"/>
      <c r="D1213" s="63"/>
      <c r="E1213" s="64"/>
      <c r="F1213" s="65"/>
      <c r="G1213" s="66"/>
      <c r="H1213" s="67"/>
      <c r="I1213" s="67"/>
      <c r="J1213" s="67"/>
      <c r="K1213" s="67"/>
      <c r="L1213" s="67"/>
      <c r="M1213" s="67"/>
      <c r="N1213" s="67"/>
      <c r="O1213" s="67"/>
      <c r="P1213" s="67"/>
      <c r="Q1213" s="67"/>
      <c r="R1213" s="67"/>
      <c r="S1213" s="67"/>
      <c r="T1213" s="67"/>
      <c r="U1213" s="67"/>
      <c r="V1213" s="67"/>
      <c r="W1213" s="67"/>
      <c r="X1213" s="67"/>
      <c r="Y1213" s="67"/>
      <c r="Z1213" s="67"/>
      <c r="AA1213" s="67"/>
      <c r="AB1213" s="67"/>
      <c r="AC1213" s="67"/>
    </row>
    <row r="1214">
      <c r="A1214" s="60"/>
      <c r="B1214" s="60"/>
      <c r="C1214" s="62"/>
      <c r="D1214" s="63"/>
      <c r="E1214" s="64"/>
      <c r="F1214" s="65"/>
      <c r="G1214" s="66"/>
      <c r="H1214" s="67"/>
      <c r="I1214" s="67"/>
      <c r="J1214" s="67"/>
      <c r="K1214" s="67"/>
      <c r="L1214" s="67"/>
      <c r="M1214" s="67"/>
      <c r="N1214" s="67"/>
      <c r="O1214" s="67"/>
      <c r="P1214" s="67"/>
      <c r="Q1214" s="67"/>
      <c r="R1214" s="67"/>
      <c r="S1214" s="67"/>
      <c r="T1214" s="67"/>
      <c r="U1214" s="67"/>
      <c r="V1214" s="67"/>
      <c r="W1214" s="67"/>
      <c r="X1214" s="67"/>
      <c r="Y1214" s="67"/>
      <c r="Z1214" s="67"/>
      <c r="AA1214" s="67"/>
      <c r="AB1214" s="67"/>
      <c r="AC1214" s="67"/>
    </row>
    <row r="1215">
      <c r="A1215" s="60"/>
      <c r="B1215" s="60"/>
      <c r="C1215" s="62"/>
      <c r="D1215" s="63"/>
      <c r="E1215" s="64"/>
      <c r="F1215" s="65"/>
      <c r="G1215" s="66"/>
      <c r="H1215" s="67"/>
      <c r="I1215" s="67"/>
      <c r="J1215" s="67"/>
      <c r="K1215" s="67"/>
      <c r="L1215" s="67"/>
      <c r="M1215" s="67"/>
      <c r="N1215" s="67"/>
      <c r="O1215" s="67"/>
      <c r="P1215" s="67"/>
      <c r="Q1215" s="67"/>
      <c r="R1215" s="67"/>
      <c r="S1215" s="67"/>
      <c r="T1215" s="67"/>
      <c r="U1215" s="67"/>
      <c r="V1215" s="67"/>
      <c r="W1215" s="67"/>
      <c r="X1215" s="67"/>
      <c r="Y1215" s="67"/>
      <c r="Z1215" s="67"/>
      <c r="AA1215" s="67"/>
      <c r="AB1215" s="67"/>
      <c r="AC1215" s="67"/>
    </row>
    <row r="1216">
      <c r="A1216" s="60"/>
      <c r="B1216" s="60"/>
      <c r="C1216" s="62"/>
      <c r="D1216" s="63"/>
      <c r="E1216" s="64"/>
      <c r="F1216" s="65"/>
      <c r="G1216" s="66"/>
      <c r="H1216" s="67"/>
      <c r="I1216" s="67"/>
      <c r="J1216" s="67"/>
      <c r="K1216" s="67"/>
      <c r="L1216" s="67"/>
      <c r="M1216" s="67"/>
      <c r="N1216" s="67"/>
      <c r="O1216" s="67"/>
      <c r="P1216" s="67"/>
      <c r="Q1216" s="67"/>
      <c r="R1216" s="67"/>
      <c r="S1216" s="67"/>
      <c r="T1216" s="67"/>
      <c r="U1216" s="67"/>
      <c r="V1216" s="67"/>
      <c r="W1216" s="67"/>
      <c r="X1216" s="67"/>
      <c r="Y1216" s="67"/>
      <c r="Z1216" s="67"/>
      <c r="AA1216" s="67"/>
      <c r="AB1216" s="67"/>
      <c r="AC1216" s="67"/>
    </row>
    <row r="1217">
      <c r="A1217" s="60"/>
      <c r="B1217" s="60"/>
      <c r="C1217" s="62"/>
      <c r="D1217" s="63"/>
      <c r="E1217" s="64"/>
      <c r="F1217" s="65"/>
      <c r="G1217" s="66"/>
      <c r="H1217" s="67"/>
      <c r="I1217" s="67"/>
      <c r="J1217" s="67"/>
      <c r="K1217" s="67"/>
      <c r="L1217" s="67"/>
      <c r="M1217" s="67"/>
      <c r="N1217" s="67"/>
      <c r="O1217" s="67"/>
      <c r="P1217" s="67"/>
      <c r="Q1217" s="67"/>
      <c r="R1217" s="67"/>
      <c r="S1217" s="67"/>
      <c r="T1217" s="67"/>
      <c r="U1217" s="67"/>
      <c r="V1217" s="67"/>
      <c r="W1217" s="67"/>
      <c r="X1217" s="67"/>
      <c r="Y1217" s="67"/>
      <c r="Z1217" s="67"/>
      <c r="AA1217" s="67"/>
      <c r="AB1217" s="67"/>
      <c r="AC1217" s="67"/>
    </row>
    <row r="1218">
      <c r="A1218" s="60"/>
      <c r="B1218" s="60"/>
      <c r="C1218" s="62"/>
      <c r="D1218" s="63"/>
      <c r="E1218" s="64"/>
      <c r="F1218" s="65"/>
      <c r="G1218" s="66"/>
      <c r="H1218" s="67"/>
      <c r="I1218" s="67"/>
      <c r="J1218" s="67"/>
      <c r="K1218" s="67"/>
      <c r="L1218" s="67"/>
      <c r="M1218" s="67"/>
      <c r="N1218" s="67"/>
      <c r="O1218" s="67"/>
      <c r="P1218" s="67"/>
      <c r="Q1218" s="67"/>
      <c r="R1218" s="67"/>
      <c r="S1218" s="67"/>
      <c r="T1218" s="67"/>
      <c r="U1218" s="67"/>
      <c r="V1218" s="67"/>
      <c r="W1218" s="67"/>
      <c r="X1218" s="67"/>
      <c r="Y1218" s="67"/>
      <c r="Z1218" s="67"/>
      <c r="AA1218" s="67"/>
      <c r="AB1218" s="67"/>
      <c r="AC1218" s="67"/>
    </row>
    <row r="1219">
      <c r="A1219" s="60"/>
      <c r="B1219" s="60"/>
      <c r="C1219" s="62"/>
      <c r="D1219" s="63"/>
      <c r="E1219" s="64"/>
      <c r="F1219" s="65"/>
      <c r="G1219" s="66"/>
      <c r="H1219" s="67"/>
      <c r="I1219" s="67"/>
      <c r="J1219" s="67"/>
      <c r="K1219" s="67"/>
      <c r="L1219" s="67"/>
      <c r="M1219" s="67"/>
      <c r="N1219" s="67"/>
      <c r="O1219" s="67"/>
      <c r="P1219" s="67"/>
      <c r="Q1219" s="67"/>
      <c r="R1219" s="67"/>
      <c r="S1219" s="67"/>
      <c r="T1219" s="67"/>
      <c r="U1219" s="67"/>
      <c r="V1219" s="67"/>
      <c r="W1219" s="67"/>
      <c r="X1219" s="67"/>
      <c r="Y1219" s="67"/>
      <c r="Z1219" s="67"/>
      <c r="AA1219" s="67"/>
      <c r="AB1219" s="67"/>
      <c r="AC1219" s="67"/>
    </row>
    <row r="1220">
      <c r="A1220" s="60"/>
      <c r="B1220" s="60"/>
      <c r="C1220" s="62"/>
      <c r="D1220" s="63"/>
      <c r="E1220" s="64"/>
      <c r="F1220" s="65"/>
      <c r="G1220" s="66"/>
      <c r="H1220" s="67"/>
      <c r="I1220" s="67"/>
      <c r="J1220" s="67"/>
      <c r="K1220" s="67"/>
      <c r="L1220" s="67"/>
      <c r="M1220" s="67"/>
      <c r="N1220" s="67"/>
      <c r="O1220" s="67"/>
      <c r="P1220" s="67"/>
      <c r="Q1220" s="67"/>
      <c r="R1220" s="67"/>
      <c r="S1220" s="67"/>
      <c r="T1220" s="67"/>
      <c r="U1220" s="67"/>
      <c r="V1220" s="67"/>
      <c r="W1220" s="67"/>
      <c r="X1220" s="67"/>
      <c r="Y1220" s="67"/>
      <c r="Z1220" s="67"/>
      <c r="AA1220" s="67"/>
      <c r="AB1220" s="67"/>
      <c r="AC1220" s="67"/>
    </row>
    <row r="1221">
      <c r="A1221" s="60"/>
      <c r="B1221" s="60"/>
      <c r="C1221" s="62"/>
      <c r="D1221" s="63"/>
      <c r="E1221" s="64"/>
      <c r="F1221" s="65"/>
      <c r="G1221" s="66"/>
      <c r="H1221" s="67"/>
      <c r="I1221" s="67"/>
      <c r="J1221" s="67"/>
      <c r="K1221" s="67"/>
      <c r="L1221" s="67"/>
      <c r="M1221" s="67"/>
      <c r="N1221" s="67"/>
      <c r="O1221" s="67"/>
      <c r="P1221" s="67"/>
      <c r="Q1221" s="67"/>
      <c r="R1221" s="67"/>
      <c r="S1221" s="67"/>
      <c r="T1221" s="67"/>
      <c r="U1221" s="67"/>
      <c r="V1221" s="67"/>
      <c r="W1221" s="67"/>
      <c r="X1221" s="67"/>
      <c r="Y1221" s="67"/>
      <c r="Z1221" s="67"/>
      <c r="AA1221" s="67"/>
      <c r="AB1221" s="67"/>
      <c r="AC1221" s="67"/>
    </row>
    <row r="1222">
      <c r="A1222" s="60"/>
      <c r="B1222" s="60"/>
      <c r="C1222" s="62"/>
      <c r="D1222" s="63"/>
      <c r="E1222" s="64"/>
      <c r="F1222" s="65"/>
      <c r="G1222" s="66"/>
      <c r="H1222" s="67"/>
      <c r="I1222" s="67"/>
      <c r="J1222" s="67"/>
      <c r="K1222" s="67"/>
      <c r="L1222" s="67"/>
      <c r="M1222" s="67"/>
      <c r="N1222" s="67"/>
      <c r="O1222" s="67"/>
      <c r="P1222" s="67"/>
      <c r="Q1222" s="67"/>
      <c r="R1222" s="67"/>
      <c r="S1222" s="67"/>
      <c r="T1222" s="67"/>
      <c r="U1222" s="67"/>
      <c r="V1222" s="67"/>
      <c r="W1222" s="67"/>
      <c r="X1222" s="67"/>
      <c r="Y1222" s="67"/>
      <c r="Z1222" s="67"/>
      <c r="AA1222" s="67"/>
      <c r="AB1222" s="67"/>
      <c r="AC1222" s="67"/>
    </row>
    <row r="1223">
      <c r="A1223" s="60"/>
      <c r="B1223" s="60"/>
      <c r="C1223" s="62"/>
      <c r="D1223" s="63"/>
      <c r="E1223" s="64"/>
      <c r="F1223" s="65"/>
      <c r="G1223" s="66"/>
      <c r="H1223" s="67"/>
      <c r="I1223" s="67"/>
      <c r="J1223" s="67"/>
      <c r="K1223" s="67"/>
      <c r="L1223" s="67"/>
      <c r="M1223" s="67"/>
      <c r="N1223" s="67"/>
      <c r="O1223" s="67"/>
      <c r="P1223" s="67"/>
      <c r="Q1223" s="67"/>
      <c r="R1223" s="67"/>
      <c r="S1223" s="67"/>
      <c r="T1223" s="67"/>
      <c r="U1223" s="67"/>
      <c r="V1223" s="67"/>
      <c r="W1223" s="67"/>
      <c r="X1223" s="67"/>
      <c r="Y1223" s="67"/>
      <c r="Z1223" s="67"/>
      <c r="AA1223" s="67"/>
      <c r="AB1223" s="67"/>
      <c r="AC1223" s="67"/>
    </row>
    <row r="1224">
      <c r="A1224" s="60"/>
      <c r="B1224" s="60"/>
      <c r="C1224" s="62"/>
      <c r="D1224" s="63"/>
      <c r="E1224" s="64"/>
      <c r="F1224" s="65"/>
      <c r="G1224" s="66"/>
      <c r="H1224" s="67"/>
      <c r="I1224" s="67"/>
      <c r="J1224" s="67"/>
      <c r="K1224" s="67"/>
      <c r="L1224" s="67"/>
      <c r="M1224" s="67"/>
      <c r="N1224" s="67"/>
      <c r="O1224" s="67"/>
      <c r="P1224" s="67"/>
      <c r="Q1224" s="67"/>
      <c r="R1224" s="67"/>
      <c r="S1224" s="67"/>
      <c r="T1224" s="67"/>
      <c r="U1224" s="67"/>
      <c r="V1224" s="67"/>
      <c r="W1224" s="67"/>
      <c r="X1224" s="67"/>
      <c r="Y1224" s="67"/>
      <c r="Z1224" s="67"/>
      <c r="AA1224" s="67"/>
      <c r="AB1224" s="67"/>
      <c r="AC1224" s="67"/>
    </row>
    <row r="1225">
      <c r="A1225" s="60"/>
      <c r="B1225" s="60"/>
      <c r="C1225" s="62"/>
      <c r="D1225" s="63"/>
      <c r="E1225" s="64"/>
      <c r="F1225" s="65"/>
      <c r="G1225" s="66"/>
      <c r="H1225" s="67"/>
      <c r="I1225" s="67"/>
      <c r="J1225" s="67"/>
      <c r="K1225" s="67"/>
      <c r="L1225" s="67"/>
      <c r="M1225" s="67"/>
      <c r="N1225" s="67"/>
      <c r="O1225" s="67"/>
      <c r="P1225" s="67"/>
      <c r="Q1225" s="67"/>
      <c r="R1225" s="67"/>
      <c r="S1225" s="67"/>
      <c r="T1225" s="67"/>
      <c r="U1225" s="67"/>
      <c r="V1225" s="67"/>
      <c r="W1225" s="67"/>
      <c r="X1225" s="67"/>
      <c r="Y1225" s="67"/>
      <c r="Z1225" s="67"/>
      <c r="AA1225" s="67"/>
      <c r="AB1225" s="67"/>
      <c r="AC1225" s="67"/>
    </row>
    <row r="1226">
      <c r="A1226" s="60"/>
      <c r="B1226" s="60"/>
      <c r="C1226" s="62"/>
      <c r="D1226" s="63"/>
      <c r="E1226" s="64"/>
      <c r="F1226" s="65"/>
      <c r="G1226" s="66"/>
      <c r="H1226" s="67"/>
      <c r="I1226" s="67"/>
      <c r="J1226" s="67"/>
      <c r="K1226" s="67"/>
      <c r="L1226" s="67"/>
      <c r="M1226" s="67"/>
      <c r="N1226" s="67"/>
      <c r="O1226" s="67"/>
      <c r="P1226" s="67"/>
      <c r="Q1226" s="67"/>
      <c r="R1226" s="67"/>
      <c r="S1226" s="67"/>
      <c r="T1226" s="67"/>
      <c r="U1226" s="67"/>
      <c r="V1226" s="67"/>
      <c r="W1226" s="67"/>
      <c r="X1226" s="67"/>
      <c r="Y1226" s="67"/>
      <c r="Z1226" s="67"/>
      <c r="AA1226" s="67"/>
      <c r="AB1226" s="67"/>
      <c r="AC1226" s="67"/>
    </row>
    <row r="1227">
      <c r="A1227" s="60"/>
      <c r="B1227" s="60"/>
      <c r="C1227" s="62"/>
      <c r="D1227" s="63"/>
      <c r="E1227" s="64"/>
      <c r="F1227" s="65"/>
      <c r="G1227" s="66"/>
      <c r="H1227" s="67"/>
      <c r="I1227" s="67"/>
      <c r="J1227" s="67"/>
      <c r="K1227" s="67"/>
      <c r="L1227" s="67"/>
      <c r="M1227" s="67"/>
      <c r="N1227" s="67"/>
      <c r="O1227" s="67"/>
      <c r="P1227" s="67"/>
      <c r="Q1227" s="67"/>
      <c r="R1227" s="67"/>
      <c r="S1227" s="67"/>
      <c r="T1227" s="67"/>
      <c r="U1227" s="67"/>
      <c r="V1227" s="67"/>
      <c r="W1227" s="67"/>
      <c r="X1227" s="67"/>
      <c r="Y1227" s="67"/>
      <c r="Z1227" s="67"/>
      <c r="AA1227" s="67"/>
      <c r="AB1227" s="67"/>
      <c r="AC1227" s="67"/>
    </row>
    <row r="1228">
      <c r="A1228" s="60"/>
      <c r="B1228" s="60"/>
      <c r="C1228" s="62"/>
      <c r="D1228" s="63"/>
      <c r="E1228" s="64"/>
      <c r="F1228" s="65"/>
      <c r="G1228" s="66"/>
      <c r="H1228" s="67"/>
      <c r="I1228" s="67"/>
      <c r="J1228" s="67"/>
      <c r="K1228" s="67"/>
      <c r="L1228" s="67"/>
      <c r="M1228" s="67"/>
      <c r="N1228" s="67"/>
      <c r="O1228" s="67"/>
      <c r="P1228" s="67"/>
      <c r="Q1228" s="67"/>
      <c r="R1228" s="67"/>
      <c r="S1228" s="67"/>
      <c r="T1228" s="67"/>
      <c r="U1228" s="67"/>
      <c r="V1228" s="67"/>
      <c r="W1228" s="67"/>
      <c r="X1228" s="67"/>
      <c r="Y1228" s="67"/>
      <c r="Z1228" s="67"/>
      <c r="AA1228" s="67"/>
      <c r="AB1228" s="67"/>
      <c r="AC1228" s="67"/>
    </row>
    <row r="1229">
      <c r="A1229" s="60"/>
      <c r="B1229" s="60"/>
      <c r="C1229" s="62"/>
      <c r="D1229" s="63"/>
      <c r="E1229" s="64"/>
      <c r="F1229" s="65"/>
      <c r="G1229" s="66"/>
      <c r="H1229" s="67"/>
      <c r="I1229" s="67"/>
      <c r="J1229" s="67"/>
      <c r="K1229" s="67"/>
      <c r="L1229" s="67"/>
      <c r="M1229" s="67"/>
      <c r="N1229" s="67"/>
      <c r="O1229" s="67"/>
      <c r="P1229" s="67"/>
      <c r="Q1229" s="67"/>
      <c r="R1229" s="67"/>
      <c r="S1229" s="67"/>
      <c r="T1229" s="67"/>
      <c r="U1229" s="67"/>
      <c r="V1229" s="67"/>
      <c r="W1229" s="67"/>
      <c r="X1229" s="67"/>
      <c r="Y1229" s="67"/>
      <c r="Z1229" s="67"/>
      <c r="AA1229" s="67"/>
      <c r="AB1229" s="67"/>
      <c r="AC1229" s="67"/>
    </row>
    <row r="1230">
      <c r="A1230" s="60"/>
      <c r="B1230" s="60"/>
      <c r="C1230" s="62"/>
      <c r="D1230" s="63"/>
      <c r="E1230" s="64"/>
      <c r="F1230" s="65"/>
      <c r="G1230" s="66"/>
      <c r="H1230" s="67"/>
      <c r="I1230" s="67"/>
      <c r="J1230" s="67"/>
      <c r="K1230" s="67"/>
      <c r="L1230" s="67"/>
      <c r="M1230" s="67"/>
      <c r="N1230" s="67"/>
      <c r="O1230" s="67"/>
      <c r="P1230" s="67"/>
      <c r="Q1230" s="67"/>
      <c r="R1230" s="67"/>
      <c r="S1230" s="67"/>
      <c r="T1230" s="67"/>
      <c r="U1230" s="67"/>
      <c r="V1230" s="67"/>
      <c r="W1230" s="67"/>
      <c r="X1230" s="67"/>
      <c r="Y1230" s="67"/>
      <c r="Z1230" s="67"/>
      <c r="AA1230" s="67"/>
      <c r="AB1230" s="67"/>
      <c r="AC1230" s="67"/>
    </row>
    <row r="1231">
      <c r="A1231" s="60"/>
      <c r="B1231" s="60"/>
      <c r="C1231" s="62"/>
      <c r="D1231" s="63"/>
      <c r="E1231" s="64"/>
      <c r="F1231" s="65"/>
      <c r="G1231" s="66"/>
      <c r="H1231" s="67"/>
      <c r="I1231" s="67"/>
      <c r="J1231" s="67"/>
      <c r="K1231" s="67"/>
      <c r="L1231" s="67"/>
      <c r="M1231" s="67"/>
      <c r="N1231" s="67"/>
      <c r="O1231" s="67"/>
      <c r="P1231" s="67"/>
      <c r="Q1231" s="67"/>
      <c r="R1231" s="67"/>
      <c r="S1231" s="67"/>
      <c r="T1231" s="67"/>
      <c r="U1231" s="67"/>
      <c r="V1231" s="67"/>
      <c r="W1231" s="67"/>
      <c r="X1231" s="67"/>
      <c r="Y1231" s="67"/>
      <c r="Z1231" s="67"/>
      <c r="AA1231" s="67"/>
      <c r="AB1231" s="67"/>
      <c r="AC1231" s="67"/>
    </row>
    <row r="1232">
      <c r="A1232" s="60"/>
      <c r="B1232" s="60"/>
      <c r="C1232" s="62"/>
      <c r="D1232" s="63"/>
      <c r="E1232" s="64"/>
      <c r="F1232" s="65"/>
      <c r="G1232" s="66"/>
      <c r="H1232" s="67"/>
      <c r="I1232" s="67"/>
      <c r="J1232" s="67"/>
      <c r="K1232" s="67"/>
      <c r="L1232" s="67"/>
      <c r="M1232" s="67"/>
      <c r="N1232" s="67"/>
      <c r="O1232" s="67"/>
      <c r="P1232" s="67"/>
      <c r="Q1232" s="67"/>
      <c r="R1232" s="67"/>
      <c r="S1232" s="67"/>
      <c r="T1232" s="67"/>
      <c r="U1232" s="67"/>
      <c r="V1232" s="67"/>
      <c r="W1232" s="67"/>
      <c r="X1232" s="67"/>
      <c r="Y1232" s="67"/>
      <c r="Z1232" s="67"/>
      <c r="AA1232" s="67"/>
      <c r="AB1232" s="67"/>
      <c r="AC1232" s="67"/>
    </row>
    <row r="1233">
      <c r="A1233" s="60"/>
      <c r="B1233" s="60"/>
      <c r="C1233" s="62"/>
      <c r="D1233" s="63"/>
      <c r="E1233" s="64"/>
      <c r="F1233" s="65"/>
      <c r="G1233" s="66"/>
      <c r="H1233" s="67"/>
      <c r="I1233" s="67"/>
      <c r="J1233" s="67"/>
      <c r="K1233" s="67"/>
      <c r="L1233" s="67"/>
      <c r="M1233" s="67"/>
      <c r="N1233" s="67"/>
      <c r="O1233" s="67"/>
      <c r="P1233" s="67"/>
      <c r="Q1233" s="67"/>
      <c r="R1233" s="67"/>
      <c r="S1233" s="67"/>
      <c r="T1233" s="67"/>
      <c r="U1233" s="67"/>
      <c r="V1233" s="67"/>
      <c r="W1233" s="67"/>
      <c r="X1233" s="67"/>
      <c r="Y1233" s="67"/>
      <c r="Z1233" s="67"/>
      <c r="AA1233" s="67"/>
      <c r="AB1233" s="67"/>
      <c r="AC1233" s="67"/>
    </row>
    <row r="1234">
      <c r="A1234" s="60"/>
      <c r="B1234" s="60"/>
      <c r="C1234" s="62"/>
      <c r="D1234" s="63"/>
      <c r="E1234" s="64"/>
      <c r="F1234" s="65"/>
      <c r="G1234" s="66"/>
      <c r="H1234" s="67"/>
      <c r="I1234" s="67"/>
      <c r="J1234" s="67"/>
      <c r="K1234" s="67"/>
      <c r="L1234" s="67"/>
      <c r="M1234" s="67"/>
      <c r="N1234" s="67"/>
      <c r="O1234" s="67"/>
      <c r="P1234" s="67"/>
      <c r="Q1234" s="67"/>
      <c r="R1234" s="67"/>
      <c r="S1234" s="67"/>
      <c r="T1234" s="67"/>
      <c r="U1234" s="67"/>
      <c r="V1234" s="67"/>
      <c r="W1234" s="67"/>
      <c r="X1234" s="67"/>
      <c r="Y1234" s="67"/>
      <c r="Z1234" s="67"/>
      <c r="AA1234" s="67"/>
      <c r="AB1234" s="67"/>
      <c r="AC1234" s="67"/>
    </row>
    <row r="1235">
      <c r="A1235" s="60"/>
      <c r="B1235" s="60"/>
      <c r="C1235" s="62"/>
      <c r="D1235" s="63"/>
      <c r="E1235" s="64"/>
      <c r="F1235" s="65"/>
      <c r="G1235" s="66"/>
      <c r="H1235" s="67"/>
      <c r="I1235" s="67"/>
      <c r="J1235" s="67"/>
      <c r="K1235" s="67"/>
      <c r="L1235" s="67"/>
      <c r="M1235" s="67"/>
      <c r="N1235" s="67"/>
      <c r="O1235" s="67"/>
      <c r="P1235" s="67"/>
      <c r="Q1235" s="67"/>
      <c r="R1235" s="67"/>
      <c r="S1235" s="67"/>
      <c r="T1235" s="67"/>
      <c r="U1235" s="67"/>
      <c r="V1235" s="67"/>
      <c r="W1235" s="67"/>
      <c r="X1235" s="67"/>
      <c r="Y1235" s="67"/>
      <c r="Z1235" s="67"/>
      <c r="AA1235" s="67"/>
      <c r="AB1235" s="67"/>
      <c r="AC1235" s="67"/>
    </row>
    <row r="1236">
      <c r="A1236" s="60"/>
      <c r="B1236" s="60"/>
      <c r="C1236" s="62"/>
      <c r="D1236" s="63"/>
      <c r="E1236" s="64"/>
      <c r="F1236" s="65"/>
      <c r="G1236" s="66"/>
      <c r="H1236" s="67"/>
      <c r="I1236" s="67"/>
      <c r="J1236" s="67"/>
      <c r="K1236" s="67"/>
      <c r="L1236" s="67"/>
      <c r="M1236" s="67"/>
      <c r="N1236" s="67"/>
      <c r="O1236" s="67"/>
      <c r="P1236" s="67"/>
      <c r="Q1236" s="67"/>
      <c r="R1236" s="67"/>
      <c r="S1236" s="67"/>
      <c r="T1236" s="67"/>
      <c r="U1236" s="67"/>
      <c r="V1236" s="67"/>
      <c r="W1236" s="67"/>
      <c r="X1236" s="67"/>
      <c r="Y1236" s="67"/>
      <c r="Z1236" s="67"/>
      <c r="AA1236" s="67"/>
      <c r="AB1236" s="67"/>
      <c r="AC1236" s="67"/>
    </row>
    <row r="1237">
      <c r="A1237" s="60"/>
      <c r="B1237" s="60"/>
      <c r="C1237" s="62"/>
      <c r="D1237" s="63"/>
      <c r="E1237" s="64"/>
      <c r="F1237" s="65"/>
      <c r="G1237" s="66"/>
      <c r="H1237" s="67"/>
      <c r="I1237" s="67"/>
      <c r="J1237" s="67"/>
      <c r="K1237" s="67"/>
      <c r="L1237" s="67"/>
      <c r="M1237" s="67"/>
      <c r="N1237" s="67"/>
      <c r="O1237" s="67"/>
      <c r="P1237" s="67"/>
      <c r="Q1237" s="67"/>
      <c r="R1237" s="67"/>
      <c r="S1237" s="67"/>
      <c r="T1237" s="67"/>
      <c r="U1237" s="67"/>
      <c r="V1237" s="67"/>
      <c r="W1237" s="67"/>
      <c r="X1237" s="67"/>
      <c r="Y1237" s="67"/>
      <c r="Z1237" s="67"/>
      <c r="AA1237" s="67"/>
      <c r="AB1237" s="67"/>
      <c r="AC1237" s="67"/>
    </row>
    <row r="1238">
      <c r="A1238" s="60"/>
      <c r="B1238" s="60"/>
      <c r="C1238" s="62"/>
      <c r="D1238" s="63"/>
      <c r="E1238" s="64"/>
      <c r="F1238" s="65"/>
      <c r="G1238" s="66"/>
      <c r="H1238" s="67"/>
      <c r="I1238" s="67"/>
      <c r="J1238" s="67"/>
      <c r="K1238" s="67"/>
      <c r="L1238" s="67"/>
      <c r="M1238" s="67"/>
      <c r="N1238" s="67"/>
      <c r="O1238" s="67"/>
      <c r="P1238" s="67"/>
      <c r="Q1238" s="67"/>
      <c r="R1238" s="67"/>
      <c r="S1238" s="67"/>
      <c r="T1238" s="67"/>
      <c r="U1238" s="67"/>
      <c r="V1238" s="67"/>
      <c r="W1238" s="67"/>
      <c r="X1238" s="67"/>
      <c r="Y1238" s="67"/>
      <c r="Z1238" s="67"/>
      <c r="AA1238" s="67"/>
      <c r="AB1238" s="67"/>
      <c r="AC1238" s="67"/>
    </row>
    <row r="1239">
      <c r="A1239" s="60"/>
      <c r="B1239" s="60"/>
      <c r="C1239" s="62"/>
      <c r="D1239" s="63"/>
      <c r="E1239" s="64"/>
      <c r="F1239" s="65"/>
      <c r="G1239" s="66"/>
      <c r="H1239" s="67"/>
      <c r="I1239" s="67"/>
      <c r="J1239" s="67"/>
      <c r="K1239" s="67"/>
      <c r="L1239" s="67"/>
      <c r="M1239" s="67"/>
      <c r="N1239" s="67"/>
      <c r="O1239" s="67"/>
      <c r="P1239" s="67"/>
      <c r="Q1239" s="67"/>
      <c r="R1239" s="67"/>
      <c r="S1239" s="67"/>
      <c r="T1239" s="67"/>
      <c r="U1239" s="67"/>
      <c r="V1239" s="67"/>
      <c r="W1239" s="67"/>
      <c r="X1239" s="67"/>
      <c r="Y1239" s="67"/>
      <c r="Z1239" s="67"/>
      <c r="AA1239" s="67"/>
      <c r="AB1239" s="67"/>
      <c r="AC1239" s="67"/>
    </row>
    <row r="1240">
      <c r="A1240" s="60"/>
      <c r="B1240" s="60"/>
      <c r="C1240" s="62"/>
      <c r="D1240" s="63"/>
      <c r="E1240" s="64"/>
      <c r="F1240" s="65"/>
      <c r="G1240" s="66"/>
      <c r="H1240" s="67"/>
      <c r="I1240" s="67"/>
      <c r="J1240" s="67"/>
      <c r="K1240" s="67"/>
      <c r="L1240" s="67"/>
      <c r="M1240" s="67"/>
      <c r="N1240" s="67"/>
      <c r="O1240" s="67"/>
      <c r="P1240" s="67"/>
      <c r="Q1240" s="67"/>
      <c r="R1240" s="67"/>
      <c r="S1240" s="67"/>
      <c r="T1240" s="67"/>
      <c r="U1240" s="67"/>
      <c r="V1240" s="67"/>
      <c r="W1240" s="67"/>
      <c r="X1240" s="67"/>
      <c r="Y1240" s="67"/>
      <c r="Z1240" s="67"/>
      <c r="AA1240" s="67"/>
      <c r="AB1240" s="67"/>
      <c r="AC1240" s="67"/>
    </row>
    <row r="1241">
      <c r="A1241" s="60"/>
      <c r="B1241" s="60"/>
      <c r="C1241" s="62"/>
      <c r="D1241" s="63"/>
      <c r="E1241" s="64"/>
      <c r="F1241" s="65"/>
      <c r="G1241" s="66"/>
      <c r="H1241" s="67"/>
      <c r="I1241" s="67"/>
      <c r="J1241" s="67"/>
      <c r="K1241" s="67"/>
      <c r="L1241" s="67"/>
      <c r="M1241" s="67"/>
      <c r="N1241" s="67"/>
      <c r="O1241" s="67"/>
      <c r="P1241" s="67"/>
      <c r="Q1241" s="67"/>
      <c r="R1241" s="67"/>
      <c r="S1241" s="67"/>
      <c r="T1241" s="67"/>
      <c r="U1241" s="67"/>
      <c r="V1241" s="67"/>
      <c r="W1241" s="67"/>
      <c r="X1241" s="67"/>
      <c r="Y1241" s="67"/>
      <c r="Z1241" s="67"/>
      <c r="AA1241" s="67"/>
      <c r="AB1241" s="67"/>
      <c r="AC1241" s="67"/>
    </row>
    <row r="1242">
      <c r="A1242" s="60"/>
      <c r="B1242" s="60"/>
      <c r="C1242" s="62"/>
      <c r="D1242" s="63"/>
      <c r="E1242" s="64"/>
      <c r="F1242" s="65"/>
      <c r="G1242" s="66"/>
      <c r="H1242" s="67"/>
      <c r="I1242" s="67"/>
      <c r="J1242" s="67"/>
      <c r="K1242" s="67"/>
      <c r="L1242" s="67"/>
      <c r="M1242" s="67"/>
      <c r="N1242" s="67"/>
      <c r="O1242" s="67"/>
      <c r="P1242" s="67"/>
      <c r="Q1242" s="67"/>
      <c r="R1242" s="67"/>
      <c r="S1242" s="67"/>
      <c r="T1242" s="67"/>
      <c r="U1242" s="67"/>
      <c r="V1242" s="67"/>
      <c r="W1242" s="67"/>
      <c r="X1242" s="67"/>
      <c r="Y1242" s="67"/>
      <c r="Z1242" s="67"/>
      <c r="AA1242" s="67"/>
      <c r="AB1242" s="67"/>
      <c r="AC1242" s="67"/>
    </row>
    <row r="1243">
      <c r="A1243" s="60"/>
      <c r="B1243" s="60"/>
      <c r="C1243" s="62"/>
      <c r="D1243" s="63"/>
      <c r="E1243" s="64"/>
      <c r="F1243" s="65"/>
      <c r="G1243" s="66"/>
      <c r="H1243" s="67"/>
      <c r="I1243" s="67"/>
      <c r="J1243" s="67"/>
      <c r="K1243" s="67"/>
      <c r="L1243" s="67"/>
      <c r="M1243" s="67"/>
      <c r="N1243" s="67"/>
      <c r="O1243" s="67"/>
      <c r="P1243" s="67"/>
      <c r="Q1243" s="67"/>
      <c r="R1243" s="67"/>
      <c r="S1243" s="67"/>
      <c r="T1243" s="67"/>
      <c r="U1243" s="67"/>
      <c r="V1243" s="67"/>
      <c r="W1243" s="67"/>
      <c r="X1243" s="67"/>
      <c r="Y1243" s="67"/>
      <c r="Z1243" s="67"/>
      <c r="AA1243" s="67"/>
      <c r="AB1243" s="67"/>
      <c r="AC1243" s="67"/>
    </row>
    <row r="1244">
      <c r="A1244" s="60"/>
      <c r="B1244" s="60"/>
      <c r="C1244" s="62"/>
      <c r="D1244" s="63"/>
      <c r="E1244" s="64"/>
      <c r="F1244" s="65"/>
      <c r="G1244" s="66"/>
      <c r="H1244" s="67"/>
      <c r="I1244" s="67"/>
      <c r="J1244" s="67"/>
      <c r="K1244" s="67"/>
      <c r="L1244" s="67"/>
      <c r="M1244" s="67"/>
      <c r="N1244" s="67"/>
      <c r="O1244" s="67"/>
      <c r="P1244" s="67"/>
      <c r="Q1244" s="67"/>
      <c r="R1244" s="67"/>
      <c r="S1244" s="67"/>
      <c r="T1244" s="67"/>
      <c r="U1244" s="67"/>
      <c r="V1244" s="67"/>
      <c r="W1244" s="67"/>
      <c r="X1244" s="67"/>
      <c r="Y1244" s="67"/>
      <c r="Z1244" s="67"/>
      <c r="AA1244" s="67"/>
      <c r="AB1244" s="67"/>
      <c r="AC1244" s="67"/>
    </row>
    <row r="1245">
      <c r="A1245" s="60"/>
      <c r="B1245" s="60"/>
      <c r="C1245" s="62"/>
      <c r="D1245" s="63"/>
      <c r="E1245" s="64"/>
      <c r="F1245" s="65"/>
      <c r="G1245" s="66"/>
      <c r="H1245" s="67"/>
      <c r="I1245" s="67"/>
      <c r="J1245" s="67"/>
      <c r="K1245" s="67"/>
      <c r="L1245" s="67"/>
      <c r="M1245" s="67"/>
      <c r="N1245" s="67"/>
      <c r="O1245" s="67"/>
      <c r="P1245" s="67"/>
      <c r="Q1245" s="67"/>
      <c r="R1245" s="67"/>
      <c r="S1245" s="67"/>
      <c r="T1245" s="67"/>
      <c r="U1245" s="67"/>
      <c r="V1245" s="67"/>
      <c r="W1245" s="67"/>
      <c r="X1245" s="67"/>
      <c r="Y1245" s="67"/>
      <c r="Z1245" s="67"/>
      <c r="AA1245" s="67"/>
      <c r="AB1245" s="67"/>
      <c r="AC1245" s="67"/>
    </row>
    <row r="1246">
      <c r="A1246" s="60"/>
      <c r="B1246" s="60"/>
      <c r="C1246" s="62"/>
      <c r="D1246" s="63"/>
      <c r="E1246" s="64"/>
      <c r="F1246" s="65"/>
      <c r="G1246" s="66"/>
      <c r="H1246" s="67"/>
      <c r="I1246" s="67"/>
      <c r="J1246" s="67"/>
      <c r="K1246" s="67"/>
      <c r="L1246" s="67"/>
      <c r="M1246" s="67"/>
      <c r="N1246" s="67"/>
      <c r="O1246" s="67"/>
      <c r="P1246" s="67"/>
      <c r="Q1246" s="67"/>
      <c r="R1246" s="67"/>
      <c r="S1246" s="67"/>
      <c r="T1246" s="67"/>
      <c r="U1246" s="67"/>
      <c r="V1246" s="67"/>
      <c r="W1246" s="67"/>
      <c r="X1246" s="67"/>
      <c r="Y1246" s="67"/>
      <c r="Z1246" s="67"/>
      <c r="AA1246" s="67"/>
      <c r="AB1246" s="67"/>
      <c r="AC1246" s="67"/>
    </row>
    <row r="1247">
      <c r="A1247" s="60"/>
      <c r="B1247" s="60"/>
      <c r="C1247" s="62"/>
      <c r="D1247" s="63"/>
      <c r="E1247" s="64"/>
      <c r="F1247" s="65"/>
      <c r="G1247" s="66"/>
      <c r="H1247" s="67"/>
      <c r="I1247" s="67"/>
      <c r="J1247" s="67"/>
      <c r="K1247" s="67"/>
      <c r="L1247" s="67"/>
      <c r="M1247" s="67"/>
      <c r="N1247" s="67"/>
      <c r="O1247" s="67"/>
      <c r="P1247" s="67"/>
      <c r="Q1247" s="67"/>
      <c r="R1247" s="67"/>
      <c r="S1247" s="67"/>
      <c r="T1247" s="67"/>
      <c r="U1247" s="67"/>
      <c r="V1247" s="67"/>
      <c r="W1247" s="67"/>
      <c r="X1247" s="67"/>
      <c r="Y1247" s="67"/>
      <c r="Z1247" s="67"/>
      <c r="AA1247" s="67"/>
      <c r="AB1247" s="67"/>
      <c r="AC1247" s="67"/>
    </row>
    <row r="1248">
      <c r="A1248" s="60"/>
      <c r="B1248" s="60"/>
      <c r="C1248" s="62"/>
      <c r="D1248" s="63"/>
      <c r="E1248" s="64"/>
      <c r="F1248" s="65"/>
      <c r="G1248" s="66"/>
      <c r="H1248" s="67"/>
      <c r="I1248" s="67"/>
      <c r="J1248" s="67"/>
      <c r="K1248" s="67"/>
      <c r="L1248" s="67"/>
      <c r="M1248" s="67"/>
      <c r="N1248" s="67"/>
      <c r="O1248" s="67"/>
      <c r="P1248" s="67"/>
      <c r="Q1248" s="67"/>
      <c r="R1248" s="67"/>
      <c r="S1248" s="67"/>
      <c r="T1248" s="67"/>
      <c r="U1248" s="67"/>
      <c r="V1248" s="67"/>
      <c r="W1248" s="67"/>
      <c r="X1248" s="67"/>
      <c r="Y1248" s="67"/>
      <c r="Z1248" s="67"/>
      <c r="AA1248" s="67"/>
      <c r="AB1248" s="67"/>
      <c r="AC1248" s="67"/>
    </row>
    <row r="1249">
      <c r="A1249" s="60"/>
      <c r="B1249" s="60"/>
      <c r="C1249" s="62"/>
      <c r="D1249" s="63"/>
      <c r="E1249" s="64"/>
      <c r="F1249" s="65"/>
      <c r="G1249" s="66"/>
      <c r="H1249" s="67"/>
      <c r="I1249" s="67"/>
      <c r="J1249" s="67"/>
      <c r="K1249" s="67"/>
      <c r="L1249" s="67"/>
      <c r="M1249" s="67"/>
      <c r="N1249" s="67"/>
      <c r="O1249" s="67"/>
      <c r="P1249" s="67"/>
      <c r="Q1249" s="67"/>
      <c r="R1249" s="67"/>
      <c r="S1249" s="67"/>
      <c r="T1249" s="67"/>
      <c r="U1249" s="67"/>
      <c r="V1249" s="67"/>
      <c r="W1249" s="67"/>
      <c r="X1249" s="67"/>
      <c r="Y1249" s="67"/>
      <c r="Z1249" s="67"/>
      <c r="AA1249" s="67"/>
      <c r="AB1249" s="67"/>
      <c r="AC1249" s="67"/>
    </row>
    <row r="1250">
      <c r="A1250" s="60"/>
      <c r="B1250" s="60"/>
      <c r="C1250" s="62"/>
      <c r="D1250" s="63"/>
      <c r="E1250" s="64"/>
      <c r="F1250" s="65"/>
      <c r="G1250" s="66"/>
      <c r="H1250" s="67"/>
      <c r="I1250" s="67"/>
      <c r="J1250" s="67"/>
      <c r="K1250" s="67"/>
      <c r="L1250" s="67"/>
      <c r="M1250" s="67"/>
      <c r="N1250" s="67"/>
      <c r="O1250" s="67"/>
      <c r="P1250" s="67"/>
      <c r="Q1250" s="67"/>
      <c r="R1250" s="67"/>
      <c r="S1250" s="67"/>
      <c r="T1250" s="67"/>
      <c r="U1250" s="67"/>
      <c r="V1250" s="67"/>
      <c r="W1250" s="67"/>
      <c r="X1250" s="67"/>
      <c r="Y1250" s="67"/>
      <c r="Z1250" s="67"/>
      <c r="AA1250" s="67"/>
      <c r="AB1250" s="67"/>
      <c r="AC1250" s="67"/>
    </row>
    <row r="1251">
      <c r="A1251" s="60"/>
      <c r="B1251" s="60"/>
      <c r="C1251" s="62"/>
      <c r="D1251" s="63"/>
      <c r="E1251" s="64"/>
      <c r="F1251" s="65"/>
      <c r="G1251" s="66"/>
      <c r="H1251" s="67"/>
      <c r="I1251" s="67"/>
      <c r="J1251" s="67"/>
      <c r="K1251" s="67"/>
      <c r="L1251" s="67"/>
      <c r="M1251" s="67"/>
      <c r="N1251" s="67"/>
      <c r="O1251" s="67"/>
      <c r="P1251" s="67"/>
      <c r="Q1251" s="67"/>
      <c r="R1251" s="67"/>
      <c r="S1251" s="67"/>
      <c r="T1251" s="67"/>
      <c r="U1251" s="67"/>
      <c r="V1251" s="67"/>
      <c r="W1251" s="67"/>
      <c r="X1251" s="67"/>
      <c r="Y1251" s="67"/>
      <c r="Z1251" s="67"/>
      <c r="AA1251" s="67"/>
      <c r="AB1251" s="67"/>
      <c r="AC1251" s="67"/>
    </row>
    <row r="1252">
      <c r="A1252" s="60"/>
      <c r="B1252" s="60"/>
      <c r="C1252" s="62"/>
      <c r="D1252" s="63"/>
      <c r="E1252" s="64"/>
      <c r="F1252" s="65"/>
      <c r="G1252" s="66"/>
      <c r="H1252" s="67"/>
      <c r="I1252" s="67"/>
      <c r="J1252" s="67"/>
      <c r="K1252" s="67"/>
      <c r="L1252" s="67"/>
      <c r="M1252" s="67"/>
      <c r="N1252" s="67"/>
      <c r="O1252" s="67"/>
      <c r="P1252" s="67"/>
      <c r="Q1252" s="67"/>
      <c r="R1252" s="67"/>
      <c r="S1252" s="67"/>
      <c r="T1252" s="67"/>
      <c r="U1252" s="67"/>
      <c r="V1252" s="67"/>
      <c r="W1252" s="67"/>
      <c r="X1252" s="67"/>
      <c r="Y1252" s="67"/>
      <c r="Z1252" s="67"/>
      <c r="AA1252" s="67"/>
      <c r="AB1252" s="67"/>
      <c r="AC1252" s="67"/>
    </row>
    <row r="1253">
      <c r="A1253" s="60"/>
      <c r="B1253" s="60"/>
      <c r="C1253" s="62"/>
      <c r="D1253" s="63"/>
      <c r="E1253" s="64"/>
      <c r="F1253" s="65"/>
      <c r="G1253" s="66"/>
      <c r="H1253" s="67"/>
      <c r="I1253" s="67"/>
      <c r="J1253" s="67"/>
      <c r="K1253" s="67"/>
      <c r="L1253" s="67"/>
      <c r="M1253" s="67"/>
      <c r="N1253" s="67"/>
      <c r="O1253" s="67"/>
      <c r="P1253" s="67"/>
      <c r="Q1253" s="67"/>
      <c r="R1253" s="67"/>
      <c r="S1253" s="67"/>
      <c r="T1253" s="67"/>
      <c r="U1253" s="67"/>
      <c r="V1253" s="67"/>
      <c r="W1253" s="67"/>
      <c r="X1253" s="67"/>
      <c r="Y1253" s="67"/>
      <c r="Z1253" s="67"/>
      <c r="AA1253" s="67"/>
      <c r="AB1253" s="67"/>
      <c r="AC1253" s="67"/>
    </row>
    <row r="1254">
      <c r="A1254" s="60"/>
      <c r="B1254" s="60"/>
      <c r="C1254" s="62"/>
      <c r="D1254" s="63"/>
      <c r="E1254" s="64"/>
      <c r="F1254" s="65"/>
      <c r="G1254" s="66"/>
      <c r="H1254" s="67"/>
      <c r="I1254" s="67"/>
      <c r="J1254" s="67"/>
      <c r="K1254" s="67"/>
      <c r="L1254" s="67"/>
      <c r="M1254" s="67"/>
      <c r="N1254" s="67"/>
      <c r="O1254" s="67"/>
      <c r="P1254" s="67"/>
      <c r="Q1254" s="67"/>
      <c r="R1254" s="67"/>
      <c r="S1254" s="67"/>
      <c r="T1254" s="67"/>
      <c r="U1254" s="67"/>
      <c r="V1254" s="67"/>
      <c r="W1254" s="67"/>
      <c r="X1254" s="67"/>
      <c r="Y1254" s="67"/>
      <c r="Z1254" s="67"/>
      <c r="AA1254" s="67"/>
      <c r="AB1254" s="67"/>
      <c r="AC1254" s="67"/>
    </row>
    <row r="1255">
      <c r="A1255" s="60"/>
      <c r="B1255" s="60"/>
      <c r="C1255" s="62"/>
      <c r="D1255" s="63"/>
      <c r="E1255" s="64"/>
      <c r="F1255" s="65"/>
      <c r="G1255" s="66"/>
      <c r="H1255" s="67"/>
      <c r="I1255" s="67"/>
      <c r="J1255" s="67"/>
      <c r="K1255" s="67"/>
      <c r="L1255" s="67"/>
      <c r="M1255" s="67"/>
      <c r="N1255" s="67"/>
      <c r="O1255" s="67"/>
      <c r="P1255" s="67"/>
      <c r="Q1255" s="67"/>
      <c r="R1255" s="67"/>
      <c r="S1255" s="67"/>
      <c r="T1255" s="67"/>
      <c r="U1255" s="67"/>
      <c r="V1255" s="67"/>
      <c r="W1255" s="67"/>
      <c r="X1255" s="67"/>
      <c r="Y1255" s="67"/>
      <c r="Z1255" s="67"/>
      <c r="AA1255" s="67"/>
      <c r="AB1255" s="67"/>
      <c r="AC1255" s="67"/>
    </row>
    <row r="1256">
      <c r="A1256" s="60"/>
      <c r="B1256" s="60"/>
      <c r="C1256" s="62"/>
      <c r="D1256" s="63"/>
      <c r="E1256" s="64"/>
      <c r="F1256" s="65"/>
      <c r="G1256" s="66"/>
      <c r="H1256" s="67"/>
      <c r="I1256" s="67"/>
      <c r="J1256" s="67"/>
      <c r="K1256" s="67"/>
      <c r="L1256" s="67"/>
      <c r="M1256" s="67"/>
      <c r="N1256" s="67"/>
      <c r="O1256" s="67"/>
      <c r="P1256" s="67"/>
      <c r="Q1256" s="67"/>
      <c r="R1256" s="67"/>
      <c r="S1256" s="67"/>
      <c r="T1256" s="67"/>
      <c r="U1256" s="67"/>
      <c r="V1256" s="67"/>
      <c r="W1256" s="67"/>
      <c r="X1256" s="67"/>
      <c r="Y1256" s="67"/>
      <c r="Z1256" s="67"/>
      <c r="AA1256" s="67"/>
      <c r="AB1256" s="67"/>
      <c r="AC1256" s="67"/>
    </row>
    <row r="1257">
      <c r="A1257" s="60"/>
      <c r="B1257" s="60"/>
      <c r="C1257" s="62"/>
      <c r="D1257" s="63"/>
      <c r="E1257" s="64"/>
      <c r="F1257" s="65"/>
      <c r="G1257" s="66"/>
      <c r="H1257" s="67"/>
      <c r="I1257" s="67"/>
      <c r="J1257" s="67"/>
      <c r="K1257" s="67"/>
      <c r="L1257" s="67"/>
      <c r="M1257" s="67"/>
      <c r="N1257" s="67"/>
      <c r="O1257" s="67"/>
      <c r="P1257" s="67"/>
      <c r="Q1257" s="67"/>
      <c r="R1257" s="67"/>
      <c r="S1257" s="67"/>
      <c r="T1257" s="67"/>
      <c r="U1257" s="67"/>
      <c r="V1257" s="67"/>
      <c r="W1257" s="67"/>
      <c r="X1257" s="67"/>
      <c r="Y1257" s="67"/>
      <c r="Z1257" s="67"/>
      <c r="AA1257" s="67"/>
      <c r="AB1257" s="67"/>
      <c r="AC1257" s="67"/>
    </row>
    <row r="1258">
      <c r="A1258" s="60"/>
      <c r="B1258" s="60"/>
      <c r="C1258" s="62"/>
      <c r="D1258" s="63"/>
      <c r="E1258" s="64"/>
      <c r="F1258" s="65"/>
      <c r="G1258" s="66"/>
      <c r="H1258" s="67"/>
      <c r="I1258" s="67"/>
      <c r="J1258" s="67"/>
      <c r="K1258" s="67"/>
      <c r="L1258" s="67"/>
      <c r="M1258" s="67"/>
      <c r="N1258" s="67"/>
      <c r="O1258" s="67"/>
      <c r="P1258" s="67"/>
      <c r="Q1258" s="67"/>
      <c r="R1258" s="67"/>
      <c r="S1258" s="67"/>
      <c r="T1258" s="67"/>
      <c r="U1258" s="67"/>
      <c r="V1258" s="67"/>
      <c r="W1258" s="67"/>
      <c r="X1258" s="67"/>
      <c r="Y1258" s="67"/>
      <c r="Z1258" s="67"/>
      <c r="AA1258" s="67"/>
      <c r="AB1258" s="67"/>
      <c r="AC1258" s="67"/>
    </row>
    <row r="1259">
      <c r="A1259" s="60"/>
      <c r="B1259" s="60"/>
      <c r="C1259" s="62"/>
      <c r="D1259" s="63"/>
      <c r="E1259" s="64"/>
      <c r="F1259" s="65"/>
      <c r="G1259" s="66"/>
      <c r="H1259" s="67"/>
      <c r="I1259" s="67"/>
      <c r="J1259" s="67"/>
      <c r="K1259" s="67"/>
      <c r="L1259" s="67"/>
      <c r="M1259" s="67"/>
      <c r="N1259" s="67"/>
      <c r="O1259" s="67"/>
      <c r="P1259" s="67"/>
      <c r="Q1259" s="67"/>
      <c r="R1259" s="67"/>
      <c r="S1259" s="67"/>
      <c r="T1259" s="67"/>
      <c r="U1259" s="67"/>
      <c r="V1259" s="67"/>
      <c r="W1259" s="67"/>
      <c r="X1259" s="67"/>
      <c r="Y1259" s="67"/>
      <c r="Z1259" s="67"/>
      <c r="AA1259" s="67"/>
      <c r="AB1259" s="67"/>
      <c r="AC1259" s="67"/>
    </row>
    <row r="1260">
      <c r="A1260" s="60"/>
      <c r="B1260" s="60"/>
      <c r="C1260" s="62"/>
      <c r="D1260" s="63"/>
      <c r="E1260" s="64"/>
      <c r="F1260" s="65"/>
      <c r="G1260" s="66"/>
      <c r="H1260" s="67"/>
      <c r="I1260" s="67"/>
      <c r="J1260" s="67"/>
      <c r="K1260" s="67"/>
      <c r="L1260" s="67"/>
      <c r="M1260" s="67"/>
      <c r="N1260" s="67"/>
      <c r="O1260" s="67"/>
      <c r="P1260" s="67"/>
      <c r="Q1260" s="67"/>
      <c r="R1260" s="67"/>
      <c r="S1260" s="67"/>
      <c r="T1260" s="67"/>
      <c r="U1260" s="67"/>
      <c r="V1260" s="67"/>
      <c r="W1260" s="67"/>
      <c r="X1260" s="67"/>
      <c r="Y1260" s="67"/>
      <c r="Z1260" s="67"/>
      <c r="AA1260" s="67"/>
      <c r="AB1260" s="67"/>
      <c r="AC1260" s="67"/>
    </row>
    <row r="1261">
      <c r="A1261" s="60"/>
      <c r="B1261" s="60"/>
      <c r="C1261" s="62"/>
      <c r="D1261" s="63"/>
      <c r="E1261" s="64"/>
      <c r="F1261" s="65"/>
      <c r="G1261" s="66"/>
      <c r="H1261" s="67"/>
      <c r="I1261" s="67"/>
      <c r="J1261" s="67"/>
      <c r="K1261" s="67"/>
      <c r="L1261" s="67"/>
      <c r="M1261" s="67"/>
      <c r="N1261" s="67"/>
      <c r="O1261" s="67"/>
      <c r="P1261" s="67"/>
      <c r="Q1261" s="67"/>
      <c r="R1261" s="67"/>
      <c r="S1261" s="67"/>
      <c r="T1261" s="67"/>
      <c r="U1261" s="67"/>
      <c r="V1261" s="67"/>
      <c r="W1261" s="67"/>
      <c r="X1261" s="67"/>
      <c r="Y1261" s="67"/>
      <c r="Z1261" s="67"/>
      <c r="AA1261" s="67"/>
      <c r="AB1261" s="67"/>
      <c r="AC1261" s="67"/>
    </row>
    <row r="1262">
      <c r="A1262" s="60"/>
      <c r="B1262" s="60"/>
      <c r="C1262" s="62"/>
      <c r="D1262" s="63"/>
      <c r="E1262" s="64"/>
      <c r="F1262" s="65"/>
      <c r="G1262" s="66"/>
      <c r="H1262" s="67"/>
      <c r="I1262" s="67"/>
      <c r="J1262" s="67"/>
      <c r="K1262" s="67"/>
      <c r="L1262" s="67"/>
      <c r="M1262" s="67"/>
      <c r="N1262" s="67"/>
      <c r="O1262" s="67"/>
      <c r="P1262" s="67"/>
      <c r="Q1262" s="67"/>
      <c r="R1262" s="67"/>
      <c r="S1262" s="67"/>
      <c r="T1262" s="67"/>
      <c r="U1262" s="67"/>
      <c r="V1262" s="67"/>
      <c r="W1262" s="67"/>
      <c r="X1262" s="67"/>
      <c r="Y1262" s="67"/>
      <c r="Z1262" s="67"/>
      <c r="AA1262" s="67"/>
      <c r="AB1262" s="67"/>
      <c r="AC1262" s="67"/>
    </row>
    <row r="1263">
      <c r="A1263" s="60"/>
      <c r="B1263" s="60"/>
      <c r="C1263" s="62"/>
      <c r="D1263" s="63"/>
      <c r="E1263" s="64"/>
      <c r="F1263" s="65"/>
      <c r="G1263" s="66"/>
      <c r="H1263" s="67"/>
      <c r="I1263" s="67"/>
      <c r="J1263" s="67"/>
      <c r="K1263" s="67"/>
      <c r="L1263" s="67"/>
      <c r="M1263" s="67"/>
      <c r="N1263" s="67"/>
      <c r="O1263" s="67"/>
      <c r="P1263" s="67"/>
      <c r="Q1263" s="67"/>
      <c r="R1263" s="67"/>
      <c r="S1263" s="67"/>
      <c r="T1263" s="67"/>
      <c r="U1263" s="67"/>
      <c r="V1263" s="67"/>
      <c r="W1263" s="67"/>
      <c r="X1263" s="67"/>
      <c r="Y1263" s="67"/>
      <c r="Z1263" s="67"/>
      <c r="AA1263" s="67"/>
      <c r="AB1263" s="67"/>
      <c r="AC1263" s="67"/>
    </row>
    <row r="1264">
      <c r="A1264" s="60"/>
      <c r="B1264" s="60"/>
      <c r="C1264" s="62"/>
      <c r="D1264" s="63"/>
      <c r="E1264" s="64"/>
      <c r="F1264" s="65"/>
      <c r="G1264" s="66"/>
      <c r="H1264" s="67"/>
      <c r="I1264" s="67"/>
      <c r="J1264" s="67"/>
      <c r="K1264" s="67"/>
      <c r="L1264" s="67"/>
      <c r="M1264" s="67"/>
      <c r="N1264" s="67"/>
      <c r="O1264" s="67"/>
      <c r="P1264" s="67"/>
      <c r="Q1264" s="67"/>
      <c r="R1264" s="67"/>
      <c r="S1264" s="67"/>
      <c r="T1264" s="67"/>
      <c r="U1264" s="67"/>
      <c r="V1264" s="67"/>
      <c r="W1264" s="67"/>
      <c r="X1264" s="67"/>
      <c r="Y1264" s="67"/>
      <c r="Z1264" s="67"/>
      <c r="AA1264" s="67"/>
      <c r="AB1264" s="67"/>
      <c r="AC1264" s="67"/>
    </row>
    <row r="1265">
      <c r="A1265" s="60"/>
      <c r="B1265" s="60"/>
      <c r="C1265" s="62"/>
      <c r="D1265" s="63"/>
      <c r="E1265" s="64"/>
      <c r="F1265" s="65"/>
      <c r="G1265" s="66"/>
      <c r="H1265" s="67"/>
      <c r="I1265" s="67"/>
      <c r="J1265" s="67"/>
      <c r="K1265" s="67"/>
      <c r="L1265" s="67"/>
      <c r="M1265" s="67"/>
      <c r="N1265" s="67"/>
      <c r="O1265" s="67"/>
      <c r="P1265" s="67"/>
      <c r="Q1265" s="67"/>
      <c r="R1265" s="67"/>
      <c r="S1265" s="67"/>
      <c r="T1265" s="67"/>
      <c r="U1265" s="67"/>
      <c r="V1265" s="67"/>
      <c r="W1265" s="67"/>
      <c r="X1265" s="67"/>
      <c r="Y1265" s="67"/>
      <c r="Z1265" s="67"/>
      <c r="AA1265" s="67"/>
      <c r="AB1265" s="67"/>
      <c r="AC1265" s="67"/>
    </row>
    <row r="1266">
      <c r="A1266" s="60"/>
      <c r="B1266" s="60"/>
      <c r="C1266" s="62"/>
      <c r="D1266" s="63"/>
      <c r="E1266" s="64"/>
      <c r="F1266" s="65"/>
      <c r="G1266" s="66"/>
      <c r="H1266" s="67"/>
      <c r="I1266" s="67"/>
      <c r="J1266" s="67"/>
      <c r="K1266" s="67"/>
      <c r="L1266" s="67"/>
      <c r="M1266" s="67"/>
      <c r="N1266" s="67"/>
      <c r="O1266" s="67"/>
      <c r="P1266" s="67"/>
      <c r="Q1266" s="67"/>
      <c r="R1266" s="67"/>
      <c r="S1266" s="67"/>
      <c r="T1266" s="67"/>
      <c r="U1266" s="67"/>
      <c r="V1266" s="67"/>
      <c r="W1266" s="67"/>
      <c r="X1266" s="67"/>
      <c r="Y1266" s="67"/>
      <c r="Z1266" s="67"/>
      <c r="AA1266" s="67"/>
      <c r="AB1266" s="67"/>
      <c r="AC1266" s="67"/>
    </row>
    <row r="1267">
      <c r="A1267" s="60"/>
      <c r="B1267" s="60"/>
      <c r="C1267" s="62"/>
      <c r="D1267" s="63"/>
      <c r="E1267" s="64"/>
      <c r="F1267" s="65"/>
      <c r="G1267" s="66"/>
      <c r="H1267" s="67"/>
      <c r="I1267" s="67"/>
      <c r="J1267" s="67"/>
      <c r="K1267" s="67"/>
      <c r="L1267" s="67"/>
      <c r="M1267" s="67"/>
      <c r="N1267" s="67"/>
      <c r="O1267" s="67"/>
      <c r="P1267" s="67"/>
      <c r="Q1267" s="67"/>
      <c r="R1267" s="67"/>
      <c r="S1267" s="67"/>
      <c r="T1267" s="67"/>
      <c r="U1267" s="67"/>
      <c r="V1267" s="67"/>
      <c r="W1267" s="67"/>
      <c r="X1267" s="67"/>
      <c r="Y1267" s="67"/>
      <c r="Z1267" s="67"/>
      <c r="AA1267" s="67"/>
      <c r="AB1267" s="67"/>
      <c r="AC1267" s="67"/>
    </row>
    <row r="1268">
      <c r="A1268" s="60"/>
      <c r="B1268" s="60"/>
      <c r="C1268" s="62"/>
      <c r="D1268" s="63"/>
      <c r="E1268" s="64"/>
      <c r="F1268" s="65"/>
      <c r="G1268" s="66"/>
      <c r="H1268" s="67"/>
      <c r="I1268" s="67"/>
      <c r="J1268" s="67"/>
      <c r="K1268" s="67"/>
      <c r="L1268" s="67"/>
      <c r="M1268" s="67"/>
      <c r="N1268" s="67"/>
      <c r="O1268" s="67"/>
      <c r="P1268" s="67"/>
      <c r="Q1268" s="67"/>
      <c r="R1268" s="67"/>
      <c r="S1268" s="67"/>
      <c r="T1268" s="67"/>
      <c r="U1268" s="67"/>
      <c r="V1268" s="67"/>
      <c r="W1268" s="67"/>
      <c r="X1268" s="67"/>
      <c r="Y1268" s="67"/>
      <c r="Z1268" s="67"/>
      <c r="AA1268" s="67"/>
      <c r="AB1268" s="67"/>
      <c r="AC1268" s="67"/>
    </row>
    <row r="1269">
      <c r="A1269" s="60"/>
      <c r="B1269" s="60"/>
      <c r="C1269" s="62"/>
      <c r="D1269" s="63"/>
      <c r="E1269" s="64"/>
      <c r="F1269" s="65"/>
      <c r="G1269" s="66"/>
      <c r="H1269" s="67"/>
      <c r="I1269" s="67"/>
      <c r="J1269" s="67"/>
      <c r="K1269" s="67"/>
      <c r="L1269" s="67"/>
      <c r="M1269" s="67"/>
      <c r="N1269" s="67"/>
      <c r="O1269" s="67"/>
      <c r="P1269" s="67"/>
      <c r="Q1269" s="67"/>
      <c r="R1269" s="67"/>
      <c r="S1269" s="67"/>
      <c r="T1269" s="67"/>
      <c r="U1269" s="67"/>
      <c r="V1269" s="67"/>
      <c r="W1269" s="67"/>
      <c r="X1269" s="67"/>
      <c r="Y1269" s="67"/>
      <c r="Z1269" s="67"/>
      <c r="AA1269" s="67"/>
      <c r="AB1269" s="67"/>
      <c r="AC1269" s="67"/>
    </row>
    <row r="1270">
      <c r="A1270" s="60"/>
      <c r="B1270" s="60"/>
      <c r="C1270" s="62"/>
      <c r="D1270" s="63"/>
      <c r="E1270" s="64"/>
      <c r="F1270" s="65"/>
      <c r="G1270" s="66"/>
      <c r="H1270" s="67"/>
      <c r="I1270" s="67"/>
      <c r="J1270" s="67"/>
      <c r="K1270" s="67"/>
      <c r="L1270" s="67"/>
      <c r="M1270" s="67"/>
      <c r="N1270" s="67"/>
      <c r="O1270" s="67"/>
      <c r="P1270" s="67"/>
      <c r="Q1270" s="67"/>
      <c r="R1270" s="67"/>
      <c r="S1270" s="67"/>
      <c r="T1270" s="67"/>
      <c r="U1270" s="67"/>
      <c r="V1270" s="67"/>
      <c r="W1270" s="67"/>
      <c r="X1270" s="67"/>
      <c r="Y1270" s="67"/>
      <c r="Z1270" s="67"/>
      <c r="AA1270" s="67"/>
      <c r="AB1270" s="67"/>
      <c r="AC1270" s="67"/>
    </row>
    <row r="1271">
      <c r="A1271" s="60"/>
      <c r="B1271" s="60"/>
      <c r="C1271" s="62"/>
      <c r="D1271" s="63"/>
      <c r="E1271" s="64"/>
      <c r="F1271" s="65"/>
      <c r="G1271" s="66"/>
      <c r="H1271" s="67"/>
      <c r="I1271" s="67"/>
      <c r="J1271" s="67"/>
      <c r="K1271" s="67"/>
      <c r="L1271" s="67"/>
      <c r="M1271" s="67"/>
      <c r="N1271" s="67"/>
      <c r="O1271" s="67"/>
      <c r="P1271" s="67"/>
      <c r="Q1271" s="67"/>
      <c r="R1271" s="67"/>
      <c r="S1271" s="67"/>
      <c r="T1271" s="67"/>
      <c r="U1271" s="67"/>
      <c r="V1271" s="67"/>
      <c r="W1271" s="67"/>
      <c r="X1271" s="67"/>
      <c r="Y1271" s="67"/>
      <c r="Z1271" s="67"/>
      <c r="AA1271" s="67"/>
      <c r="AB1271" s="67"/>
      <c r="AC1271" s="67"/>
    </row>
    <row r="1272">
      <c r="A1272" s="60"/>
      <c r="B1272" s="60"/>
      <c r="C1272" s="62"/>
      <c r="D1272" s="63"/>
      <c r="E1272" s="64"/>
      <c r="F1272" s="65"/>
      <c r="G1272" s="66"/>
      <c r="H1272" s="67"/>
      <c r="I1272" s="67"/>
      <c r="J1272" s="67"/>
      <c r="K1272" s="67"/>
      <c r="L1272" s="67"/>
      <c r="M1272" s="67"/>
      <c r="N1272" s="67"/>
      <c r="O1272" s="67"/>
      <c r="P1272" s="67"/>
      <c r="Q1272" s="67"/>
      <c r="R1272" s="67"/>
      <c r="S1272" s="67"/>
      <c r="T1272" s="67"/>
      <c r="U1272" s="67"/>
      <c r="V1272" s="67"/>
      <c r="W1272" s="67"/>
      <c r="X1272" s="67"/>
      <c r="Y1272" s="67"/>
      <c r="Z1272" s="67"/>
      <c r="AA1272" s="67"/>
      <c r="AB1272" s="67"/>
      <c r="AC1272" s="67"/>
    </row>
    <row r="1273">
      <c r="A1273" s="60"/>
      <c r="B1273" s="60"/>
      <c r="C1273" s="62"/>
      <c r="D1273" s="63"/>
      <c r="E1273" s="64"/>
      <c r="F1273" s="65"/>
      <c r="G1273" s="66"/>
      <c r="H1273" s="67"/>
      <c r="I1273" s="67"/>
      <c r="J1273" s="67"/>
      <c r="K1273" s="67"/>
      <c r="L1273" s="67"/>
      <c r="M1273" s="67"/>
      <c r="N1273" s="67"/>
      <c r="O1273" s="67"/>
      <c r="P1273" s="67"/>
      <c r="Q1273" s="67"/>
      <c r="R1273" s="67"/>
      <c r="S1273" s="67"/>
      <c r="T1273" s="67"/>
      <c r="U1273" s="67"/>
      <c r="V1273" s="67"/>
      <c r="W1273" s="67"/>
      <c r="X1273" s="67"/>
      <c r="Y1273" s="67"/>
      <c r="Z1273" s="67"/>
      <c r="AA1273" s="67"/>
      <c r="AB1273" s="67"/>
      <c r="AC1273" s="67"/>
    </row>
    <row r="1274">
      <c r="A1274" s="60"/>
      <c r="B1274" s="60"/>
      <c r="C1274" s="62"/>
      <c r="D1274" s="63"/>
      <c r="E1274" s="64"/>
      <c r="F1274" s="65"/>
      <c r="G1274" s="66"/>
      <c r="H1274" s="67"/>
      <c r="I1274" s="67"/>
      <c r="J1274" s="67"/>
      <c r="K1274" s="67"/>
      <c r="L1274" s="67"/>
      <c r="M1274" s="67"/>
      <c r="N1274" s="67"/>
      <c r="O1274" s="67"/>
      <c r="P1274" s="67"/>
      <c r="Q1274" s="67"/>
      <c r="R1274" s="67"/>
      <c r="S1274" s="67"/>
      <c r="T1274" s="67"/>
      <c r="U1274" s="67"/>
      <c r="V1274" s="67"/>
      <c r="W1274" s="67"/>
      <c r="X1274" s="67"/>
      <c r="Y1274" s="67"/>
      <c r="Z1274" s="67"/>
      <c r="AA1274" s="67"/>
      <c r="AB1274" s="67"/>
      <c r="AC1274" s="67"/>
    </row>
    <row r="1275">
      <c r="A1275" s="60"/>
      <c r="B1275" s="60"/>
      <c r="C1275" s="62"/>
      <c r="D1275" s="63"/>
      <c r="E1275" s="64"/>
      <c r="F1275" s="65"/>
      <c r="G1275" s="66"/>
      <c r="H1275" s="67"/>
      <c r="I1275" s="67"/>
      <c r="J1275" s="67"/>
      <c r="K1275" s="67"/>
      <c r="L1275" s="67"/>
      <c r="M1275" s="67"/>
      <c r="N1275" s="67"/>
      <c r="O1275" s="67"/>
      <c r="P1275" s="67"/>
      <c r="Q1275" s="67"/>
      <c r="R1275" s="67"/>
      <c r="S1275" s="67"/>
      <c r="T1275" s="67"/>
      <c r="U1275" s="67"/>
      <c r="V1275" s="67"/>
      <c r="W1275" s="67"/>
      <c r="X1275" s="67"/>
      <c r="Y1275" s="67"/>
      <c r="Z1275" s="67"/>
      <c r="AA1275" s="67"/>
      <c r="AB1275" s="67"/>
      <c r="AC1275" s="67"/>
    </row>
    <row r="1276">
      <c r="A1276" s="60"/>
      <c r="B1276" s="60"/>
      <c r="C1276" s="62"/>
      <c r="D1276" s="63"/>
      <c r="E1276" s="64"/>
      <c r="F1276" s="65"/>
      <c r="G1276" s="66"/>
      <c r="H1276" s="67"/>
      <c r="I1276" s="67"/>
      <c r="J1276" s="67"/>
      <c r="K1276" s="67"/>
      <c r="L1276" s="67"/>
      <c r="M1276" s="67"/>
      <c r="N1276" s="67"/>
      <c r="O1276" s="67"/>
      <c r="P1276" s="67"/>
      <c r="Q1276" s="67"/>
      <c r="R1276" s="67"/>
      <c r="S1276" s="67"/>
      <c r="T1276" s="67"/>
      <c r="U1276" s="67"/>
      <c r="V1276" s="67"/>
      <c r="W1276" s="67"/>
      <c r="X1276" s="67"/>
      <c r="Y1276" s="67"/>
      <c r="Z1276" s="67"/>
      <c r="AA1276" s="67"/>
      <c r="AB1276" s="67"/>
      <c r="AC1276" s="67"/>
    </row>
    <row r="1277">
      <c r="A1277" s="60"/>
      <c r="B1277" s="60"/>
      <c r="C1277" s="62"/>
      <c r="D1277" s="63"/>
      <c r="E1277" s="64"/>
      <c r="F1277" s="65"/>
      <c r="G1277" s="66"/>
      <c r="H1277" s="67"/>
      <c r="I1277" s="67"/>
      <c r="J1277" s="67"/>
      <c r="K1277" s="67"/>
      <c r="L1277" s="67"/>
      <c r="M1277" s="67"/>
      <c r="N1277" s="67"/>
      <c r="O1277" s="67"/>
      <c r="P1277" s="67"/>
      <c r="Q1277" s="67"/>
      <c r="R1277" s="67"/>
      <c r="S1277" s="67"/>
      <c r="T1277" s="67"/>
      <c r="U1277" s="67"/>
      <c r="V1277" s="67"/>
      <c r="W1277" s="67"/>
      <c r="X1277" s="67"/>
      <c r="Y1277" s="67"/>
      <c r="Z1277" s="67"/>
      <c r="AA1277" s="67"/>
      <c r="AB1277" s="67"/>
      <c r="AC1277" s="67"/>
    </row>
    <row r="1278">
      <c r="A1278" s="60"/>
      <c r="B1278" s="60"/>
      <c r="C1278" s="62"/>
      <c r="D1278" s="63"/>
      <c r="E1278" s="64"/>
      <c r="F1278" s="65"/>
      <c r="G1278" s="66"/>
      <c r="H1278" s="67"/>
      <c r="I1278" s="67"/>
      <c r="J1278" s="67"/>
      <c r="K1278" s="67"/>
      <c r="L1278" s="67"/>
      <c r="M1278" s="67"/>
      <c r="N1278" s="67"/>
      <c r="O1278" s="67"/>
      <c r="P1278" s="67"/>
      <c r="Q1278" s="67"/>
      <c r="R1278" s="67"/>
      <c r="S1278" s="67"/>
      <c r="T1278" s="67"/>
      <c r="U1278" s="67"/>
      <c r="V1278" s="67"/>
      <c r="W1278" s="67"/>
      <c r="X1278" s="67"/>
      <c r="Y1278" s="67"/>
      <c r="Z1278" s="67"/>
      <c r="AA1278" s="67"/>
      <c r="AB1278" s="67"/>
      <c r="AC1278" s="67"/>
    </row>
    <row r="1279">
      <c r="A1279" s="60"/>
      <c r="B1279" s="60"/>
      <c r="C1279" s="62"/>
      <c r="D1279" s="63"/>
      <c r="E1279" s="64"/>
      <c r="F1279" s="65"/>
      <c r="G1279" s="66"/>
      <c r="H1279" s="67"/>
      <c r="I1279" s="67"/>
      <c r="J1279" s="67"/>
      <c r="K1279" s="67"/>
      <c r="L1279" s="67"/>
      <c r="M1279" s="67"/>
      <c r="N1279" s="67"/>
      <c r="O1279" s="67"/>
      <c r="P1279" s="67"/>
      <c r="Q1279" s="67"/>
      <c r="R1279" s="67"/>
      <c r="S1279" s="67"/>
      <c r="T1279" s="67"/>
      <c r="U1279" s="67"/>
      <c r="V1279" s="67"/>
      <c r="W1279" s="67"/>
      <c r="X1279" s="67"/>
      <c r="Y1279" s="67"/>
      <c r="Z1279" s="67"/>
      <c r="AA1279" s="67"/>
      <c r="AB1279" s="67"/>
      <c r="AC1279" s="67"/>
    </row>
    <row r="1280">
      <c r="A1280" s="60"/>
      <c r="B1280" s="60"/>
      <c r="C1280" s="62"/>
      <c r="D1280" s="63"/>
      <c r="E1280" s="64"/>
      <c r="F1280" s="65"/>
      <c r="G1280" s="66"/>
      <c r="H1280" s="67"/>
      <c r="I1280" s="67"/>
      <c r="J1280" s="67"/>
      <c r="K1280" s="67"/>
      <c r="L1280" s="67"/>
      <c r="M1280" s="67"/>
      <c r="N1280" s="67"/>
      <c r="O1280" s="67"/>
      <c r="P1280" s="67"/>
      <c r="Q1280" s="67"/>
      <c r="R1280" s="67"/>
      <c r="S1280" s="67"/>
      <c r="T1280" s="67"/>
      <c r="U1280" s="67"/>
      <c r="V1280" s="67"/>
      <c r="W1280" s="67"/>
      <c r="X1280" s="67"/>
      <c r="Y1280" s="67"/>
      <c r="Z1280" s="67"/>
      <c r="AA1280" s="67"/>
      <c r="AB1280" s="67"/>
      <c r="AC1280" s="67"/>
    </row>
    <row r="1281">
      <c r="A1281" s="60"/>
      <c r="B1281" s="60"/>
      <c r="C1281" s="62"/>
      <c r="D1281" s="63"/>
      <c r="E1281" s="64"/>
      <c r="F1281" s="65"/>
      <c r="G1281" s="66"/>
      <c r="H1281" s="67"/>
      <c r="I1281" s="67"/>
      <c r="J1281" s="67"/>
      <c r="K1281" s="67"/>
      <c r="L1281" s="67"/>
      <c r="M1281" s="67"/>
      <c r="N1281" s="67"/>
      <c r="O1281" s="67"/>
      <c r="P1281" s="67"/>
      <c r="Q1281" s="67"/>
      <c r="R1281" s="67"/>
      <c r="S1281" s="67"/>
      <c r="T1281" s="67"/>
      <c r="U1281" s="67"/>
      <c r="V1281" s="67"/>
      <c r="W1281" s="67"/>
      <c r="X1281" s="67"/>
      <c r="Y1281" s="67"/>
      <c r="Z1281" s="67"/>
      <c r="AA1281" s="67"/>
      <c r="AB1281" s="67"/>
      <c r="AC1281" s="67"/>
    </row>
    <row r="1282">
      <c r="A1282" s="60"/>
      <c r="B1282" s="60"/>
      <c r="C1282" s="62"/>
      <c r="D1282" s="63"/>
      <c r="E1282" s="64"/>
      <c r="F1282" s="65"/>
      <c r="G1282" s="66"/>
      <c r="H1282" s="67"/>
      <c r="I1282" s="67"/>
      <c r="J1282" s="67"/>
      <c r="K1282" s="67"/>
      <c r="L1282" s="67"/>
      <c r="M1282" s="67"/>
      <c r="N1282" s="67"/>
      <c r="O1282" s="67"/>
      <c r="P1282" s="67"/>
      <c r="Q1282" s="67"/>
      <c r="R1282" s="67"/>
      <c r="S1282" s="67"/>
      <c r="T1282" s="67"/>
      <c r="U1282" s="67"/>
      <c r="V1282" s="67"/>
      <c r="W1282" s="67"/>
      <c r="X1282" s="67"/>
      <c r="Y1282" s="67"/>
      <c r="Z1282" s="67"/>
      <c r="AA1282" s="67"/>
      <c r="AB1282" s="67"/>
      <c r="AC1282" s="67"/>
    </row>
    <row r="1283">
      <c r="A1283" s="60"/>
      <c r="B1283" s="60"/>
      <c r="C1283" s="62"/>
      <c r="D1283" s="63"/>
      <c r="E1283" s="64"/>
      <c r="F1283" s="65"/>
      <c r="G1283" s="66"/>
      <c r="H1283" s="67"/>
      <c r="I1283" s="67"/>
      <c r="J1283" s="67"/>
      <c r="K1283" s="67"/>
      <c r="L1283" s="67"/>
      <c r="M1283" s="67"/>
      <c r="N1283" s="67"/>
      <c r="O1283" s="67"/>
      <c r="P1283" s="67"/>
      <c r="Q1283" s="67"/>
      <c r="R1283" s="67"/>
      <c r="S1283" s="67"/>
      <c r="T1283" s="67"/>
      <c r="U1283" s="67"/>
      <c r="V1283" s="67"/>
      <c r="W1283" s="67"/>
      <c r="X1283" s="67"/>
      <c r="Y1283" s="67"/>
      <c r="Z1283" s="67"/>
      <c r="AA1283" s="67"/>
      <c r="AB1283" s="67"/>
      <c r="AC1283" s="67"/>
    </row>
    <row r="1284">
      <c r="A1284" s="60"/>
      <c r="B1284" s="60"/>
      <c r="C1284" s="62"/>
      <c r="D1284" s="63"/>
      <c r="E1284" s="64"/>
      <c r="F1284" s="65"/>
      <c r="G1284" s="66"/>
      <c r="H1284" s="67"/>
      <c r="I1284" s="67"/>
      <c r="J1284" s="67"/>
      <c r="K1284" s="67"/>
      <c r="L1284" s="67"/>
      <c r="M1284" s="67"/>
      <c r="N1284" s="67"/>
      <c r="O1284" s="67"/>
      <c r="P1284" s="67"/>
      <c r="Q1284" s="67"/>
      <c r="R1284" s="67"/>
      <c r="S1284" s="67"/>
      <c r="T1284" s="67"/>
      <c r="U1284" s="67"/>
      <c r="V1284" s="67"/>
      <c r="W1284" s="67"/>
      <c r="X1284" s="67"/>
      <c r="Y1284" s="67"/>
      <c r="Z1284" s="67"/>
      <c r="AA1284" s="67"/>
      <c r="AB1284" s="67"/>
      <c r="AC1284" s="67"/>
    </row>
    <row r="1285">
      <c r="A1285" s="60"/>
      <c r="B1285" s="60"/>
      <c r="C1285" s="62"/>
      <c r="D1285" s="63"/>
      <c r="E1285" s="64"/>
      <c r="F1285" s="65"/>
      <c r="G1285" s="66"/>
      <c r="H1285" s="67"/>
      <c r="I1285" s="67"/>
      <c r="J1285" s="67"/>
      <c r="K1285" s="67"/>
      <c r="L1285" s="67"/>
      <c r="M1285" s="67"/>
      <c r="N1285" s="67"/>
      <c r="O1285" s="67"/>
      <c r="P1285" s="67"/>
      <c r="Q1285" s="67"/>
      <c r="R1285" s="67"/>
      <c r="S1285" s="67"/>
      <c r="T1285" s="67"/>
      <c r="U1285" s="67"/>
      <c r="V1285" s="67"/>
      <c r="W1285" s="67"/>
      <c r="X1285" s="67"/>
      <c r="Y1285" s="67"/>
      <c r="Z1285" s="67"/>
      <c r="AA1285" s="67"/>
      <c r="AB1285" s="67"/>
      <c r="AC1285" s="67"/>
    </row>
    <row r="1286">
      <c r="A1286" s="60"/>
      <c r="B1286" s="60"/>
      <c r="C1286" s="62"/>
      <c r="D1286" s="63"/>
      <c r="E1286" s="64"/>
      <c r="F1286" s="65"/>
      <c r="G1286" s="66"/>
      <c r="H1286" s="67"/>
      <c r="I1286" s="67"/>
      <c r="J1286" s="67"/>
      <c r="K1286" s="67"/>
      <c r="L1286" s="67"/>
      <c r="M1286" s="67"/>
      <c r="N1286" s="67"/>
      <c r="O1286" s="67"/>
      <c r="P1286" s="67"/>
      <c r="Q1286" s="67"/>
      <c r="R1286" s="67"/>
      <c r="S1286" s="67"/>
      <c r="T1286" s="67"/>
      <c r="U1286" s="67"/>
      <c r="V1286" s="67"/>
      <c r="W1286" s="67"/>
      <c r="X1286" s="67"/>
      <c r="Y1286" s="67"/>
      <c r="Z1286" s="67"/>
      <c r="AA1286" s="67"/>
      <c r="AB1286" s="67"/>
      <c r="AC1286" s="67"/>
    </row>
    <row r="1287">
      <c r="A1287" s="60"/>
      <c r="B1287" s="60"/>
      <c r="C1287" s="62"/>
      <c r="D1287" s="63"/>
      <c r="E1287" s="64"/>
      <c r="F1287" s="65"/>
      <c r="G1287" s="66"/>
      <c r="H1287" s="67"/>
      <c r="I1287" s="67"/>
      <c r="J1287" s="67"/>
      <c r="K1287" s="67"/>
      <c r="L1287" s="67"/>
      <c r="M1287" s="67"/>
      <c r="N1287" s="67"/>
      <c r="O1287" s="67"/>
      <c r="P1287" s="67"/>
      <c r="Q1287" s="67"/>
      <c r="R1287" s="67"/>
      <c r="S1287" s="67"/>
      <c r="T1287" s="67"/>
      <c r="U1287" s="67"/>
      <c r="V1287" s="67"/>
      <c r="W1287" s="67"/>
      <c r="X1287" s="67"/>
      <c r="Y1287" s="67"/>
      <c r="Z1287" s="67"/>
      <c r="AA1287" s="67"/>
      <c r="AB1287" s="67"/>
      <c r="AC1287" s="67"/>
    </row>
    <row r="1288">
      <c r="A1288" s="60"/>
      <c r="B1288" s="60"/>
      <c r="C1288" s="62"/>
      <c r="D1288" s="63"/>
      <c r="E1288" s="64"/>
      <c r="F1288" s="65"/>
      <c r="G1288" s="66"/>
      <c r="H1288" s="67"/>
      <c r="I1288" s="67"/>
      <c r="J1288" s="67"/>
      <c r="K1288" s="67"/>
      <c r="L1288" s="67"/>
      <c r="M1288" s="67"/>
      <c r="N1288" s="67"/>
      <c r="O1288" s="67"/>
      <c r="P1288" s="67"/>
      <c r="Q1288" s="67"/>
      <c r="R1288" s="67"/>
      <c r="S1288" s="67"/>
      <c r="T1288" s="67"/>
      <c r="U1288" s="67"/>
      <c r="V1288" s="67"/>
      <c r="W1288" s="67"/>
      <c r="X1288" s="67"/>
      <c r="Y1288" s="67"/>
      <c r="Z1288" s="67"/>
      <c r="AA1288" s="67"/>
      <c r="AB1288" s="67"/>
      <c r="AC1288" s="67"/>
    </row>
    <row r="1289">
      <c r="A1289" s="60"/>
      <c r="B1289" s="60"/>
      <c r="C1289" s="62"/>
      <c r="D1289" s="63"/>
      <c r="E1289" s="64"/>
      <c r="F1289" s="65"/>
      <c r="G1289" s="66"/>
      <c r="H1289" s="67"/>
      <c r="I1289" s="67"/>
      <c r="J1289" s="67"/>
      <c r="K1289" s="67"/>
      <c r="L1289" s="67"/>
      <c r="M1289" s="67"/>
      <c r="N1289" s="67"/>
      <c r="O1289" s="67"/>
      <c r="P1289" s="67"/>
      <c r="Q1289" s="67"/>
      <c r="R1289" s="67"/>
      <c r="S1289" s="67"/>
      <c r="T1289" s="67"/>
      <c r="U1289" s="67"/>
      <c r="V1289" s="67"/>
      <c r="W1289" s="67"/>
      <c r="X1289" s="67"/>
      <c r="Y1289" s="67"/>
      <c r="Z1289" s="67"/>
      <c r="AA1289" s="67"/>
      <c r="AB1289" s="67"/>
      <c r="AC1289" s="67"/>
    </row>
    <row r="1290">
      <c r="A1290" s="60"/>
      <c r="B1290" s="60"/>
      <c r="C1290" s="62"/>
      <c r="D1290" s="63"/>
      <c r="E1290" s="64"/>
      <c r="F1290" s="65"/>
      <c r="G1290" s="66"/>
      <c r="H1290" s="67"/>
      <c r="I1290" s="67"/>
      <c r="J1290" s="67"/>
      <c r="K1290" s="67"/>
      <c r="L1290" s="67"/>
      <c r="M1290" s="67"/>
      <c r="N1290" s="67"/>
      <c r="O1290" s="67"/>
      <c r="P1290" s="67"/>
      <c r="Q1290" s="67"/>
      <c r="R1290" s="67"/>
      <c r="S1290" s="67"/>
      <c r="T1290" s="67"/>
      <c r="U1290" s="67"/>
      <c r="V1290" s="67"/>
      <c r="W1290" s="67"/>
      <c r="X1290" s="67"/>
      <c r="Y1290" s="67"/>
      <c r="Z1290" s="67"/>
      <c r="AA1290" s="67"/>
      <c r="AB1290" s="67"/>
      <c r="AC1290" s="67"/>
    </row>
    <row r="1291">
      <c r="A1291" s="60"/>
      <c r="B1291" s="60"/>
      <c r="C1291" s="62"/>
      <c r="D1291" s="63"/>
      <c r="E1291" s="64"/>
      <c r="F1291" s="65"/>
      <c r="G1291" s="66"/>
      <c r="H1291" s="67"/>
      <c r="I1291" s="67"/>
      <c r="J1291" s="67"/>
      <c r="K1291" s="67"/>
      <c r="L1291" s="67"/>
      <c r="M1291" s="67"/>
      <c r="N1291" s="67"/>
      <c r="O1291" s="67"/>
      <c r="P1291" s="67"/>
      <c r="Q1291" s="67"/>
      <c r="R1291" s="67"/>
      <c r="S1291" s="67"/>
      <c r="T1291" s="67"/>
      <c r="U1291" s="67"/>
      <c r="V1291" s="67"/>
      <c r="W1291" s="67"/>
      <c r="X1291" s="67"/>
      <c r="Y1291" s="67"/>
      <c r="Z1291" s="67"/>
      <c r="AA1291" s="67"/>
      <c r="AB1291" s="67"/>
      <c r="AC1291" s="67"/>
    </row>
    <row r="1292">
      <c r="A1292" s="60"/>
      <c r="B1292" s="60"/>
      <c r="C1292" s="62"/>
      <c r="D1292" s="63"/>
      <c r="E1292" s="64"/>
      <c r="F1292" s="65"/>
      <c r="G1292" s="66"/>
      <c r="H1292" s="67"/>
      <c r="I1292" s="67"/>
      <c r="J1292" s="67"/>
      <c r="K1292" s="67"/>
      <c r="L1292" s="67"/>
      <c r="M1292" s="67"/>
      <c r="N1292" s="67"/>
      <c r="O1292" s="67"/>
      <c r="P1292" s="67"/>
      <c r="Q1292" s="67"/>
      <c r="R1292" s="67"/>
      <c r="S1292" s="67"/>
      <c r="T1292" s="67"/>
      <c r="U1292" s="67"/>
      <c r="V1292" s="67"/>
      <c r="W1292" s="67"/>
      <c r="X1292" s="67"/>
      <c r="Y1292" s="67"/>
      <c r="Z1292" s="67"/>
      <c r="AA1292" s="67"/>
      <c r="AB1292" s="67"/>
      <c r="AC1292" s="67"/>
    </row>
    <row r="1293">
      <c r="A1293" s="60"/>
      <c r="B1293" s="60"/>
      <c r="C1293" s="62"/>
      <c r="D1293" s="63"/>
      <c r="E1293" s="64"/>
      <c r="F1293" s="65"/>
      <c r="G1293" s="66"/>
      <c r="H1293" s="67"/>
      <c r="I1293" s="67"/>
      <c r="J1293" s="67"/>
      <c r="K1293" s="67"/>
      <c r="L1293" s="67"/>
      <c r="M1293" s="67"/>
      <c r="N1293" s="67"/>
      <c r="O1293" s="67"/>
      <c r="P1293" s="67"/>
      <c r="Q1293" s="67"/>
      <c r="R1293" s="67"/>
      <c r="S1293" s="67"/>
      <c r="T1293" s="67"/>
      <c r="U1293" s="67"/>
      <c r="V1293" s="67"/>
      <c r="W1293" s="67"/>
      <c r="X1293" s="67"/>
      <c r="Y1293" s="67"/>
      <c r="Z1293" s="67"/>
      <c r="AA1293" s="67"/>
      <c r="AB1293" s="67"/>
      <c r="AC1293" s="67"/>
    </row>
    <row r="1294">
      <c r="A1294" s="60"/>
      <c r="B1294" s="60"/>
      <c r="C1294" s="62"/>
      <c r="D1294" s="63"/>
      <c r="E1294" s="64"/>
      <c r="F1294" s="65"/>
      <c r="G1294" s="66"/>
      <c r="H1294" s="67"/>
      <c r="I1294" s="67"/>
      <c r="J1294" s="67"/>
      <c r="K1294" s="67"/>
      <c r="L1294" s="67"/>
      <c r="M1294" s="67"/>
      <c r="N1294" s="67"/>
      <c r="O1294" s="67"/>
      <c r="P1294" s="67"/>
      <c r="Q1294" s="67"/>
      <c r="R1294" s="67"/>
      <c r="S1294" s="67"/>
      <c r="T1294" s="67"/>
      <c r="U1294" s="67"/>
      <c r="V1294" s="67"/>
      <c r="W1294" s="67"/>
      <c r="X1294" s="67"/>
      <c r="Y1294" s="67"/>
      <c r="Z1294" s="67"/>
      <c r="AA1294" s="67"/>
      <c r="AB1294" s="67"/>
      <c r="AC1294" s="67"/>
    </row>
    <row r="1295">
      <c r="A1295" s="60"/>
      <c r="B1295" s="60"/>
      <c r="C1295" s="62"/>
      <c r="D1295" s="63"/>
      <c r="E1295" s="64"/>
      <c r="F1295" s="65"/>
      <c r="G1295" s="66"/>
      <c r="H1295" s="67"/>
      <c r="I1295" s="67"/>
      <c r="J1295" s="67"/>
      <c r="K1295" s="67"/>
      <c r="L1295" s="67"/>
      <c r="M1295" s="67"/>
      <c r="N1295" s="67"/>
      <c r="O1295" s="67"/>
      <c r="P1295" s="67"/>
      <c r="Q1295" s="67"/>
      <c r="R1295" s="67"/>
      <c r="S1295" s="67"/>
      <c r="T1295" s="67"/>
      <c r="U1295" s="67"/>
      <c r="V1295" s="67"/>
      <c r="W1295" s="67"/>
      <c r="X1295" s="67"/>
      <c r="Y1295" s="67"/>
      <c r="Z1295" s="67"/>
      <c r="AA1295" s="67"/>
      <c r="AB1295" s="67"/>
      <c r="AC1295" s="67"/>
    </row>
    <row r="1296">
      <c r="A1296" s="60"/>
      <c r="B1296" s="60"/>
      <c r="C1296" s="62"/>
      <c r="D1296" s="63"/>
      <c r="E1296" s="64"/>
      <c r="F1296" s="65"/>
      <c r="G1296" s="66"/>
      <c r="H1296" s="67"/>
      <c r="I1296" s="67"/>
      <c r="J1296" s="67"/>
      <c r="K1296" s="67"/>
      <c r="L1296" s="67"/>
      <c r="M1296" s="67"/>
      <c r="N1296" s="67"/>
      <c r="O1296" s="67"/>
      <c r="P1296" s="67"/>
      <c r="Q1296" s="67"/>
      <c r="R1296" s="67"/>
      <c r="S1296" s="67"/>
      <c r="T1296" s="67"/>
      <c r="U1296" s="67"/>
      <c r="V1296" s="67"/>
      <c r="W1296" s="67"/>
      <c r="X1296" s="67"/>
      <c r="Y1296" s="67"/>
      <c r="Z1296" s="67"/>
      <c r="AA1296" s="67"/>
      <c r="AB1296" s="67"/>
      <c r="AC1296" s="67"/>
    </row>
    <row r="1297">
      <c r="A1297" s="60"/>
      <c r="B1297" s="60"/>
      <c r="C1297" s="62"/>
      <c r="D1297" s="63"/>
      <c r="E1297" s="64"/>
      <c r="F1297" s="65"/>
      <c r="G1297" s="66"/>
      <c r="H1297" s="67"/>
      <c r="I1297" s="67"/>
      <c r="J1297" s="67"/>
      <c r="K1297" s="67"/>
      <c r="L1297" s="67"/>
      <c r="M1297" s="67"/>
      <c r="N1297" s="67"/>
      <c r="O1297" s="67"/>
      <c r="P1297" s="67"/>
      <c r="Q1297" s="67"/>
      <c r="R1297" s="67"/>
      <c r="S1297" s="67"/>
      <c r="T1297" s="67"/>
      <c r="U1297" s="67"/>
      <c r="V1297" s="67"/>
      <c r="W1297" s="67"/>
      <c r="X1297" s="67"/>
      <c r="Y1297" s="67"/>
      <c r="Z1297" s="67"/>
      <c r="AA1297" s="67"/>
      <c r="AB1297" s="67"/>
      <c r="AC1297" s="67"/>
    </row>
    <row r="1298">
      <c r="A1298" s="60"/>
      <c r="B1298" s="60"/>
      <c r="C1298" s="62"/>
      <c r="D1298" s="63"/>
      <c r="E1298" s="64"/>
      <c r="F1298" s="65"/>
      <c r="G1298" s="66"/>
      <c r="H1298" s="67"/>
      <c r="I1298" s="67"/>
      <c r="J1298" s="67"/>
      <c r="K1298" s="67"/>
      <c r="L1298" s="67"/>
      <c r="M1298" s="67"/>
      <c r="N1298" s="67"/>
      <c r="O1298" s="67"/>
      <c r="P1298" s="67"/>
      <c r="Q1298" s="67"/>
      <c r="R1298" s="67"/>
      <c r="S1298" s="67"/>
      <c r="T1298" s="67"/>
      <c r="U1298" s="67"/>
      <c r="V1298" s="67"/>
      <c r="W1298" s="67"/>
      <c r="X1298" s="67"/>
      <c r="Y1298" s="67"/>
      <c r="Z1298" s="67"/>
      <c r="AA1298" s="67"/>
      <c r="AB1298" s="67"/>
      <c r="AC1298" s="67"/>
    </row>
    <row r="1299">
      <c r="A1299" s="60"/>
      <c r="B1299" s="60"/>
      <c r="C1299" s="62"/>
      <c r="D1299" s="63"/>
      <c r="E1299" s="64"/>
      <c r="F1299" s="65"/>
      <c r="G1299" s="66"/>
      <c r="H1299" s="67"/>
      <c r="I1299" s="67"/>
      <c r="J1299" s="67"/>
      <c r="K1299" s="67"/>
      <c r="L1299" s="67"/>
      <c r="M1299" s="67"/>
      <c r="N1299" s="67"/>
      <c r="O1299" s="67"/>
      <c r="P1299" s="67"/>
      <c r="Q1299" s="67"/>
      <c r="R1299" s="67"/>
      <c r="S1299" s="67"/>
      <c r="T1299" s="67"/>
      <c r="U1299" s="67"/>
      <c r="V1299" s="67"/>
      <c r="W1299" s="67"/>
      <c r="X1299" s="67"/>
      <c r="Y1299" s="67"/>
      <c r="Z1299" s="67"/>
      <c r="AA1299" s="67"/>
      <c r="AB1299" s="67"/>
      <c r="AC1299" s="67"/>
    </row>
    <row r="1300">
      <c r="A1300" s="60"/>
      <c r="B1300" s="60"/>
      <c r="C1300" s="62"/>
      <c r="D1300" s="63"/>
      <c r="E1300" s="64"/>
      <c r="F1300" s="65"/>
      <c r="G1300" s="66"/>
      <c r="H1300" s="67"/>
      <c r="I1300" s="67"/>
      <c r="J1300" s="67"/>
      <c r="K1300" s="67"/>
      <c r="L1300" s="67"/>
      <c r="M1300" s="67"/>
      <c r="N1300" s="67"/>
      <c r="O1300" s="67"/>
      <c r="P1300" s="67"/>
      <c r="Q1300" s="67"/>
      <c r="R1300" s="67"/>
      <c r="S1300" s="67"/>
      <c r="T1300" s="67"/>
      <c r="U1300" s="67"/>
      <c r="V1300" s="67"/>
      <c r="W1300" s="67"/>
      <c r="X1300" s="67"/>
      <c r="Y1300" s="67"/>
      <c r="Z1300" s="67"/>
      <c r="AA1300" s="67"/>
      <c r="AB1300" s="67"/>
      <c r="AC1300" s="67"/>
    </row>
    <row r="1301">
      <c r="A1301" s="60"/>
      <c r="B1301" s="60"/>
      <c r="C1301" s="62"/>
      <c r="D1301" s="63"/>
      <c r="E1301" s="64"/>
      <c r="F1301" s="65"/>
      <c r="G1301" s="66"/>
      <c r="H1301" s="67"/>
      <c r="I1301" s="67"/>
      <c r="J1301" s="67"/>
      <c r="K1301" s="67"/>
      <c r="L1301" s="67"/>
      <c r="M1301" s="67"/>
      <c r="N1301" s="67"/>
      <c r="O1301" s="67"/>
      <c r="P1301" s="67"/>
      <c r="Q1301" s="67"/>
      <c r="R1301" s="67"/>
      <c r="S1301" s="67"/>
      <c r="T1301" s="67"/>
      <c r="U1301" s="67"/>
      <c r="V1301" s="67"/>
      <c r="W1301" s="67"/>
      <c r="X1301" s="67"/>
      <c r="Y1301" s="67"/>
      <c r="Z1301" s="67"/>
      <c r="AA1301" s="67"/>
      <c r="AB1301" s="67"/>
      <c r="AC1301" s="67"/>
    </row>
    <row r="1302">
      <c r="A1302" s="60"/>
      <c r="B1302" s="60"/>
      <c r="C1302" s="62"/>
      <c r="D1302" s="63"/>
      <c r="E1302" s="64"/>
      <c r="F1302" s="65"/>
      <c r="G1302" s="66"/>
      <c r="H1302" s="67"/>
      <c r="I1302" s="67"/>
      <c r="J1302" s="67"/>
      <c r="K1302" s="67"/>
      <c r="L1302" s="67"/>
      <c r="M1302" s="67"/>
      <c r="N1302" s="67"/>
      <c r="O1302" s="67"/>
      <c r="P1302" s="67"/>
      <c r="Q1302" s="67"/>
      <c r="R1302" s="67"/>
      <c r="S1302" s="67"/>
      <c r="T1302" s="67"/>
      <c r="U1302" s="67"/>
      <c r="V1302" s="67"/>
      <c r="W1302" s="67"/>
      <c r="X1302" s="67"/>
      <c r="Y1302" s="67"/>
      <c r="Z1302" s="67"/>
      <c r="AA1302" s="67"/>
      <c r="AB1302" s="67"/>
      <c r="AC1302" s="67"/>
    </row>
    <row r="1303">
      <c r="A1303" s="60"/>
      <c r="B1303" s="60"/>
      <c r="C1303" s="62"/>
      <c r="D1303" s="63"/>
      <c r="E1303" s="64"/>
      <c r="F1303" s="65"/>
      <c r="G1303" s="66"/>
      <c r="H1303" s="67"/>
      <c r="I1303" s="67"/>
      <c r="J1303" s="67"/>
      <c r="K1303" s="67"/>
      <c r="L1303" s="67"/>
      <c r="M1303" s="67"/>
      <c r="N1303" s="67"/>
      <c r="O1303" s="67"/>
      <c r="P1303" s="67"/>
      <c r="Q1303" s="67"/>
      <c r="R1303" s="67"/>
      <c r="S1303" s="67"/>
      <c r="T1303" s="67"/>
      <c r="U1303" s="67"/>
      <c r="V1303" s="67"/>
      <c r="W1303" s="67"/>
      <c r="X1303" s="67"/>
      <c r="Y1303" s="67"/>
      <c r="Z1303" s="67"/>
      <c r="AA1303" s="67"/>
      <c r="AB1303" s="67"/>
      <c r="AC1303" s="67"/>
    </row>
    <row r="1304">
      <c r="A1304" s="60"/>
      <c r="B1304" s="60"/>
      <c r="C1304" s="62"/>
      <c r="D1304" s="63"/>
      <c r="E1304" s="64"/>
      <c r="F1304" s="65"/>
      <c r="G1304" s="66"/>
      <c r="H1304" s="67"/>
      <c r="I1304" s="67"/>
      <c r="J1304" s="67"/>
      <c r="K1304" s="67"/>
      <c r="L1304" s="67"/>
      <c r="M1304" s="67"/>
      <c r="N1304" s="67"/>
      <c r="O1304" s="67"/>
      <c r="P1304" s="67"/>
      <c r="Q1304" s="67"/>
      <c r="R1304" s="67"/>
      <c r="S1304" s="67"/>
      <c r="T1304" s="67"/>
      <c r="U1304" s="67"/>
      <c r="V1304" s="67"/>
      <c r="W1304" s="67"/>
      <c r="X1304" s="67"/>
      <c r="Y1304" s="67"/>
      <c r="Z1304" s="67"/>
      <c r="AA1304" s="67"/>
      <c r="AB1304" s="67"/>
      <c r="AC1304" s="67"/>
    </row>
    <row r="1305">
      <c r="A1305" s="60"/>
      <c r="B1305" s="60"/>
      <c r="C1305" s="62"/>
      <c r="D1305" s="63"/>
      <c r="E1305" s="64"/>
      <c r="F1305" s="65"/>
      <c r="G1305" s="66"/>
      <c r="H1305" s="67"/>
      <c r="I1305" s="67"/>
      <c r="J1305" s="67"/>
      <c r="K1305" s="67"/>
      <c r="L1305" s="67"/>
      <c r="M1305" s="67"/>
      <c r="N1305" s="67"/>
      <c r="O1305" s="67"/>
      <c r="P1305" s="67"/>
      <c r="Q1305" s="67"/>
      <c r="R1305" s="67"/>
      <c r="S1305" s="67"/>
      <c r="T1305" s="67"/>
      <c r="U1305" s="67"/>
      <c r="V1305" s="67"/>
      <c r="W1305" s="67"/>
      <c r="X1305" s="67"/>
      <c r="Y1305" s="67"/>
      <c r="Z1305" s="67"/>
      <c r="AA1305" s="67"/>
      <c r="AB1305" s="67"/>
      <c r="AC1305" s="67"/>
    </row>
    <row r="1306">
      <c r="A1306" s="60"/>
      <c r="B1306" s="60"/>
      <c r="C1306" s="62"/>
      <c r="D1306" s="63"/>
      <c r="E1306" s="64"/>
      <c r="F1306" s="65"/>
      <c r="G1306" s="66"/>
      <c r="H1306" s="67"/>
      <c r="I1306" s="67"/>
      <c r="J1306" s="67"/>
      <c r="K1306" s="67"/>
      <c r="L1306" s="67"/>
      <c r="M1306" s="67"/>
      <c r="N1306" s="67"/>
      <c r="O1306" s="67"/>
      <c r="P1306" s="67"/>
      <c r="Q1306" s="67"/>
      <c r="R1306" s="67"/>
      <c r="S1306" s="67"/>
      <c r="T1306" s="67"/>
      <c r="U1306" s="67"/>
      <c r="V1306" s="67"/>
      <c r="W1306" s="67"/>
      <c r="X1306" s="67"/>
      <c r="Y1306" s="67"/>
      <c r="Z1306" s="67"/>
      <c r="AA1306" s="67"/>
      <c r="AB1306" s="67"/>
      <c r="AC1306" s="67"/>
    </row>
    <row r="1307">
      <c r="A1307" s="60"/>
      <c r="B1307" s="60"/>
      <c r="C1307" s="62"/>
      <c r="D1307" s="63"/>
      <c r="E1307" s="64"/>
      <c r="F1307" s="65"/>
      <c r="G1307" s="66"/>
      <c r="H1307" s="67"/>
      <c r="I1307" s="67"/>
      <c r="J1307" s="67"/>
      <c r="K1307" s="67"/>
      <c r="L1307" s="67"/>
      <c r="M1307" s="67"/>
      <c r="N1307" s="67"/>
      <c r="O1307" s="67"/>
      <c r="P1307" s="67"/>
      <c r="Q1307" s="67"/>
      <c r="R1307" s="67"/>
      <c r="S1307" s="67"/>
      <c r="T1307" s="67"/>
      <c r="U1307" s="67"/>
      <c r="V1307" s="67"/>
      <c r="W1307" s="67"/>
      <c r="X1307" s="67"/>
      <c r="Y1307" s="67"/>
      <c r="Z1307" s="67"/>
      <c r="AA1307" s="67"/>
      <c r="AB1307" s="67"/>
      <c r="AC1307" s="67"/>
    </row>
    <row r="1308">
      <c r="A1308" s="60"/>
      <c r="B1308" s="60"/>
      <c r="C1308" s="62"/>
      <c r="D1308" s="63"/>
      <c r="E1308" s="64"/>
      <c r="F1308" s="65"/>
      <c r="G1308" s="66"/>
      <c r="H1308" s="67"/>
      <c r="I1308" s="67"/>
      <c r="J1308" s="67"/>
      <c r="K1308" s="67"/>
      <c r="L1308" s="67"/>
      <c r="M1308" s="67"/>
      <c r="N1308" s="67"/>
      <c r="O1308" s="67"/>
      <c r="P1308" s="67"/>
      <c r="Q1308" s="67"/>
      <c r="R1308" s="67"/>
      <c r="S1308" s="67"/>
      <c r="T1308" s="67"/>
      <c r="U1308" s="67"/>
      <c r="V1308" s="67"/>
      <c r="W1308" s="67"/>
      <c r="X1308" s="67"/>
      <c r="Y1308" s="67"/>
      <c r="Z1308" s="67"/>
      <c r="AA1308" s="67"/>
      <c r="AB1308" s="67"/>
      <c r="AC1308" s="67"/>
    </row>
    <row r="1309">
      <c r="A1309" s="60"/>
      <c r="B1309" s="60"/>
      <c r="C1309" s="62"/>
      <c r="D1309" s="63"/>
      <c r="E1309" s="64"/>
      <c r="F1309" s="65"/>
      <c r="G1309" s="66"/>
      <c r="H1309" s="67"/>
      <c r="I1309" s="67"/>
      <c r="J1309" s="67"/>
      <c r="K1309" s="67"/>
      <c r="L1309" s="67"/>
      <c r="M1309" s="67"/>
      <c r="N1309" s="67"/>
      <c r="O1309" s="67"/>
      <c r="P1309" s="67"/>
      <c r="Q1309" s="67"/>
      <c r="R1309" s="67"/>
      <c r="S1309" s="67"/>
      <c r="T1309" s="67"/>
      <c r="U1309" s="67"/>
      <c r="V1309" s="67"/>
      <c r="W1309" s="67"/>
      <c r="X1309" s="67"/>
      <c r="Y1309" s="67"/>
      <c r="Z1309" s="67"/>
      <c r="AA1309" s="67"/>
      <c r="AB1309" s="67"/>
      <c r="AC1309" s="67"/>
    </row>
    <row r="1310">
      <c r="A1310" s="60"/>
      <c r="B1310" s="60"/>
      <c r="C1310" s="62"/>
      <c r="D1310" s="63"/>
      <c r="E1310" s="64"/>
      <c r="F1310" s="65"/>
      <c r="G1310" s="66"/>
      <c r="H1310" s="67"/>
      <c r="I1310" s="67"/>
      <c r="J1310" s="67"/>
      <c r="K1310" s="67"/>
      <c r="L1310" s="67"/>
      <c r="M1310" s="67"/>
      <c r="N1310" s="67"/>
      <c r="O1310" s="67"/>
      <c r="P1310" s="67"/>
      <c r="Q1310" s="67"/>
      <c r="R1310" s="67"/>
      <c r="S1310" s="67"/>
      <c r="T1310" s="67"/>
      <c r="U1310" s="67"/>
      <c r="V1310" s="67"/>
      <c r="W1310" s="67"/>
      <c r="X1310" s="67"/>
      <c r="Y1310" s="67"/>
      <c r="Z1310" s="67"/>
      <c r="AA1310" s="67"/>
      <c r="AB1310" s="67"/>
      <c r="AC1310" s="67"/>
    </row>
    <row r="1311">
      <c r="A1311" s="60"/>
      <c r="B1311" s="60"/>
      <c r="C1311" s="62"/>
      <c r="D1311" s="63"/>
      <c r="E1311" s="64"/>
      <c r="F1311" s="65"/>
      <c r="G1311" s="66"/>
      <c r="H1311" s="67"/>
      <c r="I1311" s="67"/>
      <c r="J1311" s="67"/>
      <c r="K1311" s="67"/>
      <c r="L1311" s="67"/>
      <c r="M1311" s="67"/>
      <c r="N1311" s="67"/>
      <c r="O1311" s="67"/>
      <c r="P1311" s="67"/>
      <c r="Q1311" s="67"/>
      <c r="R1311" s="67"/>
      <c r="S1311" s="67"/>
      <c r="T1311" s="67"/>
      <c r="U1311" s="67"/>
      <c r="V1311" s="67"/>
      <c r="W1311" s="67"/>
      <c r="X1311" s="67"/>
      <c r="Y1311" s="67"/>
      <c r="Z1311" s="67"/>
      <c r="AA1311" s="67"/>
      <c r="AB1311" s="67"/>
      <c r="AC1311" s="67"/>
    </row>
    <row r="1312">
      <c r="A1312" s="60"/>
      <c r="B1312" s="60"/>
      <c r="C1312" s="62"/>
      <c r="D1312" s="63"/>
      <c r="E1312" s="64"/>
      <c r="F1312" s="65"/>
      <c r="G1312" s="66"/>
      <c r="H1312" s="67"/>
      <c r="I1312" s="67"/>
      <c r="J1312" s="67"/>
      <c r="K1312" s="67"/>
      <c r="L1312" s="67"/>
      <c r="M1312" s="67"/>
      <c r="N1312" s="67"/>
      <c r="O1312" s="67"/>
      <c r="P1312" s="67"/>
      <c r="Q1312" s="67"/>
      <c r="R1312" s="67"/>
      <c r="S1312" s="67"/>
      <c r="T1312" s="67"/>
      <c r="U1312" s="67"/>
      <c r="V1312" s="67"/>
      <c r="W1312" s="67"/>
      <c r="X1312" s="67"/>
      <c r="Y1312" s="67"/>
      <c r="Z1312" s="67"/>
      <c r="AA1312" s="67"/>
      <c r="AB1312" s="67"/>
      <c r="AC1312" s="67"/>
    </row>
    <row r="1313">
      <c r="A1313" s="60"/>
      <c r="B1313" s="60"/>
      <c r="C1313" s="62"/>
      <c r="D1313" s="63"/>
      <c r="E1313" s="64"/>
      <c r="F1313" s="65"/>
      <c r="G1313" s="66"/>
      <c r="H1313" s="67"/>
      <c r="I1313" s="67"/>
      <c r="J1313" s="67"/>
      <c r="K1313" s="67"/>
      <c r="L1313" s="67"/>
      <c r="M1313" s="67"/>
      <c r="N1313" s="67"/>
      <c r="O1313" s="67"/>
      <c r="P1313" s="67"/>
      <c r="Q1313" s="67"/>
      <c r="R1313" s="67"/>
      <c r="S1313" s="67"/>
      <c r="T1313" s="67"/>
      <c r="U1313" s="67"/>
      <c r="V1313" s="67"/>
      <c r="W1313" s="67"/>
      <c r="X1313" s="67"/>
      <c r="Y1313" s="67"/>
      <c r="Z1313" s="67"/>
      <c r="AA1313" s="67"/>
      <c r="AB1313" s="67"/>
      <c r="AC1313" s="67"/>
    </row>
    <row r="1314">
      <c r="A1314" s="60"/>
      <c r="B1314" s="60"/>
      <c r="C1314" s="62"/>
      <c r="D1314" s="63"/>
      <c r="E1314" s="64"/>
      <c r="F1314" s="65"/>
      <c r="G1314" s="66"/>
      <c r="H1314" s="67"/>
      <c r="I1314" s="67"/>
      <c r="J1314" s="67"/>
      <c r="K1314" s="67"/>
      <c r="L1314" s="67"/>
      <c r="M1314" s="67"/>
      <c r="N1314" s="67"/>
      <c r="O1314" s="67"/>
      <c r="P1314" s="67"/>
      <c r="Q1314" s="67"/>
      <c r="R1314" s="67"/>
      <c r="S1314" s="67"/>
      <c r="T1314" s="67"/>
      <c r="U1314" s="67"/>
      <c r="V1314" s="67"/>
      <c r="W1314" s="67"/>
      <c r="X1314" s="67"/>
      <c r="Y1314" s="67"/>
      <c r="Z1314" s="67"/>
      <c r="AA1314" s="67"/>
      <c r="AB1314" s="67"/>
      <c r="AC1314" s="67"/>
    </row>
    <row r="1315">
      <c r="A1315" s="60"/>
      <c r="B1315" s="60"/>
      <c r="C1315" s="62"/>
      <c r="D1315" s="63"/>
      <c r="E1315" s="64"/>
      <c r="F1315" s="65"/>
      <c r="G1315" s="66"/>
      <c r="H1315" s="67"/>
      <c r="I1315" s="67"/>
      <c r="J1315" s="67"/>
      <c r="K1315" s="67"/>
      <c r="L1315" s="67"/>
      <c r="M1315" s="67"/>
      <c r="N1315" s="67"/>
      <c r="O1315" s="67"/>
      <c r="P1315" s="67"/>
      <c r="Q1315" s="67"/>
      <c r="R1315" s="67"/>
      <c r="S1315" s="67"/>
      <c r="T1315" s="67"/>
      <c r="U1315" s="67"/>
      <c r="V1315" s="67"/>
      <c r="W1315" s="67"/>
      <c r="X1315" s="67"/>
      <c r="Y1315" s="67"/>
      <c r="Z1315" s="67"/>
      <c r="AA1315" s="67"/>
      <c r="AB1315" s="67"/>
      <c r="AC1315" s="67"/>
    </row>
    <row r="1316">
      <c r="A1316" s="60"/>
      <c r="B1316" s="60"/>
      <c r="C1316" s="62"/>
      <c r="D1316" s="63"/>
      <c r="E1316" s="64"/>
      <c r="F1316" s="65"/>
      <c r="G1316" s="66"/>
      <c r="H1316" s="67"/>
      <c r="I1316" s="67"/>
      <c r="J1316" s="67"/>
      <c r="K1316" s="67"/>
      <c r="L1316" s="67"/>
      <c r="M1316" s="67"/>
      <c r="N1316" s="67"/>
      <c r="O1316" s="67"/>
      <c r="P1316" s="67"/>
      <c r="Q1316" s="67"/>
      <c r="R1316" s="67"/>
      <c r="S1316" s="67"/>
      <c r="T1316" s="67"/>
      <c r="U1316" s="67"/>
      <c r="V1316" s="67"/>
      <c r="W1316" s="67"/>
      <c r="X1316" s="67"/>
      <c r="Y1316" s="67"/>
      <c r="Z1316" s="67"/>
      <c r="AA1316" s="67"/>
      <c r="AB1316" s="67"/>
      <c r="AC1316" s="67"/>
    </row>
    <row r="1317">
      <c r="A1317" s="60"/>
      <c r="B1317" s="60"/>
      <c r="C1317" s="62"/>
      <c r="D1317" s="63"/>
      <c r="E1317" s="64"/>
      <c r="F1317" s="65"/>
      <c r="G1317" s="66"/>
      <c r="H1317" s="67"/>
      <c r="I1317" s="67"/>
      <c r="J1317" s="67"/>
      <c r="K1317" s="67"/>
      <c r="L1317" s="67"/>
      <c r="M1317" s="67"/>
      <c r="N1317" s="67"/>
      <c r="O1317" s="67"/>
      <c r="P1317" s="67"/>
      <c r="Q1317" s="67"/>
      <c r="R1317" s="67"/>
      <c r="S1317" s="67"/>
      <c r="T1317" s="67"/>
      <c r="U1317" s="67"/>
      <c r="V1317" s="67"/>
      <c r="W1317" s="67"/>
      <c r="X1317" s="67"/>
      <c r="Y1317" s="67"/>
      <c r="Z1317" s="67"/>
      <c r="AA1317" s="67"/>
      <c r="AB1317" s="67"/>
      <c r="AC1317" s="67"/>
    </row>
    <row r="1318">
      <c r="A1318" s="60"/>
      <c r="B1318" s="60"/>
      <c r="C1318" s="62"/>
      <c r="D1318" s="63"/>
      <c r="E1318" s="64"/>
      <c r="F1318" s="65"/>
      <c r="G1318" s="66"/>
      <c r="H1318" s="67"/>
      <c r="I1318" s="67"/>
      <c r="J1318" s="67"/>
      <c r="K1318" s="67"/>
      <c r="L1318" s="67"/>
      <c r="M1318" s="67"/>
      <c r="N1318" s="67"/>
      <c r="O1318" s="67"/>
      <c r="P1318" s="67"/>
      <c r="Q1318" s="67"/>
      <c r="R1318" s="67"/>
      <c r="S1318" s="67"/>
      <c r="T1318" s="67"/>
      <c r="U1318" s="67"/>
      <c r="V1318" s="67"/>
      <c r="W1318" s="67"/>
      <c r="X1318" s="67"/>
      <c r="Y1318" s="67"/>
      <c r="Z1318" s="67"/>
      <c r="AA1318" s="67"/>
      <c r="AB1318" s="67"/>
      <c r="AC1318" s="67"/>
    </row>
    <row r="1319">
      <c r="A1319" s="60"/>
      <c r="B1319" s="60"/>
      <c r="C1319" s="62"/>
      <c r="D1319" s="63"/>
      <c r="E1319" s="64"/>
      <c r="F1319" s="65"/>
      <c r="G1319" s="66"/>
      <c r="H1319" s="67"/>
      <c r="I1319" s="67"/>
      <c r="J1319" s="67"/>
      <c r="K1319" s="67"/>
      <c r="L1319" s="67"/>
      <c r="M1319" s="67"/>
      <c r="N1319" s="67"/>
      <c r="O1319" s="67"/>
      <c r="P1319" s="67"/>
      <c r="Q1319" s="67"/>
      <c r="R1319" s="67"/>
      <c r="S1319" s="67"/>
      <c r="T1319" s="67"/>
      <c r="U1319" s="67"/>
      <c r="V1319" s="67"/>
      <c r="W1319" s="67"/>
      <c r="X1319" s="67"/>
      <c r="Y1319" s="67"/>
      <c r="Z1319" s="67"/>
      <c r="AA1319" s="67"/>
      <c r="AB1319" s="67"/>
      <c r="AC1319" s="67"/>
    </row>
    <row r="1320">
      <c r="A1320" s="60"/>
      <c r="B1320" s="60"/>
      <c r="C1320" s="62"/>
      <c r="D1320" s="63"/>
      <c r="E1320" s="64"/>
      <c r="F1320" s="65"/>
      <c r="G1320" s="66"/>
      <c r="H1320" s="67"/>
      <c r="I1320" s="67"/>
      <c r="J1320" s="67"/>
      <c r="K1320" s="67"/>
      <c r="L1320" s="67"/>
      <c r="M1320" s="67"/>
      <c r="N1320" s="67"/>
      <c r="O1320" s="67"/>
      <c r="P1320" s="67"/>
      <c r="Q1320" s="67"/>
      <c r="R1320" s="67"/>
      <c r="S1320" s="67"/>
      <c r="T1320" s="67"/>
      <c r="U1320" s="67"/>
      <c r="V1320" s="67"/>
      <c r="W1320" s="67"/>
      <c r="X1320" s="67"/>
      <c r="Y1320" s="67"/>
      <c r="Z1320" s="67"/>
      <c r="AA1320" s="67"/>
      <c r="AB1320" s="67"/>
      <c r="AC1320" s="67"/>
    </row>
    <row r="1321">
      <c r="A1321" s="60"/>
      <c r="B1321" s="60"/>
      <c r="C1321" s="62"/>
      <c r="D1321" s="63"/>
      <c r="E1321" s="64"/>
      <c r="F1321" s="65"/>
      <c r="G1321" s="66"/>
      <c r="H1321" s="67"/>
      <c r="I1321" s="67"/>
      <c r="J1321" s="67"/>
      <c r="K1321" s="67"/>
      <c r="L1321" s="67"/>
      <c r="M1321" s="67"/>
      <c r="N1321" s="67"/>
      <c r="O1321" s="67"/>
      <c r="P1321" s="67"/>
      <c r="Q1321" s="67"/>
      <c r="R1321" s="67"/>
      <c r="S1321" s="67"/>
      <c r="T1321" s="67"/>
      <c r="U1321" s="67"/>
      <c r="V1321" s="67"/>
      <c r="W1321" s="67"/>
      <c r="X1321" s="67"/>
      <c r="Y1321" s="67"/>
      <c r="Z1321" s="67"/>
      <c r="AA1321" s="67"/>
      <c r="AB1321" s="67"/>
      <c r="AC1321" s="67"/>
    </row>
    <row r="1322">
      <c r="A1322" s="60"/>
      <c r="B1322" s="60"/>
      <c r="C1322" s="62"/>
      <c r="D1322" s="63"/>
      <c r="E1322" s="64"/>
      <c r="F1322" s="65"/>
      <c r="G1322" s="66"/>
      <c r="H1322" s="67"/>
      <c r="I1322" s="67"/>
      <c r="J1322" s="67"/>
      <c r="K1322" s="67"/>
      <c r="L1322" s="67"/>
      <c r="M1322" s="67"/>
      <c r="N1322" s="67"/>
      <c r="O1322" s="67"/>
      <c r="P1322" s="67"/>
      <c r="Q1322" s="67"/>
      <c r="R1322" s="67"/>
      <c r="S1322" s="67"/>
      <c r="T1322" s="67"/>
      <c r="U1322" s="67"/>
      <c r="V1322" s="67"/>
      <c r="W1322" s="67"/>
      <c r="X1322" s="67"/>
      <c r="Y1322" s="67"/>
      <c r="Z1322" s="67"/>
      <c r="AA1322" s="67"/>
      <c r="AB1322" s="67"/>
      <c r="AC1322" s="67"/>
    </row>
    <row r="1323">
      <c r="A1323" s="60"/>
      <c r="B1323" s="60"/>
      <c r="C1323" s="62"/>
      <c r="D1323" s="63"/>
      <c r="E1323" s="64"/>
      <c r="F1323" s="65"/>
      <c r="G1323" s="66"/>
      <c r="H1323" s="67"/>
      <c r="I1323" s="67"/>
      <c r="J1323" s="67"/>
      <c r="K1323" s="67"/>
      <c r="L1323" s="67"/>
      <c r="M1323" s="67"/>
      <c r="N1323" s="67"/>
      <c r="O1323" s="67"/>
      <c r="P1323" s="67"/>
      <c r="Q1323" s="67"/>
      <c r="R1323" s="67"/>
      <c r="S1323" s="67"/>
      <c r="T1323" s="67"/>
      <c r="U1323" s="67"/>
      <c r="V1323" s="67"/>
      <c r="W1323" s="67"/>
      <c r="X1323" s="67"/>
      <c r="Y1323" s="67"/>
      <c r="Z1323" s="67"/>
      <c r="AA1323" s="67"/>
      <c r="AB1323" s="67"/>
      <c r="AC1323" s="67"/>
    </row>
    <row r="1324">
      <c r="A1324" s="60"/>
      <c r="B1324" s="60"/>
      <c r="C1324" s="62"/>
      <c r="D1324" s="63"/>
      <c r="E1324" s="64"/>
      <c r="F1324" s="65"/>
      <c r="G1324" s="66"/>
      <c r="H1324" s="67"/>
      <c r="I1324" s="67"/>
      <c r="J1324" s="67"/>
      <c r="K1324" s="67"/>
      <c r="L1324" s="67"/>
      <c r="M1324" s="67"/>
      <c r="N1324" s="67"/>
      <c r="O1324" s="67"/>
      <c r="P1324" s="67"/>
      <c r="Q1324" s="67"/>
      <c r="R1324" s="67"/>
      <c r="S1324" s="67"/>
      <c r="T1324" s="67"/>
      <c r="U1324" s="67"/>
      <c r="V1324" s="67"/>
      <c r="W1324" s="67"/>
      <c r="X1324" s="67"/>
      <c r="Y1324" s="67"/>
      <c r="Z1324" s="67"/>
      <c r="AA1324" s="67"/>
      <c r="AB1324" s="67"/>
      <c r="AC1324" s="67"/>
    </row>
    <row r="1325">
      <c r="A1325" s="60"/>
      <c r="B1325" s="60"/>
      <c r="C1325" s="62"/>
      <c r="D1325" s="63"/>
      <c r="E1325" s="64"/>
      <c r="F1325" s="65"/>
      <c r="G1325" s="66"/>
      <c r="H1325" s="67"/>
      <c r="I1325" s="67"/>
      <c r="J1325" s="67"/>
      <c r="K1325" s="67"/>
      <c r="L1325" s="67"/>
      <c r="M1325" s="67"/>
      <c r="N1325" s="67"/>
      <c r="O1325" s="67"/>
      <c r="P1325" s="67"/>
      <c r="Q1325" s="67"/>
      <c r="R1325" s="67"/>
      <c r="S1325" s="67"/>
      <c r="T1325" s="67"/>
      <c r="U1325" s="67"/>
      <c r="V1325" s="67"/>
      <c r="W1325" s="67"/>
      <c r="X1325" s="67"/>
      <c r="Y1325" s="67"/>
      <c r="Z1325" s="67"/>
      <c r="AA1325" s="67"/>
      <c r="AB1325" s="67"/>
      <c r="AC1325" s="67"/>
    </row>
    <row r="1326">
      <c r="A1326" s="60"/>
      <c r="B1326" s="60"/>
      <c r="C1326" s="62"/>
      <c r="D1326" s="63"/>
      <c r="E1326" s="64"/>
      <c r="F1326" s="65"/>
      <c r="G1326" s="66"/>
      <c r="H1326" s="67"/>
      <c r="I1326" s="67"/>
      <c r="J1326" s="67"/>
      <c r="K1326" s="67"/>
      <c r="L1326" s="67"/>
      <c r="M1326" s="67"/>
      <c r="N1326" s="67"/>
      <c r="O1326" s="67"/>
      <c r="P1326" s="67"/>
      <c r="Q1326" s="67"/>
      <c r="R1326" s="67"/>
      <c r="S1326" s="67"/>
      <c r="T1326" s="67"/>
      <c r="U1326" s="67"/>
      <c r="V1326" s="67"/>
      <c r="W1326" s="67"/>
      <c r="X1326" s="67"/>
      <c r="Y1326" s="67"/>
      <c r="Z1326" s="67"/>
      <c r="AA1326" s="67"/>
      <c r="AB1326" s="67"/>
      <c r="AC1326" s="67"/>
    </row>
    <row r="1327">
      <c r="A1327" s="60"/>
      <c r="B1327" s="60"/>
      <c r="C1327" s="62"/>
      <c r="D1327" s="63"/>
      <c r="E1327" s="64"/>
      <c r="F1327" s="65"/>
      <c r="G1327" s="66"/>
      <c r="H1327" s="67"/>
      <c r="I1327" s="67"/>
      <c r="J1327" s="67"/>
      <c r="K1327" s="67"/>
      <c r="L1327" s="67"/>
      <c r="M1327" s="67"/>
      <c r="N1327" s="67"/>
      <c r="O1327" s="67"/>
      <c r="P1327" s="67"/>
      <c r="Q1327" s="67"/>
      <c r="R1327" s="67"/>
      <c r="S1327" s="67"/>
      <c r="T1327" s="67"/>
      <c r="U1327" s="67"/>
      <c r="V1327" s="67"/>
      <c r="W1327" s="67"/>
      <c r="X1327" s="67"/>
      <c r="Y1327" s="67"/>
      <c r="Z1327" s="67"/>
      <c r="AA1327" s="67"/>
      <c r="AB1327" s="67"/>
      <c r="AC1327" s="67"/>
    </row>
    <row r="1328">
      <c r="A1328" s="60"/>
      <c r="B1328" s="60"/>
      <c r="C1328" s="62"/>
      <c r="D1328" s="63"/>
      <c r="E1328" s="64"/>
      <c r="F1328" s="65"/>
      <c r="G1328" s="66"/>
      <c r="H1328" s="67"/>
      <c r="I1328" s="67"/>
      <c r="J1328" s="67"/>
      <c r="K1328" s="67"/>
      <c r="L1328" s="67"/>
      <c r="M1328" s="67"/>
      <c r="N1328" s="67"/>
      <c r="O1328" s="67"/>
      <c r="P1328" s="67"/>
      <c r="Q1328" s="67"/>
      <c r="R1328" s="67"/>
      <c r="S1328" s="67"/>
      <c r="T1328" s="67"/>
      <c r="U1328" s="67"/>
      <c r="V1328" s="67"/>
      <c r="W1328" s="67"/>
      <c r="X1328" s="67"/>
      <c r="Y1328" s="67"/>
      <c r="Z1328" s="67"/>
      <c r="AA1328" s="67"/>
      <c r="AB1328" s="67"/>
      <c r="AC1328" s="67"/>
    </row>
    <row r="1329">
      <c r="A1329" s="60"/>
      <c r="B1329" s="60"/>
      <c r="C1329" s="62"/>
      <c r="D1329" s="63"/>
      <c r="E1329" s="64"/>
      <c r="F1329" s="65"/>
      <c r="G1329" s="66"/>
      <c r="H1329" s="67"/>
      <c r="I1329" s="67"/>
      <c r="J1329" s="67"/>
      <c r="K1329" s="67"/>
      <c r="L1329" s="67"/>
      <c r="M1329" s="67"/>
      <c r="N1329" s="67"/>
      <c r="O1329" s="67"/>
      <c r="P1329" s="67"/>
      <c r="Q1329" s="67"/>
      <c r="R1329" s="67"/>
      <c r="S1329" s="67"/>
      <c r="T1329" s="67"/>
      <c r="U1329" s="67"/>
      <c r="V1329" s="67"/>
      <c r="W1329" s="67"/>
      <c r="X1329" s="67"/>
      <c r="Y1329" s="67"/>
      <c r="Z1329" s="67"/>
      <c r="AA1329" s="67"/>
      <c r="AB1329" s="67"/>
      <c r="AC1329" s="67"/>
    </row>
    <row r="1330">
      <c r="A1330" s="60"/>
      <c r="B1330" s="60"/>
      <c r="C1330" s="62"/>
      <c r="D1330" s="63"/>
      <c r="E1330" s="64"/>
      <c r="F1330" s="65"/>
      <c r="G1330" s="66"/>
      <c r="H1330" s="67"/>
      <c r="I1330" s="67"/>
      <c r="J1330" s="67"/>
      <c r="K1330" s="67"/>
      <c r="L1330" s="67"/>
      <c r="M1330" s="67"/>
      <c r="N1330" s="67"/>
      <c r="O1330" s="67"/>
      <c r="P1330" s="67"/>
      <c r="Q1330" s="67"/>
      <c r="R1330" s="67"/>
      <c r="S1330" s="67"/>
      <c r="T1330" s="67"/>
      <c r="U1330" s="67"/>
      <c r="V1330" s="67"/>
      <c r="W1330" s="67"/>
      <c r="X1330" s="67"/>
      <c r="Y1330" s="67"/>
      <c r="Z1330" s="67"/>
      <c r="AA1330" s="67"/>
      <c r="AB1330" s="67"/>
      <c r="AC1330" s="67"/>
    </row>
    <row r="1331">
      <c r="A1331" s="60"/>
      <c r="B1331" s="60"/>
      <c r="C1331" s="62"/>
      <c r="D1331" s="63"/>
      <c r="E1331" s="64"/>
      <c r="F1331" s="65"/>
      <c r="G1331" s="66"/>
      <c r="H1331" s="67"/>
      <c r="I1331" s="67"/>
      <c r="J1331" s="67"/>
      <c r="K1331" s="67"/>
      <c r="L1331" s="67"/>
      <c r="M1331" s="67"/>
      <c r="N1331" s="67"/>
      <c r="O1331" s="67"/>
      <c r="P1331" s="67"/>
      <c r="Q1331" s="67"/>
      <c r="R1331" s="67"/>
      <c r="S1331" s="67"/>
      <c r="T1331" s="67"/>
      <c r="U1331" s="67"/>
      <c r="V1331" s="67"/>
      <c r="W1331" s="67"/>
      <c r="X1331" s="67"/>
      <c r="Y1331" s="67"/>
      <c r="Z1331" s="67"/>
      <c r="AA1331" s="67"/>
      <c r="AB1331" s="67"/>
      <c r="AC1331" s="67"/>
    </row>
    <row r="1332">
      <c r="A1332" s="60"/>
      <c r="B1332" s="60"/>
      <c r="C1332" s="62"/>
      <c r="D1332" s="63"/>
      <c r="E1332" s="64"/>
      <c r="F1332" s="65"/>
      <c r="G1332" s="66"/>
      <c r="H1332" s="67"/>
      <c r="I1332" s="67"/>
      <c r="J1332" s="67"/>
      <c r="K1332" s="67"/>
      <c r="L1332" s="67"/>
      <c r="M1332" s="67"/>
      <c r="N1332" s="67"/>
      <c r="O1332" s="67"/>
      <c r="P1332" s="67"/>
      <c r="Q1332" s="67"/>
      <c r="R1332" s="67"/>
      <c r="S1332" s="67"/>
      <c r="T1332" s="67"/>
      <c r="U1332" s="67"/>
      <c r="V1332" s="67"/>
      <c r="W1332" s="67"/>
      <c r="X1332" s="67"/>
      <c r="Y1332" s="67"/>
      <c r="Z1332" s="67"/>
      <c r="AA1332" s="67"/>
      <c r="AB1332" s="67"/>
      <c r="AC1332" s="67"/>
    </row>
    <row r="1333">
      <c r="A1333" s="60"/>
      <c r="B1333" s="60"/>
      <c r="C1333" s="62"/>
      <c r="D1333" s="63"/>
      <c r="E1333" s="64"/>
      <c r="F1333" s="65"/>
      <c r="G1333" s="66"/>
      <c r="H1333" s="67"/>
      <c r="I1333" s="67"/>
      <c r="J1333" s="67"/>
      <c r="K1333" s="67"/>
      <c r="L1333" s="67"/>
      <c r="M1333" s="67"/>
      <c r="N1333" s="67"/>
      <c r="O1333" s="67"/>
      <c r="P1333" s="67"/>
      <c r="Q1333" s="67"/>
      <c r="R1333" s="67"/>
      <c r="S1333" s="67"/>
      <c r="T1333" s="67"/>
      <c r="U1333" s="67"/>
      <c r="V1333" s="67"/>
      <c r="W1333" s="67"/>
      <c r="X1333" s="67"/>
      <c r="Y1333" s="67"/>
      <c r="Z1333" s="67"/>
      <c r="AA1333" s="67"/>
      <c r="AB1333" s="67"/>
      <c r="AC1333" s="67"/>
    </row>
    <row r="1334">
      <c r="A1334" s="60"/>
      <c r="B1334" s="60"/>
      <c r="C1334" s="62"/>
      <c r="D1334" s="63"/>
      <c r="E1334" s="64"/>
      <c r="F1334" s="65"/>
      <c r="G1334" s="66"/>
      <c r="H1334" s="67"/>
      <c r="I1334" s="67"/>
      <c r="J1334" s="67"/>
      <c r="K1334" s="67"/>
      <c r="L1334" s="67"/>
      <c r="M1334" s="67"/>
      <c r="N1334" s="67"/>
      <c r="O1334" s="67"/>
      <c r="P1334" s="67"/>
      <c r="Q1334" s="67"/>
      <c r="R1334" s="67"/>
      <c r="S1334" s="67"/>
      <c r="T1334" s="67"/>
      <c r="U1334" s="67"/>
      <c r="V1334" s="67"/>
      <c r="W1334" s="67"/>
      <c r="X1334" s="67"/>
      <c r="Y1334" s="67"/>
      <c r="Z1334" s="67"/>
      <c r="AA1334" s="67"/>
      <c r="AB1334" s="67"/>
      <c r="AC1334" s="67"/>
    </row>
    <row r="1335">
      <c r="A1335" s="60"/>
      <c r="B1335" s="60"/>
      <c r="C1335" s="62"/>
      <c r="D1335" s="63"/>
      <c r="E1335" s="64"/>
      <c r="F1335" s="65"/>
      <c r="G1335" s="66"/>
      <c r="H1335" s="67"/>
      <c r="I1335" s="67"/>
      <c r="J1335" s="67"/>
      <c r="K1335" s="67"/>
      <c r="L1335" s="67"/>
      <c r="M1335" s="67"/>
      <c r="N1335" s="67"/>
      <c r="O1335" s="67"/>
      <c r="P1335" s="67"/>
      <c r="Q1335" s="67"/>
      <c r="R1335" s="67"/>
      <c r="S1335" s="67"/>
      <c r="T1335" s="67"/>
      <c r="U1335" s="67"/>
      <c r="V1335" s="67"/>
      <c r="W1335" s="67"/>
      <c r="X1335" s="67"/>
      <c r="Y1335" s="67"/>
      <c r="Z1335" s="67"/>
      <c r="AA1335" s="67"/>
      <c r="AB1335" s="67"/>
      <c r="AC1335" s="67"/>
    </row>
    <row r="1336">
      <c r="A1336" s="60"/>
      <c r="B1336" s="60"/>
      <c r="C1336" s="62"/>
      <c r="D1336" s="63"/>
      <c r="E1336" s="64"/>
      <c r="F1336" s="65"/>
      <c r="G1336" s="66"/>
      <c r="H1336" s="67"/>
      <c r="I1336" s="67"/>
      <c r="J1336" s="67"/>
      <c r="K1336" s="67"/>
      <c r="L1336" s="67"/>
      <c r="M1336" s="67"/>
      <c r="N1336" s="67"/>
      <c r="O1336" s="67"/>
      <c r="P1336" s="67"/>
      <c r="Q1336" s="67"/>
      <c r="R1336" s="67"/>
      <c r="S1336" s="67"/>
      <c r="T1336" s="67"/>
      <c r="U1336" s="67"/>
      <c r="V1336" s="67"/>
      <c r="W1336" s="67"/>
      <c r="X1336" s="67"/>
      <c r="Y1336" s="67"/>
      <c r="Z1336" s="67"/>
      <c r="AA1336" s="67"/>
      <c r="AB1336" s="67"/>
      <c r="AC1336" s="67"/>
    </row>
    <row r="1337">
      <c r="A1337" s="60"/>
      <c r="B1337" s="60"/>
      <c r="C1337" s="62"/>
      <c r="D1337" s="63"/>
      <c r="E1337" s="64"/>
      <c r="F1337" s="65"/>
      <c r="G1337" s="66"/>
      <c r="H1337" s="67"/>
      <c r="I1337" s="67"/>
      <c r="J1337" s="67"/>
      <c r="K1337" s="67"/>
      <c r="L1337" s="67"/>
      <c r="M1337" s="67"/>
      <c r="N1337" s="67"/>
      <c r="O1337" s="67"/>
      <c r="P1337" s="67"/>
      <c r="Q1337" s="67"/>
      <c r="R1337" s="67"/>
      <c r="S1337" s="67"/>
      <c r="T1337" s="67"/>
      <c r="U1337" s="67"/>
      <c r="V1337" s="67"/>
      <c r="W1337" s="67"/>
      <c r="X1337" s="67"/>
      <c r="Y1337" s="67"/>
      <c r="Z1337" s="67"/>
      <c r="AA1337" s="67"/>
      <c r="AB1337" s="67"/>
      <c r="AC1337" s="67"/>
    </row>
    <row r="1338">
      <c r="A1338" s="60"/>
      <c r="B1338" s="60"/>
      <c r="C1338" s="62"/>
      <c r="D1338" s="63"/>
      <c r="E1338" s="64"/>
      <c r="F1338" s="65"/>
      <c r="G1338" s="66"/>
      <c r="H1338" s="67"/>
      <c r="I1338" s="67"/>
      <c r="J1338" s="67"/>
      <c r="K1338" s="67"/>
      <c r="L1338" s="67"/>
      <c r="M1338" s="67"/>
      <c r="N1338" s="67"/>
      <c r="O1338" s="67"/>
      <c r="P1338" s="67"/>
      <c r="Q1338" s="67"/>
      <c r="R1338" s="67"/>
      <c r="S1338" s="67"/>
      <c r="T1338" s="67"/>
      <c r="U1338" s="67"/>
      <c r="V1338" s="67"/>
      <c r="W1338" s="67"/>
      <c r="X1338" s="67"/>
      <c r="Y1338" s="67"/>
      <c r="Z1338" s="67"/>
      <c r="AA1338" s="67"/>
      <c r="AB1338" s="67"/>
      <c r="AC1338" s="67"/>
    </row>
    <row r="1339">
      <c r="A1339" s="60"/>
      <c r="B1339" s="60"/>
      <c r="C1339" s="62"/>
      <c r="D1339" s="63"/>
      <c r="E1339" s="64"/>
      <c r="F1339" s="65"/>
      <c r="G1339" s="66"/>
      <c r="H1339" s="67"/>
      <c r="I1339" s="67"/>
      <c r="J1339" s="67"/>
      <c r="K1339" s="67"/>
      <c r="L1339" s="67"/>
      <c r="M1339" s="67"/>
      <c r="N1339" s="67"/>
      <c r="O1339" s="67"/>
      <c r="P1339" s="67"/>
      <c r="Q1339" s="67"/>
      <c r="R1339" s="67"/>
      <c r="S1339" s="67"/>
      <c r="T1339" s="67"/>
      <c r="U1339" s="67"/>
      <c r="V1339" s="67"/>
      <c r="W1339" s="67"/>
      <c r="X1339" s="67"/>
      <c r="Y1339" s="67"/>
      <c r="Z1339" s="67"/>
      <c r="AA1339" s="67"/>
      <c r="AB1339" s="67"/>
      <c r="AC1339" s="67"/>
    </row>
    <row r="1340">
      <c r="A1340" s="60"/>
      <c r="B1340" s="60"/>
      <c r="C1340" s="62"/>
      <c r="D1340" s="63"/>
      <c r="E1340" s="64"/>
      <c r="F1340" s="65"/>
      <c r="G1340" s="66"/>
      <c r="H1340" s="67"/>
      <c r="I1340" s="67"/>
      <c r="J1340" s="67"/>
      <c r="K1340" s="67"/>
      <c r="L1340" s="67"/>
      <c r="M1340" s="67"/>
      <c r="N1340" s="67"/>
      <c r="O1340" s="67"/>
      <c r="P1340" s="67"/>
      <c r="Q1340" s="67"/>
      <c r="R1340" s="67"/>
      <c r="S1340" s="67"/>
      <c r="T1340" s="67"/>
      <c r="U1340" s="67"/>
      <c r="V1340" s="67"/>
      <c r="W1340" s="67"/>
      <c r="X1340" s="67"/>
      <c r="Y1340" s="67"/>
      <c r="Z1340" s="67"/>
      <c r="AA1340" s="67"/>
      <c r="AB1340" s="67"/>
      <c r="AC1340" s="67"/>
    </row>
    <row r="1341">
      <c r="A1341" s="60"/>
      <c r="B1341" s="60"/>
      <c r="C1341" s="62"/>
      <c r="D1341" s="63"/>
      <c r="E1341" s="64"/>
      <c r="F1341" s="65"/>
      <c r="G1341" s="66"/>
      <c r="H1341" s="67"/>
      <c r="I1341" s="67"/>
      <c r="J1341" s="67"/>
      <c r="K1341" s="67"/>
      <c r="L1341" s="67"/>
      <c r="M1341" s="67"/>
      <c r="N1341" s="67"/>
      <c r="O1341" s="67"/>
      <c r="P1341" s="67"/>
      <c r="Q1341" s="67"/>
      <c r="R1341" s="67"/>
      <c r="S1341" s="67"/>
      <c r="T1341" s="67"/>
      <c r="U1341" s="67"/>
      <c r="V1341" s="67"/>
      <c r="W1341" s="67"/>
      <c r="X1341" s="67"/>
      <c r="Y1341" s="67"/>
      <c r="Z1341" s="67"/>
      <c r="AA1341" s="67"/>
      <c r="AB1341" s="67"/>
      <c r="AC1341" s="67"/>
    </row>
    <row r="1342">
      <c r="A1342" s="60"/>
      <c r="B1342" s="60"/>
      <c r="C1342" s="62"/>
      <c r="D1342" s="63"/>
      <c r="E1342" s="64"/>
      <c r="F1342" s="65"/>
      <c r="G1342" s="66"/>
      <c r="H1342" s="67"/>
      <c r="I1342" s="67"/>
      <c r="J1342" s="67"/>
      <c r="K1342" s="67"/>
      <c r="L1342" s="67"/>
      <c r="M1342" s="67"/>
      <c r="N1342" s="67"/>
      <c r="O1342" s="67"/>
      <c r="P1342" s="67"/>
      <c r="Q1342" s="67"/>
      <c r="R1342" s="67"/>
      <c r="S1342" s="67"/>
      <c r="T1342" s="67"/>
      <c r="U1342" s="67"/>
      <c r="V1342" s="67"/>
      <c r="W1342" s="67"/>
      <c r="X1342" s="67"/>
      <c r="Y1342" s="67"/>
      <c r="Z1342" s="67"/>
      <c r="AA1342" s="67"/>
      <c r="AB1342" s="67"/>
      <c r="AC1342" s="67"/>
    </row>
    <row r="1343">
      <c r="A1343" s="60"/>
      <c r="B1343" s="60"/>
      <c r="C1343" s="62"/>
      <c r="D1343" s="63"/>
      <c r="E1343" s="64"/>
      <c r="F1343" s="65"/>
      <c r="G1343" s="66"/>
      <c r="H1343" s="67"/>
      <c r="I1343" s="67"/>
      <c r="J1343" s="67"/>
      <c r="K1343" s="67"/>
      <c r="L1343" s="67"/>
      <c r="M1343" s="67"/>
      <c r="N1343" s="67"/>
      <c r="O1343" s="67"/>
      <c r="P1343" s="67"/>
      <c r="Q1343" s="67"/>
      <c r="R1343" s="67"/>
      <c r="S1343" s="67"/>
      <c r="T1343" s="67"/>
      <c r="U1343" s="67"/>
      <c r="V1343" s="67"/>
      <c r="W1343" s="67"/>
      <c r="X1343" s="67"/>
      <c r="Y1343" s="67"/>
      <c r="Z1343" s="67"/>
      <c r="AA1343" s="67"/>
      <c r="AB1343" s="67"/>
      <c r="AC1343" s="67"/>
    </row>
    <row r="1344">
      <c r="A1344" s="60"/>
      <c r="B1344" s="60"/>
      <c r="C1344" s="62"/>
      <c r="D1344" s="63"/>
      <c r="E1344" s="64"/>
      <c r="F1344" s="65"/>
      <c r="G1344" s="66"/>
      <c r="H1344" s="67"/>
      <c r="I1344" s="67"/>
      <c r="J1344" s="67"/>
      <c r="K1344" s="67"/>
      <c r="L1344" s="67"/>
      <c r="M1344" s="67"/>
      <c r="N1344" s="67"/>
      <c r="O1344" s="67"/>
      <c r="P1344" s="67"/>
      <c r="Q1344" s="67"/>
      <c r="R1344" s="67"/>
      <c r="S1344" s="67"/>
      <c r="T1344" s="67"/>
      <c r="U1344" s="67"/>
      <c r="V1344" s="67"/>
      <c r="W1344" s="67"/>
      <c r="X1344" s="67"/>
      <c r="Y1344" s="67"/>
      <c r="Z1344" s="67"/>
      <c r="AA1344" s="67"/>
      <c r="AB1344" s="67"/>
      <c r="AC1344" s="67"/>
    </row>
    <row r="1345">
      <c r="A1345" s="60"/>
      <c r="B1345" s="60"/>
      <c r="C1345" s="62"/>
      <c r="D1345" s="63"/>
      <c r="E1345" s="64"/>
      <c r="F1345" s="65"/>
      <c r="G1345" s="66"/>
      <c r="H1345" s="67"/>
      <c r="I1345" s="67"/>
      <c r="J1345" s="67"/>
      <c r="K1345" s="67"/>
      <c r="L1345" s="67"/>
      <c r="M1345" s="67"/>
      <c r="N1345" s="67"/>
      <c r="O1345" s="67"/>
      <c r="P1345" s="67"/>
      <c r="Q1345" s="67"/>
      <c r="R1345" s="67"/>
      <c r="S1345" s="67"/>
      <c r="T1345" s="67"/>
      <c r="U1345" s="67"/>
      <c r="V1345" s="67"/>
      <c r="W1345" s="67"/>
      <c r="X1345" s="67"/>
      <c r="Y1345" s="67"/>
      <c r="Z1345" s="67"/>
      <c r="AA1345" s="67"/>
      <c r="AB1345" s="67"/>
      <c r="AC1345" s="67"/>
    </row>
    <row r="1346">
      <c r="A1346" s="60"/>
      <c r="B1346" s="60"/>
      <c r="C1346" s="62"/>
      <c r="D1346" s="63"/>
      <c r="E1346" s="64"/>
      <c r="F1346" s="65"/>
      <c r="G1346" s="66"/>
      <c r="H1346" s="67"/>
      <c r="I1346" s="67"/>
      <c r="J1346" s="67"/>
      <c r="K1346" s="67"/>
      <c r="L1346" s="67"/>
      <c r="M1346" s="67"/>
      <c r="N1346" s="67"/>
      <c r="O1346" s="67"/>
      <c r="P1346" s="67"/>
      <c r="Q1346" s="67"/>
      <c r="R1346" s="67"/>
      <c r="S1346" s="67"/>
      <c r="T1346" s="67"/>
      <c r="U1346" s="67"/>
      <c r="V1346" s="67"/>
      <c r="W1346" s="67"/>
      <c r="X1346" s="67"/>
      <c r="Y1346" s="67"/>
      <c r="Z1346" s="67"/>
      <c r="AA1346" s="67"/>
      <c r="AB1346" s="67"/>
      <c r="AC1346" s="67"/>
    </row>
    <row r="1347">
      <c r="A1347" s="60"/>
      <c r="B1347" s="60"/>
      <c r="C1347" s="62"/>
      <c r="D1347" s="63"/>
      <c r="E1347" s="64"/>
      <c r="F1347" s="65"/>
      <c r="G1347" s="66"/>
      <c r="H1347" s="67"/>
      <c r="I1347" s="67"/>
      <c r="J1347" s="67"/>
      <c r="K1347" s="67"/>
      <c r="L1347" s="67"/>
      <c r="M1347" s="67"/>
      <c r="N1347" s="67"/>
      <c r="O1347" s="67"/>
      <c r="P1347" s="67"/>
      <c r="Q1347" s="67"/>
      <c r="R1347" s="67"/>
      <c r="S1347" s="67"/>
      <c r="T1347" s="67"/>
      <c r="U1347" s="67"/>
      <c r="V1347" s="67"/>
      <c r="W1347" s="67"/>
      <c r="X1347" s="67"/>
      <c r="Y1347" s="67"/>
      <c r="Z1347" s="67"/>
      <c r="AA1347" s="67"/>
      <c r="AB1347" s="67"/>
      <c r="AC1347" s="67"/>
    </row>
    <row r="1348">
      <c r="A1348" s="60"/>
      <c r="B1348" s="60"/>
      <c r="C1348" s="62"/>
      <c r="D1348" s="63"/>
      <c r="E1348" s="64"/>
      <c r="F1348" s="65"/>
      <c r="G1348" s="66"/>
      <c r="H1348" s="67"/>
      <c r="I1348" s="67"/>
      <c r="J1348" s="67"/>
      <c r="K1348" s="67"/>
      <c r="L1348" s="67"/>
      <c r="M1348" s="67"/>
      <c r="N1348" s="67"/>
      <c r="O1348" s="67"/>
      <c r="P1348" s="67"/>
      <c r="Q1348" s="67"/>
      <c r="R1348" s="67"/>
      <c r="S1348" s="67"/>
      <c r="T1348" s="67"/>
      <c r="U1348" s="67"/>
      <c r="V1348" s="67"/>
      <c r="W1348" s="67"/>
      <c r="X1348" s="67"/>
      <c r="Y1348" s="67"/>
      <c r="Z1348" s="67"/>
      <c r="AA1348" s="67"/>
      <c r="AB1348" s="67"/>
      <c r="AC1348" s="67"/>
    </row>
    <row r="1349">
      <c r="A1349" s="60"/>
      <c r="B1349" s="60"/>
      <c r="C1349" s="62"/>
      <c r="D1349" s="63"/>
      <c r="E1349" s="64"/>
      <c r="F1349" s="65"/>
      <c r="G1349" s="66"/>
      <c r="H1349" s="67"/>
      <c r="I1349" s="67"/>
      <c r="J1349" s="67"/>
      <c r="K1349" s="67"/>
      <c r="L1349" s="67"/>
      <c r="M1349" s="67"/>
      <c r="N1349" s="67"/>
      <c r="O1349" s="67"/>
      <c r="P1349" s="67"/>
      <c r="Q1349" s="67"/>
      <c r="R1349" s="67"/>
      <c r="S1349" s="67"/>
      <c r="T1349" s="67"/>
      <c r="U1349" s="67"/>
      <c r="V1349" s="67"/>
      <c r="W1349" s="67"/>
      <c r="X1349" s="67"/>
      <c r="Y1349" s="67"/>
      <c r="Z1349" s="67"/>
      <c r="AA1349" s="67"/>
      <c r="AB1349" s="67"/>
      <c r="AC1349" s="67"/>
    </row>
    <row r="1350">
      <c r="A1350" s="60"/>
      <c r="B1350" s="60"/>
      <c r="C1350" s="62"/>
      <c r="D1350" s="63"/>
      <c r="E1350" s="64"/>
      <c r="F1350" s="65"/>
      <c r="G1350" s="66"/>
      <c r="H1350" s="67"/>
      <c r="I1350" s="67"/>
      <c r="J1350" s="67"/>
      <c r="K1350" s="67"/>
      <c r="L1350" s="67"/>
      <c r="M1350" s="67"/>
      <c r="N1350" s="67"/>
      <c r="O1350" s="67"/>
      <c r="P1350" s="67"/>
      <c r="Q1350" s="67"/>
      <c r="R1350" s="67"/>
      <c r="S1350" s="67"/>
      <c r="T1350" s="67"/>
      <c r="U1350" s="67"/>
      <c r="V1350" s="67"/>
      <c r="W1350" s="67"/>
      <c r="X1350" s="67"/>
      <c r="Y1350" s="67"/>
      <c r="Z1350" s="67"/>
      <c r="AA1350" s="67"/>
      <c r="AB1350" s="67"/>
      <c r="AC1350" s="67"/>
    </row>
    <row r="1351">
      <c r="A1351" s="60"/>
      <c r="B1351" s="60"/>
      <c r="C1351" s="62"/>
      <c r="D1351" s="63"/>
      <c r="E1351" s="64"/>
      <c r="F1351" s="65"/>
      <c r="G1351" s="66"/>
      <c r="H1351" s="67"/>
      <c r="I1351" s="67"/>
      <c r="J1351" s="67"/>
      <c r="K1351" s="67"/>
      <c r="L1351" s="67"/>
      <c r="M1351" s="67"/>
      <c r="N1351" s="67"/>
      <c r="O1351" s="67"/>
      <c r="P1351" s="67"/>
      <c r="Q1351" s="67"/>
      <c r="R1351" s="67"/>
      <c r="S1351" s="67"/>
      <c r="T1351" s="67"/>
      <c r="U1351" s="67"/>
      <c r="V1351" s="67"/>
      <c r="W1351" s="67"/>
      <c r="X1351" s="67"/>
      <c r="Y1351" s="67"/>
      <c r="Z1351" s="67"/>
      <c r="AA1351" s="67"/>
      <c r="AB1351" s="67"/>
      <c r="AC1351" s="67"/>
    </row>
    <row r="1352">
      <c r="A1352" s="60"/>
      <c r="B1352" s="60"/>
      <c r="C1352" s="62"/>
      <c r="D1352" s="63"/>
      <c r="E1352" s="64"/>
      <c r="F1352" s="65"/>
      <c r="G1352" s="66"/>
      <c r="H1352" s="67"/>
      <c r="I1352" s="67"/>
      <c r="J1352" s="67"/>
      <c r="K1352" s="67"/>
      <c r="L1352" s="67"/>
      <c r="M1352" s="67"/>
      <c r="N1352" s="67"/>
      <c r="O1352" s="67"/>
      <c r="P1352" s="67"/>
      <c r="Q1352" s="67"/>
      <c r="R1352" s="67"/>
      <c r="S1352" s="67"/>
      <c r="T1352" s="67"/>
      <c r="U1352" s="67"/>
      <c r="V1352" s="67"/>
      <c r="W1352" s="67"/>
      <c r="X1352" s="67"/>
      <c r="Y1352" s="67"/>
      <c r="Z1352" s="67"/>
      <c r="AA1352" s="67"/>
      <c r="AB1352" s="67"/>
      <c r="AC1352" s="67"/>
    </row>
    <row r="1353">
      <c r="A1353" s="60"/>
      <c r="B1353" s="60"/>
      <c r="C1353" s="62"/>
      <c r="D1353" s="63"/>
      <c r="E1353" s="64"/>
      <c r="F1353" s="65"/>
      <c r="G1353" s="66"/>
      <c r="H1353" s="67"/>
      <c r="I1353" s="67"/>
      <c r="J1353" s="67"/>
      <c r="K1353" s="67"/>
      <c r="L1353" s="67"/>
      <c r="M1353" s="67"/>
      <c r="N1353" s="67"/>
      <c r="O1353" s="67"/>
      <c r="P1353" s="67"/>
      <c r="Q1353" s="67"/>
      <c r="R1353" s="67"/>
      <c r="S1353" s="67"/>
      <c r="T1353" s="67"/>
      <c r="U1353" s="67"/>
      <c r="V1353" s="67"/>
      <c r="W1353" s="67"/>
      <c r="X1353" s="67"/>
      <c r="Y1353" s="67"/>
      <c r="Z1353" s="67"/>
      <c r="AA1353" s="67"/>
      <c r="AB1353" s="67"/>
      <c r="AC1353" s="67"/>
    </row>
    <row r="1354">
      <c r="A1354" s="60"/>
      <c r="B1354" s="60"/>
      <c r="C1354" s="62"/>
      <c r="D1354" s="63"/>
      <c r="E1354" s="64"/>
      <c r="F1354" s="65"/>
      <c r="G1354" s="66"/>
      <c r="H1354" s="67"/>
      <c r="I1354" s="67"/>
      <c r="J1354" s="67"/>
      <c r="K1354" s="67"/>
      <c r="L1354" s="67"/>
      <c r="M1354" s="67"/>
      <c r="N1354" s="67"/>
      <c r="O1354" s="67"/>
      <c r="P1354" s="67"/>
      <c r="Q1354" s="67"/>
      <c r="R1354" s="67"/>
      <c r="S1354" s="67"/>
      <c r="T1354" s="67"/>
      <c r="U1354" s="67"/>
      <c r="V1354" s="67"/>
      <c r="W1354" s="67"/>
      <c r="X1354" s="67"/>
      <c r="Y1354" s="67"/>
      <c r="Z1354" s="67"/>
      <c r="AA1354" s="67"/>
      <c r="AB1354" s="67"/>
      <c r="AC1354" s="67"/>
    </row>
    <row r="1355">
      <c r="A1355" s="60"/>
      <c r="B1355" s="60"/>
      <c r="C1355" s="62"/>
      <c r="D1355" s="63"/>
      <c r="E1355" s="64"/>
      <c r="F1355" s="65"/>
      <c r="G1355" s="66"/>
      <c r="H1355" s="67"/>
      <c r="I1355" s="67"/>
      <c r="J1355" s="67"/>
      <c r="K1355" s="67"/>
      <c r="L1355" s="67"/>
      <c r="M1355" s="67"/>
      <c r="N1355" s="67"/>
      <c r="O1355" s="67"/>
      <c r="P1355" s="67"/>
      <c r="Q1355" s="67"/>
      <c r="R1355" s="67"/>
      <c r="S1355" s="67"/>
      <c r="T1355" s="67"/>
      <c r="U1355" s="67"/>
      <c r="V1355" s="67"/>
      <c r="W1355" s="67"/>
      <c r="X1355" s="67"/>
      <c r="Y1355" s="67"/>
      <c r="Z1355" s="67"/>
      <c r="AA1355" s="67"/>
      <c r="AB1355" s="67"/>
      <c r="AC1355" s="67"/>
    </row>
    <row r="1356">
      <c r="A1356" s="60"/>
      <c r="B1356" s="60"/>
      <c r="C1356" s="62"/>
      <c r="D1356" s="63"/>
      <c r="E1356" s="64"/>
      <c r="F1356" s="65"/>
      <c r="G1356" s="66"/>
      <c r="H1356" s="67"/>
      <c r="I1356" s="67"/>
      <c r="J1356" s="67"/>
      <c r="K1356" s="67"/>
      <c r="L1356" s="67"/>
      <c r="M1356" s="67"/>
      <c r="N1356" s="67"/>
      <c r="O1356" s="67"/>
      <c r="P1356" s="67"/>
      <c r="Q1356" s="67"/>
      <c r="R1356" s="67"/>
      <c r="S1356" s="67"/>
      <c r="T1356" s="67"/>
      <c r="U1356" s="67"/>
      <c r="V1356" s="67"/>
      <c r="W1356" s="67"/>
      <c r="X1356" s="67"/>
      <c r="Y1356" s="67"/>
      <c r="Z1356" s="67"/>
      <c r="AA1356" s="67"/>
      <c r="AB1356" s="67"/>
      <c r="AC1356" s="67"/>
    </row>
    <row r="1357">
      <c r="A1357" s="60"/>
      <c r="B1357" s="60"/>
      <c r="C1357" s="62"/>
      <c r="D1357" s="63"/>
      <c r="E1357" s="64"/>
      <c r="F1357" s="65"/>
      <c r="G1357" s="66"/>
      <c r="H1357" s="67"/>
      <c r="I1357" s="67"/>
      <c r="J1357" s="67"/>
      <c r="K1357" s="67"/>
      <c r="L1357" s="67"/>
      <c r="M1357" s="67"/>
      <c r="N1357" s="67"/>
      <c r="O1357" s="67"/>
      <c r="P1357" s="67"/>
      <c r="Q1357" s="67"/>
      <c r="R1357" s="67"/>
      <c r="S1357" s="67"/>
      <c r="T1357" s="67"/>
      <c r="U1357" s="67"/>
      <c r="V1357" s="67"/>
      <c r="W1357" s="67"/>
      <c r="X1357" s="67"/>
      <c r="Y1357" s="67"/>
      <c r="Z1357" s="67"/>
      <c r="AA1357" s="67"/>
      <c r="AB1357" s="67"/>
      <c r="AC1357" s="67"/>
    </row>
    <row r="1358">
      <c r="A1358" s="60"/>
      <c r="B1358" s="60"/>
      <c r="C1358" s="62"/>
      <c r="D1358" s="63"/>
      <c r="E1358" s="64"/>
      <c r="F1358" s="65"/>
      <c r="G1358" s="66"/>
      <c r="H1358" s="67"/>
      <c r="I1358" s="67"/>
      <c r="J1358" s="67"/>
      <c r="K1358" s="67"/>
      <c r="L1358" s="67"/>
      <c r="M1358" s="67"/>
      <c r="N1358" s="67"/>
      <c r="O1358" s="67"/>
      <c r="P1358" s="67"/>
      <c r="Q1358" s="67"/>
      <c r="R1358" s="67"/>
      <c r="S1358" s="67"/>
      <c r="T1358" s="67"/>
      <c r="U1358" s="67"/>
      <c r="V1358" s="67"/>
      <c r="W1358" s="67"/>
      <c r="X1358" s="67"/>
      <c r="Y1358" s="67"/>
      <c r="Z1358" s="67"/>
      <c r="AA1358" s="67"/>
      <c r="AB1358" s="67"/>
      <c r="AC1358" s="67"/>
    </row>
    <row r="1359">
      <c r="A1359" s="60"/>
      <c r="B1359" s="60"/>
      <c r="C1359" s="62"/>
      <c r="D1359" s="63"/>
      <c r="E1359" s="64"/>
      <c r="F1359" s="65"/>
      <c r="G1359" s="66"/>
      <c r="H1359" s="67"/>
      <c r="I1359" s="67"/>
      <c r="J1359" s="67"/>
      <c r="K1359" s="67"/>
      <c r="L1359" s="67"/>
      <c r="M1359" s="67"/>
      <c r="N1359" s="67"/>
      <c r="O1359" s="67"/>
      <c r="P1359" s="67"/>
      <c r="Q1359" s="67"/>
      <c r="R1359" s="67"/>
      <c r="S1359" s="67"/>
      <c r="T1359" s="67"/>
      <c r="U1359" s="67"/>
      <c r="V1359" s="67"/>
      <c r="W1359" s="67"/>
      <c r="X1359" s="67"/>
      <c r="Y1359" s="67"/>
      <c r="Z1359" s="67"/>
      <c r="AA1359" s="67"/>
      <c r="AB1359" s="67"/>
      <c r="AC1359" s="67"/>
    </row>
    <row r="1360">
      <c r="A1360" s="60"/>
      <c r="B1360" s="60"/>
      <c r="C1360" s="62"/>
      <c r="D1360" s="63"/>
      <c r="E1360" s="64"/>
      <c r="F1360" s="65"/>
      <c r="G1360" s="66"/>
      <c r="H1360" s="67"/>
      <c r="I1360" s="67"/>
      <c r="J1360" s="67"/>
      <c r="K1360" s="67"/>
      <c r="L1360" s="67"/>
      <c r="M1360" s="67"/>
      <c r="N1360" s="67"/>
      <c r="O1360" s="67"/>
      <c r="P1360" s="67"/>
      <c r="Q1360" s="67"/>
      <c r="R1360" s="67"/>
      <c r="S1360" s="67"/>
      <c r="T1360" s="67"/>
      <c r="U1360" s="67"/>
      <c r="V1360" s="67"/>
      <c r="W1360" s="67"/>
      <c r="X1360" s="67"/>
      <c r="Y1360" s="67"/>
      <c r="Z1360" s="67"/>
      <c r="AA1360" s="67"/>
      <c r="AB1360" s="67"/>
      <c r="AC1360" s="67"/>
    </row>
    <row r="1361">
      <c r="A1361" s="60"/>
      <c r="B1361" s="60"/>
      <c r="C1361" s="62"/>
      <c r="D1361" s="63"/>
      <c r="E1361" s="64"/>
      <c r="F1361" s="65"/>
      <c r="G1361" s="66"/>
      <c r="H1361" s="67"/>
      <c r="I1361" s="67"/>
      <c r="J1361" s="67"/>
      <c r="K1361" s="67"/>
      <c r="L1361" s="67"/>
      <c r="M1361" s="67"/>
      <c r="N1361" s="67"/>
      <c r="O1361" s="67"/>
      <c r="P1361" s="67"/>
      <c r="Q1361" s="67"/>
      <c r="R1361" s="67"/>
      <c r="S1361" s="67"/>
      <c r="T1361" s="67"/>
      <c r="U1361" s="67"/>
      <c r="V1361" s="67"/>
      <c r="W1361" s="67"/>
      <c r="X1361" s="67"/>
      <c r="Y1361" s="67"/>
      <c r="Z1361" s="67"/>
      <c r="AA1361" s="67"/>
      <c r="AB1361" s="67"/>
      <c r="AC1361" s="67"/>
    </row>
    <row r="1362">
      <c r="A1362" s="60"/>
      <c r="B1362" s="60"/>
      <c r="C1362" s="62"/>
      <c r="D1362" s="63"/>
      <c r="E1362" s="64"/>
      <c r="F1362" s="65"/>
      <c r="G1362" s="66"/>
      <c r="H1362" s="67"/>
      <c r="I1362" s="67"/>
      <c r="J1362" s="67"/>
      <c r="K1362" s="67"/>
      <c r="L1362" s="67"/>
      <c r="M1362" s="67"/>
      <c r="N1362" s="67"/>
      <c r="O1362" s="67"/>
      <c r="P1362" s="67"/>
      <c r="Q1362" s="67"/>
      <c r="R1362" s="67"/>
      <c r="S1362" s="67"/>
      <c r="T1362" s="67"/>
      <c r="U1362" s="67"/>
      <c r="V1362" s="67"/>
      <c r="W1362" s="67"/>
      <c r="X1362" s="67"/>
      <c r="Y1362" s="67"/>
      <c r="Z1362" s="67"/>
      <c r="AA1362" s="67"/>
      <c r="AB1362" s="67"/>
      <c r="AC1362" s="67"/>
    </row>
    <row r="1363">
      <c r="A1363" s="60"/>
      <c r="B1363" s="60"/>
      <c r="C1363" s="62"/>
      <c r="D1363" s="63"/>
      <c r="E1363" s="64"/>
      <c r="F1363" s="65"/>
      <c r="G1363" s="66"/>
      <c r="H1363" s="67"/>
      <c r="I1363" s="67"/>
      <c r="J1363" s="67"/>
      <c r="K1363" s="67"/>
      <c r="L1363" s="67"/>
      <c r="M1363" s="67"/>
      <c r="N1363" s="67"/>
      <c r="O1363" s="67"/>
      <c r="P1363" s="67"/>
      <c r="Q1363" s="67"/>
      <c r="R1363" s="67"/>
      <c r="S1363" s="67"/>
      <c r="T1363" s="67"/>
      <c r="U1363" s="67"/>
      <c r="V1363" s="67"/>
      <c r="W1363" s="67"/>
      <c r="X1363" s="67"/>
      <c r="Y1363" s="67"/>
      <c r="Z1363" s="67"/>
      <c r="AA1363" s="67"/>
      <c r="AB1363" s="67"/>
      <c r="AC1363" s="67"/>
    </row>
    <row r="1364">
      <c r="A1364" s="60"/>
      <c r="B1364" s="60"/>
      <c r="C1364" s="62"/>
      <c r="D1364" s="63"/>
      <c r="E1364" s="64"/>
      <c r="F1364" s="65"/>
      <c r="G1364" s="66"/>
      <c r="H1364" s="67"/>
      <c r="I1364" s="67"/>
      <c r="J1364" s="67"/>
      <c r="K1364" s="67"/>
      <c r="L1364" s="67"/>
      <c r="M1364" s="67"/>
      <c r="N1364" s="67"/>
      <c r="O1364" s="67"/>
      <c r="P1364" s="67"/>
      <c r="Q1364" s="67"/>
      <c r="R1364" s="67"/>
      <c r="S1364" s="67"/>
      <c r="T1364" s="67"/>
      <c r="U1364" s="67"/>
      <c r="V1364" s="67"/>
      <c r="W1364" s="67"/>
      <c r="X1364" s="67"/>
      <c r="Y1364" s="67"/>
      <c r="Z1364" s="67"/>
      <c r="AA1364" s="67"/>
      <c r="AB1364" s="67"/>
      <c r="AC1364" s="67"/>
    </row>
    <row r="1365">
      <c r="A1365" s="60"/>
      <c r="B1365" s="60"/>
      <c r="C1365" s="62"/>
      <c r="D1365" s="63"/>
      <c r="E1365" s="64"/>
      <c r="F1365" s="65"/>
      <c r="G1365" s="66"/>
      <c r="H1365" s="67"/>
      <c r="I1365" s="67"/>
      <c r="J1365" s="67"/>
      <c r="K1365" s="67"/>
      <c r="L1365" s="67"/>
      <c r="M1365" s="67"/>
      <c r="N1365" s="67"/>
      <c r="O1365" s="67"/>
      <c r="P1365" s="67"/>
      <c r="Q1365" s="67"/>
      <c r="R1365" s="67"/>
      <c r="S1365" s="67"/>
      <c r="T1365" s="67"/>
      <c r="U1365" s="67"/>
      <c r="V1365" s="67"/>
      <c r="W1365" s="67"/>
      <c r="X1365" s="67"/>
      <c r="Y1365" s="67"/>
      <c r="Z1365" s="67"/>
      <c r="AA1365" s="67"/>
      <c r="AB1365" s="67"/>
      <c r="AC1365" s="67"/>
    </row>
    <row r="1366">
      <c r="A1366" s="60"/>
      <c r="B1366" s="60"/>
      <c r="C1366" s="62"/>
      <c r="D1366" s="63"/>
      <c r="E1366" s="64"/>
      <c r="F1366" s="65"/>
      <c r="G1366" s="66"/>
      <c r="H1366" s="67"/>
      <c r="I1366" s="67"/>
      <c r="J1366" s="67"/>
      <c r="K1366" s="67"/>
      <c r="L1366" s="67"/>
      <c r="M1366" s="67"/>
      <c r="N1366" s="67"/>
      <c r="O1366" s="67"/>
      <c r="P1366" s="67"/>
      <c r="Q1366" s="67"/>
      <c r="R1366" s="67"/>
      <c r="S1366" s="67"/>
      <c r="T1366" s="67"/>
      <c r="U1366" s="67"/>
      <c r="V1366" s="67"/>
      <c r="W1366" s="67"/>
      <c r="X1366" s="67"/>
      <c r="Y1366" s="67"/>
      <c r="Z1366" s="67"/>
      <c r="AA1366" s="67"/>
      <c r="AB1366" s="67"/>
      <c r="AC1366" s="67"/>
    </row>
    <row r="1367">
      <c r="A1367" s="60"/>
      <c r="B1367" s="60"/>
      <c r="C1367" s="62"/>
      <c r="D1367" s="63"/>
      <c r="E1367" s="64"/>
      <c r="F1367" s="65"/>
      <c r="G1367" s="66"/>
      <c r="H1367" s="67"/>
      <c r="I1367" s="67"/>
      <c r="J1367" s="67"/>
      <c r="K1367" s="67"/>
      <c r="L1367" s="67"/>
      <c r="M1367" s="67"/>
      <c r="N1367" s="67"/>
      <c r="O1367" s="67"/>
      <c r="P1367" s="67"/>
      <c r="Q1367" s="67"/>
      <c r="R1367" s="67"/>
      <c r="S1367" s="67"/>
      <c r="T1367" s="67"/>
      <c r="U1367" s="67"/>
      <c r="V1367" s="67"/>
      <c r="W1367" s="67"/>
      <c r="X1367" s="67"/>
      <c r="Y1367" s="67"/>
      <c r="Z1367" s="67"/>
      <c r="AA1367" s="67"/>
      <c r="AB1367" s="67"/>
      <c r="AC1367" s="67"/>
    </row>
    <row r="1368">
      <c r="A1368" s="60"/>
      <c r="B1368" s="60"/>
      <c r="C1368" s="62"/>
      <c r="D1368" s="63"/>
      <c r="E1368" s="64"/>
      <c r="F1368" s="65"/>
      <c r="G1368" s="66"/>
      <c r="H1368" s="67"/>
      <c r="I1368" s="67"/>
      <c r="J1368" s="67"/>
      <c r="K1368" s="67"/>
      <c r="L1368" s="67"/>
      <c r="M1368" s="67"/>
      <c r="N1368" s="67"/>
      <c r="O1368" s="67"/>
      <c r="P1368" s="67"/>
      <c r="Q1368" s="67"/>
      <c r="R1368" s="67"/>
      <c r="S1368" s="67"/>
      <c r="T1368" s="67"/>
      <c r="U1368" s="67"/>
      <c r="V1368" s="67"/>
      <c r="W1368" s="67"/>
      <c r="X1368" s="67"/>
      <c r="Y1368" s="67"/>
      <c r="Z1368" s="67"/>
      <c r="AA1368" s="67"/>
      <c r="AB1368" s="67"/>
      <c r="AC1368" s="67"/>
    </row>
    <row r="1369">
      <c r="A1369" s="60"/>
      <c r="B1369" s="60"/>
      <c r="C1369" s="62"/>
      <c r="D1369" s="63"/>
      <c r="E1369" s="64"/>
      <c r="F1369" s="65"/>
      <c r="G1369" s="66"/>
      <c r="H1369" s="67"/>
      <c r="I1369" s="67"/>
      <c r="J1369" s="67"/>
      <c r="K1369" s="67"/>
      <c r="L1369" s="67"/>
      <c r="M1369" s="67"/>
      <c r="N1369" s="67"/>
      <c r="O1369" s="67"/>
      <c r="P1369" s="67"/>
      <c r="Q1369" s="67"/>
      <c r="R1369" s="67"/>
      <c r="S1369" s="67"/>
      <c r="T1369" s="67"/>
      <c r="U1369" s="67"/>
      <c r="V1369" s="67"/>
      <c r="W1369" s="67"/>
      <c r="X1369" s="67"/>
      <c r="Y1369" s="67"/>
      <c r="Z1369" s="67"/>
      <c r="AA1369" s="67"/>
      <c r="AB1369" s="67"/>
      <c r="AC1369" s="67"/>
    </row>
    <row r="1370">
      <c r="A1370" s="60"/>
      <c r="B1370" s="60"/>
      <c r="C1370" s="62"/>
      <c r="D1370" s="63"/>
      <c r="E1370" s="64"/>
      <c r="F1370" s="65"/>
      <c r="G1370" s="66"/>
      <c r="H1370" s="67"/>
      <c r="I1370" s="67"/>
      <c r="J1370" s="67"/>
      <c r="K1370" s="67"/>
      <c r="L1370" s="67"/>
      <c r="M1370" s="67"/>
      <c r="N1370" s="67"/>
      <c r="O1370" s="67"/>
      <c r="P1370" s="67"/>
      <c r="Q1370" s="67"/>
      <c r="R1370" s="67"/>
      <c r="S1370" s="67"/>
      <c r="T1370" s="67"/>
      <c r="U1370" s="67"/>
      <c r="V1370" s="67"/>
      <c r="W1370" s="67"/>
      <c r="X1370" s="67"/>
      <c r="Y1370" s="67"/>
      <c r="Z1370" s="67"/>
      <c r="AA1370" s="67"/>
      <c r="AB1370" s="67"/>
      <c r="AC1370" s="67"/>
    </row>
    <row r="1371">
      <c r="A1371" s="60"/>
      <c r="B1371" s="60"/>
      <c r="C1371" s="62"/>
      <c r="D1371" s="63"/>
      <c r="E1371" s="64"/>
      <c r="F1371" s="65"/>
      <c r="G1371" s="66"/>
      <c r="H1371" s="67"/>
      <c r="I1371" s="67"/>
      <c r="J1371" s="67"/>
      <c r="K1371" s="67"/>
      <c r="L1371" s="67"/>
      <c r="M1371" s="67"/>
      <c r="N1371" s="67"/>
      <c r="O1371" s="67"/>
      <c r="P1371" s="67"/>
      <c r="Q1371" s="67"/>
      <c r="R1371" s="67"/>
      <c r="S1371" s="67"/>
      <c r="T1371" s="67"/>
      <c r="U1371" s="67"/>
      <c r="V1371" s="67"/>
      <c r="W1371" s="67"/>
      <c r="X1371" s="67"/>
      <c r="Y1371" s="67"/>
      <c r="Z1371" s="67"/>
      <c r="AA1371" s="67"/>
      <c r="AB1371" s="67"/>
      <c r="AC1371" s="67"/>
    </row>
  </sheetData>
  <autoFilter ref="$A$1:$G$1371">
    <sortState ref="A1:G1371">
      <sortCondition ref="A1:A1371"/>
      <sortCondition ref="G1:G1371"/>
    </sortState>
  </autoFilter>
  <dataValidations>
    <dataValidation type="list" allowBlank="1" showErrorMessage="1" sqref="D2:D1371">
      <formula1>"g,ml,Stk"</formula1>
    </dataValidation>
    <dataValidation type="decimal" allowBlank="1" showDropDown="1" showErrorMessage="1" sqref="E2:E1371">
      <formula1>0.0</formula1>
      <formula2>1.0</formula2>
    </dataValidation>
    <dataValidation type="list" allowBlank="1" showErrorMessage="1" sqref="A2:A1371">
      <formula1>Speisekarte!$A$2:$A1371</formula1>
    </dataValidation>
    <dataValidation type="list" allowBlank="1" showErrorMessage="1" sqref="B2:B1371">
      <formula1>Zutaten!$C$2:$C1371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2.38"/>
    <col customWidth="1" min="2" max="2" width="10.0"/>
    <col customWidth="1" min="3" max="3" width="9.25"/>
    <col customWidth="1" min="5" max="5" width="6.88"/>
  </cols>
  <sheetData>
    <row r="1">
      <c r="A1" s="94" t="s">
        <v>44</v>
      </c>
      <c r="B1" s="94" t="s">
        <v>568</v>
      </c>
      <c r="C1" s="94" t="s">
        <v>569</v>
      </c>
      <c r="D1" s="94" t="s">
        <v>570</v>
      </c>
      <c r="E1" s="94" t="s">
        <v>571</v>
      </c>
      <c r="F1" s="94" t="s">
        <v>6</v>
      </c>
      <c r="G1" s="94" t="s">
        <v>572</v>
      </c>
      <c r="H1" s="94" t="s">
        <v>4</v>
      </c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</row>
    <row r="2">
      <c r="A2" s="18" t="s">
        <v>573</v>
      </c>
      <c r="B2" s="18">
        <v>40.0</v>
      </c>
      <c r="C2" s="96">
        <f>B2*VLOOKUP(A2,'Getränke'!A:D,4,false)</f>
        <v>0.4028571429</v>
      </c>
      <c r="D2" s="97">
        <v>4.0</v>
      </c>
      <c r="E2" s="97">
        <v>0.19</v>
      </c>
      <c r="F2" s="96">
        <f t="shared" ref="F2:F4" si="1">C2*D2*(1+E2)</f>
        <v>1.9176</v>
      </c>
      <c r="G2" s="98">
        <v>3.0</v>
      </c>
      <c r="H2" s="99">
        <f t="shared" ref="H2:H4" si="2">G2/(1+E2)/C2</f>
        <v>6.257822278</v>
      </c>
    </row>
    <row r="3">
      <c r="A3" s="18" t="s">
        <v>573</v>
      </c>
      <c r="B3" s="18">
        <v>20.0</v>
      </c>
      <c r="C3" s="96">
        <f>B3*VLOOKUP(A3,'Getränke'!A:D,4,false)</f>
        <v>0.2014285714</v>
      </c>
      <c r="D3" s="97">
        <v>4.0</v>
      </c>
      <c r="E3" s="97">
        <v>0.19</v>
      </c>
      <c r="F3" s="96">
        <f t="shared" si="1"/>
        <v>0.9588</v>
      </c>
      <c r="G3" s="98">
        <v>1.0</v>
      </c>
      <c r="H3" s="99">
        <f t="shared" si="2"/>
        <v>4.171881519</v>
      </c>
    </row>
    <row r="4">
      <c r="A4" s="18" t="s">
        <v>574</v>
      </c>
      <c r="B4" s="18">
        <v>20.0</v>
      </c>
      <c r="C4" s="96">
        <f>B4*VLOOKUP(A4,'Getränke'!A:D,4,false)</f>
        <v>0.3114285714</v>
      </c>
      <c r="D4" s="97">
        <v>4.0</v>
      </c>
      <c r="E4" s="97">
        <v>0.19</v>
      </c>
      <c r="F4" s="96">
        <f t="shared" si="1"/>
        <v>1.4824</v>
      </c>
      <c r="G4" s="98">
        <v>1.0</v>
      </c>
      <c r="H4" s="99">
        <f t="shared" si="2"/>
        <v>2.698327037</v>
      </c>
    </row>
    <row r="5">
      <c r="A5" s="69"/>
    </row>
    <row r="6">
      <c r="A6" s="69"/>
    </row>
    <row r="7">
      <c r="A7" s="69"/>
    </row>
    <row r="8">
      <c r="A8" s="69"/>
    </row>
    <row r="9">
      <c r="A9" s="69"/>
    </row>
    <row r="10">
      <c r="A10" s="69"/>
    </row>
    <row r="11">
      <c r="A11" s="69"/>
    </row>
    <row r="12">
      <c r="A12" s="69"/>
    </row>
    <row r="13">
      <c r="A13" s="69"/>
    </row>
    <row r="14">
      <c r="A14" s="69"/>
    </row>
    <row r="15">
      <c r="A15" s="69"/>
    </row>
    <row r="16">
      <c r="A16" s="69"/>
    </row>
    <row r="17">
      <c r="A17" s="69"/>
    </row>
    <row r="18">
      <c r="A18" s="69"/>
    </row>
    <row r="19">
      <c r="A19" s="69"/>
    </row>
    <row r="20">
      <c r="A20" s="69"/>
    </row>
    <row r="21">
      <c r="A21" s="69"/>
    </row>
    <row r="22">
      <c r="A22" s="69"/>
    </row>
    <row r="23">
      <c r="A23" s="69"/>
    </row>
    <row r="24">
      <c r="A24" s="69"/>
    </row>
    <row r="25">
      <c r="A25" s="69"/>
    </row>
    <row r="26">
      <c r="A26" s="69"/>
    </row>
    <row r="27">
      <c r="A27" s="69"/>
    </row>
    <row r="28">
      <c r="A28" s="69"/>
    </row>
    <row r="29">
      <c r="A29" s="69"/>
    </row>
    <row r="30">
      <c r="A30" s="69"/>
    </row>
    <row r="31">
      <c r="A31" s="69"/>
    </row>
    <row r="32">
      <c r="A32" s="69"/>
    </row>
    <row r="33">
      <c r="A33" s="69"/>
    </row>
    <row r="34">
      <c r="A34" s="69"/>
    </row>
    <row r="35">
      <c r="A35" s="69"/>
    </row>
    <row r="36">
      <c r="A36" s="69"/>
    </row>
    <row r="37">
      <c r="A37" s="69"/>
    </row>
    <row r="38">
      <c r="A38" s="69"/>
    </row>
    <row r="39">
      <c r="A39" s="69"/>
    </row>
    <row r="40">
      <c r="A40" s="69"/>
    </row>
    <row r="41">
      <c r="A41" s="69"/>
    </row>
    <row r="42">
      <c r="A42" s="69"/>
    </row>
    <row r="43">
      <c r="A43" s="69"/>
    </row>
    <row r="44">
      <c r="A44" s="69"/>
    </row>
    <row r="45">
      <c r="A45" s="69"/>
    </row>
    <row r="46">
      <c r="A46" s="69"/>
    </row>
    <row r="47">
      <c r="A47" s="69"/>
    </row>
    <row r="48">
      <c r="A48" s="69"/>
    </row>
    <row r="49">
      <c r="A49" s="69"/>
    </row>
    <row r="50">
      <c r="A50" s="69"/>
    </row>
    <row r="51">
      <c r="A51" s="69"/>
    </row>
    <row r="52">
      <c r="A52" s="69"/>
    </row>
    <row r="53">
      <c r="A53" s="69"/>
    </row>
    <row r="54">
      <c r="A54" s="69"/>
    </row>
    <row r="55">
      <c r="A55" s="69"/>
    </row>
    <row r="56">
      <c r="A56" s="69"/>
    </row>
    <row r="57">
      <c r="A57" s="69"/>
    </row>
    <row r="58">
      <c r="A58" s="69"/>
    </row>
    <row r="59">
      <c r="A59" s="69"/>
    </row>
    <row r="60">
      <c r="A60" s="69"/>
    </row>
    <row r="61">
      <c r="A61" s="69"/>
    </row>
    <row r="62">
      <c r="A62" s="69"/>
    </row>
    <row r="63">
      <c r="A63" s="69"/>
    </row>
    <row r="64">
      <c r="A64" s="69"/>
    </row>
    <row r="65">
      <c r="A65" s="69"/>
    </row>
    <row r="66">
      <c r="A66" s="69"/>
    </row>
    <row r="67">
      <c r="A67" s="69"/>
    </row>
    <row r="68">
      <c r="A68" s="69"/>
    </row>
    <row r="69">
      <c r="A69" s="69"/>
    </row>
    <row r="70">
      <c r="A70" s="69"/>
    </row>
    <row r="71">
      <c r="A71" s="69"/>
    </row>
    <row r="72">
      <c r="A72" s="69"/>
    </row>
    <row r="73">
      <c r="A73" s="69"/>
    </row>
    <row r="74">
      <c r="A74" s="69"/>
    </row>
    <row r="75">
      <c r="A75" s="69"/>
    </row>
    <row r="76">
      <c r="A76" s="69"/>
    </row>
    <row r="77">
      <c r="A77" s="69"/>
    </row>
    <row r="78">
      <c r="A78" s="69"/>
    </row>
    <row r="79">
      <c r="A79" s="69"/>
    </row>
    <row r="80">
      <c r="A80" s="69"/>
    </row>
    <row r="81">
      <c r="A81" s="69"/>
    </row>
    <row r="82">
      <c r="A82" s="69"/>
    </row>
    <row r="83">
      <c r="A83" s="69"/>
    </row>
    <row r="84">
      <c r="A84" s="69"/>
    </row>
    <row r="85">
      <c r="A85" s="69"/>
    </row>
    <row r="86">
      <c r="A86" s="69"/>
    </row>
    <row r="87">
      <c r="A87" s="69"/>
    </row>
    <row r="88">
      <c r="A88" s="69"/>
    </row>
    <row r="89">
      <c r="A89" s="69"/>
    </row>
    <row r="90">
      <c r="A90" s="69"/>
    </row>
    <row r="91">
      <c r="A91" s="69"/>
    </row>
    <row r="92">
      <c r="A92" s="69"/>
    </row>
    <row r="93">
      <c r="A93" s="69"/>
    </row>
    <row r="94">
      <c r="A94" s="69"/>
    </row>
    <row r="95">
      <c r="A95" s="69"/>
    </row>
    <row r="96">
      <c r="A96" s="69"/>
    </row>
    <row r="97">
      <c r="A97" s="69"/>
    </row>
    <row r="98">
      <c r="A98" s="69"/>
    </row>
    <row r="99">
      <c r="A99" s="69"/>
    </row>
    <row r="100">
      <c r="A100" s="69"/>
    </row>
    <row r="101">
      <c r="A101" s="69"/>
    </row>
    <row r="102">
      <c r="A102" s="69"/>
    </row>
    <row r="103">
      <c r="A103" s="69"/>
    </row>
    <row r="104">
      <c r="A104" s="69"/>
    </row>
    <row r="105">
      <c r="A105" s="69"/>
    </row>
    <row r="106">
      <c r="A106" s="69"/>
    </row>
    <row r="107">
      <c r="A107" s="69"/>
    </row>
    <row r="108">
      <c r="A108" s="69"/>
    </row>
    <row r="109">
      <c r="A109" s="69"/>
    </row>
    <row r="110">
      <c r="A110" s="69"/>
    </row>
    <row r="111">
      <c r="A111" s="69"/>
    </row>
    <row r="112">
      <c r="A112" s="69"/>
    </row>
    <row r="113">
      <c r="A113" s="69"/>
    </row>
    <row r="114">
      <c r="A114" s="69"/>
    </row>
    <row r="115">
      <c r="A115" s="69"/>
    </row>
    <row r="116">
      <c r="A116" s="69"/>
    </row>
    <row r="117">
      <c r="A117" s="69"/>
    </row>
    <row r="118">
      <c r="A118" s="69"/>
    </row>
    <row r="119">
      <c r="A119" s="69"/>
    </row>
    <row r="120">
      <c r="A120" s="69"/>
    </row>
    <row r="121">
      <c r="A121" s="69"/>
    </row>
    <row r="122">
      <c r="A122" s="69"/>
    </row>
    <row r="123">
      <c r="A123" s="69"/>
    </row>
    <row r="124">
      <c r="A124" s="69"/>
    </row>
    <row r="125">
      <c r="A125" s="69"/>
    </row>
    <row r="126">
      <c r="A126" s="69"/>
    </row>
    <row r="127">
      <c r="A127" s="69"/>
    </row>
    <row r="128">
      <c r="A128" s="69"/>
    </row>
    <row r="129">
      <c r="A129" s="69"/>
    </row>
    <row r="130">
      <c r="A130" s="69"/>
    </row>
    <row r="131">
      <c r="A131" s="69"/>
    </row>
    <row r="132">
      <c r="A132" s="69"/>
    </row>
    <row r="133">
      <c r="A133" s="69"/>
    </row>
    <row r="134">
      <c r="A134" s="69"/>
    </row>
    <row r="135">
      <c r="A135" s="69"/>
    </row>
    <row r="136">
      <c r="A136" s="69"/>
    </row>
    <row r="137">
      <c r="A137" s="69"/>
    </row>
    <row r="138">
      <c r="A138" s="69"/>
    </row>
    <row r="139">
      <c r="A139" s="69"/>
    </row>
    <row r="140">
      <c r="A140" s="69"/>
    </row>
    <row r="141">
      <c r="A141" s="69"/>
    </row>
    <row r="142">
      <c r="A142" s="69"/>
    </row>
    <row r="143">
      <c r="A143" s="69"/>
    </row>
    <row r="144">
      <c r="A144" s="69"/>
    </row>
    <row r="145">
      <c r="A145" s="69"/>
    </row>
    <row r="146">
      <c r="A146" s="69"/>
    </row>
    <row r="147">
      <c r="A147" s="69"/>
    </row>
    <row r="148">
      <c r="A148" s="69"/>
    </row>
    <row r="149">
      <c r="A149" s="69"/>
    </row>
    <row r="150">
      <c r="A150" s="69"/>
    </row>
    <row r="151">
      <c r="A151" s="69"/>
    </row>
    <row r="152">
      <c r="A152" s="69"/>
    </row>
    <row r="153">
      <c r="A153" s="69"/>
    </row>
    <row r="154">
      <c r="A154" s="69"/>
    </row>
    <row r="155">
      <c r="A155" s="69"/>
    </row>
    <row r="156">
      <c r="A156" s="69"/>
    </row>
    <row r="157">
      <c r="A157" s="69"/>
    </row>
    <row r="158">
      <c r="A158" s="69"/>
    </row>
    <row r="159">
      <c r="A159" s="69"/>
    </row>
    <row r="160">
      <c r="A160" s="69"/>
    </row>
    <row r="161">
      <c r="A161" s="69"/>
    </row>
    <row r="162">
      <c r="A162" s="69"/>
    </row>
    <row r="163">
      <c r="A163" s="69"/>
    </row>
    <row r="164">
      <c r="A164" s="69"/>
    </row>
    <row r="165">
      <c r="A165" s="69"/>
    </row>
    <row r="166">
      <c r="A166" s="69"/>
    </row>
    <row r="167">
      <c r="A167" s="69"/>
    </row>
    <row r="168">
      <c r="A168" s="69"/>
    </row>
    <row r="169">
      <c r="A169" s="69"/>
    </row>
    <row r="170">
      <c r="A170" s="69"/>
    </row>
    <row r="171">
      <c r="A171" s="69"/>
    </row>
    <row r="172">
      <c r="A172" s="69"/>
    </row>
    <row r="173">
      <c r="A173" s="69"/>
    </row>
    <row r="174">
      <c r="A174" s="69"/>
    </row>
    <row r="175">
      <c r="A175" s="69"/>
    </row>
    <row r="176">
      <c r="A176" s="69"/>
    </row>
    <row r="177">
      <c r="A177" s="69"/>
    </row>
    <row r="178">
      <c r="A178" s="69"/>
    </row>
    <row r="179">
      <c r="A179" s="69"/>
    </row>
    <row r="180">
      <c r="A180" s="69"/>
    </row>
    <row r="181">
      <c r="A181" s="69"/>
    </row>
    <row r="182">
      <c r="A182" s="69"/>
    </row>
    <row r="183">
      <c r="A183" s="69"/>
    </row>
    <row r="184">
      <c r="A184" s="69"/>
    </row>
    <row r="185">
      <c r="A185" s="69"/>
    </row>
    <row r="186">
      <c r="A186" s="69"/>
    </row>
    <row r="187">
      <c r="A187" s="69"/>
    </row>
    <row r="188">
      <c r="A188" s="69"/>
    </row>
    <row r="189">
      <c r="A189" s="69"/>
    </row>
    <row r="190">
      <c r="A190" s="69"/>
    </row>
    <row r="191">
      <c r="A191" s="69"/>
    </row>
    <row r="192">
      <c r="A192" s="69"/>
    </row>
    <row r="193">
      <c r="A193" s="69"/>
    </row>
    <row r="194">
      <c r="A194" s="69"/>
    </row>
    <row r="195">
      <c r="A195" s="69"/>
    </row>
    <row r="196">
      <c r="A196" s="69"/>
    </row>
    <row r="197">
      <c r="A197" s="69"/>
    </row>
    <row r="198">
      <c r="A198" s="69"/>
    </row>
    <row r="199">
      <c r="A199" s="69"/>
    </row>
    <row r="200">
      <c r="A200" s="69"/>
    </row>
    <row r="201">
      <c r="A201" s="69"/>
    </row>
    <row r="202">
      <c r="A202" s="69"/>
    </row>
    <row r="203">
      <c r="A203" s="69"/>
    </row>
    <row r="204">
      <c r="A204" s="69"/>
    </row>
    <row r="205">
      <c r="A205" s="69"/>
    </row>
    <row r="206">
      <c r="A206" s="69"/>
    </row>
    <row r="207">
      <c r="A207" s="69"/>
    </row>
    <row r="208">
      <c r="A208" s="69"/>
    </row>
    <row r="209">
      <c r="A209" s="69"/>
    </row>
    <row r="210">
      <c r="A210" s="69"/>
    </row>
    <row r="211">
      <c r="A211" s="69"/>
    </row>
    <row r="212">
      <c r="A212" s="69"/>
    </row>
    <row r="213">
      <c r="A213" s="69"/>
    </row>
    <row r="214">
      <c r="A214" s="69"/>
    </row>
    <row r="215">
      <c r="A215" s="69"/>
    </row>
    <row r="216">
      <c r="A216" s="69"/>
    </row>
    <row r="217">
      <c r="A217" s="69"/>
    </row>
    <row r="218">
      <c r="A218" s="69"/>
    </row>
    <row r="219">
      <c r="A219" s="69"/>
    </row>
    <row r="220">
      <c r="A220" s="69"/>
    </row>
    <row r="221">
      <c r="A221" s="69"/>
    </row>
    <row r="222">
      <c r="A222" s="69"/>
    </row>
    <row r="223">
      <c r="A223" s="69"/>
    </row>
    <row r="224">
      <c r="A224" s="69"/>
    </row>
    <row r="225">
      <c r="A225" s="69"/>
    </row>
    <row r="226">
      <c r="A226" s="69"/>
    </row>
    <row r="227">
      <c r="A227" s="69"/>
    </row>
    <row r="228">
      <c r="A228" s="69"/>
    </row>
    <row r="229">
      <c r="A229" s="69"/>
    </row>
    <row r="230">
      <c r="A230" s="69"/>
    </row>
    <row r="231">
      <c r="A231" s="69"/>
    </row>
    <row r="232">
      <c r="A232" s="69"/>
    </row>
    <row r="233">
      <c r="A233" s="69"/>
    </row>
    <row r="234">
      <c r="A234" s="69"/>
    </row>
    <row r="235">
      <c r="A235" s="69"/>
    </row>
    <row r="236">
      <c r="A236" s="69"/>
    </row>
    <row r="237">
      <c r="A237" s="69"/>
    </row>
    <row r="238">
      <c r="A238" s="69"/>
    </row>
    <row r="239">
      <c r="A239" s="69"/>
    </row>
    <row r="240">
      <c r="A240" s="69"/>
    </row>
    <row r="241">
      <c r="A241" s="69"/>
    </row>
    <row r="242">
      <c r="A242" s="69"/>
    </row>
    <row r="243">
      <c r="A243" s="69"/>
    </row>
    <row r="244">
      <c r="A244" s="69"/>
    </row>
    <row r="245">
      <c r="A245" s="69"/>
    </row>
    <row r="246">
      <c r="A246" s="69"/>
    </row>
    <row r="247">
      <c r="A247" s="69"/>
    </row>
    <row r="248">
      <c r="A248" s="69"/>
    </row>
    <row r="249">
      <c r="A249" s="69"/>
    </row>
    <row r="250">
      <c r="A250" s="69"/>
    </row>
    <row r="251">
      <c r="A251" s="69"/>
    </row>
    <row r="252">
      <c r="A252" s="69"/>
    </row>
    <row r="253">
      <c r="A253" s="69"/>
    </row>
    <row r="254">
      <c r="A254" s="69"/>
    </row>
    <row r="255">
      <c r="A255" s="69"/>
    </row>
    <row r="256">
      <c r="A256" s="69"/>
    </row>
    <row r="257">
      <c r="A257" s="69"/>
    </row>
    <row r="258">
      <c r="A258" s="69"/>
    </row>
    <row r="259">
      <c r="A259" s="69"/>
    </row>
    <row r="260">
      <c r="A260" s="69"/>
    </row>
    <row r="261">
      <c r="A261" s="69"/>
    </row>
    <row r="262">
      <c r="A262" s="69"/>
    </row>
    <row r="263">
      <c r="A263" s="69"/>
    </row>
    <row r="264">
      <c r="A264" s="69"/>
    </row>
    <row r="265">
      <c r="A265" s="69"/>
    </row>
    <row r="266">
      <c r="A266" s="69"/>
    </row>
    <row r="267">
      <c r="A267" s="69"/>
    </row>
    <row r="268">
      <c r="A268" s="69"/>
    </row>
    <row r="269">
      <c r="A269" s="69"/>
    </row>
    <row r="270">
      <c r="A270" s="69"/>
    </row>
    <row r="271">
      <c r="A271" s="69"/>
    </row>
    <row r="272">
      <c r="A272" s="69"/>
    </row>
    <row r="273">
      <c r="A273" s="69"/>
    </row>
    <row r="274">
      <c r="A274" s="69"/>
    </row>
    <row r="275">
      <c r="A275" s="69"/>
    </row>
    <row r="276">
      <c r="A276" s="69"/>
    </row>
    <row r="277">
      <c r="A277" s="69"/>
    </row>
    <row r="278">
      <c r="A278" s="69"/>
    </row>
    <row r="279">
      <c r="A279" s="69"/>
    </row>
    <row r="280">
      <c r="A280" s="69"/>
    </row>
    <row r="281">
      <c r="A281" s="69"/>
    </row>
    <row r="282">
      <c r="A282" s="69"/>
    </row>
    <row r="283">
      <c r="A283" s="69"/>
    </row>
    <row r="284">
      <c r="A284" s="69"/>
    </row>
    <row r="285">
      <c r="A285" s="69"/>
    </row>
    <row r="286">
      <c r="A286" s="69"/>
    </row>
    <row r="287">
      <c r="A287" s="69"/>
    </row>
    <row r="288">
      <c r="A288" s="69"/>
    </row>
    <row r="289">
      <c r="A289" s="69"/>
    </row>
    <row r="290">
      <c r="A290" s="69"/>
    </row>
    <row r="291">
      <c r="A291" s="69"/>
    </row>
    <row r="292">
      <c r="A292" s="69"/>
    </row>
    <row r="293">
      <c r="A293" s="69"/>
    </row>
    <row r="294">
      <c r="A294" s="69"/>
    </row>
    <row r="295">
      <c r="A295" s="69"/>
    </row>
    <row r="296">
      <c r="A296" s="69"/>
    </row>
    <row r="297">
      <c r="A297" s="69"/>
    </row>
    <row r="298">
      <c r="A298" s="69"/>
    </row>
    <row r="299">
      <c r="A299" s="69"/>
    </row>
    <row r="300">
      <c r="A300" s="69"/>
    </row>
    <row r="301">
      <c r="A301" s="69"/>
    </row>
    <row r="302">
      <c r="A302" s="69"/>
    </row>
    <row r="303">
      <c r="A303" s="69"/>
    </row>
    <row r="304">
      <c r="A304" s="69"/>
    </row>
    <row r="305">
      <c r="A305" s="69"/>
    </row>
    <row r="306">
      <c r="A306" s="69"/>
    </row>
    <row r="307">
      <c r="A307" s="69"/>
    </row>
    <row r="308">
      <c r="A308" s="69"/>
    </row>
    <row r="309">
      <c r="A309" s="69"/>
    </row>
    <row r="310">
      <c r="A310" s="69"/>
    </row>
    <row r="311">
      <c r="A311" s="69"/>
    </row>
    <row r="312">
      <c r="A312" s="69"/>
    </row>
    <row r="313">
      <c r="A313" s="69"/>
    </row>
    <row r="314">
      <c r="A314" s="69"/>
    </row>
    <row r="315">
      <c r="A315" s="69"/>
    </row>
    <row r="316">
      <c r="A316" s="69"/>
    </row>
    <row r="317">
      <c r="A317" s="69"/>
    </row>
    <row r="318">
      <c r="A318" s="69"/>
    </row>
    <row r="319">
      <c r="A319" s="69"/>
    </row>
    <row r="320">
      <c r="A320" s="69"/>
    </row>
    <row r="321">
      <c r="A321" s="69"/>
    </row>
    <row r="322">
      <c r="A322" s="69"/>
    </row>
    <row r="323">
      <c r="A323" s="69"/>
    </row>
    <row r="324">
      <c r="A324" s="69"/>
    </row>
    <row r="325">
      <c r="A325" s="69"/>
    </row>
    <row r="326">
      <c r="A326" s="69"/>
    </row>
    <row r="327">
      <c r="A327" s="69"/>
    </row>
    <row r="328">
      <c r="A328" s="69"/>
    </row>
    <row r="329">
      <c r="A329" s="69"/>
    </row>
    <row r="330">
      <c r="A330" s="69"/>
    </row>
    <row r="331">
      <c r="A331" s="69"/>
    </row>
    <row r="332">
      <c r="A332" s="69"/>
    </row>
    <row r="333">
      <c r="A333" s="69"/>
    </row>
    <row r="334">
      <c r="A334" s="69"/>
    </row>
    <row r="335">
      <c r="A335" s="69"/>
    </row>
    <row r="336">
      <c r="A336" s="69"/>
    </row>
    <row r="337">
      <c r="A337" s="69"/>
    </row>
    <row r="338">
      <c r="A338" s="69"/>
    </row>
    <row r="339">
      <c r="A339" s="69"/>
    </row>
    <row r="340">
      <c r="A340" s="69"/>
    </row>
    <row r="341">
      <c r="A341" s="69"/>
    </row>
    <row r="342">
      <c r="A342" s="69"/>
    </row>
    <row r="343">
      <c r="A343" s="69"/>
    </row>
    <row r="344">
      <c r="A344" s="69"/>
    </row>
    <row r="345">
      <c r="A345" s="69"/>
    </row>
    <row r="346">
      <c r="A346" s="69"/>
    </row>
    <row r="347">
      <c r="A347" s="69"/>
    </row>
    <row r="348">
      <c r="A348" s="69"/>
    </row>
    <row r="349">
      <c r="A349" s="69"/>
    </row>
    <row r="350">
      <c r="A350" s="69"/>
    </row>
    <row r="351">
      <c r="A351" s="69"/>
    </row>
    <row r="352">
      <c r="A352" s="69"/>
    </row>
    <row r="353">
      <c r="A353" s="69"/>
    </row>
    <row r="354">
      <c r="A354" s="69"/>
    </row>
    <row r="355">
      <c r="A355" s="69"/>
    </row>
    <row r="356">
      <c r="A356" s="69"/>
    </row>
    <row r="357">
      <c r="A357" s="69"/>
    </row>
    <row r="358">
      <c r="A358" s="69"/>
    </row>
    <row r="359">
      <c r="A359" s="69"/>
    </row>
    <row r="360">
      <c r="A360" s="69"/>
    </row>
    <row r="361">
      <c r="A361" s="69"/>
    </row>
    <row r="362">
      <c r="A362" s="69"/>
    </row>
    <row r="363">
      <c r="A363" s="69"/>
    </row>
    <row r="364">
      <c r="A364" s="69"/>
    </row>
    <row r="365">
      <c r="A365" s="69"/>
    </row>
    <row r="366">
      <c r="A366" s="69"/>
    </row>
    <row r="367">
      <c r="A367" s="69"/>
    </row>
    <row r="368">
      <c r="A368" s="69"/>
    </row>
    <row r="369">
      <c r="A369" s="69"/>
    </row>
    <row r="370">
      <c r="A370" s="69"/>
    </row>
    <row r="371">
      <c r="A371" s="69"/>
    </row>
    <row r="372">
      <c r="A372" s="69"/>
    </row>
    <row r="373">
      <c r="A373" s="69"/>
    </row>
    <row r="374">
      <c r="A374" s="69"/>
    </row>
    <row r="375">
      <c r="A375" s="69"/>
    </row>
    <row r="376">
      <c r="A376" s="69"/>
    </row>
    <row r="377">
      <c r="A377" s="69"/>
    </row>
    <row r="378">
      <c r="A378" s="69"/>
    </row>
    <row r="379">
      <c r="A379" s="69"/>
    </row>
    <row r="380">
      <c r="A380" s="69"/>
    </row>
    <row r="381">
      <c r="A381" s="69"/>
    </row>
    <row r="382">
      <c r="A382" s="69"/>
    </row>
    <row r="383">
      <c r="A383" s="69"/>
    </row>
    <row r="384">
      <c r="A384" s="69"/>
    </row>
    <row r="385">
      <c r="A385" s="69"/>
    </row>
    <row r="386">
      <c r="A386" s="69"/>
    </row>
    <row r="387">
      <c r="A387" s="69"/>
    </row>
    <row r="388">
      <c r="A388" s="69"/>
    </row>
    <row r="389">
      <c r="A389" s="69"/>
    </row>
    <row r="390">
      <c r="A390" s="69"/>
    </row>
    <row r="391">
      <c r="A391" s="69"/>
    </row>
    <row r="392">
      <c r="A392" s="69"/>
    </row>
    <row r="393">
      <c r="A393" s="69"/>
    </row>
    <row r="394">
      <c r="A394" s="69"/>
    </row>
    <row r="395">
      <c r="A395" s="69"/>
    </row>
    <row r="396">
      <c r="A396" s="69"/>
    </row>
    <row r="397">
      <c r="A397" s="69"/>
    </row>
    <row r="398">
      <c r="A398" s="69"/>
    </row>
    <row r="399">
      <c r="A399" s="69"/>
    </row>
    <row r="400">
      <c r="A400" s="69"/>
    </row>
    <row r="401">
      <c r="A401" s="69"/>
    </row>
    <row r="402">
      <c r="A402" s="69"/>
    </row>
    <row r="403">
      <c r="A403" s="69"/>
    </row>
    <row r="404">
      <c r="A404" s="69"/>
    </row>
    <row r="405">
      <c r="A405" s="69"/>
    </row>
    <row r="406">
      <c r="A406" s="69"/>
    </row>
    <row r="407">
      <c r="A407" s="69"/>
    </row>
    <row r="408">
      <c r="A408" s="69"/>
    </row>
    <row r="409">
      <c r="A409" s="69"/>
    </row>
    <row r="410">
      <c r="A410" s="69"/>
    </row>
    <row r="411">
      <c r="A411" s="69"/>
    </row>
    <row r="412">
      <c r="A412" s="69"/>
    </row>
    <row r="413">
      <c r="A413" s="69"/>
    </row>
    <row r="414">
      <c r="A414" s="69"/>
    </row>
    <row r="415">
      <c r="A415" s="69"/>
    </row>
    <row r="416">
      <c r="A416" s="69"/>
    </row>
    <row r="417">
      <c r="A417" s="69"/>
    </row>
    <row r="418">
      <c r="A418" s="69"/>
    </row>
    <row r="419">
      <c r="A419" s="69"/>
    </row>
    <row r="420">
      <c r="A420" s="69"/>
    </row>
    <row r="421">
      <c r="A421" s="69"/>
    </row>
    <row r="422">
      <c r="A422" s="69"/>
    </row>
    <row r="423">
      <c r="A423" s="69"/>
    </row>
    <row r="424">
      <c r="A424" s="69"/>
    </row>
    <row r="425">
      <c r="A425" s="69"/>
    </row>
    <row r="426">
      <c r="A426" s="69"/>
    </row>
    <row r="427">
      <c r="A427" s="69"/>
    </row>
    <row r="428">
      <c r="A428" s="69"/>
    </row>
    <row r="429">
      <c r="A429" s="69"/>
    </row>
    <row r="430">
      <c r="A430" s="69"/>
    </row>
    <row r="431">
      <c r="A431" s="69"/>
    </row>
    <row r="432">
      <c r="A432" s="69"/>
    </row>
    <row r="433">
      <c r="A433" s="69"/>
    </row>
    <row r="434">
      <c r="A434" s="69"/>
    </row>
    <row r="435">
      <c r="A435" s="69"/>
    </row>
    <row r="436">
      <c r="A436" s="69"/>
    </row>
    <row r="437">
      <c r="A437" s="69"/>
    </row>
    <row r="438">
      <c r="A438" s="69"/>
    </row>
    <row r="439">
      <c r="A439" s="69"/>
    </row>
    <row r="440">
      <c r="A440" s="69"/>
    </row>
    <row r="441">
      <c r="A441" s="69"/>
    </row>
    <row r="442">
      <c r="A442" s="69"/>
    </row>
    <row r="443">
      <c r="A443" s="69"/>
    </row>
    <row r="444">
      <c r="A444" s="69"/>
    </row>
    <row r="445">
      <c r="A445" s="69"/>
    </row>
    <row r="446">
      <c r="A446" s="69"/>
    </row>
    <row r="447">
      <c r="A447" s="69"/>
    </row>
    <row r="448">
      <c r="A448" s="69"/>
    </row>
    <row r="449">
      <c r="A449" s="69"/>
    </row>
    <row r="450">
      <c r="A450" s="69"/>
    </row>
    <row r="451">
      <c r="A451" s="69"/>
    </row>
    <row r="452">
      <c r="A452" s="69"/>
    </row>
    <row r="453">
      <c r="A453" s="69"/>
    </row>
    <row r="454">
      <c r="A454" s="69"/>
    </row>
    <row r="455">
      <c r="A455" s="69"/>
    </row>
    <row r="456">
      <c r="A456" s="69"/>
    </row>
    <row r="457">
      <c r="A457" s="69"/>
    </row>
    <row r="458">
      <c r="A458" s="69"/>
    </row>
    <row r="459">
      <c r="A459" s="69"/>
    </row>
    <row r="460">
      <c r="A460" s="69"/>
    </row>
    <row r="461">
      <c r="A461" s="69"/>
    </row>
    <row r="462">
      <c r="A462" s="69"/>
    </row>
    <row r="463">
      <c r="A463" s="69"/>
    </row>
    <row r="464">
      <c r="A464" s="69"/>
    </row>
    <row r="465">
      <c r="A465" s="69"/>
    </row>
    <row r="466">
      <c r="A466" s="69"/>
    </row>
    <row r="467">
      <c r="A467" s="69"/>
    </row>
    <row r="468">
      <c r="A468" s="69"/>
    </row>
    <row r="469">
      <c r="A469" s="69"/>
    </row>
    <row r="470">
      <c r="A470" s="69"/>
    </row>
    <row r="471">
      <c r="A471" s="69"/>
    </row>
    <row r="472">
      <c r="A472" s="69"/>
    </row>
    <row r="473">
      <c r="A473" s="69"/>
    </row>
    <row r="474">
      <c r="A474" s="69"/>
    </row>
    <row r="475">
      <c r="A475" s="69"/>
    </row>
    <row r="476">
      <c r="A476" s="69"/>
    </row>
    <row r="477">
      <c r="A477" s="69"/>
    </row>
    <row r="478">
      <c r="A478" s="69"/>
    </row>
    <row r="479">
      <c r="A479" s="69"/>
    </row>
    <row r="480">
      <c r="A480" s="69"/>
    </row>
    <row r="481">
      <c r="A481" s="69"/>
    </row>
    <row r="482">
      <c r="A482" s="69"/>
    </row>
    <row r="483">
      <c r="A483" s="69"/>
    </row>
    <row r="484">
      <c r="A484" s="69"/>
    </row>
    <row r="485">
      <c r="A485" s="69"/>
    </row>
    <row r="486">
      <c r="A486" s="69"/>
    </row>
    <row r="487">
      <c r="A487" s="69"/>
    </row>
    <row r="488">
      <c r="A488" s="69"/>
    </row>
    <row r="489">
      <c r="A489" s="69"/>
    </row>
    <row r="490">
      <c r="A490" s="69"/>
    </row>
    <row r="491">
      <c r="A491" s="69"/>
    </row>
    <row r="492">
      <c r="A492" s="69"/>
    </row>
    <row r="493">
      <c r="A493" s="69"/>
    </row>
    <row r="494">
      <c r="A494" s="69"/>
    </row>
    <row r="495">
      <c r="A495" s="69"/>
    </row>
    <row r="496">
      <c r="A496" s="69"/>
    </row>
    <row r="497">
      <c r="A497" s="69"/>
    </row>
    <row r="498">
      <c r="A498" s="69"/>
    </row>
    <row r="499">
      <c r="A499" s="69"/>
    </row>
    <row r="500">
      <c r="A500" s="69"/>
    </row>
    <row r="501">
      <c r="A501" s="69"/>
    </row>
    <row r="502">
      <c r="A502" s="69"/>
    </row>
    <row r="503">
      <c r="A503" s="69"/>
    </row>
    <row r="504">
      <c r="A504" s="69"/>
    </row>
    <row r="505">
      <c r="A505" s="69"/>
    </row>
    <row r="506">
      <c r="A506" s="69"/>
    </row>
    <row r="507">
      <c r="A507" s="69"/>
    </row>
    <row r="508">
      <c r="A508" s="69"/>
    </row>
    <row r="509">
      <c r="A509" s="69"/>
    </row>
    <row r="510">
      <c r="A510" s="69"/>
    </row>
    <row r="511">
      <c r="A511" s="69"/>
    </row>
    <row r="512">
      <c r="A512" s="69"/>
    </row>
    <row r="513">
      <c r="A513" s="69"/>
    </row>
    <row r="514">
      <c r="A514" s="69"/>
    </row>
    <row r="515">
      <c r="A515" s="69"/>
    </row>
    <row r="516">
      <c r="A516" s="69"/>
    </row>
    <row r="517">
      <c r="A517" s="69"/>
    </row>
    <row r="518">
      <c r="A518" s="69"/>
    </row>
    <row r="519">
      <c r="A519" s="69"/>
    </row>
    <row r="520">
      <c r="A520" s="69"/>
    </row>
    <row r="521">
      <c r="A521" s="69"/>
    </row>
    <row r="522">
      <c r="A522" s="69"/>
    </row>
    <row r="523">
      <c r="A523" s="69"/>
    </row>
    <row r="524">
      <c r="A524" s="69"/>
    </row>
    <row r="525">
      <c r="A525" s="69"/>
    </row>
    <row r="526">
      <c r="A526" s="69"/>
    </row>
    <row r="527">
      <c r="A527" s="69"/>
    </row>
    <row r="528">
      <c r="A528" s="69"/>
    </row>
    <row r="529">
      <c r="A529" s="69"/>
    </row>
    <row r="530">
      <c r="A530" s="69"/>
    </row>
    <row r="531">
      <c r="A531" s="69"/>
    </row>
    <row r="532">
      <c r="A532" s="69"/>
    </row>
    <row r="533">
      <c r="A533" s="69"/>
    </row>
    <row r="534">
      <c r="A534" s="69"/>
    </row>
    <row r="535">
      <c r="A535" s="69"/>
    </row>
    <row r="536">
      <c r="A536" s="69"/>
    </row>
    <row r="537">
      <c r="A537" s="69"/>
    </row>
    <row r="538">
      <c r="A538" s="69"/>
    </row>
    <row r="539">
      <c r="A539" s="69"/>
    </row>
    <row r="540">
      <c r="A540" s="69"/>
    </row>
    <row r="541">
      <c r="A541" s="69"/>
    </row>
    <row r="542">
      <c r="A542" s="69"/>
    </row>
    <row r="543">
      <c r="A543" s="69"/>
    </row>
    <row r="544">
      <c r="A544" s="69"/>
    </row>
    <row r="545">
      <c r="A545" s="69"/>
    </row>
    <row r="546">
      <c r="A546" s="69"/>
    </row>
    <row r="547">
      <c r="A547" s="69"/>
    </row>
    <row r="548">
      <c r="A548" s="69"/>
    </row>
    <row r="549">
      <c r="A549" s="69"/>
    </row>
    <row r="550">
      <c r="A550" s="69"/>
    </row>
    <row r="551">
      <c r="A551" s="69"/>
    </row>
    <row r="552">
      <c r="A552" s="69"/>
    </row>
    <row r="553">
      <c r="A553" s="69"/>
    </row>
    <row r="554">
      <c r="A554" s="69"/>
    </row>
    <row r="555">
      <c r="A555" s="69"/>
    </row>
    <row r="556">
      <c r="A556" s="69"/>
    </row>
    <row r="557">
      <c r="A557" s="69"/>
    </row>
    <row r="558">
      <c r="A558" s="69"/>
    </row>
    <row r="559">
      <c r="A559" s="69"/>
    </row>
    <row r="560">
      <c r="A560" s="69"/>
    </row>
    <row r="561">
      <c r="A561" s="69"/>
    </row>
    <row r="562">
      <c r="A562" s="69"/>
    </row>
    <row r="563">
      <c r="A563" s="69"/>
    </row>
    <row r="564">
      <c r="A564" s="69"/>
    </row>
    <row r="565">
      <c r="A565" s="69"/>
    </row>
    <row r="566">
      <c r="A566" s="69"/>
    </row>
    <row r="567">
      <c r="A567" s="69"/>
    </row>
    <row r="568">
      <c r="A568" s="69"/>
    </row>
    <row r="569">
      <c r="A569" s="69"/>
    </row>
    <row r="570">
      <c r="A570" s="69"/>
    </row>
    <row r="571">
      <c r="A571" s="69"/>
    </row>
    <row r="572">
      <c r="A572" s="69"/>
    </row>
    <row r="573">
      <c r="A573" s="69"/>
    </row>
    <row r="574">
      <c r="A574" s="69"/>
    </row>
    <row r="575">
      <c r="A575" s="69"/>
    </row>
    <row r="576">
      <c r="A576" s="69"/>
    </row>
    <row r="577">
      <c r="A577" s="69"/>
    </row>
    <row r="578">
      <c r="A578" s="69"/>
    </row>
    <row r="579">
      <c r="A579" s="69"/>
    </row>
    <row r="580">
      <c r="A580" s="69"/>
    </row>
    <row r="581">
      <c r="A581" s="69"/>
    </row>
    <row r="582">
      <c r="A582" s="69"/>
    </row>
    <row r="583">
      <c r="A583" s="69"/>
    </row>
    <row r="584">
      <c r="A584" s="69"/>
    </row>
    <row r="585">
      <c r="A585" s="69"/>
    </row>
    <row r="586">
      <c r="A586" s="69"/>
    </row>
    <row r="587">
      <c r="A587" s="69"/>
    </row>
    <row r="588">
      <c r="A588" s="69"/>
    </row>
    <row r="589">
      <c r="A589" s="69"/>
    </row>
    <row r="590">
      <c r="A590" s="69"/>
    </row>
    <row r="591">
      <c r="A591" s="69"/>
    </row>
    <row r="592">
      <c r="A592" s="69"/>
    </row>
    <row r="593">
      <c r="A593" s="69"/>
    </row>
    <row r="594">
      <c r="A594" s="69"/>
    </row>
    <row r="595">
      <c r="A595" s="69"/>
    </row>
    <row r="596">
      <c r="A596" s="69"/>
    </row>
    <row r="597">
      <c r="A597" s="69"/>
    </row>
    <row r="598">
      <c r="A598" s="69"/>
    </row>
    <row r="599">
      <c r="A599" s="69"/>
    </row>
    <row r="600">
      <c r="A600" s="69"/>
    </row>
    <row r="601">
      <c r="A601" s="69"/>
    </row>
    <row r="602">
      <c r="A602" s="69"/>
    </row>
    <row r="603">
      <c r="A603" s="69"/>
    </row>
    <row r="604">
      <c r="A604" s="69"/>
    </row>
    <row r="605">
      <c r="A605" s="69"/>
    </row>
    <row r="606">
      <c r="A606" s="69"/>
    </row>
    <row r="607">
      <c r="A607" s="69"/>
    </row>
    <row r="608">
      <c r="A608" s="69"/>
    </row>
    <row r="609">
      <c r="A609" s="69"/>
    </row>
    <row r="610">
      <c r="A610" s="69"/>
    </row>
    <row r="611">
      <c r="A611" s="69"/>
    </row>
    <row r="612">
      <c r="A612" s="69"/>
    </row>
    <row r="613">
      <c r="A613" s="69"/>
    </row>
    <row r="614">
      <c r="A614" s="69"/>
    </row>
    <row r="615">
      <c r="A615" s="69"/>
    </row>
    <row r="616">
      <c r="A616" s="69"/>
    </row>
    <row r="617">
      <c r="A617" s="69"/>
    </row>
    <row r="618">
      <c r="A618" s="69"/>
    </row>
    <row r="619">
      <c r="A619" s="69"/>
    </row>
    <row r="620">
      <c r="A620" s="69"/>
    </row>
    <row r="621">
      <c r="A621" s="69"/>
    </row>
    <row r="622">
      <c r="A622" s="69"/>
    </row>
    <row r="623">
      <c r="A623" s="69"/>
    </row>
    <row r="624">
      <c r="A624" s="69"/>
    </row>
    <row r="625">
      <c r="A625" s="69"/>
    </row>
    <row r="626">
      <c r="A626" s="69"/>
    </row>
    <row r="627">
      <c r="A627" s="69"/>
    </row>
    <row r="628">
      <c r="A628" s="69"/>
    </row>
    <row r="629">
      <c r="A629" s="69"/>
    </row>
    <row r="630">
      <c r="A630" s="69"/>
    </row>
    <row r="631">
      <c r="A631" s="69"/>
    </row>
    <row r="632">
      <c r="A632" s="69"/>
    </row>
    <row r="633">
      <c r="A633" s="69"/>
    </row>
    <row r="634">
      <c r="A634" s="69"/>
    </row>
    <row r="635">
      <c r="A635" s="69"/>
    </row>
    <row r="636">
      <c r="A636" s="69"/>
    </row>
    <row r="637">
      <c r="A637" s="69"/>
    </row>
    <row r="638">
      <c r="A638" s="69"/>
    </row>
    <row r="639">
      <c r="A639" s="69"/>
    </row>
    <row r="640">
      <c r="A640" s="69"/>
    </row>
    <row r="641">
      <c r="A641" s="69"/>
    </row>
    <row r="642">
      <c r="A642" s="69"/>
    </row>
    <row r="643">
      <c r="A643" s="69"/>
    </row>
    <row r="644">
      <c r="A644" s="69"/>
    </row>
    <row r="645">
      <c r="A645" s="69"/>
    </row>
    <row r="646">
      <c r="A646" s="69"/>
    </row>
    <row r="647">
      <c r="A647" s="69"/>
    </row>
    <row r="648">
      <c r="A648" s="69"/>
    </row>
    <row r="649">
      <c r="A649" s="69"/>
    </row>
    <row r="650">
      <c r="A650" s="69"/>
    </row>
    <row r="651">
      <c r="A651" s="69"/>
    </row>
    <row r="652">
      <c r="A652" s="69"/>
    </row>
    <row r="653">
      <c r="A653" s="69"/>
    </row>
    <row r="654">
      <c r="A654" s="69"/>
    </row>
    <row r="655">
      <c r="A655" s="69"/>
    </row>
    <row r="656">
      <c r="A656" s="69"/>
    </row>
    <row r="657">
      <c r="A657" s="69"/>
    </row>
    <row r="658">
      <c r="A658" s="69"/>
    </row>
    <row r="659">
      <c r="A659" s="69"/>
    </row>
    <row r="660">
      <c r="A660" s="69"/>
    </row>
    <row r="661">
      <c r="A661" s="69"/>
    </row>
    <row r="662">
      <c r="A662" s="69"/>
    </row>
    <row r="663">
      <c r="A663" s="69"/>
    </row>
    <row r="664">
      <c r="A664" s="69"/>
    </row>
    <row r="665">
      <c r="A665" s="69"/>
    </row>
    <row r="666">
      <c r="A666" s="69"/>
    </row>
    <row r="667">
      <c r="A667" s="69"/>
    </row>
    <row r="668">
      <c r="A668" s="69"/>
    </row>
    <row r="669">
      <c r="A669" s="69"/>
    </row>
    <row r="670">
      <c r="A670" s="69"/>
    </row>
    <row r="671">
      <c r="A671" s="69"/>
    </row>
    <row r="672">
      <c r="A672" s="69"/>
    </row>
    <row r="673">
      <c r="A673" s="69"/>
    </row>
    <row r="674">
      <c r="A674" s="69"/>
    </row>
    <row r="675">
      <c r="A675" s="69"/>
    </row>
    <row r="676">
      <c r="A676" s="69"/>
    </row>
    <row r="677">
      <c r="A677" s="69"/>
    </row>
    <row r="678">
      <c r="A678" s="69"/>
    </row>
    <row r="679">
      <c r="A679" s="69"/>
    </row>
    <row r="680">
      <c r="A680" s="69"/>
    </row>
    <row r="681">
      <c r="A681" s="69"/>
    </row>
    <row r="682">
      <c r="A682" s="69"/>
    </row>
    <row r="683">
      <c r="A683" s="69"/>
    </row>
    <row r="684">
      <c r="A684" s="69"/>
    </row>
    <row r="685">
      <c r="A685" s="69"/>
    </row>
    <row r="686">
      <c r="A686" s="69"/>
    </row>
    <row r="687">
      <c r="A687" s="69"/>
    </row>
    <row r="688">
      <c r="A688" s="69"/>
    </row>
    <row r="689">
      <c r="A689" s="69"/>
    </row>
    <row r="690">
      <c r="A690" s="69"/>
    </row>
    <row r="691">
      <c r="A691" s="69"/>
    </row>
    <row r="692">
      <c r="A692" s="69"/>
    </row>
    <row r="693">
      <c r="A693" s="69"/>
    </row>
    <row r="694">
      <c r="A694" s="69"/>
    </row>
    <row r="695">
      <c r="A695" s="69"/>
    </row>
    <row r="696">
      <c r="A696" s="69"/>
    </row>
    <row r="697">
      <c r="A697" s="69"/>
    </row>
    <row r="698">
      <c r="A698" s="69"/>
    </row>
    <row r="699">
      <c r="A699" s="69"/>
    </row>
    <row r="700">
      <c r="A700" s="69"/>
    </row>
    <row r="701">
      <c r="A701" s="69"/>
    </row>
    <row r="702">
      <c r="A702" s="69"/>
    </row>
    <row r="703">
      <c r="A703" s="69"/>
    </row>
    <row r="704">
      <c r="A704" s="69"/>
    </row>
    <row r="705">
      <c r="A705" s="69"/>
    </row>
    <row r="706">
      <c r="A706" s="69"/>
    </row>
    <row r="707">
      <c r="A707" s="69"/>
    </row>
    <row r="708">
      <c r="A708" s="69"/>
    </row>
    <row r="709">
      <c r="A709" s="69"/>
    </row>
    <row r="710">
      <c r="A710" s="69"/>
    </row>
    <row r="711">
      <c r="A711" s="69"/>
    </row>
    <row r="712">
      <c r="A712" s="69"/>
    </row>
    <row r="713">
      <c r="A713" s="69"/>
    </row>
    <row r="714">
      <c r="A714" s="69"/>
    </row>
    <row r="715">
      <c r="A715" s="69"/>
    </row>
    <row r="716">
      <c r="A716" s="69"/>
    </row>
    <row r="717">
      <c r="A717" s="69"/>
    </row>
    <row r="718">
      <c r="A718" s="69"/>
    </row>
    <row r="719">
      <c r="A719" s="69"/>
    </row>
    <row r="720">
      <c r="A720" s="69"/>
    </row>
    <row r="721">
      <c r="A721" s="69"/>
    </row>
    <row r="722">
      <c r="A722" s="69"/>
    </row>
    <row r="723">
      <c r="A723" s="69"/>
    </row>
    <row r="724">
      <c r="A724" s="69"/>
    </row>
    <row r="725">
      <c r="A725" s="69"/>
    </row>
    <row r="726">
      <c r="A726" s="69"/>
    </row>
    <row r="727">
      <c r="A727" s="69"/>
    </row>
    <row r="728">
      <c r="A728" s="69"/>
    </row>
    <row r="729">
      <c r="A729" s="69"/>
    </row>
    <row r="730">
      <c r="A730" s="69"/>
    </row>
    <row r="731">
      <c r="A731" s="69"/>
    </row>
    <row r="732">
      <c r="A732" s="69"/>
    </row>
    <row r="733">
      <c r="A733" s="69"/>
    </row>
    <row r="734">
      <c r="A734" s="69"/>
    </row>
    <row r="735">
      <c r="A735" s="69"/>
    </row>
    <row r="736">
      <c r="A736" s="69"/>
    </row>
    <row r="737">
      <c r="A737" s="69"/>
    </row>
    <row r="738">
      <c r="A738" s="69"/>
    </row>
    <row r="739">
      <c r="A739" s="69"/>
    </row>
    <row r="740">
      <c r="A740" s="69"/>
    </row>
    <row r="741">
      <c r="A741" s="69"/>
    </row>
    <row r="742">
      <c r="A742" s="69"/>
    </row>
    <row r="743">
      <c r="A743" s="69"/>
    </row>
    <row r="744">
      <c r="A744" s="69"/>
    </row>
    <row r="745">
      <c r="A745" s="69"/>
    </row>
    <row r="746">
      <c r="A746" s="69"/>
    </row>
    <row r="747">
      <c r="A747" s="69"/>
    </row>
    <row r="748">
      <c r="A748" s="69"/>
    </row>
    <row r="749">
      <c r="A749" s="69"/>
    </row>
    <row r="750">
      <c r="A750" s="69"/>
    </row>
    <row r="751">
      <c r="A751" s="69"/>
    </row>
    <row r="752">
      <c r="A752" s="69"/>
    </row>
    <row r="753">
      <c r="A753" s="69"/>
    </row>
    <row r="754">
      <c r="A754" s="69"/>
    </row>
    <row r="755">
      <c r="A755" s="69"/>
    </row>
    <row r="756">
      <c r="A756" s="69"/>
    </row>
    <row r="757">
      <c r="A757" s="69"/>
    </row>
    <row r="758">
      <c r="A758" s="69"/>
    </row>
    <row r="759">
      <c r="A759" s="69"/>
    </row>
    <row r="760">
      <c r="A760" s="69"/>
    </row>
    <row r="761">
      <c r="A761" s="69"/>
    </row>
    <row r="762">
      <c r="A762" s="69"/>
    </row>
    <row r="763">
      <c r="A763" s="69"/>
    </row>
    <row r="764">
      <c r="A764" s="69"/>
    </row>
    <row r="765">
      <c r="A765" s="69"/>
    </row>
    <row r="766">
      <c r="A766" s="69"/>
    </row>
    <row r="767">
      <c r="A767" s="69"/>
    </row>
    <row r="768">
      <c r="A768" s="69"/>
    </row>
    <row r="769">
      <c r="A769" s="69"/>
    </row>
    <row r="770">
      <c r="A770" s="69"/>
    </row>
    <row r="771">
      <c r="A771" s="69"/>
    </row>
    <row r="772">
      <c r="A772" s="69"/>
    </row>
    <row r="773">
      <c r="A773" s="69"/>
    </row>
    <row r="774">
      <c r="A774" s="69"/>
    </row>
    <row r="775">
      <c r="A775" s="69"/>
    </row>
    <row r="776">
      <c r="A776" s="69"/>
    </row>
    <row r="777">
      <c r="A777" s="69"/>
    </row>
    <row r="778">
      <c r="A778" s="69"/>
    </row>
    <row r="779">
      <c r="A779" s="69"/>
    </row>
    <row r="780">
      <c r="A780" s="69"/>
    </row>
    <row r="781">
      <c r="A781" s="69"/>
    </row>
    <row r="782">
      <c r="A782" s="69"/>
    </row>
    <row r="783">
      <c r="A783" s="69"/>
    </row>
    <row r="784">
      <c r="A784" s="69"/>
    </row>
    <row r="785">
      <c r="A785" s="69"/>
    </row>
    <row r="786">
      <c r="A786" s="69"/>
    </row>
    <row r="787">
      <c r="A787" s="69"/>
    </row>
    <row r="788">
      <c r="A788" s="69"/>
    </row>
    <row r="789">
      <c r="A789" s="69"/>
    </row>
    <row r="790">
      <c r="A790" s="69"/>
    </row>
    <row r="791">
      <c r="A791" s="69"/>
    </row>
    <row r="792">
      <c r="A792" s="69"/>
    </row>
    <row r="793">
      <c r="A793" s="69"/>
    </row>
    <row r="794">
      <c r="A794" s="69"/>
    </row>
    <row r="795">
      <c r="A795" s="69"/>
    </row>
    <row r="796">
      <c r="A796" s="69"/>
    </row>
    <row r="797">
      <c r="A797" s="69"/>
    </row>
    <row r="798">
      <c r="A798" s="69"/>
    </row>
    <row r="799">
      <c r="A799" s="69"/>
    </row>
    <row r="800">
      <c r="A800" s="69"/>
    </row>
    <row r="801">
      <c r="A801" s="69"/>
    </row>
    <row r="802">
      <c r="A802" s="69"/>
    </row>
    <row r="803">
      <c r="A803" s="69"/>
    </row>
    <row r="804">
      <c r="A804" s="69"/>
    </row>
    <row r="805">
      <c r="A805" s="69"/>
    </row>
    <row r="806">
      <c r="A806" s="69"/>
    </row>
    <row r="807">
      <c r="A807" s="69"/>
    </row>
    <row r="808">
      <c r="A808" s="69"/>
    </row>
    <row r="809">
      <c r="A809" s="69"/>
    </row>
    <row r="810">
      <c r="A810" s="69"/>
    </row>
    <row r="811">
      <c r="A811" s="69"/>
    </row>
    <row r="812">
      <c r="A812" s="69"/>
    </row>
    <row r="813">
      <c r="A813" s="69"/>
    </row>
    <row r="814">
      <c r="A814" s="69"/>
    </row>
    <row r="815">
      <c r="A815" s="69"/>
    </row>
    <row r="816">
      <c r="A816" s="69"/>
    </row>
    <row r="817">
      <c r="A817" s="69"/>
    </row>
    <row r="818">
      <c r="A818" s="69"/>
    </row>
    <row r="819">
      <c r="A819" s="69"/>
    </row>
    <row r="820">
      <c r="A820" s="69"/>
    </row>
    <row r="821">
      <c r="A821" s="69"/>
    </row>
    <row r="822">
      <c r="A822" s="69"/>
    </row>
    <row r="823">
      <c r="A823" s="69"/>
    </row>
    <row r="824">
      <c r="A824" s="69"/>
    </row>
    <row r="825">
      <c r="A825" s="69"/>
    </row>
    <row r="826">
      <c r="A826" s="69"/>
    </row>
    <row r="827">
      <c r="A827" s="69"/>
    </row>
    <row r="828">
      <c r="A828" s="69"/>
    </row>
    <row r="829">
      <c r="A829" s="69"/>
    </row>
    <row r="830">
      <c r="A830" s="69"/>
    </row>
    <row r="831">
      <c r="A831" s="69"/>
    </row>
    <row r="832">
      <c r="A832" s="69"/>
    </row>
    <row r="833">
      <c r="A833" s="69"/>
    </row>
    <row r="834">
      <c r="A834" s="69"/>
    </row>
    <row r="835">
      <c r="A835" s="69"/>
    </row>
    <row r="836">
      <c r="A836" s="69"/>
    </row>
    <row r="837">
      <c r="A837" s="69"/>
    </row>
    <row r="838">
      <c r="A838" s="69"/>
    </row>
    <row r="839">
      <c r="A839" s="69"/>
    </row>
    <row r="840">
      <c r="A840" s="69"/>
    </row>
    <row r="841">
      <c r="A841" s="69"/>
    </row>
    <row r="842">
      <c r="A842" s="69"/>
    </row>
    <row r="843">
      <c r="A843" s="69"/>
    </row>
    <row r="844">
      <c r="A844" s="69"/>
    </row>
    <row r="845">
      <c r="A845" s="69"/>
    </row>
    <row r="846">
      <c r="A846" s="69"/>
    </row>
    <row r="847">
      <c r="A847" s="69"/>
    </row>
    <row r="848">
      <c r="A848" s="69"/>
    </row>
    <row r="849">
      <c r="A849" s="69"/>
    </row>
    <row r="850">
      <c r="A850" s="69"/>
    </row>
    <row r="851">
      <c r="A851" s="69"/>
    </row>
    <row r="852">
      <c r="A852" s="69"/>
    </row>
    <row r="853">
      <c r="A853" s="69"/>
    </row>
    <row r="854">
      <c r="A854" s="69"/>
    </row>
    <row r="855">
      <c r="A855" s="69"/>
    </row>
    <row r="856">
      <c r="A856" s="69"/>
    </row>
    <row r="857">
      <c r="A857" s="69"/>
    </row>
    <row r="858">
      <c r="A858" s="69"/>
    </row>
    <row r="859">
      <c r="A859" s="69"/>
    </row>
    <row r="860">
      <c r="A860" s="69"/>
    </row>
    <row r="861">
      <c r="A861" s="69"/>
    </row>
    <row r="862">
      <c r="A862" s="69"/>
    </row>
    <row r="863">
      <c r="A863" s="69"/>
    </row>
    <row r="864">
      <c r="A864" s="69"/>
    </row>
    <row r="865">
      <c r="A865" s="69"/>
    </row>
    <row r="866">
      <c r="A866" s="69"/>
    </row>
    <row r="867">
      <c r="A867" s="69"/>
    </row>
    <row r="868">
      <c r="A868" s="69"/>
    </row>
    <row r="869">
      <c r="A869" s="69"/>
    </row>
    <row r="870">
      <c r="A870" s="69"/>
    </row>
    <row r="871">
      <c r="A871" s="69"/>
    </row>
    <row r="872">
      <c r="A872" s="69"/>
    </row>
    <row r="873">
      <c r="A873" s="69"/>
    </row>
    <row r="874">
      <c r="A874" s="69"/>
    </row>
    <row r="875">
      <c r="A875" s="69"/>
    </row>
    <row r="876">
      <c r="A876" s="69"/>
    </row>
    <row r="877">
      <c r="A877" s="69"/>
    </row>
    <row r="878">
      <c r="A878" s="69"/>
    </row>
    <row r="879">
      <c r="A879" s="69"/>
    </row>
    <row r="880">
      <c r="A880" s="69"/>
    </row>
    <row r="881">
      <c r="A881" s="69"/>
    </row>
    <row r="882">
      <c r="A882" s="69"/>
    </row>
    <row r="883">
      <c r="A883" s="69"/>
    </row>
    <row r="884">
      <c r="A884" s="69"/>
    </row>
    <row r="885">
      <c r="A885" s="69"/>
    </row>
    <row r="886">
      <c r="A886" s="69"/>
    </row>
    <row r="887">
      <c r="A887" s="69"/>
    </row>
    <row r="888">
      <c r="A888" s="69"/>
    </row>
    <row r="889">
      <c r="A889" s="69"/>
    </row>
    <row r="890">
      <c r="A890" s="69"/>
    </row>
    <row r="891">
      <c r="A891" s="69"/>
    </row>
    <row r="892">
      <c r="A892" s="69"/>
    </row>
    <row r="893">
      <c r="A893" s="69"/>
    </row>
    <row r="894">
      <c r="A894" s="69"/>
    </row>
    <row r="895">
      <c r="A895" s="69"/>
    </row>
    <row r="896">
      <c r="A896" s="69"/>
    </row>
    <row r="897">
      <c r="A897" s="69"/>
    </row>
    <row r="898">
      <c r="A898" s="69"/>
    </row>
    <row r="899">
      <c r="A899" s="69"/>
    </row>
    <row r="900">
      <c r="A900" s="69"/>
    </row>
    <row r="901">
      <c r="A901" s="69"/>
    </row>
    <row r="902">
      <c r="A902" s="69"/>
    </row>
    <row r="903">
      <c r="A903" s="69"/>
    </row>
    <row r="904">
      <c r="A904" s="69"/>
    </row>
    <row r="905">
      <c r="A905" s="69"/>
    </row>
    <row r="906">
      <c r="A906" s="69"/>
    </row>
    <row r="907">
      <c r="A907" s="69"/>
    </row>
    <row r="908">
      <c r="A908" s="69"/>
    </row>
    <row r="909">
      <c r="A909" s="69"/>
    </row>
    <row r="910">
      <c r="A910" s="69"/>
    </row>
    <row r="911">
      <c r="A911" s="69"/>
    </row>
    <row r="912">
      <c r="A912" s="69"/>
    </row>
    <row r="913">
      <c r="A913" s="69"/>
    </row>
    <row r="914">
      <c r="A914" s="69"/>
    </row>
    <row r="915">
      <c r="A915" s="69"/>
    </row>
    <row r="916">
      <c r="A916" s="69"/>
    </row>
    <row r="917">
      <c r="A917" s="69"/>
    </row>
    <row r="918">
      <c r="A918" s="69"/>
    </row>
    <row r="919">
      <c r="A919" s="69"/>
    </row>
    <row r="920">
      <c r="A920" s="69"/>
    </row>
    <row r="921">
      <c r="A921" s="69"/>
    </row>
    <row r="922">
      <c r="A922" s="69"/>
    </row>
    <row r="923">
      <c r="A923" s="69"/>
    </row>
    <row r="924">
      <c r="A924" s="69"/>
    </row>
    <row r="925">
      <c r="A925" s="69"/>
    </row>
    <row r="926">
      <c r="A926" s="69"/>
    </row>
    <row r="927">
      <c r="A927" s="69"/>
    </row>
    <row r="928">
      <c r="A928" s="69"/>
    </row>
    <row r="929">
      <c r="A929" s="69"/>
    </row>
    <row r="930">
      <c r="A930" s="69"/>
    </row>
    <row r="931">
      <c r="A931" s="69"/>
    </row>
    <row r="932">
      <c r="A932" s="69"/>
    </row>
    <row r="933">
      <c r="A933" s="69"/>
    </row>
    <row r="934">
      <c r="A934" s="69"/>
    </row>
    <row r="935">
      <c r="A935" s="69"/>
    </row>
    <row r="936">
      <c r="A936" s="69"/>
    </row>
    <row r="937">
      <c r="A937" s="69"/>
    </row>
    <row r="938">
      <c r="A938" s="69"/>
    </row>
    <row r="939">
      <c r="A939" s="69"/>
    </row>
    <row r="940">
      <c r="A940" s="69"/>
    </row>
    <row r="941">
      <c r="A941" s="69"/>
    </row>
    <row r="942">
      <c r="A942" s="69"/>
    </row>
    <row r="943">
      <c r="A943" s="69"/>
    </row>
    <row r="944">
      <c r="A944" s="69"/>
    </row>
    <row r="945">
      <c r="A945" s="69"/>
    </row>
    <row r="946">
      <c r="A946" s="69"/>
    </row>
    <row r="947">
      <c r="A947" s="69"/>
    </row>
    <row r="948">
      <c r="A948" s="69"/>
    </row>
    <row r="949">
      <c r="A949" s="69"/>
    </row>
    <row r="950">
      <c r="A950" s="69"/>
    </row>
    <row r="951">
      <c r="A951" s="69"/>
    </row>
    <row r="952">
      <c r="A952" s="69"/>
    </row>
    <row r="953">
      <c r="A953" s="69"/>
    </row>
    <row r="954">
      <c r="A954" s="69"/>
    </row>
    <row r="955">
      <c r="A955" s="69"/>
    </row>
    <row r="956">
      <c r="A956" s="69"/>
    </row>
    <row r="957">
      <c r="A957" s="69"/>
    </row>
    <row r="958">
      <c r="A958" s="69"/>
    </row>
    <row r="959">
      <c r="A959" s="69"/>
    </row>
    <row r="960">
      <c r="A960" s="69"/>
    </row>
    <row r="961">
      <c r="A961" s="69"/>
    </row>
    <row r="962">
      <c r="A962" s="69"/>
    </row>
    <row r="963">
      <c r="A963" s="69"/>
    </row>
    <row r="964">
      <c r="A964" s="69"/>
    </row>
    <row r="965">
      <c r="A965" s="69"/>
    </row>
    <row r="966">
      <c r="A966" s="69"/>
    </row>
    <row r="967">
      <c r="A967" s="69"/>
    </row>
    <row r="968">
      <c r="A968" s="69"/>
    </row>
    <row r="969">
      <c r="A969" s="69"/>
    </row>
    <row r="970">
      <c r="A970" s="69"/>
    </row>
    <row r="971">
      <c r="A971" s="69"/>
    </row>
    <row r="972">
      <c r="A972" s="69"/>
    </row>
    <row r="973">
      <c r="A973" s="69"/>
    </row>
    <row r="974">
      <c r="A974" s="69"/>
    </row>
    <row r="975">
      <c r="A975" s="69"/>
    </row>
    <row r="976">
      <c r="A976" s="69"/>
    </row>
    <row r="977">
      <c r="A977" s="69"/>
    </row>
    <row r="978">
      <c r="A978" s="69"/>
    </row>
    <row r="979">
      <c r="A979" s="69"/>
    </row>
    <row r="980">
      <c r="A980" s="69"/>
    </row>
    <row r="981">
      <c r="A981" s="69"/>
    </row>
    <row r="982">
      <c r="A982" s="69"/>
    </row>
    <row r="983">
      <c r="A983" s="69"/>
    </row>
    <row r="984">
      <c r="A984" s="69"/>
    </row>
    <row r="985">
      <c r="A985" s="69"/>
    </row>
    <row r="986">
      <c r="A986" s="69"/>
    </row>
    <row r="987">
      <c r="A987" s="69"/>
    </row>
    <row r="988">
      <c r="A988" s="69"/>
    </row>
    <row r="989">
      <c r="A989" s="69"/>
    </row>
    <row r="990">
      <c r="A990" s="69"/>
    </row>
    <row r="991">
      <c r="A991" s="69"/>
    </row>
    <row r="992">
      <c r="A992" s="69"/>
    </row>
    <row r="993">
      <c r="A993" s="69"/>
    </row>
    <row r="994">
      <c r="A994" s="69"/>
    </row>
    <row r="995">
      <c r="A995" s="69"/>
    </row>
    <row r="996">
      <c r="A996" s="69"/>
    </row>
    <row r="997">
      <c r="A997" s="69"/>
    </row>
    <row r="998">
      <c r="A998" s="69"/>
    </row>
    <row r="999">
      <c r="A999" s="69"/>
    </row>
    <row r="1000">
      <c r="A1000" s="69"/>
    </row>
  </sheetData>
  <autoFilter ref="$A$1:$H$1000"/>
  <conditionalFormatting sqref="A2:H1000">
    <cfRule type="expression" dxfId="5" priority="1">
      <formula>($D2&gt;$H2)</formula>
    </cfRule>
  </conditionalFormatting>
  <dataValidations>
    <dataValidation type="list" allowBlank="1" showErrorMessage="1" sqref="A2:A1000">
      <formula1>'Getränke'!$A$2:$A1000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7.38"/>
  </cols>
  <sheetData>
    <row r="1">
      <c r="A1" s="100" t="s">
        <v>0</v>
      </c>
      <c r="B1" s="100" t="s">
        <v>575</v>
      </c>
      <c r="C1" s="100" t="s">
        <v>576</v>
      </c>
      <c r="D1" s="101" t="s">
        <v>577</v>
      </c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</row>
    <row r="2">
      <c r="A2" s="18" t="s">
        <v>578</v>
      </c>
      <c r="B2" s="18">
        <v>10.75</v>
      </c>
      <c r="C2" s="18">
        <v>700.0</v>
      </c>
      <c r="D2" s="96">
        <f t="shared" ref="D2:D5" si="1">B2/C2</f>
        <v>0.01535714286</v>
      </c>
    </row>
    <row r="3">
      <c r="A3" s="18" t="s">
        <v>573</v>
      </c>
      <c r="B3" s="18">
        <v>7.05</v>
      </c>
      <c r="C3" s="18">
        <v>700.0</v>
      </c>
      <c r="D3" s="96">
        <f t="shared" si="1"/>
        <v>0.01007142857</v>
      </c>
    </row>
    <row r="4">
      <c r="A4" s="18" t="s">
        <v>579</v>
      </c>
      <c r="B4" s="18">
        <v>7.87</v>
      </c>
      <c r="C4" s="18">
        <v>700.0</v>
      </c>
      <c r="D4" s="96">
        <f t="shared" si="1"/>
        <v>0.01124285714</v>
      </c>
    </row>
    <row r="5">
      <c r="A5" s="18" t="s">
        <v>574</v>
      </c>
      <c r="B5" s="18">
        <v>10.9</v>
      </c>
      <c r="C5" s="18">
        <v>700.0</v>
      </c>
      <c r="D5" s="96">
        <f t="shared" si="1"/>
        <v>0.01557142857</v>
      </c>
    </row>
    <row r="6">
      <c r="D6" s="96"/>
    </row>
    <row r="7">
      <c r="D7" s="96"/>
    </row>
    <row r="8">
      <c r="D8" s="96"/>
    </row>
    <row r="9">
      <c r="D9" s="96"/>
    </row>
    <row r="10">
      <c r="D10" s="96"/>
    </row>
    <row r="11">
      <c r="D11" s="96"/>
    </row>
    <row r="12">
      <c r="D12" s="96"/>
    </row>
    <row r="13">
      <c r="D13" s="96"/>
    </row>
    <row r="14">
      <c r="D14" s="96"/>
    </row>
    <row r="15">
      <c r="D15" s="96"/>
    </row>
    <row r="16">
      <c r="D16" s="96"/>
    </row>
    <row r="17">
      <c r="D17" s="96"/>
    </row>
    <row r="18">
      <c r="D18" s="96"/>
    </row>
    <row r="19">
      <c r="D19" s="96"/>
    </row>
    <row r="20">
      <c r="D20" s="96"/>
    </row>
    <row r="21">
      <c r="D21" s="96"/>
    </row>
    <row r="22">
      <c r="D22" s="96"/>
    </row>
    <row r="23">
      <c r="D23" s="96"/>
    </row>
    <row r="24">
      <c r="D24" s="96"/>
    </row>
    <row r="25">
      <c r="D25" s="96"/>
    </row>
    <row r="26">
      <c r="D26" s="96"/>
    </row>
    <row r="27">
      <c r="D27" s="96"/>
    </row>
    <row r="28">
      <c r="D28" s="96"/>
    </row>
    <row r="29">
      <c r="D29" s="96"/>
    </row>
    <row r="30">
      <c r="D30" s="96"/>
    </row>
    <row r="31">
      <c r="D31" s="96"/>
    </row>
    <row r="32">
      <c r="D32" s="96"/>
    </row>
    <row r="33">
      <c r="D33" s="96"/>
    </row>
    <row r="34">
      <c r="D34" s="96"/>
    </row>
    <row r="35">
      <c r="D35" s="96"/>
    </row>
    <row r="36">
      <c r="D36" s="96"/>
    </row>
    <row r="37">
      <c r="D37" s="96"/>
    </row>
    <row r="38">
      <c r="D38" s="96"/>
    </row>
    <row r="39">
      <c r="D39" s="96"/>
    </row>
    <row r="40">
      <c r="D40" s="96"/>
    </row>
    <row r="41">
      <c r="D41" s="96"/>
    </row>
    <row r="42">
      <c r="D42" s="96"/>
    </row>
    <row r="43">
      <c r="D43" s="96"/>
    </row>
    <row r="44">
      <c r="D44" s="96"/>
    </row>
    <row r="45">
      <c r="D45" s="96"/>
    </row>
    <row r="46">
      <c r="D46" s="96"/>
    </row>
    <row r="47">
      <c r="D47" s="96"/>
    </row>
    <row r="48">
      <c r="D48" s="96"/>
    </row>
    <row r="49">
      <c r="D49" s="96"/>
    </row>
    <row r="50">
      <c r="D50" s="96"/>
    </row>
    <row r="51">
      <c r="D51" s="96"/>
    </row>
    <row r="52">
      <c r="D52" s="96"/>
    </row>
    <row r="53">
      <c r="D53" s="96"/>
    </row>
    <row r="54">
      <c r="D54" s="96"/>
    </row>
    <row r="55">
      <c r="D55" s="96"/>
    </row>
    <row r="56">
      <c r="D56" s="96"/>
    </row>
    <row r="57">
      <c r="D57" s="96"/>
    </row>
    <row r="58">
      <c r="D58" s="96"/>
    </row>
    <row r="59">
      <c r="D59" s="96"/>
    </row>
    <row r="60">
      <c r="D60" s="96"/>
    </row>
    <row r="61">
      <c r="D61" s="96"/>
    </row>
    <row r="62">
      <c r="D62" s="96"/>
    </row>
    <row r="63">
      <c r="D63" s="96"/>
    </row>
    <row r="64">
      <c r="D64" s="96"/>
    </row>
    <row r="65">
      <c r="D65" s="96"/>
    </row>
    <row r="66">
      <c r="D66" s="96"/>
    </row>
    <row r="67">
      <c r="D67" s="96"/>
    </row>
    <row r="68">
      <c r="D68" s="96"/>
    </row>
    <row r="69">
      <c r="D69" s="96"/>
    </row>
    <row r="70">
      <c r="D70" s="96"/>
    </row>
    <row r="71">
      <c r="D71" s="96"/>
    </row>
    <row r="72">
      <c r="D72" s="96"/>
    </row>
    <row r="73">
      <c r="D73" s="96"/>
    </row>
    <row r="74">
      <c r="D74" s="96"/>
    </row>
    <row r="75">
      <c r="D75" s="96"/>
    </row>
    <row r="76">
      <c r="D76" s="96"/>
    </row>
    <row r="77">
      <c r="D77" s="96"/>
    </row>
    <row r="78">
      <c r="D78" s="96"/>
    </row>
    <row r="79">
      <c r="D79" s="96"/>
    </row>
    <row r="80">
      <c r="D80" s="96"/>
    </row>
    <row r="81">
      <c r="D81" s="96"/>
    </row>
    <row r="82">
      <c r="D82" s="96"/>
    </row>
    <row r="83">
      <c r="D83" s="96"/>
    </row>
    <row r="84">
      <c r="D84" s="96"/>
    </row>
    <row r="85">
      <c r="D85" s="96"/>
    </row>
    <row r="86">
      <c r="D86" s="96"/>
    </row>
    <row r="87">
      <c r="D87" s="96"/>
    </row>
    <row r="88">
      <c r="D88" s="96"/>
    </row>
    <row r="89">
      <c r="D89" s="96"/>
    </row>
    <row r="90">
      <c r="D90" s="96"/>
    </row>
    <row r="91">
      <c r="D91" s="96"/>
    </row>
    <row r="92">
      <c r="D92" s="96"/>
    </row>
    <row r="93">
      <c r="D93" s="96"/>
    </row>
    <row r="94">
      <c r="D94" s="96"/>
    </row>
    <row r="95">
      <c r="D95" s="96"/>
    </row>
    <row r="96">
      <c r="D96" s="96"/>
    </row>
    <row r="97">
      <c r="D97" s="96"/>
    </row>
    <row r="98">
      <c r="D98" s="96"/>
    </row>
    <row r="99">
      <c r="D99" s="96"/>
    </row>
    <row r="100">
      <c r="D100" s="96"/>
    </row>
    <row r="101">
      <c r="D101" s="96"/>
    </row>
    <row r="102">
      <c r="D102" s="96"/>
    </row>
    <row r="103">
      <c r="D103" s="96"/>
    </row>
    <row r="104">
      <c r="D104" s="96"/>
    </row>
    <row r="105">
      <c r="D105" s="96"/>
    </row>
    <row r="106">
      <c r="D106" s="96"/>
    </row>
    <row r="107">
      <c r="D107" s="96"/>
    </row>
    <row r="108">
      <c r="D108" s="96"/>
    </row>
    <row r="109">
      <c r="D109" s="96"/>
    </row>
    <row r="110">
      <c r="D110" s="96"/>
    </row>
    <row r="111">
      <c r="D111" s="96"/>
    </row>
    <row r="112">
      <c r="D112" s="96"/>
    </row>
    <row r="113">
      <c r="D113" s="96"/>
    </row>
    <row r="114">
      <c r="D114" s="96"/>
    </row>
    <row r="115">
      <c r="D115" s="96"/>
    </row>
    <row r="116">
      <c r="D116" s="96"/>
    </row>
    <row r="117">
      <c r="D117" s="96"/>
    </row>
    <row r="118">
      <c r="D118" s="96"/>
    </row>
    <row r="119">
      <c r="D119" s="96"/>
    </row>
    <row r="120">
      <c r="D120" s="96"/>
    </row>
    <row r="121">
      <c r="D121" s="96"/>
    </row>
    <row r="122">
      <c r="D122" s="96"/>
    </row>
    <row r="123">
      <c r="D123" s="96"/>
    </row>
    <row r="124">
      <c r="D124" s="96"/>
    </row>
    <row r="125">
      <c r="D125" s="96"/>
    </row>
    <row r="126">
      <c r="D126" s="96"/>
    </row>
    <row r="127">
      <c r="D127" s="96"/>
    </row>
    <row r="128">
      <c r="D128" s="96"/>
    </row>
    <row r="129">
      <c r="D129" s="96"/>
    </row>
    <row r="130">
      <c r="D130" s="96"/>
    </row>
    <row r="131">
      <c r="D131" s="96"/>
    </row>
    <row r="132">
      <c r="D132" s="96"/>
    </row>
    <row r="133">
      <c r="D133" s="96"/>
    </row>
    <row r="134">
      <c r="D134" s="96"/>
    </row>
    <row r="135">
      <c r="D135" s="96"/>
    </row>
    <row r="136">
      <c r="D136" s="96"/>
    </row>
    <row r="137">
      <c r="D137" s="96"/>
    </row>
    <row r="138">
      <c r="D138" s="96"/>
    </row>
    <row r="139">
      <c r="D139" s="96"/>
    </row>
    <row r="140">
      <c r="D140" s="96"/>
    </row>
    <row r="141">
      <c r="D141" s="96"/>
    </row>
    <row r="142">
      <c r="D142" s="96"/>
    </row>
    <row r="143">
      <c r="D143" s="96"/>
    </row>
    <row r="144">
      <c r="D144" s="96"/>
    </row>
    <row r="145">
      <c r="D145" s="96"/>
    </row>
    <row r="146">
      <c r="D146" s="96"/>
    </row>
    <row r="147">
      <c r="D147" s="96"/>
    </row>
    <row r="148">
      <c r="D148" s="96"/>
    </row>
    <row r="149">
      <c r="D149" s="96"/>
    </row>
    <row r="150">
      <c r="D150" s="96"/>
    </row>
    <row r="151">
      <c r="D151" s="96"/>
    </row>
    <row r="152">
      <c r="D152" s="96"/>
    </row>
    <row r="153">
      <c r="D153" s="96"/>
    </row>
    <row r="154">
      <c r="D154" s="96"/>
    </row>
    <row r="155">
      <c r="D155" s="96"/>
    </row>
    <row r="156">
      <c r="D156" s="96"/>
    </row>
    <row r="157">
      <c r="D157" s="96"/>
    </row>
    <row r="158">
      <c r="D158" s="96"/>
    </row>
    <row r="159">
      <c r="D159" s="96"/>
    </row>
    <row r="160">
      <c r="D160" s="96"/>
    </row>
    <row r="161">
      <c r="D161" s="96"/>
    </row>
    <row r="162">
      <c r="D162" s="96"/>
    </row>
    <row r="163">
      <c r="D163" s="96"/>
    </row>
    <row r="164">
      <c r="D164" s="96"/>
    </row>
    <row r="165">
      <c r="D165" s="96"/>
    </row>
    <row r="166">
      <c r="D166" s="96"/>
    </row>
    <row r="167">
      <c r="D167" s="96"/>
    </row>
    <row r="168">
      <c r="D168" s="96"/>
    </row>
    <row r="169">
      <c r="D169" s="96"/>
    </row>
    <row r="170">
      <c r="D170" s="96"/>
    </row>
    <row r="171">
      <c r="D171" s="96"/>
    </row>
    <row r="172">
      <c r="D172" s="96"/>
    </row>
    <row r="173">
      <c r="D173" s="96"/>
    </row>
    <row r="174">
      <c r="D174" s="96"/>
    </row>
    <row r="175">
      <c r="D175" s="96"/>
    </row>
    <row r="176">
      <c r="D176" s="96"/>
    </row>
    <row r="177">
      <c r="D177" s="96"/>
    </row>
    <row r="178">
      <c r="D178" s="96"/>
    </row>
    <row r="179">
      <c r="D179" s="96"/>
    </row>
    <row r="180">
      <c r="D180" s="96"/>
    </row>
    <row r="181">
      <c r="D181" s="96"/>
    </row>
    <row r="182">
      <c r="D182" s="96"/>
    </row>
    <row r="183">
      <c r="D183" s="96"/>
    </row>
    <row r="184">
      <c r="D184" s="96"/>
    </row>
    <row r="185">
      <c r="D185" s="96"/>
    </row>
    <row r="186">
      <c r="D186" s="96"/>
    </row>
    <row r="187">
      <c r="D187" s="96"/>
    </row>
    <row r="188">
      <c r="D188" s="96"/>
    </row>
    <row r="189">
      <c r="D189" s="96"/>
    </row>
    <row r="190">
      <c r="D190" s="96"/>
    </row>
    <row r="191">
      <c r="D191" s="96"/>
    </row>
    <row r="192">
      <c r="D192" s="96"/>
    </row>
    <row r="193">
      <c r="D193" s="96"/>
    </row>
    <row r="194">
      <c r="D194" s="96"/>
    </row>
    <row r="195">
      <c r="D195" s="96"/>
    </row>
    <row r="196">
      <c r="D196" s="96"/>
    </row>
    <row r="197">
      <c r="D197" s="96"/>
    </row>
    <row r="198">
      <c r="D198" s="96"/>
    </row>
    <row r="199">
      <c r="D199" s="96"/>
    </row>
    <row r="200">
      <c r="D200" s="96"/>
    </row>
    <row r="201">
      <c r="D201" s="96"/>
    </row>
    <row r="202">
      <c r="D202" s="96"/>
    </row>
    <row r="203">
      <c r="D203" s="96"/>
    </row>
    <row r="204">
      <c r="D204" s="96"/>
    </row>
    <row r="205">
      <c r="D205" s="96"/>
    </row>
    <row r="206">
      <c r="D206" s="96"/>
    </row>
    <row r="207">
      <c r="D207" s="96"/>
    </row>
    <row r="208">
      <c r="D208" s="96"/>
    </row>
    <row r="209">
      <c r="D209" s="96"/>
    </row>
    <row r="210">
      <c r="D210" s="96"/>
    </row>
    <row r="211">
      <c r="D211" s="96"/>
    </row>
    <row r="212">
      <c r="D212" s="96"/>
    </row>
    <row r="213">
      <c r="D213" s="96"/>
    </row>
    <row r="214">
      <c r="D214" s="96"/>
    </row>
    <row r="215">
      <c r="D215" s="96"/>
    </row>
    <row r="216">
      <c r="D216" s="96"/>
    </row>
    <row r="217">
      <c r="D217" s="96"/>
    </row>
    <row r="218">
      <c r="D218" s="96"/>
    </row>
    <row r="219">
      <c r="D219" s="96"/>
    </row>
    <row r="220">
      <c r="D220" s="96"/>
    </row>
    <row r="221">
      <c r="D221" s="96"/>
    </row>
    <row r="222">
      <c r="D222" s="96"/>
    </row>
    <row r="223">
      <c r="D223" s="96"/>
    </row>
    <row r="224">
      <c r="D224" s="96"/>
    </row>
    <row r="225">
      <c r="D225" s="96"/>
    </row>
    <row r="226">
      <c r="D226" s="96"/>
    </row>
    <row r="227">
      <c r="D227" s="96"/>
    </row>
    <row r="228">
      <c r="D228" s="96"/>
    </row>
    <row r="229">
      <c r="D229" s="96"/>
    </row>
    <row r="230">
      <c r="D230" s="96"/>
    </row>
    <row r="231">
      <c r="D231" s="96"/>
    </row>
    <row r="232">
      <c r="D232" s="96"/>
    </row>
    <row r="233">
      <c r="D233" s="96"/>
    </row>
    <row r="234">
      <c r="D234" s="96"/>
    </row>
    <row r="235">
      <c r="D235" s="96"/>
    </row>
    <row r="236">
      <c r="D236" s="96"/>
    </row>
    <row r="237">
      <c r="D237" s="96"/>
    </row>
    <row r="238">
      <c r="D238" s="96"/>
    </row>
    <row r="239">
      <c r="D239" s="96"/>
    </row>
    <row r="240">
      <c r="D240" s="96"/>
    </row>
    <row r="241">
      <c r="D241" s="96"/>
    </row>
    <row r="242">
      <c r="D242" s="96"/>
    </row>
    <row r="243">
      <c r="D243" s="96"/>
    </row>
    <row r="244">
      <c r="D244" s="96"/>
    </row>
    <row r="245">
      <c r="D245" s="96"/>
    </row>
    <row r="246">
      <c r="D246" s="96"/>
    </row>
    <row r="247">
      <c r="D247" s="96"/>
    </row>
    <row r="248">
      <c r="D248" s="96"/>
    </row>
    <row r="249">
      <c r="D249" s="96"/>
    </row>
    <row r="250">
      <c r="D250" s="96"/>
    </row>
    <row r="251">
      <c r="D251" s="96"/>
    </row>
    <row r="252">
      <c r="D252" s="96"/>
    </row>
    <row r="253">
      <c r="D253" s="96"/>
    </row>
    <row r="254">
      <c r="D254" s="96"/>
    </row>
    <row r="255">
      <c r="D255" s="96"/>
    </row>
    <row r="256">
      <c r="D256" s="96"/>
    </row>
    <row r="257">
      <c r="D257" s="96"/>
    </row>
    <row r="258">
      <c r="D258" s="96"/>
    </row>
    <row r="259">
      <c r="D259" s="96"/>
    </row>
    <row r="260">
      <c r="D260" s="96"/>
    </row>
    <row r="261">
      <c r="D261" s="96"/>
    </row>
    <row r="262">
      <c r="D262" s="96"/>
    </row>
    <row r="263">
      <c r="D263" s="96"/>
    </row>
    <row r="264">
      <c r="D264" s="96"/>
    </row>
    <row r="265">
      <c r="D265" s="96"/>
    </row>
    <row r="266">
      <c r="D266" s="96"/>
    </row>
    <row r="267">
      <c r="D267" s="96"/>
    </row>
    <row r="268">
      <c r="D268" s="96"/>
    </row>
    <row r="269">
      <c r="D269" s="96"/>
    </row>
    <row r="270">
      <c r="D270" s="96"/>
    </row>
    <row r="271">
      <c r="D271" s="96"/>
    </row>
    <row r="272">
      <c r="D272" s="96"/>
    </row>
    <row r="273">
      <c r="D273" s="96"/>
    </row>
    <row r="274">
      <c r="D274" s="96"/>
    </row>
    <row r="275">
      <c r="D275" s="96"/>
    </row>
    <row r="276">
      <c r="D276" s="96"/>
    </row>
    <row r="277">
      <c r="D277" s="96"/>
    </row>
    <row r="278">
      <c r="D278" s="96"/>
    </row>
    <row r="279">
      <c r="D279" s="96"/>
    </row>
    <row r="280">
      <c r="D280" s="96"/>
    </row>
    <row r="281">
      <c r="D281" s="96"/>
    </row>
    <row r="282">
      <c r="D282" s="96"/>
    </row>
    <row r="283">
      <c r="D283" s="96"/>
    </row>
    <row r="284">
      <c r="D284" s="96"/>
    </row>
    <row r="285">
      <c r="D285" s="96"/>
    </row>
    <row r="286">
      <c r="D286" s="96"/>
    </row>
    <row r="287">
      <c r="D287" s="96"/>
    </row>
    <row r="288">
      <c r="D288" s="96"/>
    </row>
    <row r="289">
      <c r="D289" s="96"/>
    </row>
    <row r="290">
      <c r="D290" s="96"/>
    </row>
    <row r="291">
      <c r="D291" s="96"/>
    </row>
    <row r="292">
      <c r="D292" s="96"/>
    </row>
    <row r="293">
      <c r="D293" s="96"/>
    </row>
    <row r="294">
      <c r="D294" s="96"/>
    </row>
    <row r="295">
      <c r="D295" s="96"/>
    </row>
    <row r="296">
      <c r="D296" s="96"/>
    </row>
    <row r="297">
      <c r="D297" s="96"/>
    </row>
    <row r="298">
      <c r="D298" s="96"/>
    </row>
    <row r="299">
      <c r="D299" s="96"/>
    </row>
    <row r="300">
      <c r="D300" s="96"/>
    </row>
    <row r="301">
      <c r="D301" s="96"/>
    </row>
    <row r="302">
      <c r="D302" s="96"/>
    </row>
    <row r="303">
      <c r="D303" s="96"/>
    </row>
    <row r="304">
      <c r="D304" s="96"/>
    </row>
    <row r="305">
      <c r="D305" s="96"/>
    </row>
    <row r="306">
      <c r="D306" s="96"/>
    </row>
    <row r="307">
      <c r="D307" s="96"/>
    </row>
    <row r="308">
      <c r="D308" s="96"/>
    </row>
    <row r="309">
      <c r="D309" s="96"/>
    </row>
    <row r="310">
      <c r="D310" s="96"/>
    </row>
    <row r="311">
      <c r="D311" s="96"/>
    </row>
    <row r="312">
      <c r="D312" s="96"/>
    </row>
    <row r="313">
      <c r="D313" s="96"/>
    </row>
    <row r="314">
      <c r="D314" s="96"/>
    </row>
    <row r="315">
      <c r="D315" s="96"/>
    </row>
    <row r="316">
      <c r="D316" s="96"/>
    </row>
    <row r="317">
      <c r="D317" s="96"/>
    </row>
    <row r="318">
      <c r="D318" s="96"/>
    </row>
    <row r="319">
      <c r="D319" s="96"/>
    </row>
    <row r="320">
      <c r="D320" s="96"/>
    </row>
    <row r="321">
      <c r="D321" s="96"/>
    </row>
    <row r="322">
      <c r="D322" s="96"/>
    </row>
    <row r="323">
      <c r="D323" s="96"/>
    </row>
    <row r="324">
      <c r="D324" s="96"/>
    </row>
    <row r="325">
      <c r="D325" s="96"/>
    </row>
    <row r="326">
      <c r="D326" s="96"/>
    </row>
    <row r="327">
      <c r="D327" s="96"/>
    </row>
    <row r="328">
      <c r="D328" s="96"/>
    </row>
    <row r="329">
      <c r="D329" s="96"/>
    </row>
    <row r="330">
      <c r="D330" s="96"/>
    </row>
    <row r="331">
      <c r="D331" s="96"/>
    </row>
    <row r="332">
      <c r="D332" s="96"/>
    </row>
    <row r="333">
      <c r="D333" s="96"/>
    </row>
    <row r="334">
      <c r="D334" s="96"/>
    </row>
    <row r="335">
      <c r="D335" s="96"/>
    </row>
    <row r="336">
      <c r="D336" s="96"/>
    </row>
    <row r="337">
      <c r="D337" s="96"/>
    </row>
    <row r="338">
      <c r="D338" s="96"/>
    </row>
    <row r="339">
      <c r="D339" s="96"/>
    </row>
    <row r="340">
      <c r="D340" s="96"/>
    </row>
    <row r="341">
      <c r="D341" s="96"/>
    </row>
    <row r="342">
      <c r="D342" s="96"/>
    </row>
    <row r="343">
      <c r="D343" s="96"/>
    </row>
    <row r="344">
      <c r="D344" s="96"/>
    </row>
    <row r="345">
      <c r="D345" s="96"/>
    </row>
    <row r="346">
      <c r="D346" s="96"/>
    </row>
    <row r="347">
      <c r="D347" s="96"/>
    </row>
    <row r="348">
      <c r="D348" s="96"/>
    </row>
    <row r="349">
      <c r="D349" s="96"/>
    </row>
    <row r="350">
      <c r="D350" s="96"/>
    </row>
    <row r="351">
      <c r="D351" s="96"/>
    </row>
    <row r="352">
      <c r="D352" s="96"/>
    </row>
    <row r="353">
      <c r="D353" s="96"/>
    </row>
    <row r="354">
      <c r="D354" s="96"/>
    </row>
    <row r="355">
      <c r="D355" s="96"/>
    </row>
    <row r="356">
      <c r="D356" s="96"/>
    </row>
    <row r="357">
      <c r="D357" s="96"/>
    </row>
    <row r="358">
      <c r="D358" s="96"/>
    </row>
    <row r="359">
      <c r="D359" s="96"/>
    </row>
    <row r="360">
      <c r="D360" s="96"/>
    </row>
    <row r="361">
      <c r="D361" s="96"/>
    </row>
    <row r="362">
      <c r="D362" s="96"/>
    </row>
    <row r="363">
      <c r="D363" s="96"/>
    </row>
    <row r="364">
      <c r="D364" s="96"/>
    </row>
    <row r="365">
      <c r="D365" s="96"/>
    </row>
    <row r="366">
      <c r="D366" s="96"/>
    </row>
    <row r="367">
      <c r="D367" s="96"/>
    </row>
    <row r="368">
      <c r="D368" s="96"/>
    </row>
    <row r="369">
      <c r="D369" s="96"/>
    </row>
    <row r="370">
      <c r="D370" s="96"/>
    </row>
    <row r="371">
      <c r="D371" s="96"/>
    </row>
    <row r="372">
      <c r="D372" s="96"/>
    </row>
    <row r="373">
      <c r="D373" s="96"/>
    </row>
    <row r="374">
      <c r="D374" s="96"/>
    </row>
    <row r="375">
      <c r="D375" s="96"/>
    </row>
    <row r="376">
      <c r="D376" s="96"/>
    </row>
    <row r="377">
      <c r="D377" s="96"/>
    </row>
    <row r="378">
      <c r="D378" s="96"/>
    </row>
    <row r="379">
      <c r="D379" s="96"/>
    </row>
    <row r="380">
      <c r="D380" s="96"/>
    </row>
    <row r="381">
      <c r="D381" s="96"/>
    </row>
    <row r="382">
      <c r="D382" s="96"/>
    </row>
    <row r="383">
      <c r="D383" s="96"/>
    </row>
    <row r="384">
      <c r="D384" s="96"/>
    </row>
    <row r="385">
      <c r="D385" s="96"/>
    </row>
    <row r="386">
      <c r="D386" s="96"/>
    </row>
    <row r="387">
      <c r="D387" s="96"/>
    </row>
    <row r="388">
      <c r="D388" s="96"/>
    </row>
    <row r="389">
      <c r="D389" s="96"/>
    </row>
    <row r="390">
      <c r="D390" s="96"/>
    </row>
    <row r="391">
      <c r="D391" s="96"/>
    </row>
    <row r="392">
      <c r="D392" s="96"/>
    </row>
    <row r="393">
      <c r="D393" s="96"/>
    </row>
    <row r="394">
      <c r="D394" s="96"/>
    </row>
    <row r="395">
      <c r="D395" s="96"/>
    </row>
    <row r="396">
      <c r="D396" s="96"/>
    </row>
    <row r="397">
      <c r="D397" s="96"/>
    </row>
    <row r="398">
      <c r="D398" s="96"/>
    </row>
    <row r="399">
      <c r="D399" s="96"/>
    </row>
    <row r="400">
      <c r="D400" s="96"/>
    </row>
    <row r="401">
      <c r="D401" s="96"/>
    </row>
    <row r="402">
      <c r="D402" s="96"/>
    </row>
    <row r="403">
      <c r="D403" s="96"/>
    </row>
    <row r="404">
      <c r="D404" s="96"/>
    </row>
    <row r="405">
      <c r="D405" s="96"/>
    </row>
    <row r="406">
      <c r="D406" s="96"/>
    </row>
    <row r="407">
      <c r="D407" s="96"/>
    </row>
    <row r="408">
      <c r="D408" s="96"/>
    </row>
    <row r="409">
      <c r="D409" s="96"/>
    </row>
    <row r="410">
      <c r="D410" s="96"/>
    </row>
    <row r="411">
      <c r="D411" s="96"/>
    </row>
    <row r="412">
      <c r="D412" s="96"/>
    </row>
    <row r="413">
      <c r="D413" s="96"/>
    </row>
    <row r="414">
      <c r="D414" s="96"/>
    </row>
    <row r="415">
      <c r="D415" s="96"/>
    </row>
    <row r="416">
      <c r="D416" s="96"/>
    </row>
    <row r="417">
      <c r="D417" s="96"/>
    </row>
    <row r="418">
      <c r="D418" s="96"/>
    </row>
    <row r="419">
      <c r="D419" s="96"/>
    </row>
    <row r="420">
      <c r="D420" s="96"/>
    </row>
    <row r="421">
      <c r="D421" s="96"/>
    </row>
    <row r="422">
      <c r="D422" s="96"/>
    </row>
    <row r="423">
      <c r="D423" s="96"/>
    </row>
    <row r="424">
      <c r="D424" s="96"/>
    </row>
    <row r="425">
      <c r="D425" s="96"/>
    </row>
    <row r="426">
      <c r="D426" s="96"/>
    </row>
    <row r="427">
      <c r="D427" s="96"/>
    </row>
    <row r="428">
      <c r="D428" s="96"/>
    </row>
    <row r="429">
      <c r="D429" s="96"/>
    </row>
    <row r="430">
      <c r="D430" s="96"/>
    </row>
    <row r="431">
      <c r="D431" s="96"/>
    </row>
    <row r="432">
      <c r="D432" s="96"/>
    </row>
    <row r="433">
      <c r="D433" s="96"/>
    </row>
    <row r="434">
      <c r="D434" s="96"/>
    </row>
    <row r="435">
      <c r="D435" s="96"/>
    </row>
    <row r="436">
      <c r="D436" s="96"/>
    </row>
    <row r="437">
      <c r="D437" s="96"/>
    </row>
    <row r="438">
      <c r="D438" s="96"/>
    </row>
    <row r="439">
      <c r="D439" s="96"/>
    </row>
    <row r="440">
      <c r="D440" s="96"/>
    </row>
    <row r="441">
      <c r="D441" s="96"/>
    </row>
    <row r="442">
      <c r="D442" s="96"/>
    </row>
    <row r="443">
      <c r="D443" s="96"/>
    </row>
    <row r="444">
      <c r="D444" s="96"/>
    </row>
    <row r="445">
      <c r="D445" s="96"/>
    </row>
    <row r="446">
      <c r="D446" s="96"/>
    </row>
    <row r="447">
      <c r="D447" s="96"/>
    </row>
    <row r="448">
      <c r="D448" s="96"/>
    </row>
    <row r="449">
      <c r="D449" s="96"/>
    </row>
    <row r="450">
      <c r="D450" s="96"/>
    </row>
    <row r="451">
      <c r="D451" s="96"/>
    </row>
    <row r="452">
      <c r="D452" s="96"/>
    </row>
    <row r="453">
      <c r="D453" s="96"/>
    </row>
    <row r="454">
      <c r="D454" s="96"/>
    </row>
    <row r="455">
      <c r="D455" s="96"/>
    </row>
    <row r="456">
      <c r="D456" s="96"/>
    </row>
    <row r="457">
      <c r="D457" s="96"/>
    </row>
    <row r="458">
      <c r="D458" s="96"/>
    </row>
    <row r="459">
      <c r="D459" s="96"/>
    </row>
    <row r="460">
      <c r="D460" s="96"/>
    </row>
    <row r="461">
      <c r="D461" s="96"/>
    </row>
    <row r="462">
      <c r="D462" s="96"/>
    </row>
    <row r="463">
      <c r="D463" s="96"/>
    </row>
    <row r="464">
      <c r="D464" s="96"/>
    </row>
    <row r="465">
      <c r="D465" s="96"/>
    </row>
    <row r="466">
      <c r="D466" s="96"/>
    </row>
    <row r="467">
      <c r="D467" s="96"/>
    </row>
    <row r="468">
      <c r="D468" s="96"/>
    </row>
    <row r="469">
      <c r="D469" s="96"/>
    </row>
    <row r="470">
      <c r="D470" s="96"/>
    </row>
    <row r="471">
      <c r="D471" s="96"/>
    </row>
    <row r="472">
      <c r="D472" s="96"/>
    </row>
    <row r="473">
      <c r="D473" s="96"/>
    </row>
    <row r="474">
      <c r="D474" s="96"/>
    </row>
    <row r="475">
      <c r="D475" s="96"/>
    </row>
    <row r="476">
      <c r="D476" s="96"/>
    </row>
    <row r="477">
      <c r="D477" s="96"/>
    </row>
    <row r="478">
      <c r="D478" s="96"/>
    </row>
    <row r="479">
      <c r="D479" s="96"/>
    </row>
    <row r="480">
      <c r="D480" s="96"/>
    </row>
    <row r="481">
      <c r="D481" s="96"/>
    </row>
    <row r="482">
      <c r="D482" s="96"/>
    </row>
    <row r="483">
      <c r="D483" s="96"/>
    </row>
    <row r="484">
      <c r="D484" s="96"/>
    </row>
    <row r="485">
      <c r="D485" s="96"/>
    </row>
    <row r="486">
      <c r="D486" s="96"/>
    </row>
    <row r="487">
      <c r="D487" s="96"/>
    </row>
    <row r="488">
      <c r="D488" s="96"/>
    </row>
    <row r="489">
      <c r="D489" s="96"/>
    </row>
    <row r="490">
      <c r="D490" s="96"/>
    </row>
    <row r="491">
      <c r="D491" s="96"/>
    </row>
    <row r="492">
      <c r="D492" s="96"/>
    </row>
    <row r="493">
      <c r="D493" s="96"/>
    </row>
    <row r="494">
      <c r="D494" s="96"/>
    </row>
    <row r="495">
      <c r="D495" s="96"/>
    </row>
    <row r="496">
      <c r="D496" s="96"/>
    </row>
    <row r="497">
      <c r="D497" s="96"/>
    </row>
    <row r="498">
      <c r="D498" s="96"/>
    </row>
    <row r="499">
      <c r="D499" s="96"/>
    </row>
    <row r="500">
      <c r="D500" s="96"/>
    </row>
    <row r="501">
      <c r="D501" s="96"/>
    </row>
    <row r="502">
      <c r="D502" s="96"/>
    </row>
    <row r="503">
      <c r="D503" s="96"/>
    </row>
    <row r="504">
      <c r="D504" s="96"/>
    </row>
    <row r="505">
      <c r="D505" s="96"/>
    </row>
    <row r="506">
      <c r="D506" s="96"/>
    </row>
    <row r="507">
      <c r="D507" s="96"/>
    </row>
    <row r="508">
      <c r="D508" s="96"/>
    </row>
    <row r="509">
      <c r="D509" s="96"/>
    </row>
    <row r="510">
      <c r="D510" s="96"/>
    </row>
    <row r="511">
      <c r="D511" s="96"/>
    </row>
    <row r="512">
      <c r="D512" s="96"/>
    </row>
    <row r="513">
      <c r="D513" s="96"/>
    </row>
    <row r="514">
      <c r="D514" s="96"/>
    </row>
    <row r="515">
      <c r="D515" s="96"/>
    </row>
    <row r="516">
      <c r="D516" s="96"/>
    </row>
    <row r="517">
      <c r="D517" s="96"/>
    </row>
    <row r="518">
      <c r="D518" s="96"/>
    </row>
    <row r="519">
      <c r="D519" s="96"/>
    </row>
    <row r="520">
      <c r="D520" s="96"/>
    </row>
    <row r="521">
      <c r="D521" s="96"/>
    </row>
    <row r="522">
      <c r="D522" s="96"/>
    </row>
    <row r="523">
      <c r="D523" s="96"/>
    </row>
    <row r="524">
      <c r="D524" s="96"/>
    </row>
    <row r="525">
      <c r="D525" s="96"/>
    </row>
    <row r="526">
      <c r="D526" s="96"/>
    </row>
    <row r="527">
      <c r="D527" s="96"/>
    </row>
    <row r="528">
      <c r="D528" s="96"/>
    </row>
    <row r="529">
      <c r="D529" s="96"/>
    </row>
    <row r="530">
      <c r="D530" s="96"/>
    </row>
    <row r="531">
      <c r="D531" s="96"/>
    </row>
    <row r="532">
      <c r="D532" s="96"/>
    </row>
    <row r="533">
      <c r="D533" s="96"/>
    </row>
    <row r="534">
      <c r="D534" s="96"/>
    </row>
    <row r="535">
      <c r="D535" s="96"/>
    </row>
    <row r="536">
      <c r="D536" s="96"/>
    </row>
    <row r="537">
      <c r="D537" s="96"/>
    </row>
    <row r="538">
      <c r="D538" s="96"/>
    </row>
    <row r="539">
      <c r="D539" s="96"/>
    </row>
    <row r="540">
      <c r="D540" s="96"/>
    </row>
    <row r="541">
      <c r="D541" s="96"/>
    </row>
    <row r="542">
      <c r="D542" s="96"/>
    </row>
    <row r="543">
      <c r="D543" s="96"/>
    </row>
    <row r="544">
      <c r="D544" s="96"/>
    </row>
    <row r="545">
      <c r="D545" s="96"/>
    </row>
    <row r="546">
      <c r="D546" s="96"/>
    </row>
    <row r="547">
      <c r="D547" s="96"/>
    </row>
    <row r="548">
      <c r="D548" s="96"/>
    </row>
    <row r="549">
      <c r="D549" s="96"/>
    </row>
    <row r="550">
      <c r="D550" s="96"/>
    </row>
    <row r="551">
      <c r="D551" s="96"/>
    </row>
    <row r="552">
      <c r="D552" s="96"/>
    </row>
    <row r="553">
      <c r="D553" s="96"/>
    </row>
    <row r="554">
      <c r="D554" s="96"/>
    </row>
    <row r="555">
      <c r="D555" s="96"/>
    </row>
    <row r="556">
      <c r="D556" s="96"/>
    </row>
    <row r="557">
      <c r="D557" s="96"/>
    </row>
    <row r="558">
      <c r="D558" s="96"/>
    </row>
    <row r="559">
      <c r="D559" s="96"/>
    </row>
    <row r="560">
      <c r="D560" s="96"/>
    </row>
    <row r="561">
      <c r="D561" s="96"/>
    </row>
    <row r="562">
      <c r="D562" s="96"/>
    </row>
    <row r="563">
      <c r="D563" s="96"/>
    </row>
    <row r="564">
      <c r="D564" s="96"/>
    </row>
    <row r="565">
      <c r="D565" s="96"/>
    </row>
    <row r="566">
      <c r="D566" s="96"/>
    </row>
    <row r="567">
      <c r="D567" s="96"/>
    </row>
    <row r="568">
      <c r="D568" s="96"/>
    </row>
    <row r="569">
      <c r="D569" s="96"/>
    </row>
    <row r="570">
      <c r="D570" s="96"/>
    </row>
    <row r="571">
      <c r="D571" s="96"/>
    </row>
    <row r="572">
      <c r="D572" s="96"/>
    </row>
    <row r="573">
      <c r="D573" s="96"/>
    </row>
    <row r="574">
      <c r="D574" s="96"/>
    </row>
    <row r="575">
      <c r="D575" s="96"/>
    </row>
    <row r="576">
      <c r="D576" s="96"/>
    </row>
    <row r="577">
      <c r="D577" s="96"/>
    </row>
    <row r="578">
      <c r="D578" s="96"/>
    </row>
    <row r="579">
      <c r="D579" s="96"/>
    </row>
    <row r="580">
      <c r="D580" s="96"/>
    </row>
    <row r="581">
      <c r="D581" s="96"/>
    </row>
    <row r="582">
      <c r="D582" s="96"/>
    </row>
    <row r="583">
      <c r="D583" s="96"/>
    </row>
    <row r="584">
      <c r="D584" s="96"/>
    </row>
    <row r="585">
      <c r="D585" s="96"/>
    </row>
    <row r="586">
      <c r="D586" s="96"/>
    </row>
    <row r="587">
      <c r="D587" s="96"/>
    </row>
    <row r="588">
      <c r="D588" s="96"/>
    </row>
    <row r="589">
      <c r="D589" s="96"/>
    </row>
    <row r="590">
      <c r="D590" s="96"/>
    </row>
    <row r="591">
      <c r="D591" s="96"/>
    </row>
    <row r="592">
      <c r="D592" s="96"/>
    </row>
    <row r="593">
      <c r="D593" s="96"/>
    </row>
    <row r="594">
      <c r="D594" s="96"/>
    </row>
    <row r="595">
      <c r="D595" s="96"/>
    </row>
    <row r="596">
      <c r="D596" s="96"/>
    </row>
    <row r="597">
      <c r="D597" s="96"/>
    </row>
    <row r="598">
      <c r="D598" s="96"/>
    </row>
    <row r="599">
      <c r="D599" s="96"/>
    </row>
    <row r="600">
      <c r="D600" s="96"/>
    </row>
    <row r="601">
      <c r="D601" s="96"/>
    </row>
    <row r="602">
      <c r="D602" s="96"/>
    </row>
    <row r="603">
      <c r="D603" s="96"/>
    </row>
    <row r="604">
      <c r="D604" s="96"/>
    </row>
    <row r="605">
      <c r="D605" s="96"/>
    </row>
    <row r="606">
      <c r="D606" s="96"/>
    </row>
    <row r="607">
      <c r="D607" s="96"/>
    </row>
    <row r="608">
      <c r="D608" s="96"/>
    </row>
    <row r="609">
      <c r="D609" s="96"/>
    </row>
    <row r="610">
      <c r="D610" s="96"/>
    </row>
    <row r="611">
      <c r="D611" s="96"/>
    </row>
    <row r="612">
      <c r="D612" s="96"/>
    </row>
    <row r="613">
      <c r="D613" s="96"/>
    </row>
    <row r="614">
      <c r="D614" s="96"/>
    </row>
    <row r="615">
      <c r="D615" s="96"/>
    </row>
    <row r="616">
      <c r="D616" s="96"/>
    </row>
    <row r="617">
      <c r="D617" s="96"/>
    </row>
    <row r="618">
      <c r="D618" s="96"/>
    </row>
    <row r="619">
      <c r="D619" s="96"/>
    </row>
    <row r="620">
      <c r="D620" s="96"/>
    </row>
    <row r="621">
      <c r="D621" s="96"/>
    </row>
    <row r="622">
      <c r="D622" s="96"/>
    </row>
    <row r="623">
      <c r="D623" s="96"/>
    </row>
    <row r="624">
      <c r="D624" s="96"/>
    </row>
    <row r="625">
      <c r="D625" s="96"/>
    </row>
    <row r="626">
      <c r="D626" s="96"/>
    </row>
    <row r="627">
      <c r="D627" s="96"/>
    </row>
    <row r="628">
      <c r="D628" s="96"/>
    </row>
    <row r="629">
      <c r="D629" s="96"/>
    </row>
    <row r="630">
      <c r="D630" s="96"/>
    </row>
    <row r="631">
      <c r="D631" s="96"/>
    </row>
    <row r="632">
      <c r="D632" s="96"/>
    </row>
    <row r="633">
      <c r="D633" s="96"/>
    </row>
    <row r="634">
      <c r="D634" s="96"/>
    </row>
    <row r="635">
      <c r="D635" s="96"/>
    </row>
    <row r="636">
      <c r="D636" s="96"/>
    </row>
    <row r="637">
      <c r="D637" s="96"/>
    </row>
    <row r="638">
      <c r="D638" s="96"/>
    </row>
    <row r="639">
      <c r="D639" s="96"/>
    </row>
    <row r="640">
      <c r="D640" s="96"/>
    </row>
    <row r="641">
      <c r="D641" s="96"/>
    </row>
    <row r="642">
      <c r="D642" s="96"/>
    </row>
    <row r="643">
      <c r="D643" s="96"/>
    </row>
    <row r="644">
      <c r="D644" s="96"/>
    </row>
    <row r="645">
      <c r="D645" s="96"/>
    </row>
    <row r="646">
      <c r="D646" s="96"/>
    </row>
    <row r="647">
      <c r="D647" s="96"/>
    </row>
    <row r="648">
      <c r="D648" s="96"/>
    </row>
    <row r="649">
      <c r="D649" s="96"/>
    </row>
    <row r="650">
      <c r="D650" s="96"/>
    </row>
    <row r="651">
      <c r="D651" s="96"/>
    </row>
    <row r="652">
      <c r="D652" s="96"/>
    </row>
    <row r="653">
      <c r="D653" s="96"/>
    </row>
    <row r="654">
      <c r="D654" s="96"/>
    </row>
    <row r="655">
      <c r="D655" s="96"/>
    </row>
    <row r="656">
      <c r="D656" s="96"/>
    </row>
    <row r="657">
      <c r="D657" s="96"/>
    </row>
    <row r="658">
      <c r="D658" s="96"/>
    </row>
    <row r="659">
      <c r="D659" s="96"/>
    </row>
    <row r="660">
      <c r="D660" s="96"/>
    </row>
    <row r="661">
      <c r="D661" s="96"/>
    </row>
    <row r="662">
      <c r="D662" s="96"/>
    </row>
    <row r="663">
      <c r="D663" s="96"/>
    </row>
    <row r="664">
      <c r="D664" s="96"/>
    </row>
    <row r="665">
      <c r="D665" s="96"/>
    </row>
    <row r="666">
      <c r="D666" s="96"/>
    </row>
    <row r="667">
      <c r="D667" s="96"/>
    </row>
    <row r="668">
      <c r="D668" s="96"/>
    </row>
    <row r="669">
      <c r="D669" s="96"/>
    </row>
    <row r="670">
      <c r="D670" s="96"/>
    </row>
    <row r="671">
      <c r="D671" s="96"/>
    </row>
    <row r="672">
      <c r="D672" s="96"/>
    </row>
    <row r="673">
      <c r="D673" s="96"/>
    </row>
    <row r="674">
      <c r="D674" s="96"/>
    </row>
    <row r="675">
      <c r="D675" s="96"/>
    </row>
    <row r="676">
      <c r="D676" s="96"/>
    </row>
    <row r="677">
      <c r="D677" s="96"/>
    </row>
    <row r="678">
      <c r="D678" s="96"/>
    </row>
    <row r="679">
      <c r="D679" s="96"/>
    </row>
    <row r="680">
      <c r="D680" s="96"/>
    </row>
    <row r="681">
      <c r="D681" s="96"/>
    </row>
    <row r="682">
      <c r="D682" s="96"/>
    </row>
    <row r="683">
      <c r="D683" s="96"/>
    </row>
    <row r="684">
      <c r="D684" s="96"/>
    </row>
    <row r="685">
      <c r="D685" s="96"/>
    </row>
    <row r="686">
      <c r="D686" s="96"/>
    </row>
    <row r="687">
      <c r="D687" s="96"/>
    </row>
    <row r="688">
      <c r="D688" s="96"/>
    </row>
    <row r="689">
      <c r="D689" s="96"/>
    </row>
    <row r="690">
      <c r="D690" s="96"/>
    </row>
    <row r="691">
      <c r="D691" s="96"/>
    </row>
    <row r="692">
      <c r="D692" s="96"/>
    </row>
    <row r="693">
      <c r="D693" s="96"/>
    </row>
    <row r="694">
      <c r="D694" s="96"/>
    </row>
    <row r="695">
      <c r="D695" s="96"/>
    </row>
    <row r="696">
      <c r="D696" s="96"/>
    </row>
    <row r="697">
      <c r="D697" s="96"/>
    </row>
    <row r="698">
      <c r="D698" s="96"/>
    </row>
    <row r="699">
      <c r="D699" s="96"/>
    </row>
    <row r="700">
      <c r="D700" s="96"/>
    </row>
    <row r="701">
      <c r="D701" s="96"/>
    </row>
    <row r="702">
      <c r="D702" s="96"/>
    </row>
    <row r="703">
      <c r="D703" s="96"/>
    </row>
    <row r="704">
      <c r="D704" s="96"/>
    </row>
    <row r="705">
      <c r="D705" s="96"/>
    </row>
    <row r="706">
      <c r="D706" s="96"/>
    </row>
    <row r="707">
      <c r="D707" s="96"/>
    </row>
    <row r="708">
      <c r="D708" s="96"/>
    </row>
    <row r="709">
      <c r="D709" s="96"/>
    </row>
    <row r="710">
      <c r="D710" s="96"/>
    </row>
    <row r="711">
      <c r="D711" s="96"/>
    </row>
    <row r="712">
      <c r="D712" s="96"/>
    </row>
    <row r="713">
      <c r="D713" s="96"/>
    </row>
    <row r="714">
      <c r="D714" s="96"/>
    </row>
    <row r="715">
      <c r="D715" s="96"/>
    </row>
    <row r="716">
      <c r="D716" s="96"/>
    </row>
    <row r="717">
      <c r="D717" s="96"/>
    </row>
    <row r="718">
      <c r="D718" s="96"/>
    </row>
    <row r="719">
      <c r="D719" s="96"/>
    </row>
    <row r="720">
      <c r="D720" s="96"/>
    </row>
    <row r="721">
      <c r="D721" s="96"/>
    </row>
    <row r="722">
      <c r="D722" s="96"/>
    </row>
    <row r="723">
      <c r="D723" s="96"/>
    </row>
    <row r="724">
      <c r="D724" s="96"/>
    </row>
    <row r="725">
      <c r="D725" s="96"/>
    </row>
    <row r="726">
      <c r="D726" s="96"/>
    </row>
    <row r="727">
      <c r="D727" s="96"/>
    </row>
    <row r="728">
      <c r="D728" s="96"/>
    </row>
    <row r="729">
      <c r="D729" s="96"/>
    </row>
    <row r="730">
      <c r="D730" s="96"/>
    </row>
    <row r="731">
      <c r="D731" s="96"/>
    </row>
    <row r="732">
      <c r="D732" s="96"/>
    </row>
    <row r="733">
      <c r="D733" s="96"/>
    </row>
    <row r="734">
      <c r="D734" s="96"/>
    </row>
    <row r="735">
      <c r="D735" s="96"/>
    </row>
    <row r="736">
      <c r="D736" s="96"/>
    </row>
    <row r="737">
      <c r="D737" s="96"/>
    </row>
    <row r="738">
      <c r="D738" s="96"/>
    </row>
    <row r="739">
      <c r="D739" s="96"/>
    </row>
    <row r="740">
      <c r="D740" s="96"/>
    </row>
    <row r="741">
      <c r="D741" s="96"/>
    </row>
    <row r="742">
      <c r="D742" s="96"/>
    </row>
    <row r="743">
      <c r="D743" s="96"/>
    </row>
    <row r="744">
      <c r="D744" s="96"/>
    </row>
    <row r="745">
      <c r="D745" s="96"/>
    </row>
    <row r="746">
      <c r="D746" s="96"/>
    </row>
    <row r="747">
      <c r="D747" s="96"/>
    </row>
    <row r="748">
      <c r="D748" s="96"/>
    </row>
    <row r="749">
      <c r="D749" s="96"/>
    </row>
    <row r="750">
      <c r="D750" s="96"/>
    </row>
    <row r="751">
      <c r="D751" s="96"/>
    </row>
    <row r="752">
      <c r="D752" s="96"/>
    </row>
    <row r="753">
      <c r="D753" s="96"/>
    </row>
    <row r="754">
      <c r="D754" s="96"/>
    </row>
    <row r="755">
      <c r="D755" s="96"/>
    </row>
    <row r="756">
      <c r="D756" s="96"/>
    </row>
    <row r="757">
      <c r="D757" s="96"/>
    </row>
    <row r="758">
      <c r="D758" s="96"/>
    </row>
    <row r="759">
      <c r="D759" s="96"/>
    </row>
    <row r="760">
      <c r="D760" s="96"/>
    </row>
    <row r="761">
      <c r="D761" s="96"/>
    </row>
    <row r="762">
      <c r="D762" s="96"/>
    </row>
    <row r="763">
      <c r="D763" s="96"/>
    </row>
    <row r="764">
      <c r="D764" s="96"/>
    </row>
    <row r="765">
      <c r="D765" s="96"/>
    </row>
    <row r="766">
      <c r="D766" s="96"/>
    </row>
    <row r="767">
      <c r="D767" s="96"/>
    </row>
    <row r="768">
      <c r="D768" s="96"/>
    </row>
    <row r="769">
      <c r="D769" s="96"/>
    </row>
    <row r="770">
      <c r="D770" s="96"/>
    </row>
    <row r="771">
      <c r="D771" s="96"/>
    </row>
    <row r="772">
      <c r="D772" s="96"/>
    </row>
    <row r="773">
      <c r="D773" s="96"/>
    </row>
    <row r="774">
      <c r="D774" s="96"/>
    </row>
    <row r="775">
      <c r="D775" s="96"/>
    </row>
    <row r="776">
      <c r="D776" s="96"/>
    </row>
    <row r="777">
      <c r="D777" s="96"/>
    </row>
    <row r="778">
      <c r="D778" s="96"/>
    </row>
    <row r="779">
      <c r="D779" s="96"/>
    </row>
    <row r="780">
      <c r="D780" s="96"/>
    </row>
    <row r="781">
      <c r="D781" s="96"/>
    </row>
    <row r="782">
      <c r="D782" s="96"/>
    </row>
    <row r="783">
      <c r="D783" s="96"/>
    </row>
    <row r="784">
      <c r="D784" s="96"/>
    </row>
    <row r="785">
      <c r="D785" s="96"/>
    </row>
    <row r="786">
      <c r="D786" s="96"/>
    </row>
    <row r="787">
      <c r="D787" s="96"/>
    </row>
    <row r="788">
      <c r="D788" s="96"/>
    </row>
    <row r="789">
      <c r="D789" s="96"/>
    </row>
    <row r="790">
      <c r="D790" s="96"/>
    </row>
    <row r="791">
      <c r="D791" s="96"/>
    </row>
    <row r="792">
      <c r="D792" s="96"/>
    </row>
    <row r="793">
      <c r="D793" s="96"/>
    </row>
    <row r="794">
      <c r="D794" s="96"/>
    </row>
    <row r="795">
      <c r="D795" s="96"/>
    </row>
    <row r="796">
      <c r="D796" s="96"/>
    </row>
    <row r="797">
      <c r="D797" s="96"/>
    </row>
    <row r="798">
      <c r="D798" s="96"/>
    </row>
    <row r="799">
      <c r="D799" s="96"/>
    </row>
    <row r="800">
      <c r="D800" s="96"/>
    </row>
    <row r="801">
      <c r="D801" s="96"/>
    </row>
    <row r="802">
      <c r="D802" s="96"/>
    </row>
    <row r="803">
      <c r="D803" s="96"/>
    </row>
    <row r="804">
      <c r="D804" s="96"/>
    </row>
    <row r="805">
      <c r="D805" s="96"/>
    </row>
    <row r="806">
      <c r="D806" s="96"/>
    </row>
    <row r="807">
      <c r="D807" s="96"/>
    </row>
    <row r="808">
      <c r="D808" s="96"/>
    </row>
    <row r="809">
      <c r="D809" s="96"/>
    </row>
    <row r="810">
      <c r="D810" s="96"/>
    </row>
    <row r="811">
      <c r="D811" s="96"/>
    </row>
    <row r="812">
      <c r="D812" s="96"/>
    </row>
    <row r="813">
      <c r="D813" s="96"/>
    </row>
    <row r="814">
      <c r="D814" s="96"/>
    </row>
    <row r="815">
      <c r="D815" s="96"/>
    </row>
    <row r="816">
      <c r="D816" s="96"/>
    </row>
    <row r="817">
      <c r="D817" s="96"/>
    </row>
    <row r="818">
      <c r="D818" s="96"/>
    </row>
    <row r="819">
      <c r="D819" s="96"/>
    </row>
    <row r="820">
      <c r="D820" s="96"/>
    </row>
    <row r="821">
      <c r="D821" s="96"/>
    </row>
    <row r="822">
      <c r="D822" s="96"/>
    </row>
    <row r="823">
      <c r="D823" s="96"/>
    </row>
    <row r="824">
      <c r="D824" s="96"/>
    </row>
    <row r="825">
      <c r="D825" s="96"/>
    </row>
    <row r="826">
      <c r="D826" s="96"/>
    </row>
    <row r="827">
      <c r="D827" s="96"/>
    </row>
    <row r="828">
      <c r="D828" s="96"/>
    </row>
    <row r="829">
      <c r="D829" s="96"/>
    </row>
    <row r="830">
      <c r="D830" s="96"/>
    </row>
    <row r="831">
      <c r="D831" s="96"/>
    </row>
    <row r="832">
      <c r="D832" s="96"/>
    </row>
    <row r="833">
      <c r="D833" s="96"/>
    </row>
    <row r="834">
      <c r="D834" s="96"/>
    </row>
    <row r="835">
      <c r="D835" s="96"/>
    </row>
    <row r="836">
      <c r="D836" s="96"/>
    </row>
    <row r="837">
      <c r="D837" s="96"/>
    </row>
    <row r="838">
      <c r="D838" s="96"/>
    </row>
    <row r="839">
      <c r="D839" s="96"/>
    </row>
    <row r="840">
      <c r="D840" s="96"/>
    </row>
    <row r="841">
      <c r="D841" s="96"/>
    </row>
    <row r="842">
      <c r="D842" s="96"/>
    </row>
    <row r="843">
      <c r="D843" s="96"/>
    </row>
    <row r="844">
      <c r="D844" s="96"/>
    </row>
    <row r="845">
      <c r="D845" s="96"/>
    </row>
    <row r="846">
      <c r="D846" s="96"/>
    </row>
    <row r="847">
      <c r="D847" s="96"/>
    </row>
    <row r="848">
      <c r="D848" s="96"/>
    </row>
    <row r="849">
      <c r="D849" s="96"/>
    </row>
    <row r="850">
      <c r="D850" s="96"/>
    </row>
    <row r="851">
      <c r="D851" s="96"/>
    </row>
    <row r="852">
      <c r="D852" s="96"/>
    </row>
    <row r="853">
      <c r="D853" s="96"/>
    </row>
    <row r="854">
      <c r="D854" s="96"/>
    </row>
    <row r="855">
      <c r="D855" s="96"/>
    </row>
    <row r="856">
      <c r="D856" s="96"/>
    </row>
    <row r="857">
      <c r="D857" s="96"/>
    </row>
    <row r="858">
      <c r="D858" s="96"/>
    </row>
    <row r="859">
      <c r="D859" s="96"/>
    </row>
    <row r="860">
      <c r="D860" s="96"/>
    </row>
    <row r="861">
      <c r="D861" s="96"/>
    </row>
    <row r="862">
      <c r="D862" s="96"/>
    </row>
    <row r="863">
      <c r="D863" s="96"/>
    </row>
    <row r="864">
      <c r="D864" s="96"/>
    </row>
    <row r="865">
      <c r="D865" s="96"/>
    </row>
    <row r="866">
      <c r="D866" s="96"/>
    </row>
    <row r="867">
      <c r="D867" s="96"/>
    </row>
    <row r="868">
      <c r="D868" s="96"/>
    </row>
    <row r="869">
      <c r="D869" s="96"/>
    </row>
    <row r="870">
      <c r="D870" s="96"/>
    </row>
    <row r="871">
      <c r="D871" s="96"/>
    </row>
    <row r="872">
      <c r="D872" s="96"/>
    </row>
    <row r="873">
      <c r="D873" s="96"/>
    </row>
    <row r="874">
      <c r="D874" s="96"/>
    </row>
    <row r="875">
      <c r="D875" s="96"/>
    </row>
    <row r="876">
      <c r="D876" s="96"/>
    </row>
    <row r="877">
      <c r="D877" s="96"/>
    </row>
    <row r="878">
      <c r="D878" s="96"/>
    </row>
    <row r="879">
      <c r="D879" s="96"/>
    </row>
    <row r="880">
      <c r="D880" s="96"/>
    </row>
    <row r="881">
      <c r="D881" s="96"/>
    </row>
    <row r="882">
      <c r="D882" s="96"/>
    </row>
    <row r="883">
      <c r="D883" s="96"/>
    </row>
    <row r="884">
      <c r="D884" s="96"/>
    </row>
    <row r="885">
      <c r="D885" s="96"/>
    </row>
    <row r="886">
      <c r="D886" s="96"/>
    </row>
    <row r="887">
      <c r="D887" s="96"/>
    </row>
    <row r="888">
      <c r="D888" s="96"/>
    </row>
    <row r="889">
      <c r="D889" s="96"/>
    </row>
    <row r="890">
      <c r="D890" s="96"/>
    </row>
    <row r="891">
      <c r="D891" s="96"/>
    </row>
    <row r="892">
      <c r="D892" s="96"/>
    </row>
    <row r="893">
      <c r="D893" s="96"/>
    </row>
    <row r="894">
      <c r="D894" s="96"/>
    </row>
    <row r="895">
      <c r="D895" s="96"/>
    </row>
    <row r="896">
      <c r="D896" s="96"/>
    </row>
    <row r="897">
      <c r="D897" s="96"/>
    </row>
    <row r="898">
      <c r="D898" s="96"/>
    </row>
    <row r="899">
      <c r="D899" s="96"/>
    </row>
    <row r="900">
      <c r="D900" s="96"/>
    </row>
    <row r="901">
      <c r="D901" s="96"/>
    </row>
    <row r="902">
      <c r="D902" s="96"/>
    </row>
    <row r="903">
      <c r="D903" s="96"/>
    </row>
    <row r="904">
      <c r="D904" s="96"/>
    </row>
    <row r="905">
      <c r="D905" s="96"/>
    </row>
    <row r="906">
      <c r="D906" s="96"/>
    </row>
    <row r="907">
      <c r="D907" s="96"/>
    </row>
    <row r="908">
      <c r="D908" s="96"/>
    </row>
    <row r="909">
      <c r="D909" s="96"/>
    </row>
    <row r="910">
      <c r="D910" s="96"/>
    </row>
    <row r="911">
      <c r="D911" s="96"/>
    </row>
    <row r="912">
      <c r="D912" s="96"/>
    </row>
    <row r="913">
      <c r="D913" s="96"/>
    </row>
    <row r="914">
      <c r="D914" s="96"/>
    </row>
    <row r="915">
      <c r="D915" s="96"/>
    </row>
    <row r="916">
      <c r="D916" s="96"/>
    </row>
    <row r="917">
      <c r="D917" s="96"/>
    </row>
    <row r="918">
      <c r="D918" s="96"/>
    </row>
    <row r="919">
      <c r="D919" s="96"/>
    </row>
    <row r="920">
      <c r="D920" s="96"/>
    </row>
    <row r="921">
      <c r="D921" s="96"/>
    </row>
    <row r="922">
      <c r="D922" s="96"/>
    </row>
    <row r="923">
      <c r="D923" s="96"/>
    </row>
    <row r="924">
      <c r="D924" s="96"/>
    </row>
    <row r="925">
      <c r="D925" s="96"/>
    </row>
    <row r="926">
      <c r="D926" s="96"/>
    </row>
    <row r="927">
      <c r="D927" s="96"/>
    </row>
    <row r="928">
      <c r="D928" s="96"/>
    </row>
    <row r="929">
      <c r="D929" s="96"/>
    </row>
    <row r="930">
      <c r="D930" s="96"/>
    </row>
    <row r="931">
      <c r="D931" s="96"/>
    </row>
    <row r="932">
      <c r="D932" s="96"/>
    </row>
    <row r="933">
      <c r="D933" s="96"/>
    </row>
    <row r="934">
      <c r="D934" s="96"/>
    </row>
    <row r="935">
      <c r="D935" s="96"/>
    </row>
    <row r="936">
      <c r="D936" s="96"/>
    </row>
    <row r="937">
      <c r="D937" s="96"/>
    </row>
    <row r="938">
      <c r="D938" s="96"/>
    </row>
    <row r="939">
      <c r="D939" s="96"/>
    </row>
    <row r="940">
      <c r="D940" s="96"/>
    </row>
    <row r="941">
      <c r="D941" s="96"/>
    </row>
    <row r="942">
      <c r="D942" s="96"/>
    </row>
    <row r="943">
      <c r="D943" s="96"/>
    </row>
    <row r="944">
      <c r="D944" s="96"/>
    </row>
    <row r="945">
      <c r="D945" s="96"/>
    </row>
    <row r="946">
      <c r="D946" s="96"/>
    </row>
    <row r="947">
      <c r="D947" s="96"/>
    </row>
    <row r="948">
      <c r="D948" s="96"/>
    </row>
    <row r="949">
      <c r="D949" s="96"/>
    </row>
    <row r="950">
      <c r="D950" s="96"/>
    </row>
    <row r="951">
      <c r="D951" s="96"/>
    </row>
    <row r="952">
      <c r="D952" s="96"/>
    </row>
    <row r="953">
      <c r="D953" s="96"/>
    </row>
    <row r="954">
      <c r="D954" s="96"/>
    </row>
    <row r="955">
      <c r="D955" s="96"/>
    </row>
    <row r="956">
      <c r="D956" s="96"/>
    </row>
    <row r="957">
      <c r="D957" s="96"/>
    </row>
    <row r="958">
      <c r="D958" s="96"/>
    </row>
    <row r="959">
      <c r="D959" s="96"/>
    </row>
    <row r="960">
      <c r="D960" s="96"/>
    </row>
    <row r="961">
      <c r="D961" s="96"/>
    </row>
    <row r="962">
      <c r="D962" s="96"/>
    </row>
    <row r="963">
      <c r="D963" s="96"/>
    </row>
    <row r="964">
      <c r="D964" s="96"/>
    </row>
    <row r="965">
      <c r="D965" s="96"/>
    </row>
    <row r="966">
      <c r="D966" s="96"/>
    </row>
    <row r="967">
      <c r="D967" s="96"/>
    </row>
    <row r="968">
      <c r="D968" s="96"/>
    </row>
    <row r="969">
      <c r="D969" s="96"/>
    </row>
    <row r="970">
      <c r="D970" s="96"/>
    </row>
    <row r="971">
      <c r="D971" s="96"/>
    </row>
    <row r="972">
      <c r="D972" s="96"/>
    </row>
    <row r="973">
      <c r="D973" s="96"/>
    </row>
    <row r="974">
      <c r="D974" s="96"/>
    </row>
    <row r="975">
      <c r="D975" s="96"/>
    </row>
    <row r="976">
      <c r="D976" s="96"/>
    </row>
    <row r="977">
      <c r="D977" s="96"/>
    </row>
    <row r="978">
      <c r="D978" s="96"/>
    </row>
    <row r="979">
      <c r="D979" s="96"/>
    </row>
    <row r="980">
      <c r="D980" s="96"/>
    </row>
    <row r="981">
      <c r="D981" s="96"/>
    </row>
    <row r="982">
      <c r="D982" s="96"/>
    </row>
    <row r="983">
      <c r="D983" s="96"/>
    </row>
    <row r="984">
      <c r="D984" s="96"/>
    </row>
    <row r="985">
      <c r="D985" s="96"/>
    </row>
    <row r="986">
      <c r="D986" s="96"/>
    </row>
    <row r="987">
      <c r="D987" s="96"/>
    </row>
    <row r="988">
      <c r="D988" s="96"/>
    </row>
    <row r="989">
      <c r="D989" s="96"/>
    </row>
    <row r="990">
      <c r="D990" s="96"/>
    </row>
    <row r="991">
      <c r="D991" s="96"/>
    </row>
    <row r="992">
      <c r="D992" s="96"/>
    </row>
    <row r="993">
      <c r="D993" s="96"/>
    </row>
    <row r="994">
      <c r="D994" s="96"/>
    </row>
    <row r="995">
      <c r="D995" s="96"/>
    </row>
    <row r="996">
      <c r="D996" s="96"/>
    </row>
    <row r="997">
      <c r="D997" s="96"/>
    </row>
    <row r="998">
      <c r="D998" s="96"/>
    </row>
    <row r="999">
      <c r="D999" s="96"/>
    </row>
    <row r="1000">
      <c r="D1000" s="9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580</v>
      </c>
    </row>
    <row r="3">
      <c r="A3" s="18" t="s">
        <v>581</v>
      </c>
    </row>
    <row r="5">
      <c r="A5" s="18" t="s">
        <v>582</v>
      </c>
    </row>
    <row r="7">
      <c r="A7" s="18" t="s">
        <v>583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8.63"/>
    <col customWidth="1" min="2" max="2" width="8.25"/>
    <col customWidth="1" min="3" max="3" width="14.5"/>
    <col customWidth="1" min="4" max="4" width="16.63"/>
    <col customWidth="1" min="5" max="5" width="17.0"/>
    <col customWidth="1" min="6" max="6" width="11.13"/>
    <col customWidth="1" min="7" max="7" width="7.88"/>
  </cols>
  <sheetData>
    <row r="1">
      <c r="A1" s="18" t="s">
        <v>0</v>
      </c>
      <c r="B1" s="18" t="s">
        <v>575</v>
      </c>
      <c r="C1" s="18" t="s">
        <v>584</v>
      </c>
      <c r="D1" s="18" t="s">
        <v>585</v>
      </c>
      <c r="E1" s="18" t="s">
        <v>586</v>
      </c>
      <c r="F1" s="98" t="s">
        <v>587</v>
      </c>
      <c r="G1" s="18" t="s">
        <v>588</v>
      </c>
      <c r="H1" s="18" t="s">
        <v>589</v>
      </c>
      <c r="J1" s="99"/>
    </row>
    <row r="2">
      <c r="A2" s="69" t="str">
        <f>IFERROR(__xludf.DUMMYFUNCTION("UNIQUE(SORT(Produktrezept!A2:A1000))"),"#REF!")</f>
        <v>#REF!</v>
      </c>
      <c r="B2" s="96"/>
      <c r="F2" s="96"/>
      <c r="J2" s="99"/>
    </row>
    <row r="3">
      <c r="B3" s="96" t="str">
        <f t="shared" ref="B3:B46" si="1">SUMIFS(Produktrezept!F:F,Produktrezept!A:A,A3)</f>
        <v>#N/A</v>
      </c>
      <c r="C3" s="69" t="str">
        <f t="shared" ref="C3:C46" si="2">B3*1.19</f>
        <v>#N/A</v>
      </c>
      <c r="D3" s="69" t="str">
        <f t="shared" ref="D3:D46" si="3">3*B3</f>
        <v>#N/A</v>
      </c>
      <c r="E3" s="69" t="str">
        <f t="shared" ref="E3:E46" si="4">C3*3</f>
        <v>#N/A</v>
      </c>
      <c r="F3" s="98">
        <v>14.5</v>
      </c>
      <c r="G3" s="69" t="str">
        <f t="shared" ref="G3:G46" si="5">F3-E3</f>
        <v>#N/A</v>
      </c>
      <c r="H3" s="18">
        <v>239.0</v>
      </c>
      <c r="I3" s="69" t="str">
        <f t="shared" ref="I3:I46" si="6">H3*G3</f>
        <v>#N/A</v>
      </c>
      <c r="J3" s="103" t="str">
        <f t="shared" ref="J3:J34" si="7">F3/C3</f>
        <v>#N/A</v>
      </c>
      <c r="K3" s="96">
        <f t="shared" ref="K3:K34" si="8">H3*F3</f>
        <v>3465.5</v>
      </c>
      <c r="L3" s="69" t="str">
        <f t="shared" ref="L3:L34" si="9">F3-#REF!</f>
        <v>#REF!</v>
      </c>
    </row>
    <row r="4">
      <c r="B4" s="96" t="str">
        <f t="shared" si="1"/>
        <v>#N/A</v>
      </c>
      <c r="C4" s="69" t="str">
        <f t="shared" si="2"/>
        <v>#N/A</v>
      </c>
      <c r="D4" s="69" t="str">
        <f t="shared" si="3"/>
        <v>#N/A</v>
      </c>
      <c r="E4" s="69" t="str">
        <f t="shared" si="4"/>
        <v>#N/A</v>
      </c>
      <c r="F4" s="98">
        <v>10.9</v>
      </c>
      <c r="G4" s="69" t="str">
        <f t="shared" si="5"/>
        <v>#N/A</v>
      </c>
      <c r="H4" s="18">
        <v>98.0</v>
      </c>
      <c r="I4" s="69" t="str">
        <f t="shared" si="6"/>
        <v>#N/A</v>
      </c>
      <c r="J4" s="103" t="str">
        <f t="shared" si="7"/>
        <v>#N/A</v>
      </c>
      <c r="K4" s="96">
        <f t="shared" si="8"/>
        <v>1068.2</v>
      </c>
      <c r="L4" s="69" t="str">
        <f t="shared" si="9"/>
        <v>#REF!</v>
      </c>
    </row>
    <row r="5">
      <c r="B5" s="96" t="str">
        <f t="shared" si="1"/>
        <v>#N/A</v>
      </c>
      <c r="C5" s="69" t="str">
        <f t="shared" si="2"/>
        <v>#N/A</v>
      </c>
      <c r="D5" s="69" t="str">
        <f t="shared" si="3"/>
        <v>#N/A</v>
      </c>
      <c r="E5" s="69" t="str">
        <f t="shared" si="4"/>
        <v>#N/A</v>
      </c>
      <c r="F5" s="98">
        <v>9.9</v>
      </c>
      <c r="G5" s="69" t="str">
        <f t="shared" si="5"/>
        <v>#N/A</v>
      </c>
      <c r="H5" s="18">
        <v>22.0</v>
      </c>
      <c r="I5" s="69" t="str">
        <f t="shared" si="6"/>
        <v>#N/A</v>
      </c>
      <c r="J5" s="103" t="str">
        <f t="shared" si="7"/>
        <v>#N/A</v>
      </c>
      <c r="K5" s="96">
        <f t="shared" si="8"/>
        <v>217.8</v>
      </c>
      <c r="L5" s="69" t="str">
        <f t="shared" si="9"/>
        <v>#REF!</v>
      </c>
    </row>
    <row r="6">
      <c r="B6" s="96" t="str">
        <f t="shared" si="1"/>
        <v>#N/A</v>
      </c>
      <c r="C6" s="69" t="str">
        <f t="shared" si="2"/>
        <v>#N/A</v>
      </c>
      <c r="D6" s="69" t="str">
        <f t="shared" si="3"/>
        <v>#N/A</v>
      </c>
      <c r="E6" s="69" t="str">
        <f t="shared" si="4"/>
        <v>#N/A</v>
      </c>
      <c r="F6" s="98">
        <v>9.9</v>
      </c>
      <c r="G6" s="69" t="str">
        <f t="shared" si="5"/>
        <v>#N/A</v>
      </c>
      <c r="H6" s="18">
        <v>46.0</v>
      </c>
      <c r="I6" s="69" t="str">
        <f t="shared" si="6"/>
        <v>#N/A</v>
      </c>
      <c r="J6" s="103" t="str">
        <f t="shared" si="7"/>
        <v>#N/A</v>
      </c>
      <c r="K6" s="96">
        <f t="shared" si="8"/>
        <v>455.4</v>
      </c>
      <c r="L6" s="69" t="str">
        <f t="shared" si="9"/>
        <v>#REF!</v>
      </c>
    </row>
    <row r="7">
      <c r="B7" s="96" t="str">
        <f t="shared" si="1"/>
        <v>#N/A</v>
      </c>
      <c r="C7" s="69" t="str">
        <f t="shared" si="2"/>
        <v>#N/A</v>
      </c>
      <c r="D7" s="69" t="str">
        <f t="shared" si="3"/>
        <v>#N/A</v>
      </c>
      <c r="E7" s="69" t="str">
        <f t="shared" si="4"/>
        <v>#N/A</v>
      </c>
      <c r="F7" s="98">
        <v>9.9</v>
      </c>
      <c r="G7" s="69" t="str">
        <f t="shared" si="5"/>
        <v>#N/A</v>
      </c>
      <c r="H7" s="18">
        <v>86.0</v>
      </c>
      <c r="I7" s="69" t="str">
        <f t="shared" si="6"/>
        <v>#N/A</v>
      </c>
      <c r="J7" s="103" t="str">
        <f t="shared" si="7"/>
        <v>#N/A</v>
      </c>
      <c r="K7" s="96">
        <f t="shared" si="8"/>
        <v>851.4</v>
      </c>
      <c r="L7" s="69" t="str">
        <f t="shared" si="9"/>
        <v>#REF!</v>
      </c>
    </row>
    <row r="8">
      <c r="B8" s="96" t="str">
        <f t="shared" si="1"/>
        <v>#N/A</v>
      </c>
      <c r="C8" s="69" t="str">
        <f t="shared" si="2"/>
        <v>#N/A</v>
      </c>
      <c r="D8" s="69" t="str">
        <f t="shared" si="3"/>
        <v>#N/A</v>
      </c>
      <c r="E8" s="69" t="str">
        <f t="shared" si="4"/>
        <v>#N/A</v>
      </c>
      <c r="F8" s="98">
        <v>2.9</v>
      </c>
      <c r="G8" s="69" t="str">
        <f t="shared" si="5"/>
        <v>#N/A</v>
      </c>
      <c r="H8" s="18">
        <v>241.0</v>
      </c>
      <c r="I8" s="69" t="str">
        <f t="shared" si="6"/>
        <v>#N/A</v>
      </c>
      <c r="J8" s="103" t="str">
        <f t="shared" si="7"/>
        <v>#N/A</v>
      </c>
      <c r="K8" s="96">
        <f t="shared" si="8"/>
        <v>698.9</v>
      </c>
      <c r="L8" s="69" t="str">
        <f t="shared" si="9"/>
        <v>#REF!</v>
      </c>
    </row>
    <row r="9">
      <c r="B9" s="96" t="str">
        <f t="shared" si="1"/>
        <v>#N/A</v>
      </c>
      <c r="C9" s="69" t="str">
        <f t="shared" si="2"/>
        <v>#N/A</v>
      </c>
      <c r="D9" s="69" t="str">
        <f t="shared" si="3"/>
        <v>#N/A</v>
      </c>
      <c r="E9" s="69" t="str">
        <f t="shared" si="4"/>
        <v>#N/A</v>
      </c>
      <c r="F9" s="98">
        <v>3.9</v>
      </c>
      <c r="G9" s="69" t="str">
        <f t="shared" si="5"/>
        <v>#N/A</v>
      </c>
      <c r="H9" s="18">
        <v>237.0</v>
      </c>
      <c r="I9" s="69" t="str">
        <f t="shared" si="6"/>
        <v>#N/A</v>
      </c>
      <c r="J9" s="103" t="str">
        <f t="shared" si="7"/>
        <v>#N/A</v>
      </c>
      <c r="K9" s="96">
        <f t="shared" si="8"/>
        <v>924.3</v>
      </c>
      <c r="L9" s="69" t="str">
        <f t="shared" si="9"/>
        <v>#REF!</v>
      </c>
    </row>
    <row r="10">
      <c r="B10" s="96" t="str">
        <f t="shared" si="1"/>
        <v>#N/A</v>
      </c>
      <c r="C10" s="69" t="str">
        <f t="shared" si="2"/>
        <v>#N/A</v>
      </c>
      <c r="D10" s="69" t="str">
        <f t="shared" si="3"/>
        <v>#N/A</v>
      </c>
      <c r="E10" s="69" t="str">
        <f t="shared" si="4"/>
        <v>#N/A</v>
      </c>
      <c r="F10" s="98">
        <v>2.9</v>
      </c>
      <c r="G10" s="69" t="str">
        <f t="shared" si="5"/>
        <v>#N/A</v>
      </c>
      <c r="H10" s="18">
        <v>258.0</v>
      </c>
      <c r="I10" s="69" t="str">
        <f t="shared" si="6"/>
        <v>#N/A</v>
      </c>
      <c r="J10" s="103" t="str">
        <f t="shared" si="7"/>
        <v>#N/A</v>
      </c>
      <c r="K10" s="96">
        <f t="shared" si="8"/>
        <v>748.2</v>
      </c>
      <c r="L10" s="69" t="str">
        <f t="shared" si="9"/>
        <v>#REF!</v>
      </c>
    </row>
    <row r="11">
      <c r="B11" s="96" t="str">
        <f t="shared" si="1"/>
        <v>#N/A</v>
      </c>
      <c r="C11" s="69" t="str">
        <f t="shared" si="2"/>
        <v>#N/A</v>
      </c>
      <c r="D11" s="69" t="str">
        <f t="shared" si="3"/>
        <v>#N/A</v>
      </c>
      <c r="E11" s="69" t="str">
        <f t="shared" si="4"/>
        <v>#N/A</v>
      </c>
      <c r="F11" s="98">
        <v>8.9</v>
      </c>
      <c r="G11" s="69" t="str">
        <f t="shared" si="5"/>
        <v>#N/A</v>
      </c>
      <c r="H11" s="18">
        <v>412.0</v>
      </c>
      <c r="I11" s="69" t="str">
        <f t="shared" si="6"/>
        <v>#N/A</v>
      </c>
      <c r="J11" s="103" t="str">
        <f t="shared" si="7"/>
        <v>#N/A</v>
      </c>
      <c r="K11" s="96">
        <f t="shared" si="8"/>
        <v>3666.8</v>
      </c>
      <c r="L11" s="69" t="str">
        <f t="shared" si="9"/>
        <v>#REF!</v>
      </c>
    </row>
    <row r="12">
      <c r="B12" s="96" t="str">
        <f t="shared" si="1"/>
        <v>#N/A</v>
      </c>
      <c r="C12" s="69" t="str">
        <f t="shared" si="2"/>
        <v>#N/A</v>
      </c>
      <c r="D12" s="69" t="str">
        <f t="shared" si="3"/>
        <v>#N/A</v>
      </c>
      <c r="E12" s="69" t="str">
        <f t="shared" si="4"/>
        <v>#N/A</v>
      </c>
      <c r="F12" s="98">
        <v>8.9</v>
      </c>
      <c r="G12" s="69" t="str">
        <f t="shared" si="5"/>
        <v>#N/A</v>
      </c>
      <c r="H12" s="18">
        <v>323.0</v>
      </c>
      <c r="I12" s="69" t="str">
        <f t="shared" si="6"/>
        <v>#N/A</v>
      </c>
      <c r="J12" s="103" t="str">
        <f t="shared" si="7"/>
        <v>#N/A</v>
      </c>
      <c r="K12" s="96">
        <f t="shared" si="8"/>
        <v>2874.7</v>
      </c>
      <c r="L12" s="69" t="str">
        <f t="shared" si="9"/>
        <v>#REF!</v>
      </c>
    </row>
    <row r="13">
      <c r="B13" s="96" t="str">
        <f t="shared" si="1"/>
        <v>#N/A</v>
      </c>
      <c r="C13" s="69" t="str">
        <f t="shared" si="2"/>
        <v>#N/A</v>
      </c>
      <c r="D13" s="69" t="str">
        <f t="shared" si="3"/>
        <v>#N/A</v>
      </c>
      <c r="E13" s="69" t="str">
        <f t="shared" si="4"/>
        <v>#N/A</v>
      </c>
      <c r="F13" s="98">
        <v>11.9</v>
      </c>
      <c r="G13" s="69" t="str">
        <f t="shared" si="5"/>
        <v>#N/A</v>
      </c>
      <c r="H13" s="18">
        <v>57.0</v>
      </c>
      <c r="I13" s="69" t="str">
        <f t="shared" si="6"/>
        <v>#N/A</v>
      </c>
      <c r="J13" s="103" t="str">
        <f t="shared" si="7"/>
        <v>#N/A</v>
      </c>
      <c r="K13" s="96">
        <f t="shared" si="8"/>
        <v>678.3</v>
      </c>
      <c r="L13" s="69" t="str">
        <f t="shared" si="9"/>
        <v>#REF!</v>
      </c>
    </row>
    <row r="14">
      <c r="B14" s="96" t="str">
        <f t="shared" si="1"/>
        <v>#N/A</v>
      </c>
      <c r="C14" s="69" t="str">
        <f t="shared" si="2"/>
        <v>#N/A</v>
      </c>
      <c r="D14" s="69" t="str">
        <f t="shared" si="3"/>
        <v>#N/A</v>
      </c>
      <c r="E14" s="69" t="str">
        <f t="shared" si="4"/>
        <v>#N/A</v>
      </c>
      <c r="F14" s="98">
        <v>7.9</v>
      </c>
      <c r="G14" s="69" t="str">
        <f t="shared" si="5"/>
        <v>#N/A</v>
      </c>
      <c r="H14" s="18">
        <v>749.0</v>
      </c>
      <c r="I14" s="69" t="str">
        <f t="shared" si="6"/>
        <v>#N/A</v>
      </c>
      <c r="J14" s="103" t="str">
        <f t="shared" si="7"/>
        <v>#N/A</v>
      </c>
      <c r="K14" s="96">
        <f t="shared" si="8"/>
        <v>5917.1</v>
      </c>
      <c r="L14" s="69" t="str">
        <f t="shared" si="9"/>
        <v>#REF!</v>
      </c>
    </row>
    <row r="15">
      <c r="B15" s="96" t="str">
        <f t="shared" si="1"/>
        <v>#N/A</v>
      </c>
      <c r="C15" s="69" t="str">
        <f t="shared" si="2"/>
        <v>#N/A</v>
      </c>
      <c r="D15" s="69" t="str">
        <f t="shared" si="3"/>
        <v>#N/A</v>
      </c>
      <c r="E15" s="69" t="str">
        <f t="shared" si="4"/>
        <v>#N/A</v>
      </c>
      <c r="F15" s="98">
        <v>7.9</v>
      </c>
      <c r="G15" s="69" t="str">
        <f t="shared" si="5"/>
        <v>#N/A</v>
      </c>
      <c r="H15" s="18">
        <v>98.0</v>
      </c>
      <c r="I15" s="69" t="str">
        <f t="shared" si="6"/>
        <v>#N/A</v>
      </c>
      <c r="J15" s="103" t="str">
        <f t="shared" si="7"/>
        <v>#N/A</v>
      </c>
      <c r="K15" s="96">
        <f t="shared" si="8"/>
        <v>774.2</v>
      </c>
      <c r="L15" s="69" t="str">
        <f t="shared" si="9"/>
        <v>#REF!</v>
      </c>
    </row>
    <row r="16">
      <c r="B16" s="96" t="str">
        <f t="shared" si="1"/>
        <v>#N/A</v>
      </c>
      <c r="C16" s="69" t="str">
        <f t="shared" si="2"/>
        <v>#N/A</v>
      </c>
      <c r="D16" s="69" t="str">
        <f t="shared" si="3"/>
        <v>#N/A</v>
      </c>
      <c r="E16" s="69" t="str">
        <f t="shared" si="4"/>
        <v>#N/A</v>
      </c>
      <c r="F16" s="98">
        <v>9.2</v>
      </c>
      <c r="G16" s="69" t="str">
        <f t="shared" si="5"/>
        <v>#N/A</v>
      </c>
      <c r="H16" s="18">
        <v>392.0</v>
      </c>
      <c r="I16" s="69" t="str">
        <f t="shared" si="6"/>
        <v>#N/A</v>
      </c>
      <c r="J16" s="103" t="str">
        <f t="shared" si="7"/>
        <v>#N/A</v>
      </c>
      <c r="K16" s="96">
        <f t="shared" si="8"/>
        <v>3606.4</v>
      </c>
      <c r="L16" s="69" t="str">
        <f t="shared" si="9"/>
        <v>#REF!</v>
      </c>
    </row>
    <row r="17">
      <c r="B17" s="96" t="str">
        <f t="shared" si="1"/>
        <v>#N/A</v>
      </c>
      <c r="C17" s="69" t="str">
        <f t="shared" si="2"/>
        <v>#N/A</v>
      </c>
      <c r="D17" s="69" t="str">
        <f t="shared" si="3"/>
        <v>#N/A</v>
      </c>
      <c r="E17" s="69" t="str">
        <f t="shared" si="4"/>
        <v>#N/A</v>
      </c>
      <c r="F17" s="98">
        <v>9.2</v>
      </c>
      <c r="G17" s="69" t="str">
        <f t="shared" si="5"/>
        <v>#N/A</v>
      </c>
      <c r="H17" s="18">
        <v>271.0</v>
      </c>
      <c r="I17" s="69" t="str">
        <f t="shared" si="6"/>
        <v>#N/A</v>
      </c>
      <c r="J17" s="103" t="str">
        <f t="shared" si="7"/>
        <v>#N/A</v>
      </c>
      <c r="K17" s="96">
        <f t="shared" si="8"/>
        <v>2493.2</v>
      </c>
      <c r="L17" s="69" t="str">
        <f t="shared" si="9"/>
        <v>#REF!</v>
      </c>
    </row>
    <row r="18">
      <c r="B18" s="96" t="str">
        <f t="shared" si="1"/>
        <v>#N/A</v>
      </c>
      <c r="C18" s="69" t="str">
        <f t="shared" si="2"/>
        <v>#N/A</v>
      </c>
      <c r="D18" s="69" t="str">
        <f t="shared" si="3"/>
        <v>#N/A</v>
      </c>
      <c r="E18" s="69" t="str">
        <f t="shared" si="4"/>
        <v>#N/A</v>
      </c>
      <c r="F18" s="98">
        <v>13.9</v>
      </c>
      <c r="G18" s="69" t="str">
        <f t="shared" si="5"/>
        <v>#N/A</v>
      </c>
      <c r="H18" s="18">
        <v>305.0</v>
      </c>
      <c r="I18" s="69" t="str">
        <f t="shared" si="6"/>
        <v>#N/A</v>
      </c>
      <c r="J18" s="103" t="str">
        <f t="shared" si="7"/>
        <v>#N/A</v>
      </c>
      <c r="K18" s="96">
        <f t="shared" si="8"/>
        <v>4239.5</v>
      </c>
      <c r="L18" s="69" t="str">
        <f t="shared" si="9"/>
        <v>#REF!</v>
      </c>
    </row>
    <row r="19">
      <c r="B19" s="96" t="str">
        <f t="shared" si="1"/>
        <v>#N/A</v>
      </c>
      <c r="C19" s="69" t="str">
        <f t="shared" si="2"/>
        <v>#N/A</v>
      </c>
      <c r="D19" s="69" t="str">
        <f t="shared" si="3"/>
        <v>#N/A</v>
      </c>
      <c r="E19" s="69" t="str">
        <f t="shared" si="4"/>
        <v>#N/A</v>
      </c>
      <c r="F19" s="98">
        <v>9.9</v>
      </c>
      <c r="G19" s="69" t="str">
        <f t="shared" si="5"/>
        <v>#N/A</v>
      </c>
      <c r="H19" s="18">
        <v>290.0</v>
      </c>
      <c r="I19" s="69" t="str">
        <f t="shared" si="6"/>
        <v>#N/A</v>
      </c>
      <c r="J19" s="103" t="str">
        <f t="shared" si="7"/>
        <v>#N/A</v>
      </c>
      <c r="K19" s="96">
        <f t="shared" si="8"/>
        <v>2871</v>
      </c>
      <c r="L19" s="69" t="str">
        <f t="shared" si="9"/>
        <v>#REF!</v>
      </c>
    </row>
    <row r="20">
      <c r="B20" s="96" t="str">
        <f t="shared" si="1"/>
        <v>#N/A</v>
      </c>
      <c r="C20" s="69" t="str">
        <f t="shared" si="2"/>
        <v>#N/A</v>
      </c>
      <c r="D20" s="69" t="str">
        <f t="shared" si="3"/>
        <v>#N/A</v>
      </c>
      <c r="E20" s="69" t="str">
        <f t="shared" si="4"/>
        <v>#N/A</v>
      </c>
      <c r="F20" s="98">
        <v>9.9</v>
      </c>
      <c r="G20" s="69" t="str">
        <f t="shared" si="5"/>
        <v>#N/A</v>
      </c>
      <c r="H20" s="18">
        <v>147.0</v>
      </c>
      <c r="I20" s="69" t="str">
        <f t="shared" si="6"/>
        <v>#N/A</v>
      </c>
      <c r="J20" s="103" t="str">
        <f t="shared" si="7"/>
        <v>#N/A</v>
      </c>
      <c r="K20" s="96">
        <f t="shared" si="8"/>
        <v>1455.3</v>
      </c>
      <c r="L20" s="69" t="str">
        <f t="shared" si="9"/>
        <v>#REF!</v>
      </c>
    </row>
    <row r="21">
      <c r="B21" s="96" t="str">
        <f t="shared" si="1"/>
        <v>#N/A</v>
      </c>
      <c r="C21" s="69" t="str">
        <f t="shared" si="2"/>
        <v>#N/A</v>
      </c>
      <c r="D21" s="69" t="str">
        <f t="shared" si="3"/>
        <v>#N/A</v>
      </c>
      <c r="E21" s="69" t="str">
        <f t="shared" si="4"/>
        <v>#N/A</v>
      </c>
      <c r="F21" s="98">
        <v>9.5</v>
      </c>
      <c r="G21" s="69" t="str">
        <f t="shared" si="5"/>
        <v>#N/A</v>
      </c>
      <c r="H21" s="18">
        <v>36.0</v>
      </c>
      <c r="I21" s="69" t="str">
        <f t="shared" si="6"/>
        <v>#N/A</v>
      </c>
      <c r="J21" s="103" t="str">
        <f t="shared" si="7"/>
        <v>#N/A</v>
      </c>
      <c r="K21" s="96">
        <f t="shared" si="8"/>
        <v>342</v>
      </c>
      <c r="L21" s="69" t="str">
        <f t="shared" si="9"/>
        <v>#REF!</v>
      </c>
    </row>
    <row r="22">
      <c r="B22" s="96" t="str">
        <f t="shared" si="1"/>
        <v>#N/A</v>
      </c>
      <c r="C22" s="69" t="str">
        <f t="shared" si="2"/>
        <v>#N/A</v>
      </c>
      <c r="D22" s="69" t="str">
        <f t="shared" si="3"/>
        <v>#N/A</v>
      </c>
      <c r="E22" s="69" t="str">
        <f t="shared" si="4"/>
        <v>#N/A</v>
      </c>
      <c r="F22" s="98">
        <v>5.9</v>
      </c>
      <c r="G22" s="69" t="str">
        <f t="shared" si="5"/>
        <v>#N/A</v>
      </c>
      <c r="H22" s="18">
        <v>496.0</v>
      </c>
      <c r="I22" s="69" t="str">
        <f t="shared" si="6"/>
        <v>#N/A</v>
      </c>
      <c r="J22" s="103" t="str">
        <f t="shared" si="7"/>
        <v>#N/A</v>
      </c>
      <c r="K22" s="96">
        <f t="shared" si="8"/>
        <v>2926.4</v>
      </c>
      <c r="L22" s="69" t="str">
        <f t="shared" si="9"/>
        <v>#REF!</v>
      </c>
    </row>
    <row r="23">
      <c r="B23" s="96" t="str">
        <f t="shared" si="1"/>
        <v>#N/A</v>
      </c>
      <c r="C23" s="69" t="str">
        <f t="shared" si="2"/>
        <v>#N/A</v>
      </c>
      <c r="D23" s="69" t="str">
        <f t="shared" si="3"/>
        <v>#N/A</v>
      </c>
      <c r="E23" s="69" t="str">
        <f t="shared" si="4"/>
        <v>#N/A</v>
      </c>
      <c r="F23" s="98">
        <v>5.9</v>
      </c>
      <c r="G23" s="69" t="str">
        <f t="shared" si="5"/>
        <v>#N/A</v>
      </c>
      <c r="H23" s="18">
        <v>499.0</v>
      </c>
      <c r="I23" s="69" t="str">
        <f t="shared" si="6"/>
        <v>#N/A</v>
      </c>
      <c r="J23" s="103" t="str">
        <f t="shared" si="7"/>
        <v>#N/A</v>
      </c>
      <c r="K23" s="96">
        <f t="shared" si="8"/>
        <v>2944.1</v>
      </c>
      <c r="L23" s="69" t="str">
        <f t="shared" si="9"/>
        <v>#REF!</v>
      </c>
    </row>
    <row r="24">
      <c r="B24" s="96" t="str">
        <f t="shared" si="1"/>
        <v>#N/A</v>
      </c>
      <c r="C24" s="69" t="str">
        <f t="shared" si="2"/>
        <v>#N/A</v>
      </c>
      <c r="D24" s="69" t="str">
        <f t="shared" si="3"/>
        <v>#N/A</v>
      </c>
      <c r="E24" s="69" t="str">
        <f t="shared" si="4"/>
        <v>#N/A</v>
      </c>
      <c r="F24" s="98">
        <v>2.9</v>
      </c>
      <c r="G24" s="69" t="str">
        <f t="shared" si="5"/>
        <v>#N/A</v>
      </c>
      <c r="H24" s="18">
        <v>2067.0</v>
      </c>
      <c r="I24" s="69" t="str">
        <f t="shared" si="6"/>
        <v>#N/A</v>
      </c>
      <c r="J24" s="103" t="str">
        <f t="shared" si="7"/>
        <v>#N/A</v>
      </c>
      <c r="K24" s="96">
        <f t="shared" si="8"/>
        <v>5994.3</v>
      </c>
      <c r="L24" s="69" t="str">
        <f t="shared" si="9"/>
        <v>#REF!</v>
      </c>
    </row>
    <row r="25">
      <c r="B25" s="96" t="str">
        <f t="shared" si="1"/>
        <v>#N/A</v>
      </c>
      <c r="C25" s="69" t="str">
        <f t="shared" si="2"/>
        <v>#N/A</v>
      </c>
      <c r="D25" s="69" t="str">
        <f t="shared" si="3"/>
        <v>#N/A</v>
      </c>
      <c r="E25" s="69" t="str">
        <f t="shared" si="4"/>
        <v>#N/A</v>
      </c>
      <c r="F25" s="98">
        <v>3.9</v>
      </c>
      <c r="G25" s="69" t="str">
        <f t="shared" si="5"/>
        <v>#N/A</v>
      </c>
      <c r="H25" s="18">
        <v>842.0</v>
      </c>
      <c r="I25" s="69" t="str">
        <f t="shared" si="6"/>
        <v>#N/A</v>
      </c>
      <c r="J25" s="103" t="str">
        <f t="shared" si="7"/>
        <v>#N/A</v>
      </c>
      <c r="K25" s="96">
        <f t="shared" si="8"/>
        <v>3283.8</v>
      </c>
      <c r="L25" s="69" t="str">
        <f t="shared" si="9"/>
        <v>#REF!</v>
      </c>
    </row>
    <row r="26">
      <c r="B26" s="96" t="str">
        <f t="shared" si="1"/>
        <v>#N/A</v>
      </c>
      <c r="C26" s="69" t="str">
        <f t="shared" si="2"/>
        <v>#N/A</v>
      </c>
      <c r="D26" s="69" t="str">
        <f t="shared" si="3"/>
        <v>#N/A</v>
      </c>
      <c r="E26" s="69" t="str">
        <f t="shared" si="4"/>
        <v>#N/A</v>
      </c>
      <c r="F26" s="98">
        <v>10.9</v>
      </c>
      <c r="G26" s="69" t="str">
        <f t="shared" si="5"/>
        <v>#N/A</v>
      </c>
      <c r="I26" s="69" t="str">
        <f t="shared" si="6"/>
        <v>#N/A</v>
      </c>
      <c r="J26" s="103" t="str">
        <f t="shared" si="7"/>
        <v>#N/A</v>
      </c>
      <c r="K26" s="96">
        <f t="shared" si="8"/>
        <v>0</v>
      </c>
      <c r="L26" s="69" t="str">
        <f t="shared" si="9"/>
        <v>#REF!</v>
      </c>
    </row>
    <row r="27">
      <c r="B27" s="96" t="str">
        <f t="shared" si="1"/>
        <v>#N/A</v>
      </c>
      <c r="C27" s="69" t="str">
        <f t="shared" si="2"/>
        <v>#N/A</v>
      </c>
      <c r="D27" s="69" t="str">
        <f t="shared" si="3"/>
        <v>#N/A</v>
      </c>
      <c r="E27" s="69" t="str">
        <f t="shared" si="4"/>
        <v>#N/A</v>
      </c>
      <c r="F27" s="98">
        <v>8.5</v>
      </c>
      <c r="G27" s="69" t="str">
        <f t="shared" si="5"/>
        <v>#N/A</v>
      </c>
      <c r="H27" s="18">
        <v>172.0</v>
      </c>
      <c r="I27" s="69" t="str">
        <f t="shared" si="6"/>
        <v>#N/A</v>
      </c>
      <c r="J27" s="103" t="str">
        <f t="shared" si="7"/>
        <v>#N/A</v>
      </c>
      <c r="K27" s="96">
        <f t="shared" si="8"/>
        <v>1462</v>
      </c>
      <c r="L27" s="69" t="str">
        <f t="shared" si="9"/>
        <v>#REF!</v>
      </c>
    </row>
    <row r="28">
      <c r="B28" s="96" t="str">
        <f t="shared" si="1"/>
        <v>#N/A</v>
      </c>
      <c r="C28" s="69" t="str">
        <f t="shared" si="2"/>
        <v>#N/A</v>
      </c>
      <c r="D28" s="69" t="str">
        <f t="shared" si="3"/>
        <v>#N/A</v>
      </c>
      <c r="E28" s="69" t="str">
        <f t="shared" si="4"/>
        <v>#N/A</v>
      </c>
      <c r="F28" s="98">
        <v>16.5</v>
      </c>
      <c r="G28" s="69" t="str">
        <f t="shared" si="5"/>
        <v>#N/A</v>
      </c>
      <c r="H28" s="18">
        <v>52.0</v>
      </c>
      <c r="I28" s="69" t="str">
        <f t="shared" si="6"/>
        <v>#N/A</v>
      </c>
      <c r="J28" s="103" t="str">
        <f t="shared" si="7"/>
        <v>#N/A</v>
      </c>
      <c r="K28" s="96">
        <f t="shared" si="8"/>
        <v>858</v>
      </c>
      <c r="L28" s="69" t="str">
        <f t="shared" si="9"/>
        <v>#REF!</v>
      </c>
    </row>
    <row r="29">
      <c r="B29" s="96" t="str">
        <f t="shared" si="1"/>
        <v>#N/A</v>
      </c>
      <c r="C29" s="69" t="str">
        <f t="shared" si="2"/>
        <v>#N/A</v>
      </c>
      <c r="D29" s="69" t="str">
        <f t="shared" si="3"/>
        <v>#N/A</v>
      </c>
      <c r="E29" s="69" t="str">
        <f t="shared" si="4"/>
        <v>#N/A</v>
      </c>
      <c r="F29" s="98">
        <v>13.5</v>
      </c>
      <c r="G29" s="69" t="str">
        <f t="shared" si="5"/>
        <v>#N/A</v>
      </c>
      <c r="H29" s="18">
        <v>87.0</v>
      </c>
      <c r="I29" s="69" t="str">
        <f t="shared" si="6"/>
        <v>#N/A</v>
      </c>
      <c r="J29" s="103" t="str">
        <f t="shared" si="7"/>
        <v>#N/A</v>
      </c>
      <c r="K29" s="96">
        <f t="shared" si="8"/>
        <v>1174.5</v>
      </c>
      <c r="L29" s="69" t="str">
        <f t="shared" si="9"/>
        <v>#REF!</v>
      </c>
    </row>
    <row r="30">
      <c r="B30" s="96" t="str">
        <f t="shared" si="1"/>
        <v>#N/A</v>
      </c>
      <c r="C30" s="69" t="str">
        <f t="shared" si="2"/>
        <v>#N/A</v>
      </c>
      <c r="D30" s="69" t="str">
        <f t="shared" si="3"/>
        <v>#N/A</v>
      </c>
      <c r="E30" s="69" t="str">
        <f t="shared" si="4"/>
        <v>#N/A</v>
      </c>
      <c r="F30" s="98">
        <v>10.9</v>
      </c>
      <c r="G30" s="69" t="str">
        <f t="shared" si="5"/>
        <v>#N/A</v>
      </c>
      <c r="H30" s="18">
        <v>161.0</v>
      </c>
      <c r="I30" s="69" t="str">
        <f t="shared" si="6"/>
        <v>#N/A</v>
      </c>
      <c r="J30" s="103" t="str">
        <f t="shared" si="7"/>
        <v>#N/A</v>
      </c>
      <c r="K30" s="96">
        <f t="shared" si="8"/>
        <v>1754.9</v>
      </c>
      <c r="L30" s="69" t="str">
        <f t="shared" si="9"/>
        <v>#REF!</v>
      </c>
    </row>
    <row r="31">
      <c r="B31" s="96" t="str">
        <f t="shared" si="1"/>
        <v>#N/A</v>
      </c>
      <c r="C31" s="69" t="str">
        <f t="shared" si="2"/>
        <v>#N/A</v>
      </c>
      <c r="D31" s="69" t="str">
        <f t="shared" si="3"/>
        <v>#N/A</v>
      </c>
      <c r="E31" s="69" t="str">
        <f t="shared" si="4"/>
        <v>#N/A</v>
      </c>
      <c r="F31" s="98">
        <v>8.5</v>
      </c>
      <c r="G31" s="69" t="str">
        <f t="shared" si="5"/>
        <v>#N/A</v>
      </c>
      <c r="H31" s="18">
        <v>56.0</v>
      </c>
      <c r="I31" s="69" t="str">
        <f t="shared" si="6"/>
        <v>#N/A</v>
      </c>
      <c r="J31" s="103" t="str">
        <f t="shared" si="7"/>
        <v>#N/A</v>
      </c>
      <c r="K31" s="96">
        <f t="shared" si="8"/>
        <v>476</v>
      </c>
      <c r="L31" s="69" t="str">
        <f t="shared" si="9"/>
        <v>#REF!</v>
      </c>
    </row>
    <row r="32">
      <c r="B32" s="96" t="str">
        <f t="shared" si="1"/>
        <v>#N/A</v>
      </c>
      <c r="C32" s="69" t="str">
        <f t="shared" si="2"/>
        <v>#N/A</v>
      </c>
      <c r="D32" s="69" t="str">
        <f t="shared" si="3"/>
        <v>#N/A</v>
      </c>
      <c r="E32" s="69" t="str">
        <f t="shared" si="4"/>
        <v>#N/A</v>
      </c>
      <c r="F32" s="98">
        <v>8.9</v>
      </c>
      <c r="G32" s="69" t="str">
        <f t="shared" si="5"/>
        <v>#N/A</v>
      </c>
      <c r="H32" s="18">
        <v>273.0</v>
      </c>
      <c r="I32" s="69" t="str">
        <f t="shared" si="6"/>
        <v>#N/A</v>
      </c>
      <c r="J32" s="103" t="str">
        <f t="shared" si="7"/>
        <v>#N/A</v>
      </c>
      <c r="K32" s="96">
        <f t="shared" si="8"/>
        <v>2429.7</v>
      </c>
      <c r="L32" s="69" t="str">
        <f t="shared" si="9"/>
        <v>#REF!</v>
      </c>
    </row>
    <row r="33">
      <c r="B33" s="96" t="str">
        <f t="shared" si="1"/>
        <v>#N/A</v>
      </c>
      <c r="C33" s="69" t="str">
        <f t="shared" si="2"/>
        <v>#N/A</v>
      </c>
      <c r="D33" s="69" t="str">
        <f t="shared" si="3"/>
        <v>#N/A</v>
      </c>
      <c r="E33" s="69" t="str">
        <f t="shared" si="4"/>
        <v>#N/A</v>
      </c>
      <c r="F33" s="98">
        <v>11.9</v>
      </c>
      <c r="G33" s="69" t="str">
        <f t="shared" si="5"/>
        <v>#N/A</v>
      </c>
      <c r="H33" s="18">
        <v>55.0</v>
      </c>
      <c r="I33" s="69" t="str">
        <f t="shared" si="6"/>
        <v>#N/A</v>
      </c>
      <c r="J33" s="103" t="str">
        <f t="shared" si="7"/>
        <v>#N/A</v>
      </c>
      <c r="K33" s="96">
        <f t="shared" si="8"/>
        <v>654.5</v>
      </c>
      <c r="L33" s="69" t="str">
        <f t="shared" si="9"/>
        <v>#REF!</v>
      </c>
    </row>
    <row r="34">
      <c r="B34" s="96" t="str">
        <f t="shared" si="1"/>
        <v>#N/A</v>
      </c>
      <c r="C34" s="69" t="str">
        <f t="shared" si="2"/>
        <v>#N/A</v>
      </c>
      <c r="D34" s="69" t="str">
        <f t="shared" si="3"/>
        <v>#N/A</v>
      </c>
      <c r="E34" s="69" t="str">
        <f t="shared" si="4"/>
        <v>#N/A</v>
      </c>
      <c r="F34" s="98">
        <v>8.9</v>
      </c>
      <c r="G34" s="69" t="str">
        <f t="shared" si="5"/>
        <v>#N/A</v>
      </c>
      <c r="H34" s="18">
        <v>122.0</v>
      </c>
      <c r="I34" s="69" t="str">
        <f t="shared" si="6"/>
        <v>#N/A</v>
      </c>
      <c r="J34" s="103" t="str">
        <f t="shared" si="7"/>
        <v>#N/A</v>
      </c>
      <c r="K34" s="96">
        <f t="shared" si="8"/>
        <v>1085.8</v>
      </c>
      <c r="L34" s="69" t="str">
        <f t="shared" si="9"/>
        <v>#REF!</v>
      </c>
    </row>
    <row r="35">
      <c r="B35" s="96" t="str">
        <f t="shared" si="1"/>
        <v>#N/A</v>
      </c>
      <c r="C35" s="69" t="str">
        <f t="shared" si="2"/>
        <v>#N/A</v>
      </c>
      <c r="D35" s="69" t="str">
        <f t="shared" si="3"/>
        <v>#N/A</v>
      </c>
      <c r="E35" s="69" t="str">
        <f t="shared" si="4"/>
        <v>#N/A</v>
      </c>
      <c r="F35" s="98">
        <v>8.9</v>
      </c>
      <c r="G35" s="69" t="str">
        <f t="shared" si="5"/>
        <v>#N/A</v>
      </c>
      <c r="H35" s="18">
        <v>122.0</v>
      </c>
      <c r="I35" s="69" t="str">
        <f t="shared" si="6"/>
        <v>#N/A</v>
      </c>
      <c r="J35" s="99"/>
    </row>
    <row r="36">
      <c r="B36" s="96" t="str">
        <f t="shared" si="1"/>
        <v>#N/A</v>
      </c>
      <c r="C36" s="69" t="str">
        <f t="shared" si="2"/>
        <v>#N/A</v>
      </c>
      <c r="D36" s="69" t="str">
        <f t="shared" si="3"/>
        <v>#N/A</v>
      </c>
      <c r="E36" s="69" t="str">
        <f t="shared" si="4"/>
        <v>#N/A</v>
      </c>
      <c r="F36" s="98">
        <v>8.9</v>
      </c>
      <c r="G36" s="69" t="str">
        <f t="shared" si="5"/>
        <v>#N/A</v>
      </c>
      <c r="H36" s="18">
        <v>122.0</v>
      </c>
      <c r="I36" s="69" t="str">
        <f t="shared" si="6"/>
        <v>#N/A</v>
      </c>
      <c r="J36" s="99"/>
      <c r="K36" s="69">
        <f>SUM(K2:K34)</f>
        <v>62392.2</v>
      </c>
    </row>
    <row r="37">
      <c r="B37" s="96" t="str">
        <f t="shared" si="1"/>
        <v>#N/A</v>
      </c>
      <c r="C37" s="69" t="str">
        <f t="shared" si="2"/>
        <v>#N/A</v>
      </c>
      <c r="D37" s="69" t="str">
        <f t="shared" si="3"/>
        <v>#N/A</v>
      </c>
      <c r="E37" s="69" t="str">
        <f t="shared" si="4"/>
        <v>#N/A</v>
      </c>
      <c r="F37" s="98">
        <v>8.9</v>
      </c>
      <c r="G37" s="69" t="str">
        <f t="shared" si="5"/>
        <v>#N/A</v>
      </c>
      <c r="H37" s="18">
        <v>122.0</v>
      </c>
      <c r="I37" s="69" t="str">
        <f t="shared" si="6"/>
        <v>#N/A</v>
      </c>
      <c r="J37" s="99"/>
    </row>
    <row r="38">
      <c r="B38" s="96" t="str">
        <f t="shared" si="1"/>
        <v>#N/A</v>
      </c>
      <c r="C38" s="69" t="str">
        <f t="shared" si="2"/>
        <v>#N/A</v>
      </c>
      <c r="D38" s="69" t="str">
        <f t="shared" si="3"/>
        <v>#N/A</v>
      </c>
      <c r="E38" s="69" t="str">
        <f t="shared" si="4"/>
        <v>#N/A</v>
      </c>
      <c r="F38" s="98">
        <v>8.9</v>
      </c>
      <c r="G38" s="69" t="str">
        <f t="shared" si="5"/>
        <v>#N/A</v>
      </c>
      <c r="H38" s="18">
        <v>122.0</v>
      </c>
      <c r="I38" s="69" t="str">
        <f t="shared" si="6"/>
        <v>#N/A</v>
      </c>
      <c r="J38" s="99"/>
    </row>
    <row r="39">
      <c r="B39" s="96" t="str">
        <f t="shared" si="1"/>
        <v>#N/A</v>
      </c>
      <c r="C39" s="69" t="str">
        <f t="shared" si="2"/>
        <v>#N/A</v>
      </c>
      <c r="D39" s="69" t="str">
        <f t="shared" si="3"/>
        <v>#N/A</v>
      </c>
      <c r="E39" s="69" t="str">
        <f t="shared" si="4"/>
        <v>#N/A</v>
      </c>
      <c r="F39" s="98">
        <v>8.9</v>
      </c>
      <c r="G39" s="69" t="str">
        <f t="shared" si="5"/>
        <v>#N/A</v>
      </c>
      <c r="H39" s="18">
        <v>122.0</v>
      </c>
      <c r="I39" s="69" t="str">
        <f t="shared" si="6"/>
        <v>#N/A</v>
      </c>
      <c r="J39" s="99"/>
    </row>
    <row r="40">
      <c r="B40" s="96" t="str">
        <f t="shared" si="1"/>
        <v>#N/A</v>
      </c>
      <c r="C40" s="69" t="str">
        <f t="shared" si="2"/>
        <v>#N/A</v>
      </c>
      <c r="D40" s="69" t="str">
        <f t="shared" si="3"/>
        <v>#N/A</v>
      </c>
      <c r="E40" s="69" t="str">
        <f t="shared" si="4"/>
        <v>#N/A</v>
      </c>
      <c r="F40" s="98">
        <v>8.9</v>
      </c>
      <c r="G40" s="69" t="str">
        <f t="shared" si="5"/>
        <v>#N/A</v>
      </c>
      <c r="H40" s="18">
        <v>122.0</v>
      </c>
      <c r="I40" s="69" t="str">
        <f t="shared" si="6"/>
        <v>#N/A</v>
      </c>
      <c r="J40" s="99"/>
    </row>
    <row r="41">
      <c r="B41" s="96" t="str">
        <f t="shared" si="1"/>
        <v>#N/A</v>
      </c>
      <c r="C41" s="69" t="str">
        <f t="shared" si="2"/>
        <v>#N/A</v>
      </c>
      <c r="D41" s="69" t="str">
        <f t="shared" si="3"/>
        <v>#N/A</v>
      </c>
      <c r="E41" s="69" t="str">
        <f t="shared" si="4"/>
        <v>#N/A</v>
      </c>
      <c r="F41" s="98">
        <v>8.9</v>
      </c>
      <c r="G41" s="69" t="str">
        <f t="shared" si="5"/>
        <v>#N/A</v>
      </c>
      <c r="H41" s="18">
        <v>122.0</v>
      </c>
      <c r="I41" s="69" t="str">
        <f t="shared" si="6"/>
        <v>#N/A</v>
      </c>
      <c r="J41" s="99"/>
    </row>
    <row r="42">
      <c r="B42" s="96" t="str">
        <f t="shared" si="1"/>
        <v>#N/A</v>
      </c>
      <c r="C42" s="69" t="str">
        <f t="shared" si="2"/>
        <v>#N/A</v>
      </c>
      <c r="D42" s="69" t="str">
        <f t="shared" si="3"/>
        <v>#N/A</v>
      </c>
      <c r="E42" s="69" t="str">
        <f t="shared" si="4"/>
        <v>#N/A</v>
      </c>
      <c r="F42" s="98">
        <v>8.9</v>
      </c>
      <c r="G42" s="69" t="str">
        <f t="shared" si="5"/>
        <v>#N/A</v>
      </c>
      <c r="H42" s="18">
        <v>122.0</v>
      </c>
      <c r="I42" s="69" t="str">
        <f t="shared" si="6"/>
        <v>#N/A</v>
      </c>
      <c r="J42" s="99"/>
    </row>
    <row r="43">
      <c r="B43" s="96" t="str">
        <f t="shared" si="1"/>
        <v>#N/A</v>
      </c>
      <c r="C43" s="69" t="str">
        <f t="shared" si="2"/>
        <v>#N/A</v>
      </c>
      <c r="D43" s="69" t="str">
        <f t="shared" si="3"/>
        <v>#N/A</v>
      </c>
      <c r="E43" s="69" t="str">
        <f t="shared" si="4"/>
        <v>#N/A</v>
      </c>
      <c r="F43" s="98">
        <v>8.9</v>
      </c>
      <c r="G43" s="69" t="str">
        <f t="shared" si="5"/>
        <v>#N/A</v>
      </c>
      <c r="H43" s="18">
        <v>122.0</v>
      </c>
      <c r="I43" s="69" t="str">
        <f t="shared" si="6"/>
        <v>#N/A</v>
      </c>
      <c r="J43" s="99"/>
    </row>
    <row r="44">
      <c r="B44" s="96" t="str">
        <f t="shared" si="1"/>
        <v>#N/A</v>
      </c>
      <c r="C44" s="69" t="str">
        <f t="shared" si="2"/>
        <v>#N/A</v>
      </c>
      <c r="D44" s="69" t="str">
        <f t="shared" si="3"/>
        <v>#N/A</v>
      </c>
      <c r="E44" s="69" t="str">
        <f t="shared" si="4"/>
        <v>#N/A</v>
      </c>
      <c r="F44" s="98">
        <v>8.9</v>
      </c>
      <c r="G44" s="69" t="str">
        <f t="shared" si="5"/>
        <v>#N/A</v>
      </c>
      <c r="H44" s="18">
        <v>122.0</v>
      </c>
      <c r="I44" s="69" t="str">
        <f t="shared" si="6"/>
        <v>#N/A</v>
      </c>
      <c r="J44" s="99"/>
    </row>
    <row r="45">
      <c r="B45" s="96" t="str">
        <f t="shared" si="1"/>
        <v>#N/A</v>
      </c>
      <c r="C45" s="69" t="str">
        <f t="shared" si="2"/>
        <v>#N/A</v>
      </c>
      <c r="D45" s="69" t="str">
        <f t="shared" si="3"/>
        <v>#N/A</v>
      </c>
      <c r="E45" s="69" t="str">
        <f t="shared" si="4"/>
        <v>#N/A</v>
      </c>
      <c r="F45" s="98">
        <v>8.9</v>
      </c>
      <c r="G45" s="69" t="str">
        <f t="shared" si="5"/>
        <v>#N/A</v>
      </c>
      <c r="H45" s="18">
        <v>122.0</v>
      </c>
      <c r="I45" s="69" t="str">
        <f t="shared" si="6"/>
        <v>#N/A</v>
      </c>
      <c r="J45" s="99"/>
    </row>
    <row r="46">
      <c r="B46" s="96" t="str">
        <f t="shared" si="1"/>
        <v>#N/A</v>
      </c>
      <c r="C46" s="69" t="str">
        <f t="shared" si="2"/>
        <v>#N/A</v>
      </c>
      <c r="D46" s="69" t="str">
        <f t="shared" si="3"/>
        <v>#N/A</v>
      </c>
      <c r="E46" s="69" t="str">
        <f t="shared" si="4"/>
        <v>#N/A</v>
      </c>
      <c r="F46" s="98">
        <v>8.9</v>
      </c>
      <c r="G46" s="69" t="str">
        <f t="shared" si="5"/>
        <v>#N/A</v>
      </c>
      <c r="H46" s="18">
        <v>122.0</v>
      </c>
      <c r="I46" s="69" t="str">
        <f t="shared" si="6"/>
        <v>#N/A</v>
      </c>
      <c r="J46" s="99"/>
    </row>
    <row r="47">
      <c r="F47" s="96"/>
      <c r="J47" s="99"/>
    </row>
    <row r="48">
      <c r="F48" s="96"/>
      <c r="J48" s="99"/>
    </row>
    <row r="49">
      <c r="F49" s="96"/>
      <c r="J49" s="99"/>
    </row>
    <row r="50">
      <c r="F50" s="96"/>
      <c r="J50" s="99"/>
    </row>
    <row r="51">
      <c r="F51" s="96"/>
      <c r="J51" s="99"/>
    </row>
    <row r="52">
      <c r="F52" s="96"/>
      <c r="J52" s="99"/>
    </row>
    <row r="53">
      <c r="F53" s="96"/>
      <c r="J53" s="99"/>
    </row>
    <row r="54">
      <c r="F54" s="96"/>
      <c r="J54" s="99"/>
    </row>
    <row r="55">
      <c r="F55" s="96"/>
      <c r="J55" s="99"/>
    </row>
    <row r="56">
      <c r="F56" s="96"/>
      <c r="J56" s="99"/>
    </row>
    <row r="57">
      <c r="F57" s="96"/>
      <c r="J57" s="99"/>
    </row>
    <row r="58">
      <c r="F58" s="96"/>
      <c r="J58" s="99"/>
    </row>
    <row r="59">
      <c r="F59" s="96"/>
      <c r="J59" s="99"/>
    </row>
    <row r="60">
      <c r="F60" s="96"/>
      <c r="J60" s="99"/>
    </row>
    <row r="61">
      <c r="F61" s="96"/>
      <c r="J61" s="99"/>
    </row>
    <row r="62">
      <c r="F62" s="96"/>
      <c r="J62" s="99"/>
    </row>
    <row r="63">
      <c r="F63" s="96"/>
      <c r="J63" s="99"/>
    </row>
    <row r="64">
      <c r="F64" s="96"/>
      <c r="J64" s="99"/>
    </row>
    <row r="65">
      <c r="F65" s="96"/>
      <c r="J65" s="99"/>
    </row>
    <row r="66">
      <c r="F66" s="96"/>
      <c r="J66" s="99"/>
    </row>
    <row r="67">
      <c r="F67" s="96"/>
      <c r="J67" s="99"/>
    </row>
    <row r="68">
      <c r="F68" s="96"/>
      <c r="J68" s="99"/>
    </row>
    <row r="69">
      <c r="F69" s="96"/>
      <c r="J69" s="99"/>
    </row>
    <row r="70">
      <c r="F70" s="96"/>
      <c r="J70" s="99"/>
    </row>
    <row r="71">
      <c r="F71" s="96"/>
      <c r="J71" s="99"/>
    </row>
    <row r="72">
      <c r="F72" s="96"/>
      <c r="J72" s="99"/>
    </row>
    <row r="73">
      <c r="F73" s="96"/>
      <c r="J73" s="99"/>
    </row>
    <row r="74">
      <c r="F74" s="96"/>
      <c r="J74" s="99"/>
    </row>
    <row r="75">
      <c r="F75" s="96"/>
      <c r="J75" s="99"/>
    </row>
    <row r="76">
      <c r="F76" s="96"/>
      <c r="J76" s="99"/>
    </row>
    <row r="77">
      <c r="F77" s="96"/>
      <c r="J77" s="99"/>
    </row>
    <row r="78">
      <c r="F78" s="96"/>
      <c r="J78" s="99"/>
    </row>
    <row r="79">
      <c r="F79" s="96"/>
      <c r="J79" s="99"/>
    </row>
    <row r="80">
      <c r="F80" s="96"/>
      <c r="J80" s="99"/>
    </row>
    <row r="81">
      <c r="F81" s="96"/>
      <c r="J81" s="99"/>
    </row>
    <row r="82">
      <c r="F82" s="96"/>
      <c r="J82" s="99"/>
    </row>
    <row r="83">
      <c r="F83" s="96"/>
      <c r="J83" s="99"/>
    </row>
    <row r="84">
      <c r="F84" s="96"/>
      <c r="J84" s="99"/>
    </row>
    <row r="85">
      <c r="F85" s="96"/>
      <c r="J85" s="99"/>
    </row>
    <row r="86">
      <c r="F86" s="96"/>
      <c r="J86" s="99"/>
    </row>
    <row r="87">
      <c r="F87" s="96"/>
      <c r="J87" s="99"/>
    </row>
    <row r="88">
      <c r="F88" s="96"/>
      <c r="J88" s="99"/>
    </row>
    <row r="89">
      <c r="F89" s="96"/>
      <c r="J89" s="99"/>
    </row>
    <row r="90">
      <c r="F90" s="96"/>
      <c r="J90" s="99"/>
    </row>
    <row r="91">
      <c r="F91" s="96"/>
      <c r="J91" s="99"/>
    </row>
    <row r="92">
      <c r="F92" s="96"/>
      <c r="J92" s="99"/>
    </row>
    <row r="93">
      <c r="F93" s="96"/>
      <c r="J93" s="99"/>
    </row>
    <row r="94">
      <c r="F94" s="96"/>
      <c r="J94" s="99"/>
    </row>
    <row r="95">
      <c r="F95" s="96"/>
      <c r="J95" s="99"/>
    </row>
    <row r="96">
      <c r="F96" s="96"/>
      <c r="J96" s="99"/>
    </row>
    <row r="97">
      <c r="F97" s="96"/>
      <c r="J97" s="99"/>
    </row>
    <row r="98">
      <c r="F98" s="96"/>
      <c r="J98" s="99"/>
    </row>
    <row r="99">
      <c r="F99" s="96"/>
      <c r="J99" s="99"/>
    </row>
    <row r="100">
      <c r="F100" s="96"/>
      <c r="J100" s="99"/>
    </row>
    <row r="101">
      <c r="F101" s="96"/>
      <c r="J101" s="99"/>
    </row>
    <row r="102">
      <c r="F102" s="96"/>
      <c r="J102" s="99"/>
    </row>
    <row r="103">
      <c r="F103" s="96"/>
      <c r="J103" s="99"/>
    </row>
    <row r="104">
      <c r="F104" s="96"/>
      <c r="J104" s="99"/>
    </row>
    <row r="105">
      <c r="F105" s="96"/>
      <c r="J105" s="99"/>
    </row>
    <row r="106">
      <c r="F106" s="96"/>
      <c r="J106" s="99"/>
    </row>
    <row r="107">
      <c r="F107" s="96"/>
      <c r="J107" s="99"/>
    </row>
    <row r="108">
      <c r="F108" s="96"/>
      <c r="J108" s="99"/>
    </row>
    <row r="109">
      <c r="F109" s="96"/>
      <c r="J109" s="99"/>
    </row>
    <row r="110">
      <c r="F110" s="96"/>
      <c r="J110" s="99"/>
    </row>
    <row r="111">
      <c r="F111" s="96"/>
      <c r="J111" s="99"/>
    </row>
    <row r="112">
      <c r="F112" s="96"/>
      <c r="J112" s="99"/>
    </row>
    <row r="113">
      <c r="F113" s="96"/>
      <c r="J113" s="99"/>
    </row>
    <row r="114">
      <c r="F114" s="96"/>
      <c r="J114" s="99"/>
    </row>
    <row r="115">
      <c r="F115" s="96"/>
      <c r="J115" s="99"/>
    </row>
    <row r="116">
      <c r="F116" s="96"/>
      <c r="J116" s="99"/>
    </row>
    <row r="117">
      <c r="F117" s="96"/>
      <c r="J117" s="99"/>
    </row>
    <row r="118">
      <c r="F118" s="96"/>
      <c r="J118" s="99"/>
    </row>
    <row r="119">
      <c r="F119" s="96"/>
      <c r="J119" s="99"/>
    </row>
    <row r="120">
      <c r="F120" s="96"/>
      <c r="J120" s="99"/>
    </row>
    <row r="121">
      <c r="F121" s="96"/>
      <c r="J121" s="99"/>
    </row>
    <row r="122">
      <c r="F122" s="96"/>
      <c r="J122" s="99"/>
    </row>
    <row r="123">
      <c r="F123" s="96"/>
      <c r="J123" s="99"/>
    </row>
    <row r="124">
      <c r="F124" s="96"/>
      <c r="J124" s="99"/>
    </row>
    <row r="125">
      <c r="F125" s="96"/>
      <c r="J125" s="99"/>
    </row>
    <row r="126">
      <c r="F126" s="96"/>
      <c r="J126" s="99"/>
    </row>
    <row r="127">
      <c r="F127" s="96"/>
      <c r="J127" s="99"/>
    </row>
    <row r="128">
      <c r="F128" s="96"/>
      <c r="J128" s="99"/>
    </row>
    <row r="129">
      <c r="F129" s="96"/>
      <c r="J129" s="99"/>
    </row>
    <row r="130">
      <c r="F130" s="96"/>
      <c r="J130" s="99"/>
    </row>
    <row r="131">
      <c r="F131" s="96"/>
      <c r="J131" s="99"/>
    </row>
    <row r="132">
      <c r="F132" s="96"/>
      <c r="J132" s="99"/>
    </row>
    <row r="133">
      <c r="F133" s="96"/>
      <c r="J133" s="99"/>
    </row>
    <row r="134">
      <c r="F134" s="96"/>
      <c r="J134" s="99"/>
    </row>
    <row r="135">
      <c r="F135" s="96"/>
      <c r="J135" s="99"/>
    </row>
    <row r="136">
      <c r="F136" s="96"/>
      <c r="J136" s="99"/>
    </row>
    <row r="137">
      <c r="F137" s="96"/>
      <c r="J137" s="99"/>
    </row>
    <row r="138">
      <c r="F138" s="96"/>
      <c r="J138" s="99"/>
    </row>
    <row r="139">
      <c r="F139" s="96"/>
      <c r="J139" s="99"/>
    </row>
    <row r="140">
      <c r="F140" s="96"/>
      <c r="J140" s="99"/>
    </row>
    <row r="141">
      <c r="F141" s="96"/>
      <c r="J141" s="99"/>
    </row>
    <row r="142">
      <c r="F142" s="96"/>
      <c r="J142" s="99"/>
    </row>
    <row r="143">
      <c r="F143" s="96"/>
      <c r="J143" s="99"/>
    </row>
    <row r="144">
      <c r="F144" s="96"/>
      <c r="J144" s="99"/>
    </row>
    <row r="145">
      <c r="F145" s="96"/>
      <c r="J145" s="99"/>
    </row>
    <row r="146">
      <c r="F146" s="96"/>
      <c r="J146" s="99"/>
    </row>
    <row r="147">
      <c r="F147" s="96"/>
      <c r="J147" s="99"/>
    </row>
    <row r="148">
      <c r="F148" s="96"/>
      <c r="J148" s="99"/>
    </row>
    <row r="149">
      <c r="F149" s="96"/>
      <c r="J149" s="99"/>
    </row>
    <row r="150">
      <c r="F150" s="96"/>
      <c r="J150" s="99"/>
    </row>
    <row r="151">
      <c r="F151" s="96"/>
      <c r="J151" s="99"/>
    </row>
    <row r="152">
      <c r="F152" s="96"/>
      <c r="J152" s="99"/>
    </row>
    <row r="153">
      <c r="F153" s="96"/>
      <c r="J153" s="99"/>
    </row>
    <row r="154">
      <c r="F154" s="96"/>
      <c r="J154" s="99"/>
    </row>
    <row r="155">
      <c r="F155" s="96"/>
      <c r="J155" s="99"/>
    </row>
    <row r="156">
      <c r="F156" s="96"/>
      <c r="J156" s="99"/>
    </row>
    <row r="157">
      <c r="F157" s="96"/>
      <c r="J157" s="99"/>
    </row>
    <row r="158">
      <c r="F158" s="96"/>
      <c r="J158" s="99"/>
    </row>
    <row r="159">
      <c r="F159" s="96"/>
      <c r="J159" s="99"/>
    </row>
    <row r="160">
      <c r="F160" s="96"/>
      <c r="J160" s="99"/>
    </row>
    <row r="161">
      <c r="F161" s="96"/>
      <c r="J161" s="99"/>
    </row>
    <row r="162">
      <c r="F162" s="96"/>
      <c r="J162" s="99"/>
    </row>
    <row r="163">
      <c r="F163" s="96"/>
      <c r="J163" s="99"/>
    </row>
    <row r="164">
      <c r="F164" s="96"/>
      <c r="J164" s="99"/>
    </row>
    <row r="165">
      <c r="F165" s="96"/>
      <c r="J165" s="99"/>
    </row>
    <row r="166">
      <c r="F166" s="96"/>
      <c r="J166" s="99"/>
    </row>
    <row r="167">
      <c r="F167" s="96"/>
      <c r="J167" s="99"/>
    </row>
    <row r="168">
      <c r="F168" s="96"/>
      <c r="J168" s="99"/>
    </row>
    <row r="169">
      <c r="F169" s="96"/>
      <c r="J169" s="99"/>
    </row>
    <row r="170">
      <c r="F170" s="96"/>
      <c r="J170" s="99"/>
    </row>
    <row r="171">
      <c r="F171" s="96"/>
      <c r="J171" s="99"/>
    </row>
    <row r="172">
      <c r="F172" s="96"/>
      <c r="J172" s="99"/>
    </row>
    <row r="173">
      <c r="F173" s="96"/>
      <c r="J173" s="99"/>
    </row>
    <row r="174">
      <c r="F174" s="96"/>
      <c r="J174" s="99"/>
    </row>
    <row r="175">
      <c r="F175" s="96"/>
      <c r="J175" s="99"/>
    </row>
    <row r="176">
      <c r="F176" s="96"/>
      <c r="J176" s="99"/>
    </row>
    <row r="177">
      <c r="F177" s="96"/>
      <c r="J177" s="99"/>
    </row>
    <row r="178">
      <c r="F178" s="96"/>
      <c r="J178" s="99"/>
    </row>
    <row r="179">
      <c r="F179" s="96"/>
      <c r="J179" s="99"/>
    </row>
    <row r="180">
      <c r="F180" s="96"/>
      <c r="J180" s="99"/>
    </row>
    <row r="181">
      <c r="F181" s="96"/>
      <c r="J181" s="99"/>
    </row>
    <row r="182">
      <c r="F182" s="96"/>
      <c r="J182" s="99"/>
    </row>
    <row r="183">
      <c r="F183" s="96"/>
      <c r="J183" s="99"/>
    </row>
    <row r="184">
      <c r="F184" s="96"/>
      <c r="J184" s="99"/>
    </row>
    <row r="185">
      <c r="F185" s="96"/>
      <c r="J185" s="99"/>
    </row>
    <row r="186">
      <c r="F186" s="96"/>
      <c r="J186" s="99"/>
    </row>
    <row r="187">
      <c r="F187" s="96"/>
      <c r="J187" s="99"/>
    </row>
    <row r="188">
      <c r="F188" s="96"/>
      <c r="J188" s="99"/>
    </row>
    <row r="189">
      <c r="F189" s="96"/>
      <c r="J189" s="99"/>
    </row>
    <row r="190">
      <c r="F190" s="96"/>
      <c r="J190" s="99"/>
    </row>
    <row r="191">
      <c r="F191" s="96"/>
      <c r="J191" s="99"/>
    </row>
    <row r="192">
      <c r="F192" s="96"/>
      <c r="J192" s="99"/>
    </row>
    <row r="193">
      <c r="F193" s="96"/>
      <c r="J193" s="99"/>
    </row>
    <row r="194">
      <c r="F194" s="96"/>
      <c r="J194" s="99"/>
    </row>
    <row r="195">
      <c r="F195" s="96"/>
      <c r="J195" s="99"/>
    </row>
    <row r="196">
      <c r="F196" s="96"/>
      <c r="J196" s="99"/>
    </row>
    <row r="197">
      <c r="F197" s="96"/>
      <c r="J197" s="99"/>
    </row>
    <row r="198">
      <c r="F198" s="96"/>
      <c r="J198" s="99"/>
    </row>
    <row r="199">
      <c r="F199" s="96"/>
      <c r="J199" s="99"/>
    </row>
    <row r="200">
      <c r="F200" s="96"/>
      <c r="J200" s="99"/>
    </row>
    <row r="201">
      <c r="F201" s="96"/>
      <c r="J201" s="99"/>
    </row>
    <row r="202">
      <c r="F202" s="96"/>
      <c r="J202" s="99"/>
    </row>
    <row r="203">
      <c r="F203" s="96"/>
      <c r="J203" s="99"/>
    </row>
    <row r="204">
      <c r="F204" s="96"/>
      <c r="J204" s="99"/>
    </row>
    <row r="205">
      <c r="F205" s="96"/>
      <c r="J205" s="99"/>
    </row>
    <row r="206">
      <c r="F206" s="96"/>
      <c r="J206" s="99"/>
    </row>
    <row r="207">
      <c r="F207" s="96"/>
      <c r="J207" s="99"/>
    </row>
    <row r="208">
      <c r="F208" s="96"/>
      <c r="J208" s="99"/>
    </row>
    <row r="209">
      <c r="F209" s="96"/>
      <c r="J209" s="99"/>
    </row>
    <row r="210">
      <c r="F210" s="96"/>
      <c r="J210" s="99"/>
    </row>
    <row r="211">
      <c r="F211" s="96"/>
      <c r="J211" s="99"/>
    </row>
    <row r="212">
      <c r="F212" s="96"/>
      <c r="J212" s="99"/>
    </row>
    <row r="213">
      <c r="F213" s="96"/>
      <c r="J213" s="99"/>
    </row>
    <row r="214">
      <c r="F214" s="96"/>
      <c r="J214" s="99"/>
    </row>
    <row r="215">
      <c r="F215" s="96"/>
      <c r="J215" s="99"/>
    </row>
    <row r="216">
      <c r="F216" s="96"/>
      <c r="J216" s="99"/>
    </row>
    <row r="217">
      <c r="F217" s="96"/>
      <c r="J217" s="99"/>
    </row>
    <row r="218">
      <c r="F218" s="96"/>
      <c r="J218" s="99"/>
    </row>
    <row r="219">
      <c r="F219" s="96"/>
      <c r="J219" s="99"/>
    </row>
    <row r="220">
      <c r="F220" s="96"/>
      <c r="J220" s="99"/>
    </row>
    <row r="221">
      <c r="F221" s="96"/>
      <c r="J221" s="99"/>
    </row>
    <row r="222">
      <c r="F222" s="96"/>
      <c r="J222" s="99"/>
    </row>
    <row r="223">
      <c r="F223" s="96"/>
      <c r="J223" s="99"/>
    </row>
    <row r="224">
      <c r="F224" s="96"/>
      <c r="J224" s="99"/>
    </row>
    <row r="225">
      <c r="F225" s="96"/>
      <c r="J225" s="99"/>
    </row>
    <row r="226">
      <c r="F226" s="96"/>
      <c r="J226" s="99"/>
    </row>
    <row r="227">
      <c r="F227" s="96"/>
      <c r="J227" s="99"/>
    </row>
    <row r="228">
      <c r="F228" s="96"/>
      <c r="J228" s="99"/>
    </row>
    <row r="229">
      <c r="F229" s="96"/>
      <c r="J229" s="99"/>
    </row>
    <row r="230">
      <c r="F230" s="96"/>
      <c r="J230" s="99"/>
    </row>
    <row r="231">
      <c r="F231" s="96"/>
      <c r="J231" s="99"/>
    </row>
    <row r="232">
      <c r="F232" s="96"/>
      <c r="J232" s="99"/>
    </row>
    <row r="233">
      <c r="F233" s="96"/>
      <c r="J233" s="99"/>
    </row>
    <row r="234">
      <c r="F234" s="96"/>
      <c r="J234" s="99"/>
    </row>
    <row r="235">
      <c r="F235" s="96"/>
      <c r="J235" s="99"/>
    </row>
    <row r="236">
      <c r="F236" s="96"/>
      <c r="J236" s="99"/>
    </row>
    <row r="237">
      <c r="F237" s="96"/>
      <c r="J237" s="99"/>
    </row>
    <row r="238">
      <c r="F238" s="96"/>
      <c r="J238" s="99"/>
    </row>
    <row r="239">
      <c r="F239" s="96"/>
      <c r="J239" s="99"/>
    </row>
    <row r="240">
      <c r="F240" s="96"/>
      <c r="J240" s="99"/>
    </row>
    <row r="241">
      <c r="F241" s="96"/>
      <c r="J241" s="99"/>
    </row>
    <row r="242">
      <c r="F242" s="96"/>
      <c r="J242" s="99"/>
    </row>
    <row r="243">
      <c r="F243" s="96"/>
      <c r="J243" s="99"/>
    </row>
    <row r="244">
      <c r="F244" s="96"/>
      <c r="J244" s="99"/>
    </row>
    <row r="245">
      <c r="F245" s="96"/>
      <c r="J245" s="99"/>
    </row>
    <row r="246">
      <c r="F246" s="96"/>
      <c r="J246" s="99"/>
    </row>
    <row r="247">
      <c r="F247" s="96"/>
      <c r="J247" s="99"/>
    </row>
    <row r="248">
      <c r="F248" s="96"/>
      <c r="J248" s="99"/>
    </row>
    <row r="249">
      <c r="F249" s="96"/>
      <c r="J249" s="99"/>
    </row>
    <row r="250">
      <c r="F250" s="96"/>
      <c r="J250" s="99"/>
    </row>
    <row r="251">
      <c r="F251" s="96"/>
      <c r="J251" s="99"/>
    </row>
    <row r="252">
      <c r="F252" s="96"/>
      <c r="J252" s="99"/>
    </row>
    <row r="253">
      <c r="F253" s="96"/>
      <c r="J253" s="99"/>
    </row>
    <row r="254">
      <c r="F254" s="96"/>
      <c r="J254" s="99"/>
    </row>
    <row r="255">
      <c r="F255" s="96"/>
      <c r="J255" s="99"/>
    </row>
    <row r="256">
      <c r="F256" s="96"/>
      <c r="J256" s="99"/>
    </row>
    <row r="257">
      <c r="F257" s="96"/>
      <c r="J257" s="99"/>
    </row>
    <row r="258">
      <c r="F258" s="96"/>
      <c r="J258" s="99"/>
    </row>
    <row r="259">
      <c r="F259" s="96"/>
      <c r="J259" s="99"/>
    </row>
    <row r="260">
      <c r="F260" s="96"/>
      <c r="J260" s="99"/>
    </row>
    <row r="261">
      <c r="F261" s="96"/>
      <c r="J261" s="99"/>
    </row>
    <row r="262">
      <c r="F262" s="96"/>
      <c r="J262" s="99"/>
    </row>
    <row r="263">
      <c r="F263" s="96"/>
      <c r="J263" s="99"/>
    </row>
    <row r="264">
      <c r="F264" s="96"/>
      <c r="J264" s="99"/>
    </row>
    <row r="265">
      <c r="F265" s="96"/>
      <c r="J265" s="99"/>
    </row>
    <row r="266">
      <c r="F266" s="96"/>
      <c r="J266" s="99"/>
    </row>
    <row r="267">
      <c r="F267" s="96"/>
      <c r="J267" s="99"/>
    </row>
    <row r="268">
      <c r="F268" s="96"/>
      <c r="J268" s="99"/>
    </row>
    <row r="269">
      <c r="F269" s="96"/>
      <c r="J269" s="99"/>
    </row>
    <row r="270">
      <c r="F270" s="96"/>
      <c r="J270" s="99"/>
    </row>
    <row r="271">
      <c r="F271" s="96"/>
      <c r="J271" s="99"/>
    </row>
    <row r="272">
      <c r="F272" s="96"/>
      <c r="J272" s="99"/>
    </row>
    <row r="273">
      <c r="F273" s="96"/>
      <c r="J273" s="99"/>
    </row>
    <row r="274">
      <c r="F274" s="96"/>
      <c r="J274" s="99"/>
    </row>
    <row r="275">
      <c r="F275" s="96"/>
      <c r="J275" s="99"/>
    </row>
    <row r="276">
      <c r="F276" s="96"/>
      <c r="J276" s="99"/>
    </row>
    <row r="277">
      <c r="F277" s="96"/>
      <c r="J277" s="99"/>
    </row>
    <row r="278">
      <c r="F278" s="96"/>
      <c r="J278" s="99"/>
    </row>
    <row r="279">
      <c r="F279" s="96"/>
      <c r="J279" s="99"/>
    </row>
    <row r="280">
      <c r="F280" s="96"/>
      <c r="J280" s="99"/>
    </row>
    <row r="281">
      <c r="F281" s="96"/>
      <c r="J281" s="99"/>
    </row>
    <row r="282">
      <c r="F282" s="96"/>
      <c r="J282" s="99"/>
    </row>
    <row r="283">
      <c r="F283" s="96"/>
      <c r="J283" s="99"/>
    </row>
    <row r="284">
      <c r="F284" s="96"/>
      <c r="J284" s="99"/>
    </row>
    <row r="285">
      <c r="F285" s="96"/>
      <c r="J285" s="99"/>
    </row>
    <row r="286">
      <c r="F286" s="96"/>
      <c r="J286" s="99"/>
    </row>
    <row r="287">
      <c r="F287" s="96"/>
      <c r="J287" s="99"/>
    </row>
    <row r="288">
      <c r="F288" s="96"/>
      <c r="J288" s="99"/>
    </row>
    <row r="289">
      <c r="F289" s="96"/>
      <c r="J289" s="99"/>
    </row>
    <row r="290">
      <c r="F290" s="96"/>
      <c r="J290" s="99"/>
    </row>
    <row r="291">
      <c r="F291" s="96"/>
      <c r="J291" s="99"/>
    </row>
    <row r="292">
      <c r="F292" s="96"/>
      <c r="J292" s="99"/>
    </row>
    <row r="293">
      <c r="F293" s="96"/>
      <c r="J293" s="99"/>
    </row>
    <row r="294">
      <c r="F294" s="96"/>
      <c r="J294" s="99"/>
    </row>
    <row r="295">
      <c r="F295" s="96"/>
      <c r="J295" s="99"/>
    </row>
    <row r="296">
      <c r="F296" s="96"/>
      <c r="J296" s="99"/>
    </row>
    <row r="297">
      <c r="F297" s="96"/>
      <c r="J297" s="99"/>
    </row>
    <row r="298">
      <c r="F298" s="96"/>
      <c r="J298" s="99"/>
    </row>
    <row r="299">
      <c r="F299" s="96"/>
      <c r="J299" s="99"/>
    </row>
    <row r="300">
      <c r="F300" s="96"/>
      <c r="J300" s="99"/>
    </row>
    <row r="301">
      <c r="F301" s="96"/>
      <c r="J301" s="99"/>
    </row>
    <row r="302">
      <c r="F302" s="96"/>
      <c r="J302" s="99"/>
    </row>
    <row r="303">
      <c r="F303" s="96"/>
      <c r="J303" s="99"/>
    </row>
    <row r="304">
      <c r="F304" s="96"/>
      <c r="J304" s="99"/>
    </row>
    <row r="305">
      <c r="F305" s="96"/>
      <c r="J305" s="99"/>
    </row>
    <row r="306">
      <c r="F306" s="96"/>
      <c r="J306" s="99"/>
    </row>
    <row r="307">
      <c r="F307" s="96"/>
      <c r="J307" s="99"/>
    </row>
    <row r="308">
      <c r="F308" s="96"/>
      <c r="J308" s="99"/>
    </row>
    <row r="309">
      <c r="F309" s="96"/>
      <c r="J309" s="99"/>
    </row>
    <row r="310">
      <c r="F310" s="96"/>
      <c r="J310" s="99"/>
    </row>
    <row r="311">
      <c r="F311" s="96"/>
      <c r="J311" s="99"/>
    </row>
    <row r="312">
      <c r="F312" s="96"/>
      <c r="J312" s="99"/>
    </row>
    <row r="313">
      <c r="F313" s="96"/>
      <c r="J313" s="99"/>
    </row>
    <row r="314">
      <c r="F314" s="96"/>
      <c r="J314" s="99"/>
    </row>
    <row r="315">
      <c r="F315" s="96"/>
      <c r="J315" s="99"/>
    </row>
    <row r="316">
      <c r="F316" s="96"/>
      <c r="J316" s="99"/>
    </row>
    <row r="317">
      <c r="F317" s="96"/>
      <c r="J317" s="99"/>
    </row>
    <row r="318">
      <c r="F318" s="96"/>
      <c r="J318" s="99"/>
    </row>
    <row r="319">
      <c r="F319" s="96"/>
      <c r="J319" s="99"/>
    </row>
    <row r="320">
      <c r="F320" s="96"/>
      <c r="J320" s="99"/>
    </row>
    <row r="321">
      <c r="F321" s="96"/>
      <c r="J321" s="99"/>
    </row>
    <row r="322">
      <c r="F322" s="96"/>
      <c r="J322" s="99"/>
    </row>
    <row r="323">
      <c r="F323" s="96"/>
      <c r="J323" s="99"/>
    </row>
    <row r="324">
      <c r="F324" s="96"/>
      <c r="J324" s="99"/>
    </row>
    <row r="325">
      <c r="F325" s="96"/>
      <c r="J325" s="99"/>
    </row>
    <row r="326">
      <c r="F326" s="96"/>
      <c r="J326" s="99"/>
    </row>
    <row r="327">
      <c r="F327" s="96"/>
      <c r="J327" s="99"/>
    </row>
    <row r="328">
      <c r="F328" s="96"/>
      <c r="J328" s="99"/>
    </row>
    <row r="329">
      <c r="F329" s="96"/>
      <c r="J329" s="99"/>
    </row>
    <row r="330">
      <c r="F330" s="96"/>
      <c r="J330" s="99"/>
    </row>
    <row r="331">
      <c r="F331" s="96"/>
      <c r="J331" s="99"/>
    </row>
    <row r="332">
      <c r="F332" s="96"/>
      <c r="J332" s="99"/>
    </row>
    <row r="333">
      <c r="F333" s="96"/>
      <c r="J333" s="99"/>
    </row>
    <row r="334">
      <c r="F334" s="96"/>
      <c r="J334" s="99"/>
    </row>
    <row r="335">
      <c r="F335" s="96"/>
      <c r="J335" s="99"/>
    </row>
    <row r="336">
      <c r="F336" s="96"/>
      <c r="J336" s="99"/>
    </row>
    <row r="337">
      <c r="F337" s="96"/>
      <c r="J337" s="99"/>
    </row>
    <row r="338">
      <c r="F338" s="96"/>
      <c r="J338" s="99"/>
    </row>
    <row r="339">
      <c r="F339" s="96"/>
      <c r="J339" s="99"/>
    </row>
    <row r="340">
      <c r="F340" s="96"/>
      <c r="J340" s="99"/>
    </row>
    <row r="341">
      <c r="F341" s="96"/>
      <c r="J341" s="99"/>
    </row>
    <row r="342">
      <c r="F342" s="96"/>
      <c r="J342" s="99"/>
    </row>
    <row r="343">
      <c r="F343" s="96"/>
      <c r="J343" s="99"/>
    </row>
    <row r="344">
      <c r="F344" s="96"/>
      <c r="J344" s="99"/>
    </row>
    <row r="345">
      <c r="F345" s="96"/>
      <c r="J345" s="99"/>
    </row>
    <row r="346">
      <c r="F346" s="96"/>
      <c r="J346" s="99"/>
    </row>
    <row r="347">
      <c r="F347" s="96"/>
      <c r="J347" s="99"/>
    </row>
    <row r="348">
      <c r="F348" s="96"/>
      <c r="J348" s="99"/>
    </row>
    <row r="349">
      <c r="F349" s="96"/>
      <c r="J349" s="99"/>
    </row>
    <row r="350">
      <c r="F350" s="96"/>
      <c r="J350" s="99"/>
    </row>
    <row r="351">
      <c r="F351" s="96"/>
      <c r="J351" s="99"/>
    </row>
    <row r="352">
      <c r="F352" s="96"/>
      <c r="J352" s="99"/>
    </row>
    <row r="353">
      <c r="F353" s="96"/>
      <c r="J353" s="99"/>
    </row>
    <row r="354">
      <c r="F354" s="96"/>
      <c r="J354" s="99"/>
    </row>
    <row r="355">
      <c r="F355" s="96"/>
      <c r="J355" s="99"/>
    </row>
    <row r="356">
      <c r="F356" s="96"/>
      <c r="J356" s="99"/>
    </row>
    <row r="357">
      <c r="F357" s="96"/>
      <c r="J357" s="99"/>
    </row>
    <row r="358">
      <c r="F358" s="96"/>
      <c r="J358" s="99"/>
    </row>
    <row r="359">
      <c r="F359" s="96"/>
      <c r="J359" s="99"/>
    </row>
    <row r="360">
      <c r="F360" s="96"/>
      <c r="J360" s="99"/>
    </row>
    <row r="361">
      <c r="F361" s="96"/>
      <c r="J361" s="99"/>
    </row>
    <row r="362">
      <c r="F362" s="96"/>
      <c r="J362" s="99"/>
    </row>
    <row r="363">
      <c r="F363" s="96"/>
      <c r="J363" s="99"/>
    </row>
    <row r="364">
      <c r="F364" s="96"/>
      <c r="J364" s="99"/>
    </row>
    <row r="365">
      <c r="F365" s="96"/>
      <c r="J365" s="99"/>
    </row>
    <row r="366">
      <c r="F366" s="96"/>
      <c r="J366" s="99"/>
    </row>
    <row r="367">
      <c r="F367" s="96"/>
      <c r="J367" s="99"/>
    </row>
    <row r="368">
      <c r="F368" s="96"/>
      <c r="J368" s="99"/>
    </row>
    <row r="369">
      <c r="F369" s="96"/>
      <c r="J369" s="99"/>
    </row>
    <row r="370">
      <c r="F370" s="96"/>
      <c r="J370" s="99"/>
    </row>
    <row r="371">
      <c r="F371" s="96"/>
      <c r="J371" s="99"/>
    </row>
    <row r="372">
      <c r="F372" s="96"/>
      <c r="J372" s="99"/>
    </row>
    <row r="373">
      <c r="F373" s="96"/>
      <c r="J373" s="99"/>
    </row>
    <row r="374">
      <c r="F374" s="96"/>
      <c r="J374" s="99"/>
    </row>
    <row r="375">
      <c r="F375" s="96"/>
      <c r="J375" s="99"/>
    </row>
    <row r="376">
      <c r="F376" s="96"/>
      <c r="J376" s="99"/>
    </row>
    <row r="377">
      <c r="F377" s="96"/>
      <c r="J377" s="99"/>
    </row>
    <row r="378">
      <c r="F378" s="96"/>
      <c r="J378" s="99"/>
    </row>
    <row r="379">
      <c r="F379" s="96"/>
      <c r="J379" s="99"/>
    </row>
    <row r="380">
      <c r="F380" s="96"/>
      <c r="J380" s="99"/>
    </row>
    <row r="381">
      <c r="F381" s="96"/>
      <c r="J381" s="99"/>
    </row>
    <row r="382">
      <c r="F382" s="96"/>
      <c r="J382" s="99"/>
    </row>
    <row r="383">
      <c r="F383" s="96"/>
      <c r="J383" s="99"/>
    </row>
    <row r="384">
      <c r="F384" s="96"/>
      <c r="J384" s="99"/>
    </row>
    <row r="385">
      <c r="F385" s="96"/>
      <c r="J385" s="99"/>
    </row>
    <row r="386">
      <c r="F386" s="96"/>
      <c r="J386" s="99"/>
    </row>
    <row r="387">
      <c r="F387" s="96"/>
      <c r="J387" s="99"/>
    </row>
    <row r="388">
      <c r="F388" s="96"/>
      <c r="J388" s="99"/>
    </row>
    <row r="389">
      <c r="F389" s="96"/>
      <c r="J389" s="99"/>
    </row>
    <row r="390">
      <c r="F390" s="96"/>
      <c r="J390" s="99"/>
    </row>
    <row r="391">
      <c r="F391" s="96"/>
      <c r="J391" s="99"/>
    </row>
    <row r="392">
      <c r="F392" s="96"/>
      <c r="J392" s="99"/>
    </row>
    <row r="393">
      <c r="F393" s="96"/>
      <c r="J393" s="99"/>
    </row>
    <row r="394">
      <c r="F394" s="96"/>
      <c r="J394" s="99"/>
    </row>
    <row r="395">
      <c r="F395" s="96"/>
      <c r="J395" s="99"/>
    </row>
    <row r="396">
      <c r="F396" s="96"/>
      <c r="J396" s="99"/>
    </row>
    <row r="397">
      <c r="F397" s="96"/>
      <c r="J397" s="99"/>
    </row>
    <row r="398">
      <c r="F398" s="96"/>
      <c r="J398" s="99"/>
    </row>
    <row r="399">
      <c r="F399" s="96"/>
      <c r="J399" s="99"/>
    </row>
    <row r="400">
      <c r="F400" s="96"/>
      <c r="J400" s="99"/>
    </row>
    <row r="401">
      <c r="F401" s="96"/>
      <c r="J401" s="99"/>
    </row>
    <row r="402">
      <c r="F402" s="96"/>
      <c r="J402" s="99"/>
    </row>
    <row r="403">
      <c r="F403" s="96"/>
      <c r="J403" s="99"/>
    </row>
    <row r="404">
      <c r="F404" s="96"/>
      <c r="J404" s="99"/>
    </row>
    <row r="405">
      <c r="F405" s="96"/>
      <c r="J405" s="99"/>
    </row>
    <row r="406">
      <c r="F406" s="96"/>
      <c r="J406" s="99"/>
    </row>
    <row r="407">
      <c r="F407" s="96"/>
      <c r="J407" s="99"/>
    </row>
    <row r="408">
      <c r="F408" s="96"/>
      <c r="J408" s="99"/>
    </row>
    <row r="409">
      <c r="F409" s="96"/>
      <c r="J409" s="99"/>
    </row>
    <row r="410">
      <c r="F410" s="96"/>
      <c r="J410" s="99"/>
    </row>
    <row r="411">
      <c r="F411" s="96"/>
      <c r="J411" s="99"/>
    </row>
    <row r="412">
      <c r="F412" s="96"/>
      <c r="J412" s="99"/>
    </row>
    <row r="413">
      <c r="F413" s="96"/>
      <c r="J413" s="99"/>
    </row>
    <row r="414">
      <c r="F414" s="96"/>
      <c r="J414" s="99"/>
    </row>
    <row r="415">
      <c r="F415" s="96"/>
      <c r="J415" s="99"/>
    </row>
    <row r="416">
      <c r="F416" s="96"/>
      <c r="J416" s="99"/>
    </row>
    <row r="417">
      <c r="F417" s="96"/>
      <c r="J417" s="99"/>
    </row>
    <row r="418">
      <c r="F418" s="96"/>
      <c r="J418" s="99"/>
    </row>
    <row r="419">
      <c r="F419" s="96"/>
      <c r="J419" s="99"/>
    </row>
    <row r="420">
      <c r="F420" s="96"/>
      <c r="J420" s="99"/>
    </row>
    <row r="421">
      <c r="F421" s="96"/>
      <c r="J421" s="99"/>
    </row>
    <row r="422">
      <c r="F422" s="96"/>
      <c r="J422" s="99"/>
    </row>
    <row r="423">
      <c r="F423" s="96"/>
      <c r="J423" s="99"/>
    </row>
    <row r="424">
      <c r="F424" s="96"/>
      <c r="J424" s="99"/>
    </row>
    <row r="425">
      <c r="F425" s="96"/>
      <c r="J425" s="99"/>
    </row>
    <row r="426">
      <c r="F426" s="96"/>
      <c r="J426" s="99"/>
    </row>
    <row r="427">
      <c r="F427" s="96"/>
      <c r="J427" s="99"/>
    </row>
    <row r="428">
      <c r="F428" s="96"/>
      <c r="J428" s="99"/>
    </row>
    <row r="429">
      <c r="F429" s="96"/>
      <c r="J429" s="99"/>
    </row>
    <row r="430">
      <c r="F430" s="96"/>
      <c r="J430" s="99"/>
    </row>
    <row r="431">
      <c r="F431" s="96"/>
      <c r="J431" s="99"/>
    </row>
    <row r="432">
      <c r="F432" s="96"/>
      <c r="J432" s="99"/>
    </row>
    <row r="433">
      <c r="F433" s="96"/>
      <c r="J433" s="99"/>
    </row>
    <row r="434">
      <c r="F434" s="96"/>
      <c r="J434" s="99"/>
    </row>
    <row r="435">
      <c r="F435" s="96"/>
      <c r="J435" s="99"/>
    </row>
    <row r="436">
      <c r="F436" s="96"/>
      <c r="J436" s="99"/>
    </row>
    <row r="437">
      <c r="F437" s="96"/>
      <c r="J437" s="99"/>
    </row>
    <row r="438">
      <c r="F438" s="96"/>
      <c r="J438" s="99"/>
    </row>
    <row r="439">
      <c r="F439" s="96"/>
      <c r="J439" s="99"/>
    </row>
    <row r="440">
      <c r="F440" s="96"/>
      <c r="J440" s="99"/>
    </row>
    <row r="441">
      <c r="F441" s="96"/>
      <c r="J441" s="99"/>
    </row>
    <row r="442">
      <c r="F442" s="96"/>
      <c r="J442" s="99"/>
    </row>
    <row r="443">
      <c r="F443" s="96"/>
      <c r="J443" s="99"/>
    </row>
    <row r="444">
      <c r="F444" s="96"/>
      <c r="J444" s="99"/>
    </row>
    <row r="445">
      <c r="F445" s="96"/>
      <c r="J445" s="99"/>
    </row>
    <row r="446">
      <c r="F446" s="96"/>
      <c r="J446" s="99"/>
    </row>
    <row r="447">
      <c r="F447" s="96"/>
      <c r="J447" s="99"/>
    </row>
    <row r="448">
      <c r="F448" s="96"/>
      <c r="J448" s="99"/>
    </row>
    <row r="449">
      <c r="F449" s="96"/>
      <c r="J449" s="99"/>
    </row>
    <row r="450">
      <c r="F450" s="96"/>
      <c r="J450" s="99"/>
    </row>
    <row r="451">
      <c r="F451" s="96"/>
      <c r="J451" s="99"/>
    </row>
    <row r="452">
      <c r="F452" s="96"/>
      <c r="J452" s="99"/>
    </row>
    <row r="453">
      <c r="F453" s="96"/>
      <c r="J453" s="99"/>
    </row>
    <row r="454">
      <c r="F454" s="96"/>
      <c r="J454" s="99"/>
    </row>
    <row r="455">
      <c r="F455" s="96"/>
      <c r="J455" s="99"/>
    </row>
    <row r="456">
      <c r="F456" s="96"/>
      <c r="J456" s="99"/>
    </row>
    <row r="457">
      <c r="F457" s="96"/>
      <c r="J457" s="99"/>
    </row>
    <row r="458">
      <c r="F458" s="96"/>
      <c r="J458" s="99"/>
    </row>
    <row r="459">
      <c r="F459" s="96"/>
      <c r="J459" s="99"/>
    </row>
    <row r="460">
      <c r="F460" s="96"/>
      <c r="J460" s="99"/>
    </row>
    <row r="461">
      <c r="F461" s="96"/>
      <c r="J461" s="99"/>
    </row>
    <row r="462">
      <c r="F462" s="96"/>
      <c r="J462" s="99"/>
    </row>
    <row r="463">
      <c r="F463" s="96"/>
      <c r="J463" s="99"/>
    </row>
    <row r="464">
      <c r="F464" s="96"/>
      <c r="J464" s="99"/>
    </row>
    <row r="465">
      <c r="F465" s="96"/>
      <c r="J465" s="99"/>
    </row>
    <row r="466">
      <c r="F466" s="96"/>
      <c r="J466" s="99"/>
    </row>
    <row r="467">
      <c r="F467" s="96"/>
      <c r="J467" s="99"/>
    </row>
    <row r="468">
      <c r="F468" s="96"/>
      <c r="J468" s="99"/>
    </row>
    <row r="469">
      <c r="F469" s="96"/>
      <c r="J469" s="99"/>
    </row>
    <row r="470">
      <c r="F470" s="96"/>
      <c r="J470" s="99"/>
    </row>
    <row r="471">
      <c r="F471" s="96"/>
      <c r="J471" s="99"/>
    </row>
    <row r="472">
      <c r="F472" s="96"/>
      <c r="J472" s="99"/>
    </row>
    <row r="473">
      <c r="F473" s="96"/>
      <c r="J473" s="99"/>
    </row>
    <row r="474">
      <c r="F474" s="96"/>
      <c r="J474" s="99"/>
    </row>
    <row r="475">
      <c r="F475" s="96"/>
      <c r="J475" s="99"/>
    </row>
    <row r="476">
      <c r="F476" s="96"/>
      <c r="J476" s="99"/>
    </row>
    <row r="477">
      <c r="F477" s="96"/>
      <c r="J477" s="99"/>
    </row>
    <row r="478">
      <c r="F478" s="96"/>
      <c r="J478" s="99"/>
    </row>
    <row r="479">
      <c r="F479" s="96"/>
      <c r="J479" s="99"/>
    </row>
    <row r="480">
      <c r="F480" s="96"/>
      <c r="J480" s="99"/>
    </row>
    <row r="481">
      <c r="F481" s="96"/>
      <c r="J481" s="99"/>
    </row>
    <row r="482">
      <c r="F482" s="96"/>
      <c r="J482" s="99"/>
    </row>
    <row r="483">
      <c r="F483" s="96"/>
      <c r="J483" s="99"/>
    </row>
    <row r="484">
      <c r="F484" s="96"/>
      <c r="J484" s="99"/>
    </row>
    <row r="485">
      <c r="F485" s="96"/>
      <c r="J485" s="99"/>
    </row>
    <row r="486">
      <c r="F486" s="96"/>
      <c r="J486" s="99"/>
    </row>
    <row r="487">
      <c r="F487" s="96"/>
      <c r="J487" s="99"/>
    </row>
    <row r="488">
      <c r="F488" s="96"/>
      <c r="J488" s="99"/>
    </row>
    <row r="489">
      <c r="F489" s="96"/>
      <c r="J489" s="99"/>
    </row>
    <row r="490">
      <c r="F490" s="96"/>
      <c r="J490" s="99"/>
    </row>
    <row r="491">
      <c r="F491" s="96"/>
      <c r="J491" s="99"/>
    </row>
    <row r="492">
      <c r="F492" s="96"/>
      <c r="J492" s="99"/>
    </row>
    <row r="493">
      <c r="F493" s="96"/>
      <c r="J493" s="99"/>
    </row>
    <row r="494">
      <c r="F494" s="96"/>
      <c r="J494" s="99"/>
    </row>
    <row r="495">
      <c r="F495" s="96"/>
      <c r="J495" s="99"/>
    </row>
    <row r="496">
      <c r="F496" s="96"/>
      <c r="J496" s="99"/>
    </row>
    <row r="497">
      <c r="F497" s="96"/>
      <c r="J497" s="99"/>
    </row>
    <row r="498">
      <c r="F498" s="96"/>
      <c r="J498" s="99"/>
    </row>
    <row r="499">
      <c r="F499" s="96"/>
      <c r="J499" s="99"/>
    </row>
    <row r="500">
      <c r="F500" s="96"/>
      <c r="J500" s="99"/>
    </row>
    <row r="501">
      <c r="F501" s="96"/>
      <c r="J501" s="99"/>
    </row>
    <row r="502">
      <c r="F502" s="96"/>
      <c r="J502" s="99"/>
    </row>
    <row r="503">
      <c r="F503" s="96"/>
      <c r="J503" s="99"/>
    </row>
    <row r="504">
      <c r="F504" s="96"/>
      <c r="J504" s="99"/>
    </row>
    <row r="505">
      <c r="F505" s="96"/>
      <c r="J505" s="99"/>
    </row>
    <row r="506">
      <c r="F506" s="96"/>
      <c r="J506" s="99"/>
    </row>
    <row r="507">
      <c r="F507" s="96"/>
      <c r="J507" s="99"/>
    </row>
    <row r="508">
      <c r="F508" s="96"/>
      <c r="J508" s="99"/>
    </row>
    <row r="509">
      <c r="F509" s="96"/>
      <c r="J509" s="99"/>
    </row>
    <row r="510">
      <c r="F510" s="96"/>
      <c r="J510" s="99"/>
    </row>
    <row r="511">
      <c r="F511" s="96"/>
      <c r="J511" s="99"/>
    </row>
    <row r="512">
      <c r="F512" s="96"/>
      <c r="J512" s="99"/>
    </row>
    <row r="513">
      <c r="F513" s="96"/>
      <c r="J513" s="99"/>
    </row>
    <row r="514">
      <c r="F514" s="96"/>
      <c r="J514" s="99"/>
    </row>
    <row r="515">
      <c r="F515" s="96"/>
      <c r="J515" s="99"/>
    </row>
    <row r="516">
      <c r="F516" s="96"/>
      <c r="J516" s="99"/>
    </row>
    <row r="517">
      <c r="F517" s="96"/>
      <c r="J517" s="99"/>
    </row>
    <row r="518">
      <c r="F518" s="96"/>
      <c r="J518" s="99"/>
    </row>
    <row r="519">
      <c r="F519" s="96"/>
      <c r="J519" s="99"/>
    </row>
    <row r="520">
      <c r="F520" s="96"/>
      <c r="J520" s="99"/>
    </row>
    <row r="521">
      <c r="F521" s="96"/>
      <c r="J521" s="99"/>
    </row>
    <row r="522">
      <c r="F522" s="96"/>
      <c r="J522" s="99"/>
    </row>
    <row r="523">
      <c r="F523" s="96"/>
      <c r="J523" s="99"/>
    </row>
    <row r="524">
      <c r="F524" s="96"/>
      <c r="J524" s="99"/>
    </row>
    <row r="525">
      <c r="F525" s="96"/>
      <c r="J525" s="99"/>
    </row>
    <row r="526">
      <c r="F526" s="96"/>
      <c r="J526" s="99"/>
    </row>
    <row r="527">
      <c r="F527" s="96"/>
      <c r="J527" s="99"/>
    </row>
    <row r="528">
      <c r="F528" s="96"/>
      <c r="J528" s="99"/>
    </row>
    <row r="529">
      <c r="F529" s="96"/>
      <c r="J529" s="99"/>
    </row>
    <row r="530">
      <c r="F530" s="96"/>
      <c r="J530" s="99"/>
    </row>
    <row r="531">
      <c r="F531" s="96"/>
      <c r="J531" s="99"/>
    </row>
    <row r="532">
      <c r="F532" s="96"/>
      <c r="J532" s="99"/>
    </row>
    <row r="533">
      <c r="F533" s="96"/>
      <c r="J533" s="99"/>
    </row>
    <row r="534">
      <c r="F534" s="96"/>
      <c r="J534" s="99"/>
    </row>
    <row r="535">
      <c r="F535" s="96"/>
      <c r="J535" s="99"/>
    </row>
    <row r="536">
      <c r="F536" s="96"/>
      <c r="J536" s="99"/>
    </row>
    <row r="537">
      <c r="F537" s="96"/>
      <c r="J537" s="99"/>
    </row>
    <row r="538">
      <c r="F538" s="96"/>
      <c r="J538" s="99"/>
    </row>
    <row r="539">
      <c r="F539" s="96"/>
      <c r="J539" s="99"/>
    </row>
    <row r="540">
      <c r="F540" s="96"/>
      <c r="J540" s="99"/>
    </row>
    <row r="541">
      <c r="F541" s="96"/>
      <c r="J541" s="99"/>
    </row>
    <row r="542">
      <c r="F542" s="96"/>
      <c r="J542" s="99"/>
    </row>
    <row r="543">
      <c r="F543" s="96"/>
      <c r="J543" s="99"/>
    </row>
    <row r="544">
      <c r="F544" s="96"/>
      <c r="J544" s="99"/>
    </row>
    <row r="545">
      <c r="F545" s="96"/>
      <c r="J545" s="99"/>
    </row>
    <row r="546">
      <c r="F546" s="96"/>
      <c r="J546" s="99"/>
    </row>
    <row r="547">
      <c r="F547" s="96"/>
      <c r="J547" s="99"/>
    </row>
    <row r="548">
      <c r="F548" s="96"/>
      <c r="J548" s="99"/>
    </row>
    <row r="549">
      <c r="F549" s="96"/>
      <c r="J549" s="99"/>
    </row>
    <row r="550">
      <c r="F550" s="96"/>
      <c r="J550" s="99"/>
    </row>
    <row r="551">
      <c r="F551" s="96"/>
      <c r="J551" s="99"/>
    </row>
    <row r="552">
      <c r="F552" s="96"/>
      <c r="J552" s="99"/>
    </row>
    <row r="553">
      <c r="F553" s="96"/>
      <c r="J553" s="99"/>
    </row>
    <row r="554">
      <c r="F554" s="96"/>
      <c r="J554" s="99"/>
    </row>
    <row r="555">
      <c r="F555" s="96"/>
      <c r="J555" s="99"/>
    </row>
    <row r="556">
      <c r="F556" s="96"/>
      <c r="J556" s="99"/>
    </row>
    <row r="557">
      <c r="F557" s="96"/>
      <c r="J557" s="99"/>
    </row>
    <row r="558">
      <c r="F558" s="96"/>
      <c r="J558" s="99"/>
    </row>
    <row r="559">
      <c r="F559" s="96"/>
      <c r="J559" s="99"/>
    </row>
    <row r="560">
      <c r="F560" s="96"/>
      <c r="J560" s="99"/>
    </row>
    <row r="561">
      <c r="F561" s="96"/>
      <c r="J561" s="99"/>
    </row>
    <row r="562">
      <c r="F562" s="96"/>
      <c r="J562" s="99"/>
    </row>
    <row r="563">
      <c r="F563" s="96"/>
      <c r="J563" s="99"/>
    </row>
    <row r="564">
      <c r="F564" s="96"/>
      <c r="J564" s="99"/>
    </row>
    <row r="565">
      <c r="F565" s="96"/>
      <c r="J565" s="99"/>
    </row>
    <row r="566">
      <c r="F566" s="96"/>
      <c r="J566" s="99"/>
    </row>
    <row r="567">
      <c r="F567" s="96"/>
      <c r="J567" s="99"/>
    </row>
    <row r="568">
      <c r="F568" s="96"/>
      <c r="J568" s="99"/>
    </row>
    <row r="569">
      <c r="F569" s="96"/>
      <c r="J569" s="99"/>
    </row>
    <row r="570">
      <c r="F570" s="96"/>
      <c r="J570" s="99"/>
    </row>
    <row r="571">
      <c r="F571" s="96"/>
      <c r="J571" s="99"/>
    </row>
    <row r="572">
      <c r="F572" s="96"/>
      <c r="J572" s="99"/>
    </row>
    <row r="573">
      <c r="F573" s="96"/>
      <c r="J573" s="99"/>
    </row>
    <row r="574">
      <c r="F574" s="96"/>
      <c r="J574" s="99"/>
    </row>
    <row r="575">
      <c r="F575" s="96"/>
      <c r="J575" s="99"/>
    </row>
    <row r="576">
      <c r="F576" s="96"/>
      <c r="J576" s="99"/>
    </row>
    <row r="577">
      <c r="F577" s="96"/>
      <c r="J577" s="99"/>
    </row>
    <row r="578">
      <c r="F578" s="96"/>
      <c r="J578" s="99"/>
    </row>
    <row r="579">
      <c r="F579" s="96"/>
      <c r="J579" s="99"/>
    </row>
    <row r="580">
      <c r="F580" s="96"/>
      <c r="J580" s="99"/>
    </row>
    <row r="581">
      <c r="F581" s="96"/>
      <c r="J581" s="99"/>
    </row>
    <row r="582">
      <c r="F582" s="96"/>
      <c r="J582" s="99"/>
    </row>
    <row r="583">
      <c r="F583" s="96"/>
      <c r="J583" s="99"/>
    </row>
    <row r="584">
      <c r="F584" s="96"/>
      <c r="J584" s="99"/>
    </row>
    <row r="585">
      <c r="F585" s="96"/>
      <c r="J585" s="99"/>
    </row>
    <row r="586">
      <c r="F586" s="96"/>
      <c r="J586" s="99"/>
    </row>
    <row r="587">
      <c r="F587" s="96"/>
      <c r="J587" s="99"/>
    </row>
    <row r="588">
      <c r="F588" s="96"/>
      <c r="J588" s="99"/>
    </row>
    <row r="589">
      <c r="F589" s="96"/>
      <c r="J589" s="99"/>
    </row>
    <row r="590">
      <c r="F590" s="96"/>
      <c r="J590" s="99"/>
    </row>
    <row r="591">
      <c r="F591" s="96"/>
      <c r="J591" s="99"/>
    </row>
    <row r="592">
      <c r="F592" s="96"/>
      <c r="J592" s="99"/>
    </row>
    <row r="593">
      <c r="F593" s="96"/>
      <c r="J593" s="99"/>
    </row>
    <row r="594">
      <c r="F594" s="96"/>
      <c r="J594" s="99"/>
    </row>
    <row r="595">
      <c r="F595" s="96"/>
      <c r="J595" s="99"/>
    </row>
    <row r="596">
      <c r="F596" s="96"/>
      <c r="J596" s="99"/>
    </row>
    <row r="597">
      <c r="F597" s="96"/>
      <c r="J597" s="99"/>
    </row>
    <row r="598">
      <c r="F598" s="96"/>
      <c r="J598" s="99"/>
    </row>
    <row r="599">
      <c r="F599" s="96"/>
      <c r="J599" s="99"/>
    </row>
    <row r="600">
      <c r="F600" s="96"/>
      <c r="J600" s="99"/>
    </row>
    <row r="601">
      <c r="F601" s="96"/>
      <c r="J601" s="99"/>
    </row>
    <row r="602">
      <c r="F602" s="96"/>
      <c r="J602" s="99"/>
    </row>
    <row r="603">
      <c r="F603" s="96"/>
      <c r="J603" s="99"/>
    </row>
    <row r="604">
      <c r="F604" s="96"/>
      <c r="J604" s="99"/>
    </row>
    <row r="605">
      <c r="F605" s="96"/>
      <c r="J605" s="99"/>
    </row>
    <row r="606">
      <c r="F606" s="96"/>
      <c r="J606" s="99"/>
    </row>
    <row r="607">
      <c r="F607" s="96"/>
      <c r="J607" s="99"/>
    </row>
    <row r="608">
      <c r="F608" s="96"/>
      <c r="J608" s="99"/>
    </row>
    <row r="609">
      <c r="F609" s="96"/>
      <c r="J609" s="99"/>
    </row>
    <row r="610">
      <c r="F610" s="96"/>
      <c r="J610" s="99"/>
    </row>
    <row r="611">
      <c r="F611" s="96"/>
      <c r="J611" s="99"/>
    </row>
    <row r="612">
      <c r="F612" s="96"/>
      <c r="J612" s="99"/>
    </row>
    <row r="613">
      <c r="F613" s="96"/>
      <c r="J613" s="99"/>
    </row>
    <row r="614">
      <c r="F614" s="96"/>
      <c r="J614" s="99"/>
    </row>
    <row r="615">
      <c r="F615" s="96"/>
      <c r="J615" s="99"/>
    </row>
    <row r="616">
      <c r="F616" s="96"/>
      <c r="J616" s="99"/>
    </row>
    <row r="617">
      <c r="F617" s="96"/>
      <c r="J617" s="99"/>
    </row>
    <row r="618">
      <c r="F618" s="96"/>
      <c r="J618" s="99"/>
    </row>
    <row r="619">
      <c r="F619" s="96"/>
      <c r="J619" s="99"/>
    </row>
    <row r="620">
      <c r="F620" s="96"/>
      <c r="J620" s="99"/>
    </row>
    <row r="621">
      <c r="F621" s="96"/>
      <c r="J621" s="99"/>
    </row>
    <row r="622">
      <c r="F622" s="96"/>
      <c r="J622" s="99"/>
    </row>
    <row r="623">
      <c r="F623" s="96"/>
      <c r="J623" s="99"/>
    </row>
    <row r="624">
      <c r="F624" s="96"/>
      <c r="J624" s="99"/>
    </row>
    <row r="625">
      <c r="F625" s="96"/>
      <c r="J625" s="99"/>
    </row>
    <row r="626">
      <c r="F626" s="96"/>
      <c r="J626" s="99"/>
    </row>
    <row r="627">
      <c r="F627" s="96"/>
      <c r="J627" s="99"/>
    </row>
    <row r="628">
      <c r="F628" s="96"/>
      <c r="J628" s="99"/>
    </row>
    <row r="629">
      <c r="F629" s="96"/>
      <c r="J629" s="99"/>
    </row>
    <row r="630">
      <c r="F630" s="96"/>
      <c r="J630" s="99"/>
    </row>
    <row r="631">
      <c r="F631" s="96"/>
      <c r="J631" s="99"/>
    </row>
    <row r="632">
      <c r="F632" s="96"/>
      <c r="J632" s="99"/>
    </row>
    <row r="633">
      <c r="F633" s="96"/>
      <c r="J633" s="99"/>
    </row>
    <row r="634">
      <c r="F634" s="96"/>
      <c r="J634" s="99"/>
    </row>
    <row r="635">
      <c r="F635" s="96"/>
      <c r="J635" s="99"/>
    </row>
    <row r="636">
      <c r="F636" s="96"/>
      <c r="J636" s="99"/>
    </row>
    <row r="637">
      <c r="F637" s="96"/>
      <c r="J637" s="99"/>
    </row>
    <row r="638">
      <c r="F638" s="96"/>
      <c r="J638" s="99"/>
    </row>
    <row r="639">
      <c r="F639" s="96"/>
      <c r="J639" s="99"/>
    </row>
    <row r="640">
      <c r="F640" s="96"/>
      <c r="J640" s="99"/>
    </row>
    <row r="641">
      <c r="F641" s="96"/>
      <c r="J641" s="99"/>
    </row>
    <row r="642">
      <c r="F642" s="96"/>
      <c r="J642" s="99"/>
    </row>
    <row r="643">
      <c r="F643" s="96"/>
      <c r="J643" s="99"/>
    </row>
    <row r="644">
      <c r="F644" s="96"/>
      <c r="J644" s="99"/>
    </row>
    <row r="645">
      <c r="F645" s="96"/>
      <c r="J645" s="99"/>
    </row>
    <row r="646">
      <c r="F646" s="96"/>
      <c r="J646" s="99"/>
    </row>
    <row r="647">
      <c r="F647" s="96"/>
      <c r="J647" s="99"/>
    </row>
    <row r="648">
      <c r="F648" s="96"/>
      <c r="J648" s="99"/>
    </row>
    <row r="649">
      <c r="F649" s="96"/>
      <c r="J649" s="99"/>
    </row>
    <row r="650">
      <c r="F650" s="96"/>
      <c r="J650" s="99"/>
    </row>
    <row r="651">
      <c r="F651" s="96"/>
      <c r="J651" s="99"/>
    </row>
    <row r="652">
      <c r="F652" s="96"/>
      <c r="J652" s="99"/>
    </row>
    <row r="653">
      <c r="F653" s="96"/>
      <c r="J653" s="99"/>
    </row>
    <row r="654">
      <c r="F654" s="96"/>
      <c r="J654" s="99"/>
    </row>
    <row r="655">
      <c r="F655" s="96"/>
      <c r="J655" s="99"/>
    </row>
    <row r="656">
      <c r="F656" s="96"/>
      <c r="J656" s="99"/>
    </row>
    <row r="657">
      <c r="F657" s="96"/>
      <c r="J657" s="99"/>
    </row>
    <row r="658">
      <c r="F658" s="96"/>
      <c r="J658" s="99"/>
    </row>
    <row r="659">
      <c r="F659" s="96"/>
      <c r="J659" s="99"/>
    </row>
    <row r="660">
      <c r="F660" s="96"/>
      <c r="J660" s="99"/>
    </row>
    <row r="661">
      <c r="F661" s="96"/>
      <c r="J661" s="99"/>
    </row>
    <row r="662">
      <c r="F662" s="96"/>
      <c r="J662" s="99"/>
    </row>
    <row r="663">
      <c r="F663" s="96"/>
      <c r="J663" s="99"/>
    </row>
    <row r="664">
      <c r="F664" s="96"/>
      <c r="J664" s="99"/>
    </row>
    <row r="665">
      <c r="F665" s="96"/>
      <c r="J665" s="99"/>
    </row>
    <row r="666">
      <c r="F666" s="96"/>
      <c r="J666" s="99"/>
    </row>
    <row r="667">
      <c r="F667" s="96"/>
      <c r="J667" s="99"/>
    </row>
    <row r="668">
      <c r="F668" s="96"/>
      <c r="J668" s="99"/>
    </row>
    <row r="669">
      <c r="F669" s="96"/>
      <c r="J669" s="99"/>
    </row>
    <row r="670">
      <c r="F670" s="96"/>
      <c r="J670" s="99"/>
    </row>
    <row r="671">
      <c r="F671" s="96"/>
      <c r="J671" s="99"/>
    </row>
    <row r="672">
      <c r="F672" s="96"/>
      <c r="J672" s="99"/>
    </row>
    <row r="673">
      <c r="F673" s="96"/>
      <c r="J673" s="99"/>
    </row>
    <row r="674">
      <c r="F674" s="96"/>
      <c r="J674" s="99"/>
    </row>
    <row r="675">
      <c r="F675" s="96"/>
      <c r="J675" s="99"/>
    </row>
    <row r="676">
      <c r="F676" s="96"/>
      <c r="J676" s="99"/>
    </row>
    <row r="677">
      <c r="F677" s="96"/>
      <c r="J677" s="99"/>
    </row>
    <row r="678">
      <c r="F678" s="96"/>
      <c r="J678" s="99"/>
    </row>
    <row r="679">
      <c r="F679" s="96"/>
      <c r="J679" s="99"/>
    </row>
    <row r="680">
      <c r="F680" s="96"/>
      <c r="J680" s="99"/>
    </row>
    <row r="681">
      <c r="F681" s="96"/>
      <c r="J681" s="99"/>
    </row>
    <row r="682">
      <c r="F682" s="96"/>
      <c r="J682" s="99"/>
    </row>
    <row r="683">
      <c r="F683" s="96"/>
      <c r="J683" s="99"/>
    </row>
    <row r="684">
      <c r="F684" s="96"/>
      <c r="J684" s="99"/>
    </row>
    <row r="685">
      <c r="F685" s="96"/>
      <c r="J685" s="99"/>
    </row>
    <row r="686">
      <c r="F686" s="96"/>
      <c r="J686" s="99"/>
    </row>
    <row r="687">
      <c r="F687" s="96"/>
      <c r="J687" s="99"/>
    </row>
    <row r="688">
      <c r="F688" s="96"/>
      <c r="J688" s="99"/>
    </row>
    <row r="689">
      <c r="F689" s="96"/>
      <c r="J689" s="99"/>
    </row>
    <row r="690">
      <c r="F690" s="96"/>
      <c r="J690" s="99"/>
    </row>
    <row r="691">
      <c r="F691" s="96"/>
      <c r="J691" s="99"/>
    </row>
    <row r="692">
      <c r="F692" s="96"/>
      <c r="J692" s="99"/>
    </row>
    <row r="693">
      <c r="F693" s="96"/>
      <c r="J693" s="99"/>
    </row>
    <row r="694">
      <c r="F694" s="96"/>
      <c r="J694" s="99"/>
    </row>
    <row r="695">
      <c r="F695" s="96"/>
      <c r="J695" s="99"/>
    </row>
    <row r="696">
      <c r="F696" s="96"/>
      <c r="J696" s="99"/>
    </row>
    <row r="697">
      <c r="F697" s="96"/>
      <c r="J697" s="99"/>
    </row>
    <row r="698">
      <c r="F698" s="96"/>
      <c r="J698" s="99"/>
    </row>
    <row r="699">
      <c r="F699" s="96"/>
      <c r="J699" s="99"/>
    </row>
    <row r="700">
      <c r="F700" s="96"/>
      <c r="J700" s="99"/>
    </row>
    <row r="701">
      <c r="F701" s="96"/>
      <c r="J701" s="99"/>
    </row>
    <row r="702">
      <c r="F702" s="96"/>
      <c r="J702" s="99"/>
    </row>
    <row r="703">
      <c r="F703" s="96"/>
      <c r="J703" s="99"/>
    </row>
    <row r="704">
      <c r="F704" s="96"/>
      <c r="J704" s="99"/>
    </row>
    <row r="705">
      <c r="F705" s="96"/>
      <c r="J705" s="99"/>
    </row>
    <row r="706">
      <c r="F706" s="96"/>
      <c r="J706" s="99"/>
    </row>
    <row r="707">
      <c r="F707" s="96"/>
      <c r="J707" s="99"/>
    </row>
    <row r="708">
      <c r="F708" s="96"/>
      <c r="J708" s="99"/>
    </row>
    <row r="709">
      <c r="F709" s="96"/>
      <c r="J709" s="99"/>
    </row>
    <row r="710">
      <c r="F710" s="96"/>
      <c r="J710" s="99"/>
    </row>
    <row r="711">
      <c r="F711" s="96"/>
      <c r="J711" s="99"/>
    </row>
    <row r="712">
      <c r="F712" s="96"/>
      <c r="J712" s="99"/>
    </row>
    <row r="713">
      <c r="F713" s="96"/>
      <c r="J713" s="99"/>
    </row>
    <row r="714">
      <c r="F714" s="96"/>
      <c r="J714" s="99"/>
    </row>
    <row r="715">
      <c r="F715" s="96"/>
      <c r="J715" s="99"/>
    </row>
    <row r="716">
      <c r="F716" s="96"/>
      <c r="J716" s="99"/>
    </row>
    <row r="717">
      <c r="F717" s="96"/>
      <c r="J717" s="99"/>
    </row>
    <row r="718">
      <c r="F718" s="96"/>
      <c r="J718" s="99"/>
    </row>
    <row r="719">
      <c r="F719" s="96"/>
      <c r="J719" s="99"/>
    </row>
    <row r="720">
      <c r="F720" s="96"/>
      <c r="J720" s="99"/>
    </row>
    <row r="721">
      <c r="F721" s="96"/>
      <c r="J721" s="99"/>
    </row>
    <row r="722">
      <c r="F722" s="96"/>
      <c r="J722" s="99"/>
    </row>
    <row r="723">
      <c r="F723" s="96"/>
      <c r="J723" s="99"/>
    </row>
    <row r="724">
      <c r="F724" s="96"/>
      <c r="J724" s="99"/>
    </row>
    <row r="725">
      <c r="F725" s="96"/>
      <c r="J725" s="99"/>
    </row>
    <row r="726">
      <c r="F726" s="96"/>
      <c r="J726" s="99"/>
    </row>
    <row r="727">
      <c r="F727" s="96"/>
      <c r="J727" s="99"/>
    </row>
    <row r="728">
      <c r="F728" s="96"/>
      <c r="J728" s="99"/>
    </row>
    <row r="729">
      <c r="F729" s="96"/>
      <c r="J729" s="99"/>
    </row>
    <row r="730">
      <c r="F730" s="96"/>
      <c r="J730" s="99"/>
    </row>
    <row r="731">
      <c r="F731" s="96"/>
      <c r="J731" s="99"/>
    </row>
    <row r="732">
      <c r="F732" s="96"/>
      <c r="J732" s="99"/>
    </row>
    <row r="733">
      <c r="F733" s="96"/>
      <c r="J733" s="99"/>
    </row>
    <row r="734">
      <c r="F734" s="96"/>
      <c r="J734" s="99"/>
    </row>
    <row r="735">
      <c r="F735" s="96"/>
      <c r="J735" s="99"/>
    </row>
    <row r="736">
      <c r="F736" s="96"/>
      <c r="J736" s="99"/>
    </row>
    <row r="737">
      <c r="F737" s="96"/>
      <c r="J737" s="99"/>
    </row>
    <row r="738">
      <c r="F738" s="96"/>
      <c r="J738" s="99"/>
    </row>
    <row r="739">
      <c r="F739" s="96"/>
      <c r="J739" s="99"/>
    </row>
    <row r="740">
      <c r="F740" s="96"/>
      <c r="J740" s="99"/>
    </row>
    <row r="741">
      <c r="F741" s="96"/>
      <c r="J741" s="99"/>
    </row>
    <row r="742">
      <c r="F742" s="96"/>
      <c r="J742" s="99"/>
    </row>
    <row r="743">
      <c r="F743" s="96"/>
      <c r="J743" s="99"/>
    </row>
    <row r="744">
      <c r="F744" s="96"/>
      <c r="J744" s="99"/>
    </row>
    <row r="745">
      <c r="F745" s="96"/>
      <c r="J745" s="99"/>
    </row>
    <row r="746">
      <c r="F746" s="96"/>
      <c r="J746" s="99"/>
    </row>
    <row r="747">
      <c r="F747" s="96"/>
      <c r="J747" s="99"/>
    </row>
    <row r="748">
      <c r="F748" s="96"/>
      <c r="J748" s="99"/>
    </row>
    <row r="749">
      <c r="F749" s="96"/>
      <c r="J749" s="99"/>
    </row>
    <row r="750">
      <c r="F750" s="96"/>
      <c r="J750" s="99"/>
    </row>
    <row r="751">
      <c r="F751" s="96"/>
      <c r="J751" s="99"/>
    </row>
    <row r="752">
      <c r="F752" s="96"/>
      <c r="J752" s="99"/>
    </row>
    <row r="753">
      <c r="F753" s="96"/>
      <c r="J753" s="99"/>
    </row>
    <row r="754">
      <c r="F754" s="96"/>
      <c r="J754" s="99"/>
    </row>
    <row r="755">
      <c r="F755" s="96"/>
      <c r="J755" s="99"/>
    </row>
    <row r="756">
      <c r="F756" s="96"/>
      <c r="J756" s="99"/>
    </row>
    <row r="757">
      <c r="F757" s="96"/>
      <c r="J757" s="99"/>
    </row>
    <row r="758">
      <c r="F758" s="96"/>
      <c r="J758" s="99"/>
    </row>
    <row r="759">
      <c r="F759" s="96"/>
      <c r="J759" s="99"/>
    </row>
    <row r="760">
      <c r="F760" s="96"/>
      <c r="J760" s="99"/>
    </row>
    <row r="761">
      <c r="F761" s="96"/>
      <c r="J761" s="99"/>
    </row>
    <row r="762">
      <c r="F762" s="96"/>
      <c r="J762" s="99"/>
    </row>
    <row r="763">
      <c r="F763" s="96"/>
      <c r="J763" s="99"/>
    </row>
    <row r="764">
      <c r="F764" s="96"/>
      <c r="J764" s="99"/>
    </row>
    <row r="765">
      <c r="F765" s="96"/>
      <c r="J765" s="99"/>
    </row>
    <row r="766">
      <c r="F766" s="96"/>
      <c r="J766" s="99"/>
    </row>
    <row r="767">
      <c r="F767" s="96"/>
      <c r="J767" s="99"/>
    </row>
    <row r="768">
      <c r="F768" s="96"/>
      <c r="J768" s="99"/>
    </row>
    <row r="769">
      <c r="F769" s="96"/>
      <c r="J769" s="99"/>
    </row>
    <row r="770">
      <c r="F770" s="96"/>
      <c r="J770" s="99"/>
    </row>
    <row r="771">
      <c r="F771" s="96"/>
      <c r="J771" s="99"/>
    </row>
    <row r="772">
      <c r="F772" s="96"/>
      <c r="J772" s="99"/>
    </row>
    <row r="773">
      <c r="F773" s="96"/>
      <c r="J773" s="99"/>
    </row>
    <row r="774">
      <c r="F774" s="96"/>
      <c r="J774" s="99"/>
    </row>
    <row r="775">
      <c r="F775" s="96"/>
      <c r="J775" s="99"/>
    </row>
    <row r="776">
      <c r="F776" s="96"/>
      <c r="J776" s="99"/>
    </row>
    <row r="777">
      <c r="F777" s="96"/>
      <c r="J777" s="99"/>
    </row>
    <row r="778">
      <c r="F778" s="96"/>
      <c r="J778" s="99"/>
    </row>
    <row r="779">
      <c r="F779" s="96"/>
      <c r="J779" s="99"/>
    </row>
    <row r="780">
      <c r="F780" s="96"/>
      <c r="J780" s="99"/>
    </row>
    <row r="781">
      <c r="F781" s="96"/>
      <c r="J781" s="99"/>
    </row>
    <row r="782">
      <c r="F782" s="96"/>
      <c r="J782" s="99"/>
    </row>
    <row r="783">
      <c r="F783" s="96"/>
      <c r="J783" s="99"/>
    </row>
    <row r="784">
      <c r="F784" s="96"/>
      <c r="J784" s="99"/>
    </row>
    <row r="785">
      <c r="F785" s="96"/>
      <c r="J785" s="99"/>
    </row>
    <row r="786">
      <c r="F786" s="96"/>
      <c r="J786" s="99"/>
    </row>
    <row r="787">
      <c r="F787" s="96"/>
      <c r="J787" s="99"/>
    </row>
    <row r="788">
      <c r="F788" s="96"/>
      <c r="J788" s="99"/>
    </row>
    <row r="789">
      <c r="F789" s="96"/>
      <c r="J789" s="99"/>
    </row>
    <row r="790">
      <c r="F790" s="96"/>
      <c r="J790" s="99"/>
    </row>
    <row r="791">
      <c r="F791" s="96"/>
      <c r="J791" s="99"/>
    </row>
    <row r="792">
      <c r="F792" s="96"/>
      <c r="J792" s="99"/>
    </row>
    <row r="793">
      <c r="F793" s="96"/>
      <c r="J793" s="99"/>
    </row>
    <row r="794">
      <c r="F794" s="96"/>
      <c r="J794" s="99"/>
    </row>
    <row r="795">
      <c r="F795" s="96"/>
      <c r="J795" s="99"/>
    </row>
    <row r="796">
      <c r="F796" s="96"/>
      <c r="J796" s="99"/>
    </row>
    <row r="797">
      <c r="F797" s="96"/>
      <c r="J797" s="99"/>
    </row>
    <row r="798">
      <c r="F798" s="96"/>
      <c r="J798" s="99"/>
    </row>
    <row r="799">
      <c r="F799" s="96"/>
      <c r="J799" s="99"/>
    </row>
    <row r="800">
      <c r="F800" s="96"/>
      <c r="J800" s="99"/>
    </row>
    <row r="801">
      <c r="F801" s="96"/>
      <c r="J801" s="99"/>
    </row>
    <row r="802">
      <c r="F802" s="96"/>
      <c r="J802" s="99"/>
    </row>
    <row r="803">
      <c r="F803" s="96"/>
      <c r="J803" s="99"/>
    </row>
    <row r="804">
      <c r="F804" s="96"/>
      <c r="J804" s="99"/>
    </row>
    <row r="805">
      <c r="F805" s="96"/>
      <c r="J805" s="99"/>
    </row>
    <row r="806">
      <c r="F806" s="96"/>
      <c r="J806" s="99"/>
    </row>
    <row r="807">
      <c r="F807" s="96"/>
      <c r="J807" s="99"/>
    </row>
    <row r="808">
      <c r="F808" s="96"/>
      <c r="J808" s="99"/>
    </row>
    <row r="809">
      <c r="F809" s="96"/>
      <c r="J809" s="99"/>
    </row>
    <row r="810">
      <c r="F810" s="96"/>
      <c r="J810" s="99"/>
    </row>
    <row r="811">
      <c r="F811" s="96"/>
      <c r="J811" s="99"/>
    </row>
    <row r="812">
      <c r="F812" s="96"/>
      <c r="J812" s="99"/>
    </row>
    <row r="813">
      <c r="F813" s="96"/>
      <c r="J813" s="99"/>
    </row>
    <row r="814">
      <c r="F814" s="96"/>
      <c r="J814" s="99"/>
    </row>
    <row r="815">
      <c r="F815" s="96"/>
      <c r="J815" s="99"/>
    </row>
    <row r="816">
      <c r="F816" s="96"/>
      <c r="J816" s="99"/>
    </row>
    <row r="817">
      <c r="F817" s="96"/>
      <c r="J817" s="99"/>
    </row>
    <row r="818">
      <c r="F818" s="96"/>
      <c r="J818" s="99"/>
    </row>
    <row r="819">
      <c r="F819" s="96"/>
      <c r="J819" s="99"/>
    </row>
    <row r="820">
      <c r="F820" s="96"/>
      <c r="J820" s="99"/>
    </row>
    <row r="821">
      <c r="F821" s="96"/>
      <c r="J821" s="99"/>
    </row>
    <row r="822">
      <c r="F822" s="96"/>
      <c r="J822" s="99"/>
    </row>
    <row r="823">
      <c r="F823" s="96"/>
      <c r="J823" s="99"/>
    </row>
    <row r="824">
      <c r="F824" s="96"/>
      <c r="J824" s="99"/>
    </row>
    <row r="825">
      <c r="F825" s="96"/>
      <c r="J825" s="99"/>
    </row>
    <row r="826">
      <c r="F826" s="96"/>
      <c r="J826" s="99"/>
    </row>
    <row r="827">
      <c r="F827" s="96"/>
      <c r="J827" s="99"/>
    </row>
    <row r="828">
      <c r="F828" s="96"/>
      <c r="J828" s="99"/>
    </row>
    <row r="829">
      <c r="F829" s="96"/>
      <c r="J829" s="99"/>
    </row>
    <row r="830">
      <c r="F830" s="96"/>
      <c r="J830" s="99"/>
    </row>
    <row r="831">
      <c r="F831" s="96"/>
      <c r="J831" s="99"/>
    </row>
    <row r="832">
      <c r="F832" s="96"/>
      <c r="J832" s="99"/>
    </row>
    <row r="833">
      <c r="F833" s="96"/>
      <c r="J833" s="99"/>
    </row>
    <row r="834">
      <c r="F834" s="96"/>
      <c r="J834" s="99"/>
    </row>
    <row r="835">
      <c r="F835" s="96"/>
      <c r="J835" s="99"/>
    </row>
    <row r="836">
      <c r="F836" s="96"/>
      <c r="J836" s="99"/>
    </row>
    <row r="837">
      <c r="F837" s="96"/>
      <c r="J837" s="99"/>
    </row>
    <row r="838">
      <c r="F838" s="96"/>
      <c r="J838" s="99"/>
    </row>
    <row r="839">
      <c r="F839" s="96"/>
      <c r="J839" s="99"/>
    </row>
    <row r="840">
      <c r="F840" s="96"/>
      <c r="J840" s="99"/>
    </row>
    <row r="841">
      <c r="F841" s="96"/>
      <c r="J841" s="99"/>
    </row>
    <row r="842">
      <c r="F842" s="96"/>
      <c r="J842" s="99"/>
    </row>
    <row r="843">
      <c r="F843" s="96"/>
      <c r="J843" s="99"/>
    </row>
    <row r="844">
      <c r="F844" s="96"/>
      <c r="J844" s="99"/>
    </row>
    <row r="845">
      <c r="F845" s="96"/>
      <c r="J845" s="99"/>
    </row>
    <row r="846">
      <c r="F846" s="96"/>
      <c r="J846" s="99"/>
    </row>
    <row r="847">
      <c r="F847" s="96"/>
      <c r="J847" s="99"/>
    </row>
    <row r="848">
      <c r="F848" s="96"/>
      <c r="J848" s="99"/>
    </row>
    <row r="849">
      <c r="F849" s="96"/>
      <c r="J849" s="99"/>
    </row>
    <row r="850">
      <c r="F850" s="96"/>
      <c r="J850" s="99"/>
    </row>
    <row r="851">
      <c r="F851" s="96"/>
      <c r="J851" s="99"/>
    </row>
    <row r="852">
      <c r="F852" s="96"/>
      <c r="J852" s="99"/>
    </row>
    <row r="853">
      <c r="F853" s="96"/>
      <c r="J853" s="99"/>
    </row>
    <row r="854">
      <c r="F854" s="96"/>
      <c r="J854" s="99"/>
    </row>
    <row r="855">
      <c r="F855" s="96"/>
      <c r="J855" s="99"/>
    </row>
    <row r="856">
      <c r="F856" s="96"/>
      <c r="J856" s="99"/>
    </row>
    <row r="857">
      <c r="F857" s="96"/>
      <c r="J857" s="99"/>
    </row>
    <row r="858">
      <c r="F858" s="96"/>
      <c r="J858" s="99"/>
    </row>
    <row r="859">
      <c r="F859" s="96"/>
      <c r="J859" s="99"/>
    </row>
    <row r="860">
      <c r="F860" s="96"/>
      <c r="J860" s="99"/>
    </row>
    <row r="861">
      <c r="F861" s="96"/>
      <c r="J861" s="99"/>
    </row>
    <row r="862">
      <c r="F862" s="96"/>
      <c r="J862" s="99"/>
    </row>
    <row r="863">
      <c r="F863" s="96"/>
      <c r="J863" s="99"/>
    </row>
    <row r="864">
      <c r="F864" s="96"/>
      <c r="J864" s="99"/>
    </row>
    <row r="865">
      <c r="F865" s="96"/>
      <c r="J865" s="99"/>
    </row>
    <row r="866">
      <c r="F866" s="96"/>
      <c r="J866" s="99"/>
    </row>
    <row r="867">
      <c r="F867" s="96"/>
      <c r="J867" s="99"/>
    </row>
    <row r="868">
      <c r="F868" s="96"/>
      <c r="J868" s="99"/>
    </row>
    <row r="869">
      <c r="F869" s="96"/>
      <c r="J869" s="99"/>
    </row>
    <row r="870">
      <c r="F870" s="96"/>
      <c r="J870" s="99"/>
    </row>
    <row r="871">
      <c r="F871" s="96"/>
      <c r="J871" s="99"/>
    </row>
    <row r="872">
      <c r="F872" s="96"/>
      <c r="J872" s="99"/>
    </row>
    <row r="873">
      <c r="F873" s="96"/>
      <c r="J873" s="99"/>
    </row>
    <row r="874">
      <c r="F874" s="96"/>
      <c r="J874" s="99"/>
    </row>
    <row r="875">
      <c r="F875" s="96"/>
      <c r="J875" s="99"/>
    </row>
    <row r="876">
      <c r="F876" s="96"/>
      <c r="J876" s="99"/>
    </row>
    <row r="877">
      <c r="F877" s="96"/>
      <c r="J877" s="99"/>
    </row>
    <row r="878">
      <c r="F878" s="96"/>
      <c r="J878" s="99"/>
    </row>
    <row r="879">
      <c r="F879" s="96"/>
      <c r="J879" s="99"/>
    </row>
    <row r="880">
      <c r="F880" s="96"/>
      <c r="J880" s="99"/>
    </row>
    <row r="881">
      <c r="F881" s="96"/>
      <c r="J881" s="99"/>
    </row>
    <row r="882">
      <c r="F882" s="96"/>
      <c r="J882" s="99"/>
    </row>
    <row r="883">
      <c r="F883" s="96"/>
      <c r="J883" s="99"/>
    </row>
    <row r="884">
      <c r="F884" s="96"/>
      <c r="J884" s="99"/>
    </row>
    <row r="885">
      <c r="F885" s="96"/>
      <c r="J885" s="99"/>
    </row>
    <row r="886">
      <c r="F886" s="96"/>
      <c r="J886" s="99"/>
    </row>
    <row r="887">
      <c r="F887" s="96"/>
      <c r="J887" s="99"/>
    </row>
    <row r="888">
      <c r="F888" s="96"/>
      <c r="J888" s="99"/>
    </row>
    <row r="889">
      <c r="F889" s="96"/>
      <c r="J889" s="99"/>
    </row>
    <row r="890">
      <c r="F890" s="96"/>
      <c r="J890" s="99"/>
    </row>
    <row r="891">
      <c r="F891" s="96"/>
      <c r="J891" s="99"/>
    </row>
    <row r="892">
      <c r="F892" s="96"/>
      <c r="J892" s="99"/>
    </row>
    <row r="893">
      <c r="F893" s="96"/>
      <c r="J893" s="99"/>
    </row>
    <row r="894">
      <c r="F894" s="96"/>
      <c r="J894" s="99"/>
    </row>
    <row r="895">
      <c r="F895" s="96"/>
      <c r="J895" s="99"/>
    </row>
    <row r="896">
      <c r="F896" s="96"/>
      <c r="J896" s="99"/>
    </row>
    <row r="897">
      <c r="F897" s="96"/>
      <c r="J897" s="99"/>
    </row>
    <row r="898">
      <c r="F898" s="96"/>
      <c r="J898" s="99"/>
    </row>
    <row r="899">
      <c r="F899" s="96"/>
      <c r="J899" s="99"/>
    </row>
    <row r="900">
      <c r="F900" s="96"/>
      <c r="J900" s="99"/>
    </row>
    <row r="901">
      <c r="F901" s="96"/>
      <c r="J901" s="99"/>
    </row>
    <row r="902">
      <c r="F902" s="96"/>
      <c r="J902" s="99"/>
    </row>
    <row r="903">
      <c r="F903" s="96"/>
      <c r="J903" s="99"/>
    </row>
    <row r="904">
      <c r="F904" s="96"/>
      <c r="J904" s="99"/>
    </row>
    <row r="905">
      <c r="F905" s="96"/>
      <c r="J905" s="99"/>
    </row>
    <row r="906">
      <c r="F906" s="96"/>
      <c r="J906" s="99"/>
    </row>
    <row r="907">
      <c r="F907" s="96"/>
      <c r="J907" s="99"/>
    </row>
    <row r="908">
      <c r="F908" s="96"/>
      <c r="J908" s="99"/>
    </row>
    <row r="909">
      <c r="F909" s="96"/>
      <c r="J909" s="99"/>
    </row>
    <row r="910">
      <c r="F910" s="96"/>
      <c r="J910" s="99"/>
    </row>
    <row r="911">
      <c r="F911" s="96"/>
      <c r="J911" s="99"/>
    </row>
    <row r="912">
      <c r="F912" s="96"/>
      <c r="J912" s="99"/>
    </row>
    <row r="913">
      <c r="F913" s="96"/>
      <c r="J913" s="99"/>
    </row>
    <row r="914">
      <c r="F914" s="96"/>
      <c r="J914" s="99"/>
    </row>
    <row r="915">
      <c r="F915" s="96"/>
      <c r="J915" s="99"/>
    </row>
    <row r="916">
      <c r="F916" s="96"/>
      <c r="J916" s="99"/>
    </row>
    <row r="917">
      <c r="F917" s="96"/>
      <c r="J917" s="99"/>
    </row>
    <row r="918">
      <c r="F918" s="96"/>
      <c r="J918" s="99"/>
    </row>
    <row r="919">
      <c r="F919" s="96"/>
      <c r="J919" s="99"/>
    </row>
    <row r="920">
      <c r="F920" s="96"/>
      <c r="J920" s="99"/>
    </row>
    <row r="921">
      <c r="F921" s="96"/>
      <c r="J921" s="99"/>
    </row>
    <row r="922">
      <c r="F922" s="96"/>
      <c r="J922" s="99"/>
    </row>
    <row r="923">
      <c r="F923" s="96"/>
      <c r="J923" s="99"/>
    </row>
    <row r="924">
      <c r="F924" s="96"/>
      <c r="J924" s="99"/>
    </row>
    <row r="925">
      <c r="F925" s="96"/>
      <c r="J925" s="99"/>
    </row>
    <row r="926">
      <c r="F926" s="96"/>
      <c r="J926" s="99"/>
    </row>
    <row r="927">
      <c r="F927" s="96"/>
      <c r="J927" s="99"/>
    </row>
    <row r="928">
      <c r="F928" s="96"/>
      <c r="J928" s="99"/>
    </row>
    <row r="929">
      <c r="F929" s="96"/>
      <c r="J929" s="99"/>
    </row>
    <row r="930">
      <c r="F930" s="96"/>
      <c r="J930" s="99"/>
    </row>
    <row r="931">
      <c r="F931" s="96"/>
      <c r="J931" s="99"/>
    </row>
    <row r="932">
      <c r="F932" s="96"/>
      <c r="J932" s="99"/>
    </row>
    <row r="933">
      <c r="F933" s="96"/>
      <c r="J933" s="99"/>
    </row>
    <row r="934">
      <c r="F934" s="96"/>
      <c r="J934" s="99"/>
    </row>
    <row r="935">
      <c r="F935" s="96"/>
      <c r="J935" s="99"/>
    </row>
    <row r="936">
      <c r="F936" s="96"/>
      <c r="J936" s="99"/>
    </row>
    <row r="937">
      <c r="F937" s="96"/>
      <c r="J937" s="99"/>
    </row>
    <row r="938">
      <c r="F938" s="96"/>
      <c r="J938" s="99"/>
    </row>
    <row r="939">
      <c r="F939" s="96"/>
      <c r="J939" s="99"/>
    </row>
    <row r="940">
      <c r="F940" s="96"/>
      <c r="J940" s="99"/>
    </row>
    <row r="941">
      <c r="F941" s="96"/>
      <c r="J941" s="99"/>
    </row>
    <row r="942">
      <c r="F942" s="96"/>
      <c r="J942" s="99"/>
    </row>
    <row r="943">
      <c r="F943" s="96"/>
      <c r="J943" s="99"/>
    </row>
    <row r="944">
      <c r="F944" s="96"/>
      <c r="J944" s="99"/>
    </row>
    <row r="945">
      <c r="F945" s="96"/>
      <c r="J945" s="99"/>
    </row>
    <row r="946">
      <c r="F946" s="96"/>
      <c r="J946" s="99"/>
    </row>
    <row r="947">
      <c r="F947" s="96"/>
      <c r="J947" s="99"/>
    </row>
    <row r="948">
      <c r="F948" s="96"/>
      <c r="J948" s="99"/>
    </row>
    <row r="949">
      <c r="F949" s="96"/>
      <c r="J949" s="99"/>
    </row>
    <row r="950">
      <c r="F950" s="96"/>
      <c r="J950" s="99"/>
    </row>
    <row r="951">
      <c r="F951" s="96"/>
      <c r="J951" s="99"/>
    </row>
    <row r="952">
      <c r="F952" s="96"/>
      <c r="J952" s="99"/>
    </row>
    <row r="953">
      <c r="F953" s="96"/>
      <c r="J953" s="99"/>
    </row>
    <row r="954">
      <c r="F954" s="96"/>
      <c r="J954" s="99"/>
    </row>
    <row r="955">
      <c r="F955" s="96"/>
      <c r="J955" s="99"/>
    </row>
    <row r="956">
      <c r="F956" s="96"/>
      <c r="J956" s="99"/>
    </row>
    <row r="957">
      <c r="F957" s="96"/>
      <c r="J957" s="99"/>
    </row>
    <row r="958">
      <c r="F958" s="96"/>
      <c r="J958" s="99"/>
    </row>
    <row r="959">
      <c r="F959" s="96"/>
      <c r="J959" s="99"/>
    </row>
    <row r="960">
      <c r="F960" s="96"/>
      <c r="J960" s="99"/>
    </row>
    <row r="961">
      <c r="F961" s="96"/>
      <c r="J961" s="99"/>
    </row>
    <row r="962">
      <c r="F962" s="96"/>
      <c r="J962" s="99"/>
    </row>
    <row r="963">
      <c r="F963" s="96"/>
      <c r="J963" s="99"/>
    </row>
    <row r="964">
      <c r="F964" s="96"/>
      <c r="J964" s="99"/>
    </row>
    <row r="965">
      <c r="F965" s="96"/>
      <c r="J965" s="99"/>
    </row>
    <row r="966">
      <c r="F966" s="96"/>
      <c r="J966" s="99"/>
    </row>
    <row r="967">
      <c r="F967" s="96"/>
      <c r="J967" s="99"/>
    </row>
    <row r="968">
      <c r="F968" s="96"/>
      <c r="J968" s="99"/>
    </row>
    <row r="969">
      <c r="F969" s="96"/>
      <c r="J969" s="99"/>
    </row>
    <row r="970">
      <c r="F970" s="96"/>
      <c r="J970" s="99"/>
    </row>
    <row r="971">
      <c r="F971" s="96"/>
      <c r="J971" s="99"/>
    </row>
    <row r="972">
      <c r="F972" s="96"/>
      <c r="J972" s="99"/>
    </row>
    <row r="973">
      <c r="F973" s="96"/>
      <c r="J973" s="99"/>
    </row>
    <row r="974">
      <c r="F974" s="96"/>
      <c r="J974" s="99"/>
    </row>
    <row r="975">
      <c r="F975" s="96"/>
      <c r="J975" s="99"/>
    </row>
    <row r="976">
      <c r="F976" s="96"/>
      <c r="J976" s="99"/>
    </row>
    <row r="977">
      <c r="F977" s="96"/>
      <c r="J977" s="99"/>
    </row>
    <row r="978">
      <c r="F978" s="96"/>
      <c r="J978" s="99"/>
    </row>
    <row r="979">
      <c r="F979" s="96"/>
      <c r="J979" s="99"/>
    </row>
    <row r="980">
      <c r="F980" s="96"/>
      <c r="J980" s="99"/>
    </row>
    <row r="981">
      <c r="F981" s="96"/>
      <c r="J981" s="99"/>
    </row>
    <row r="982">
      <c r="F982" s="96"/>
      <c r="J982" s="99"/>
    </row>
    <row r="983">
      <c r="F983" s="96"/>
      <c r="J983" s="99"/>
    </row>
    <row r="984">
      <c r="F984" s="96"/>
      <c r="J984" s="99"/>
    </row>
    <row r="985">
      <c r="F985" s="96"/>
      <c r="J985" s="99"/>
    </row>
    <row r="986">
      <c r="F986" s="96"/>
      <c r="J986" s="99"/>
    </row>
    <row r="987">
      <c r="F987" s="96"/>
      <c r="J987" s="99"/>
    </row>
    <row r="988">
      <c r="F988" s="96"/>
      <c r="J988" s="99"/>
    </row>
    <row r="989">
      <c r="F989" s="96"/>
      <c r="J989" s="99"/>
    </row>
    <row r="990">
      <c r="F990" s="96"/>
      <c r="J990" s="99"/>
    </row>
    <row r="991">
      <c r="F991" s="96"/>
      <c r="J991" s="99"/>
    </row>
    <row r="992">
      <c r="F992" s="96"/>
      <c r="J992" s="99"/>
    </row>
    <row r="993">
      <c r="F993" s="96"/>
      <c r="J993" s="99"/>
    </row>
    <row r="994">
      <c r="F994" s="96"/>
      <c r="J994" s="99"/>
    </row>
    <row r="995">
      <c r="F995" s="96"/>
      <c r="J995" s="99"/>
    </row>
    <row r="996">
      <c r="F996" s="96"/>
      <c r="J996" s="99"/>
    </row>
    <row r="997">
      <c r="F997" s="96"/>
      <c r="J997" s="99"/>
    </row>
    <row r="998">
      <c r="F998" s="96"/>
      <c r="J998" s="99"/>
    </row>
    <row r="999">
      <c r="F999" s="96"/>
      <c r="J999" s="99"/>
    </row>
    <row r="1000">
      <c r="F1000" s="96"/>
      <c r="J1000" s="9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</cols>
  <sheetData>
    <row r="1">
      <c r="A1" s="85" t="s">
        <v>0</v>
      </c>
      <c r="B1" s="104" t="s">
        <v>533</v>
      </c>
      <c r="C1" s="104" t="s">
        <v>590</v>
      </c>
      <c r="D1" s="85"/>
      <c r="E1" s="85"/>
      <c r="F1" s="85"/>
      <c r="G1" s="10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</row>
    <row r="2">
      <c r="A2" s="104" t="s">
        <v>67</v>
      </c>
      <c r="B2" s="104" t="s">
        <v>210</v>
      </c>
      <c r="C2" s="106">
        <v>20.0</v>
      </c>
      <c r="D2" s="107">
        <f>IF(B2&lt;&gt;"", VLOOKUP(B2,Zutaten!C$2:F1000,4,false),"")</f>
        <v>0.005494468027</v>
      </c>
      <c r="E2" s="108">
        <f t="shared" ref="E2:E56" si="1">C2*D2</f>
        <v>0.1098893605</v>
      </c>
      <c r="F2" s="108">
        <f>SUM(E2:E7)</f>
        <v>1.45258942</v>
      </c>
      <c r="G2" s="105">
        <f>F2*4</f>
        <v>5.81035768</v>
      </c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</row>
    <row r="3">
      <c r="A3" s="104" t="s">
        <v>67</v>
      </c>
      <c r="B3" s="104" t="s">
        <v>313</v>
      </c>
      <c r="C3" s="106">
        <v>1.0</v>
      </c>
      <c r="D3" s="107">
        <f>IF(B3&lt;&gt;"", VLOOKUP(B3,Zutaten!C$2:F1000,4,false),"")</f>
        <v>0.00625</v>
      </c>
      <c r="E3" s="108">
        <f t="shared" si="1"/>
        <v>0.00625</v>
      </c>
      <c r="F3" s="85"/>
      <c r="G3" s="10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</row>
    <row r="4">
      <c r="A4" s="104" t="s">
        <v>67</v>
      </c>
      <c r="B4" s="104" t="s">
        <v>458</v>
      </c>
      <c r="C4" s="106">
        <v>100.0</v>
      </c>
      <c r="D4" s="107">
        <f>IF(B4&lt;&gt;"", VLOOKUP(B4,Zutaten!C$2:F1000,4,false),"")</f>
        <v>0.00849</v>
      </c>
      <c r="E4" s="108">
        <f t="shared" si="1"/>
        <v>0.849</v>
      </c>
      <c r="F4" s="85"/>
      <c r="G4" s="10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</row>
    <row r="5">
      <c r="A5" s="104" t="s">
        <v>67</v>
      </c>
      <c r="B5" s="104" t="s">
        <v>469</v>
      </c>
      <c r="C5" s="106">
        <v>30.0</v>
      </c>
      <c r="D5" s="107">
        <f>IF(B5&lt;&gt;"", VLOOKUP(B5,Zutaten!C$2:F1000,4,false),"")</f>
        <v>0.01106666667</v>
      </c>
      <c r="E5" s="108">
        <f t="shared" si="1"/>
        <v>0.332</v>
      </c>
      <c r="F5" s="85"/>
      <c r="G5" s="10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>
      <c r="A6" s="104" t="s">
        <v>67</v>
      </c>
      <c r="B6" s="104" t="s">
        <v>336</v>
      </c>
      <c r="C6" s="106">
        <v>15.0</v>
      </c>
      <c r="D6" s="107">
        <f>IF(B6&lt;&gt;"", VLOOKUP(B6,Zutaten!C$2:F1000,4,false),"")</f>
        <v>0.00639</v>
      </c>
      <c r="E6" s="108">
        <f t="shared" si="1"/>
        <v>0.09585</v>
      </c>
      <c r="F6" s="85"/>
      <c r="G6" s="10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</row>
    <row r="7">
      <c r="A7" s="104" t="s">
        <v>67</v>
      </c>
      <c r="B7" s="104" t="s">
        <v>25</v>
      </c>
      <c r="C7" s="106">
        <v>8.0</v>
      </c>
      <c r="D7" s="107">
        <f>IF(B7&lt;&gt;"", VLOOKUP(B7,Zutaten!C$2:F1000,4,false),"")</f>
        <v>0.007450007428</v>
      </c>
      <c r="E7" s="108">
        <f t="shared" si="1"/>
        <v>0.05960005942</v>
      </c>
      <c r="F7" s="85"/>
      <c r="G7" s="10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</row>
    <row r="8">
      <c r="A8" s="104"/>
      <c r="B8" s="104"/>
      <c r="C8" s="104"/>
      <c r="D8" s="107" t="str">
        <f>IF(B8&lt;&gt;"", VLOOKUP(B8,Zutaten!C$2:F1000,4,false),"")</f>
        <v/>
      </c>
      <c r="E8" s="108">
        <f t="shared" si="1"/>
        <v>0</v>
      </c>
      <c r="F8" s="85"/>
      <c r="G8" s="10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</row>
    <row r="9">
      <c r="A9" s="104" t="s">
        <v>49</v>
      </c>
      <c r="B9" s="104" t="s">
        <v>458</v>
      </c>
      <c r="C9" s="106">
        <v>100.0</v>
      </c>
      <c r="D9" s="107">
        <f>IF(B9&lt;&gt;"", VLOOKUP(B9,Zutaten!C$2:F1000,4,false),"")</f>
        <v>0.00849</v>
      </c>
      <c r="E9" s="108">
        <f t="shared" si="1"/>
        <v>0.849</v>
      </c>
      <c r="F9" s="85" t="str">
        <f>SUM(E9:E15)</f>
        <v>#N/A</v>
      </c>
      <c r="G9" s="105" t="str">
        <f>F9*4</f>
        <v>#N/A</v>
      </c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>
      <c r="A10" s="104" t="s">
        <v>49</v>
      </c>
      <c r="B10" s="104" t="s">
        <v>313</v>
      </c>
      <c r="C10" s="104"/>
      <c r="D10" s="107">
        <f>IF(B10&lt;&gt;"", VLOOKUP(B10,Zutaten!C$2:F1000,4,false),"")</f>
        <v>0.00625</v>
      </c>
      <c r="E10" s="108">
        <f t="shared" si="1"/>
        <v>0</v>
      </c>
      <c r="F10" s="85"/>
      <c r="G10" s="10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</row>
    <row r="11">
      <c r="A11" s="104" t="s">
        <v>49</v>
      </c>
      <c r="B11" s="104" t="s">
        <v>591</v>
      </c>
      <c r="C11" s="106">
        <v>15.0</v>
      </c>
      <c r="D11" s="107" t="str">
        <f>IF(B11&lt;&gt;"", VLOOKUP(B11,Zutaten!C$2:F1000,4,false),"")</f>
        <v>#N/A</v>
      </c>
      <c r="E11" s="85" t="str">
        <f t="shared" si="1"/>
        <v>#N/A</v>
      </c>
      <c r="F11" s="85"/>
      <c r="G11" s="10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</row>
    <row r="12">
      <c r="A12" s="104" t="s">
        <v>49</v>
      </c>
      <c r="B12" s="104" t="s">
        <v>502</v>
      </c>
      <c r="C12" s="106">
        <v>25.0</v>
      </c>
      <c r="D12" s="107">
        <f>IF(B12&lt;&gt;"", VLOOKUP(B12,Zutaten!C$2:F1000,4,false),"")</f>
        <v>0.002763</v>
      </c>
      <c r="E12" s="108">
        <f t="shared" si="1"/>
        <v>0.069075</v>
      </c>
      <c r="F12" s="85"/>
      <c r="G12" s="10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</row>
    <row r="13">
      <c r="A13" s="104" t="s">
        <v>49</v>
      </c>
      <c r="B13" s="104" t="s">
        <v>202</v>
      </c>
      <c r="C13" s="106">
        <v>10.0</v>
      </c>
      <c r="D13" s="107">
        <f>IF(B13&lt;&gt;"", VLOOKUP(B13,Zutaten!C$2:F1000,4,false),"")</f>
        <v>0.002944140414</v>
      </c>
      <c r="E13" s="108">
        <f t="shared" si="1"/>
        <v>0.02944140414</v>
      </c>
      <c r="F13" s="85"/>
      <c r="G13" s="10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</row>
    <row r="14">
      <c r="A14" s="104" t="s">
        <v>49</v>
      </c>
      <c r="B14" s="104" t="s">
        <v>359</v>
      </c>
      <c r="C14" s="106">
        <v>6.0</v>
      </c>
      <c r="D14" s="107">
        <f>IF(B14&lt;&gt;"", VLOOKUP(B14,Zutaten!C$2:F1000,4,false),"")</f>
        <v>0.002080357143</v>
      </c>
      <c r="E14" s="108">
        <f t="shared" si="1"/>
        <v>0.01248214286</v>
      </c>
      <c r="F14" s="85"/>
      <c r="G14" s="10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</row>
    <row r="15">
      <c r="A15" s="104" t="s">
        <v>49</v>
      </c>
      <c r="B15" s="104" t="s">
        <v>114</v>
      </c>
      <c r="C15" s="106">
        <v>25.0</v>
      </c>
      <c r="D15" s="107">
        <f>IF(B15&lt;&gt;"", VLOOKUP(B15,Zutaten!C$2:F1000,4,false),"")</f>
        <v>0.003122030175</v>
      </c>
      <c r="E15" s="108">
        <f t="shared" si="1"/>
        <v>0.07805075439</v>
      </c>
      <c r="F15" s="85"/>
      <c r="G15" s="10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</row>
    <row r="16">
      <c r="A16" s="104"/>
      <c r="B16" s="104"/>
      <c r="C16" s="104"/>
      <c r="D16" s="107" t="str">
        <f>IF(B16&lt;&gt;"", VLOOKUP(B16,Zutaten!C$2:F1000,4,false),"")</f>
        <v/>
      </c>
      <c r="E16" s="108">
        <f t="shared" si="1"/>
        <v>0</v>
      </c>
      <c r="F16" s="85"/>
      <c r="G16" s="10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</row>
    <row r="17">
      <c r="A17" s="104" t="s">
        <v>86</v>
      </c>
      <c r="B17" s="104" t="s">
        <v>458</v>
      </c>
      <c r="C17" s="106">
        <v>100.0</v>
      </c>
      <c r="D17" s="107">
        <f>IF(B17&lt;&gt;"", VLOOKUP(B17,Zutaten!C$2:F1000,4,false),"")</f>
        <v>0.00849</v>
      </c>
      <c r="E17" s="108">
        <f t="shared" si="1"/>
        <v>0.849</v>
      </c>
      <c r="F17" s="108">
        <f>SUM(E17:E23)</f>
        <v>1.476361226</v>
      </c>
      <c r="G17" s="105">
        <f>F17*4</f>
        <v>5.905444905</v>
      </c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</row>
    <row r="18">
      <c r="A18" s="104" t="s">
        <v>86</v>
      </c>
      <c r="B18" s="104" t="s">
        <v>522</v>
      </c>
      <c r="C18" s="106">
        <v>25.0</v>
      </c>
      <c r="D18" s="107">
        <f>IF(B18&lt;&gt;"", VLOOKUP(B18,Zutaten!C$2:F1000,4,false),"")</f>
        <v>0.01406</v>
      </c>
      <c r="E18" s="108">
        <f t="shared" si="1"/>
        <v>0.3515</v>
      </c>
      <c r="F18" s="85"/>
      <c r="G18" s="10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</row>
    <row r="19">
      <c r="A19" s="104" t="s">
        <v>86</v>
      </c>
      <c r="B19" s="104" t="s">
        <v>157</v>
      </c>
      <c r="C19" s="106">
        <v>3.0</v>
      </c>
      <c r="D19" s="107">
        <f>IF(B19&lt;&gt;"", VLOOKUP(B19,Zutaten!C$2:F1000,4,false),"")</f>
        <v>0.004472934211</v>
      </c>
      <c r="E19" s="108">
        <f t="shared" si="1"/>
        <v>0.01341880263</v>
      </c>
      <c r="F19" s="85"/>
      <c r="G19" s="10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</row>
    <row r="20">
      <c r="A20" s="104" t="s">
        <v>86</v>
      </c>
      <c r="B20" s="104" t="s">
        <v>202</v>
      </c>
      <c r="C20" s="106">
        <v>10.0</v>
      </c>
      <c r="D20" s="107">
        <f>IF(B20&lt;&gt;"", VLOOKUP(B20,Zutaten!C$2:F1000,4,false),"")</f>
        <v>0.002944140414</v>
      </c>
      <c r="E20" s="108">
        <f t="shared" si="1"/>
        <v>0.02944140414</v>
      </c>
      <c r="F20" s="85"/>
      <c r="G20" s="10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</row>
    <row r="21">
      <c r="A21" s="104" t="s">
        <v>86</v>
      </c>
      <c r="B21" s="104" t="s">
        <v>263</v>
      </c>
      <c r="C21" s="106">
        <v>25.0</v>
      </c>
      <c r="D21" s="107">
        <f>IF(B21&lt;&gt;"", VLOOKUP(B21,Zutaten!C$2:F1000,4,false),"")</f>
        <v>0.005236040778</v>
      </c>
      <c r="E21" s="108">
        <f t="shared" si="1"/>
        <v>0.1309010195</v>
      </c>
      <c r="F21" s="85"/>
      <c r="G21" s="10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</row>
    <row r="22">
      <c r="A22" s="104" t="s">
        <v>86</v>
      </c>
      <c r="B22" s="104" t="s">
        <v>313</v>
      </c>
      <c r="C22" s="106">
        <v>1.0</v>
      </c>
      <c r="D22" s="107">
        <f>IF(B22&lt;&gt;"", VLOOKUP(B22,Zutaten!C$2:F1000,4,false),"")</f>
        <v>0.00625</v>
      </c>
      <c r="E22" s="108">
        <f t="shared" si="1"/>
        <v>0.00625</v>
      </c>
      <c r="F22" s="85"/>
      <c r="G22" s="10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</row>
    <row r="23">
      <c r="A23" s="104" t="s">
        <v>86</v>
      </c>
      <c r="B23" s="104" t="s">
        <v>336</v>
      </c>
      <c r="C23" s="106">
        <v>15.0</v>
      </c>
      <c r="D23" s="107">
        <f>IF(B23&lt;&gt;"", VLOOKUP(B23,Zutaten!C$2:F1000,4,false),"")</f>
        <v>0.00639</v>
      </c>
      <c r="E23" s="108">
        <f t="shared" si="1"/>
        <v>0.09585</v>
      </c>
      <c r="F23" s="85"/>
      <c r="G23" s="10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</row>
    <row r="24">
      <c r="A24" s="104"/>
      <c r="B24" s="104"/>
      <c r="C24" s="104"/>
      <c r="D24" s="107" t="str">
        <f>IF(B24&lt;&gt;"", VLOOKUP(B24,Zutaten!C$2:F1000,4,false),"")</f>
        <v/>
      </c>
      <c r="E24" s="108">
        <f t="shared" si="1"/>
        <v>0</v>
      </c>
      <c r="F24" s="85"/>
      <c r="G24" s="10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</row>
    <row r="25">
      <c r="A25" s="104" t="s">
        <v>94</v>
      </c>
      <c r="B25" s="104" t="s">
        <v>313</v>
      </c>
      <c r="C25" s="106">
        <v>1.0</v>
      </c>
      <c r="D25" s="107">
        <f>IF(B25&lt;&gt;"", VLOOKUP(B25,Zutaten!C$2:F1000,4,false),"")</f>
        <v>0.00625</v>
      </c>
      <c r="E25" s="108">
        <f t="shared" si="1"/>
        <v>0.00625</v>
      </c>
      <c r="F25" s="85" t="str">
        <f>SUM(E25:E31)</f>
        <v>#N/A</v>
      </c>
      <c r="G25" s="105" t="str">
        <f>F25*4</f>
        <v>#N/A</v>
      </c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</row>
    <row r="26">
      <c r="A26" s="104" t="s">
        <v>94</v>
      </c>
      <c r="B26" s="104" t="s">
        <v>302</v>
      </c>
      <c r="C26" s="106">
        <v>13.0</v>
      </c>
      <c r="D26" s="107">
        <f>IF(B26&lt;&gt;"", VLOOKUP(B26,Zutaten!C$2:F1000,4,false),"")</f>
        <v>0.01114</v>
      </c>
      <c r="E26" s="108">
        <f t="shared" si="1"/>
        <v>0.14482</v>
      </c>
      <c r="F26" s="85"/>
      <c r="G26" s="10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</row>
    <row r="27">
      <c r="A27" s="104" t="s">
        <v>94</v>
      </c>
      <c r="B27" s="104" t="s">
        <v>502</v>
      </c>
      <c r="C27" s="106">
        <v>5.0</v>
      </c>
      <c r="D27" s="107">
        <f>IF(B27&lt;&gt;"", VLOOKUP(B27,Zutaten!C$2:F1000,4,false),"")</f>
        <v>0.002763</v>
      </c>
      <c r="E27" s="108">
        <f t="shared" si="1"/>
        <v>0.013815</v>
      </c>
      <c r="F27" s="85"/>
      <c r="G27" s="10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</row>
    <row r="28">
      <c r="A28" s="104" t="s">
        <v>94</v>
      </c>
      <c r="B28" s="104" t="s">
        <v>336</v>
      </c>
      <c r="C28" s="106">
        <v>15.0</v>
      </c>
      <c r="D28" s="107">
        <f>IF(B28&lt;&gt;"", VLOOKUP(B28,Zutaten!C$2:F1000,4,false),"")</f>
        <v>0.00639</v>
      </c>
      <c r="E28" s="108">
        <f t="shared" si="1"/>
        <v>0.09585</v>
      </c>
      <c r="F28" s="85"/>
      <c r="G28" s="10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</row>
    <row r="29">
      <c r="A29" s="104" t="s">
        <v>94</v>
      </c>
      <c r="B29" s="104" t="s">
        <v>159</v>
      </c>
      <c r="C29" s="106">
        <v>25.0</v>
      </c>
      <c r="D29" s="107">
        <f>IF(B29&lt;&gt;"", VLOOKUP(B29,Zutaten!C$2:F1000,4,false),"")</f>
        <v>0.003163421102</v>
      </c>
      <c r="E29" s="108">
        <f t="shared" si="1"/>
        <v>0.07908552754</v>
      </c>
      <c r="F29" s="85"/>
      <c r="G29" s="10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</row>
    <row r="30">
      <c r="A30" s="104" t="s">
        <v>94</v>
      </c>
      <c r="B30" s="104" t="s">
        <v>493</v>
      </c>
      <c r="C30" s="106">
        <v>10.0</v>
      </c>
      <c r="D30" s="107">
        <f>IF(B30&lt;&gt;"", VLOOKUP(B30,Zutaten!C$2:F1000,4,false),"")</f>
        <v>0.01735555556</v>
      </c>
      <c r="E30" s="108">
        <f t="shared" si="1"/>
        <v>0.1735555556</v>
      </c>
      <c r="F30" s="85"/>
      <c r="G30" s="10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</row>
    <row r="31">
      <c r="A31" s="104" t="s">
        <v>94</v>
      </c>
      <c r="B31" s="104" t="s">
        <v>592</v>
      </c>
      <c r="C31" s="106">
        <v>80.0</v>
      </c>
      <c r="D31" s="107" t="str">
        <f>IF(B31&lt;&gt;"", VLOOKUP(B31,Zutaten!C$2:F1000,4,false),"")</f>
        <v>#N/A</v>
      </c>
      <c r="E31" s="85" t="str">
        <f t="shared" si="1"/>
        <v>#N/A</v>
      </c>
      <c r="F31" s="85"/>
      <c r="G31" s="10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</row>
    <row r="32">
      <c r="A32" s="109"/>
      <c r="B32" s="104"/>
      <c r="C32" s="104"/>
      <c r="D32" s="107" t="str">
        <f>IF(B32&lt;&gt;"", VLOOKUP(B32,Zutaten!C$2:F1000,4,false),"")</f>
        <v/>
      </c>
      <c r="E32" s="108">
        <f t="shared" si="1"/>
        <v>0</v>
      </c>
      <c r="F32" s="85"/>
      <c r="G32" s="10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</row>
    <row r="33">
      <c r="A33" s="104" t="s">
        <v>593</v>
      </c>
      <c r="B33" s="20" t="s">
        <v>366</v>
      </c>
      <c r="C33" s="106">
        <v>60.0</v>
      </c>
      <c r="D33" s="107">
        <f>IF(B33&lt;&gt;"", VLOOKUP(B33,Zutaten!C$2:F1000,4,false),"")</f>
        <v>0.00649</v>
      </c>
      <c r="E33" s="108">
        <f t="shared" si="1"/>
        <v>0.3894</v>
      </c>
      <c r="F33" s="108">
        <f>SUM(E33:E38)</f>
        <v>0.6943275411</v>
      </c>
      <c r="G33" s="105">
        <f>F33*4</f>
        <v>2.777310165</v>
      </c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</row>
    <row r="34">
      <c r="A34" s="109" t="s">
        <v>594</v>
      </c>
      <c r="B34" s="104" t="s">
        <v>313</v>
      </c>
      <c r="C34" s="106">
        <v>1.0</v>
      </c>
      <c r="D34" s="107">
        <f>IF(B34&lt;&gt;"", VLOOKUP(B34,Zutaten!C$2:F1000,4,false),"")</f>
        <v>0.00625</v>
      </c>
      <c r="E34" s="108">
        <f t="shared" si="1"/>
        <v>0.00625</v>
      </c>
      <c r="F34" s="85"/>
      <c r="G34" s="10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</row>
    <row r="35">
      <c r="A35" s="109" t="s">
        <v>594</v>
      </c>
      <c r="B35" s="109" t="s">
        <v>133</v>
      </c>
      <c r="C35" s="106">
        <v>20.0</v>
      </c>
      <c r="D35" s="107">
        <f>IF(B35&lt;&gt;"", VLOOKUP(B35,Zutaten!C$2:F1000,4,false),"")</f>
        <v>0.002838877057</v>
      </c>
      <c r="E35" s="108">
        <f t="shared" si="1"/>
        <v>0.05677754114</v>
      </c>
      <c r="F35" s="85"/>
      <c r="G35" s="10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</row>
    <row r="36">
      <c r="A36" s="109" t="s">
        <v>594</v>
      </c>
      <c r="B36" s="110" t="s">
        <v>350</v>
      </c>
      <c r="C36" s="106">
        <v>10.0</v>
      </c>
      <c r="D36" s="107">
        <f>IF(B36&lt;&gt;"", VLOOKUP(B36,Zutaten!C$2:F1000,4,false),"")</f>
        <v>0.00853</v>
      </c>
      <c r="E36" s="108">
        <f t="shared" si="1"/>
        <v>0.0853</v>
      </c>
      <c r="F36" s="85"/>
      <c r="G36" s="10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</row>
    <row r="37">
      <c r="A37" s="109" t="s">
        <v>594</v>
      </c>
      <c r="B37" s="104" t="s">
        <v>464</v>
      </c>
      <c r="C37" s="106">
        <v>30.0</v>
      </c>
      <c r="D37" s="107">
        <f>IF(B37&lt;&gt;"", VLOOKUP(B37,Zutaten!C$2:F1000,4,false),"")</f>
        <v>0.001148</v>
      </c>
      <c r="E37" s="108">
        <f t="shared" si="1"/>
        <v>0.03444</v>
      </c>
      <c r="F37" s="85"/>
      <c r="G37" s="10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</row>
    <row r="38">
      <c r="A38" s="109" t="s">
        <v>594</v>
      </c>
      <c r="B38" s="104" t="s">
        <v>541</v>
      </c>
      <c r="C38" s="106">
        <v>6.0</v>
      </c>
      <c r="D38" s="107">
        <f>IF(B38&lt;&gt;"", VLOOKUP(B38,Zutaten!C$2:F1000,4,false),"")</f>
        <v>0.02036</v>
      </c>
      <c r="E38" s="108">
        <f t="shared" si="1"/>
        <v>0.12216</v>
      </c>
      <c r="F38" s="85"/>
      <c r="G38" s="10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</row>
    <row r="39">
      <c r="A39" s="109"/>
      <c r="B39" s="104"/>
      <c r="C39" s="104"/>
      <c r="D39" s="107" t="str">
        <f>IF(B39&lt;&gt;"", VLOOKUP(B39,Zutaten!C$2:F1000,4,false),"")</f>
        <v/>
      </c>
      <c r="E39" s="108">
        <f t="shared" si="1"/>
        <v>0</v>
      </c>
      <c r="F39" s="85"/>
      <c r="G39" s="10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</row>
    <row r="40">
      <c r="A40" s="111" t="s">
        <v>595</v>
      </c>
      <c r="B40" s="112" t="s">
        <v>561</v>
      </c>
      <c r="C40" s="106">
        <v>130.0</v>
      </c>
      <c r="D40" s="107">
        <f>IF(B40&lt;&gt;"", VLOOKUP(B40,Zutaten!C$2:F1000,4,false),"")</f>
        <v>0.001730153585</v>
      </c>
      <c r="E40" s="108">
        <f t="shared" si="1"/>
        <v>0.2249199661</v>
      </c>
      <c r="F40" s="108">
        <f>E40</f>
        <v>0.2249199661</v>
      </c>
      <c r="G40" s="105">
        <f>F40*4</f>
        <v>0.8996798643</v>
      </c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</row>
    <row r="41">
      <c r="A41" s="85"/>
      <c r="B41" s="85"/>
      <c r="C41" s="85"/>
      <c r="D41" s="107" t="str">
        <f>IF(B41&lt;&gt;"", VLOOKUP(B41,Zutaten!C$2:F1000,4,false),"")</f>
        <v/>
      </c>
      <c r="E41" s="108">
        <f t="shared" si="1"/>
        <v>0</v>
      </c>
      <c r="F41" s="85"/>
      <c r="G41" s="10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</row>
    <row r="42">
      <c r="A42" s="85"/>
      <c r="B42" s="85"/>
      <c r="C42" s="85"/>
      <c r="D42" s="107" t="str">
        <f>IF(B42&lt;&gt;"", VLOOKUP(B42,Zutaten!C$2:F1000,4,false),"")</f>
        <v/>
      </c>
      <c r="E42" s="108">
        <f t="shared" si="1"/>
        <v>0</v>
      </c>
      <c r="F42" s="85"/>
      <c r="G42" s="10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</row>
    <row r="43">
      <c r="A43" s="85"/>
      <c r="B43" s="85"/>
      <c r="C43" s="85"/>
      <c r="D43" s="107" t="str">
        <f>IF(B43&lt;&gt;"", VLOOKUP(B43,Zutaten!C$2:F1000,4,false),"")</f>
        <v/>
      </c>
      <c r="E43" s="108">
        <f t="shared" si="1"/>
        <v>0</v>
      </c>
      <c r="F43" s="85"/>
      <c r="G43" s="10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</row>
    <row r="44">
      <c r="A44" s="85"/>
      <c r="B44" s="85"/>
      <c r="C44" s="85"/>
      <c r="D44" s="107" t="str">
        <f>IF(B44&lt;&gt;"", VLOOKUP(B44,Zutaten!C$2:F1000,4,false),"")</f>
        <v/>
      </c>
      <c r="E44" s="108">
        <f t="shared" si="1"/>
        <v>0</v>
      </c>
      <c r="F44" s="85"/>
      <c r="G44" s="10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</row>
    <row r="45">
      <c r="A45" s="85"/>
      <c r="B45" s="85"/>
      <c r="C45" s="85"/>
      <c r="D45" s="107" t="str">
        <f>IF(B45&lt;&gt;"", VLOOKUP(B45,Zutaten!C$2:F1000,4,false),"")</f>
        <v/>
      </c>
      <c r="E45" s="108">
        <f t="shared" si="1"/>
        <v>0</v>
      </c>
      <c r="F45" s="85"/>
      <c r="G45" s="10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</row>
    <row r="46">
      <c r="A46" s="104"/>
      <c r="B46" s="104"/>
      <c r="C46" s="104"/>
      <c r="D46" s="107" t="str">
        <f>IF(B46&lt;&gt;"", VLOOKUP(B46,Zutaten!C$2:F1000,4,false),"")</f>
        <v/>
      </c>
      <c r="E46" s="108">
        <f t="shared" si="1"/>
        <v>0</v>
      </c>
      <c r="F46" s="85"/>
      <c r="G46" s="10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</row>
    <row r="47">
      <c r="A47" s="104" t="s">
        <v>596</v>
      </c>
      <c r="B47" s="104" t="s">
        <v>20</v>
      </c>
      <c r="C47" s="104">
        <v>190.0</v>
      </c>
      <c r="D47" s="107">
        <f>IF(B47&lt;&gt;"", VLOOKUP(B47,Zutaten!C$2:F1000,4,false),"")</f>
        <v>0.005086357183</v>
      </c>
      <c r="E47" s="108">
        <f t="shared" si="1"/>
        <v>0.9664078649</v>
      </c>
      <c r="F47" s="108">
        <f>SUM(E47:E52)</f>
        <v>2.819763749</v>
      </c>
      <c r="G47" s="105">
        <f>F47*4</f>
        <v>11.279055</v>
      </c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</row>
    <row r="48">
      <c r="A48" s="104" t="s">
        <v>596</v>
      </c>
      <c r="B48" s="104" t="s">
        <v>300</v>
      </c>
      <c r="C48" s="106">
        <v>10.0</v>
      </c>
      <c r="D48" s="107">
        <f>IF(B48&lt;&gt;"", VLOOKUP(B48,Zutaten!C$2:F1000,4,false),"")</f>
        <v>0.0142</v>
      </c>
      <c r="E48" s="108">
        <f t="shared" si="1"/>
        <v>0.142</v>
      </c>
      <c r="F48" s="85"/>
      <c r="G48" s="10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>
      <c r="A49" s="104" t="s">
        <v>596</v>
      </c>
      <c r="B49" s="104" t="s">
        <v>543</v>
      </c>
      <c r="C49" s="106">
        <v>110.0</v>
      </c>
      <c r="D49" s="107">
        <f>IF(B49&lt;&gt;"", VLOOKUP(B49,Zutaten!C$2:F1000,4,false),"")</f>
        <v>0.01111957553</v>
      </c>
      <c r="E49" s="108">
        <f t="shared" si="1"/>
        <v>1.223153308</v>
      </c>
      <c r="F49" s="85"/>
      <c r="G49" s="10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>
      <c r="A50" s="104" t="s">
        <v>596</v>
      </c>
      <c r="B50" s="104" t="s">
        <v>400</v>
      </c>
      <c r="C50" s="106">
        <v>2.0</v>
      </c>
      <c r="D50" s="107">
        <f>IF(B50&lt;&gt;"", VLOOKUP(B50,Zutaten!C$2:F1000,4,false),"")</f>
        <v>0.01432</v>
      </c>
      <c r="E50" s="108">
        <f t="shared" si="1"/>
        <v>0.02864</v>
      </c>
      <c r="F50" s="85"/>
      <c r="G50" s="10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</row>
    <row r="51">
      <c r="A51" s="104" t="s">
        <v>596</v>
      </c>
      <c r="B51" s="104" t="s">
        <v>38</v>
      </c>
      <c r="C51" s="106">
        <v>100.0</v>
      </c>
      <c r="D51" s="107">
        <f>IF(B51&lt;&gt;"", VLOOKUP(B51,Zutaten!C$2:F1000,4,false),"")</f>
        <v>0.00356</v>
      </c>
      <c r="E51" s="108">
        <f t="shared" si="1"/>
        <v>0.356</v>
      </c>
      <c r="F51" s="85"/>
      <c r="G51" s="10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</row>
    <row r="52">
      <c r="A52" s="104" t="s">
        <v>596</v>
      </c>
      <c r="B52" s="104" t="s">
        <v>237</v>
      </c>
      <c r="C52" s="106">
        <v>10.0</v>
      </c>
      <c r="D52" s="107">
        <f>IF(B52&lt;&gt;"", VLOOKUP(B52,Zutaten!C$2:F1000,4,false),"")</f>
        <v>0.01035625758</v>
      </c>
      <c r="E52" s="108">
        <f t="shared" si="1"/>
        <v>0.1035625758</v>
      </c>
      <c r="F52" s="85"/>
      <c r="G52" s="10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</row>
    <row r="53">
      <c r="A53" s="104"/>
      <c r="B53" s="104"/>
      <c r="C53" s="104"/>
      <c r="D53" s="107" t="str">
        <f>IF(B53&lt;&gt;"", VLOOKUP(B53,Zutaten!C$2:F1000,4,false),"")</f>
        <v/>
      </c>
      <c r="E53" s="108">
        <f t="shared" si="1"/>
        <v>0</v>
      </c>
      <c r="F53" s="85"/>
      <c r="G53" s="10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</row>
    <row r="54">
      <c r="A54" s="104" t="s">
        <v>597</v>
      </c>
      <c r="B54" s="104" t="s">
        <v>20</v>
      </c>
      <c r="C54" s="104">
        <v>190.0</v>
      </c>
      <c r="D54" s="107">
        <f>IF(B54&lt;&gt;"", VLOOKUP(B54,Zutaten!C$2:F1000,4,false),"")</f>
        <v>0.005086357183</v>
      </c>
      <c r="E54" s="108">
        <f t="shared" si="1"/>
        <v>0.9664078649</v>
      </c>
      <c r="F54" s="108">
        <f>SUM(E54:E58)</f>
        <v>1.752057865</v>
      </c>
      <c r="G54" s="105">
        <f>F54*4</f>
        <v>7.008231459</v>
      </c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</row>
    <row r="55">
      <c r="A55" s="104" t="s">
        <v>597</v>
      </c>
      <c r="B55" s="113" t="s">
        <v>464</v>
      </c>
      <c r="C55" s="106">
        <v>50.0</v>
      </c>
      <c r="D55" s="107">
        <f>IF(B55&lt;&gt;"", VLOOKUP(B55,Zutaten!C$2:F1000,4,false),"")</f>
        <v>0.001148</v>
      </c>
      <c r="E55" s="108">
        <f t="shared" si="1"/>
        <v>0.0574</v>
      </c>
      <c r="F55" s="85"/>
      <c r="G55" s="10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</row>
    <row r="56">
      <c r="A56" s="104" t="s">
        <v>597</v>
      </c>
      <c r="B56" s="104" t="s">
        <v>38</v>
      </c>
      <c r="C56" s="106">
        <v>100.0</v>
      </c>
      <c r="D56" s="107">
        <f>IF(B56&lt;&gt;"", VLOOKUP(B56,Zutaten!C$2:F1000,4,false),"")</f>
        <v>0.00356</v>
      </c>
      <c r="E56" s="108">
        <f t="shared" si="1"/>
        <v>0.356</v>
      </c>
      <c r="F56" s="85"/>
      <c r="G56" s="10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</row>
    <row r="57">
      <c r="A57" s="104" t="s">
        <v>597</v>
      </c>
      <c r="B57" s="113" t="s">
        <v>598</v>
      </c>
      <c r="C57" s="106">
        <v>40.0</v>
      </c>
      <c r="D57" s="107" t="str">
        <f>IF(B57&lt;&gt;"", VLOOKUP(B57,Zutaten!C$2:F1000,4,false),"")</f>
        <v>#N/A</v>
      </c>
      <c r="E57" s="70">
        <v>0.3</v>
      </c>
      <c r="F57" s="85"/>
      <c r="G57" s="10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</row>
    <row r="58">
      <c r="A58" s="104" t="s">
        <v>597</v>
      </c>
      <c r="B58" s="13" t="s">
        <v>427</v>
      </c>
      <c r="C58" s="106">
        <v>25.0</v>
      </c>
      <c r="D58" s="107">
        <f>IF(B58&lt;&gt;"", VLOOKUP(B58,Zutaten!C$2:F1000,4,false),"")</f>
        <v>0.00289</v>
      </c>
      <c r="E58" s="108">
        <f t="shared" ref="E58:E69" si="2">C58*D58</f>
        <v>0.07225</v>
      </c>
      <c r="F58" s="85"/>
      <c r="G58" s="10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</row>
    <row r="59">
      <c r="A59" s="104"/>
      <c r="B59" s="104"/>
      <c r="C59" s="104"/>
      <c r="D59" s="107" t="str">
        <f>IF(B59&lt;&gt;"", VLOOKUP(B59,Zutaten!C$2:F1000,4,false),"")</f>
        <v/>
      </c>
      <c r="E59" s="108">
        <f t="shared" si="2"/>
        <v>0</v>
      </c>
      <c r="F59" s="85"/>
      <c r="G59" s="10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</row>
    <row r="60">
      <c r="A60" s="104" t="s">
        <v>99</v>
      </c>
      <c r="B60" s="104" t="s">
        <v>543</v>
      </c>
      <c r="C60" s="106">
        <v>100.0</v>
      </c>
      <c r="D60" s="107">
        <f>IF(B60&lt;&gt;"", VLOOKUP(B60,Zutaten!C$2:F1000,4,false),"")</f>
        <v>0.01111957553</v>
      </c>
      <c r="E60" s="108">
        <f t="shared" si="2"/>
        <v>1.111957553</v>
      </c>
      <c r="F60" s="108">
        <f>SUM(E60:E63)</f>
        <v>1.90982642</v>
      </c>
      <c r="G60" s="105">
        <f>F60*4</f>
        <v>7.639305679</v>
      </c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</row>
    <row r="61">
      <c r="A61" s="104" t="s">
        <v>99</v>
      </c>
      <c r="B61" s="104" t="s">
        <v>380</v>
      </c>
      <c r="C61" s="106">
        <v>9.0</v>
      </c>
      <c r="D61" s="107">
        <f>IF(B61&lt;&gt;"", VLOOKUP(B61,Zutaten!C$2:F1000,4,false),"")</f>
        <v>0.004141176471</v>
      </c>
      <c r="E61" s="108">
        <f t="shared" si="2"/>
        <v>0.03727058824</v>
      </c>
      <c r="F61" s="85"/>
      <c r="G61" s="10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</row>
    <row r="62">
      <c r="A62" s="104" t="s">
        <v>99</v>
      </c>
      <c r="B62" s="104" t="s">
        <v>118</v>
      </c>
      <c r="C62" s="106">
        <v>40.0</v>
      </c>
      <c r="D62" s="107">
        <f>IF(B62&lt;&gt;"", VLOOKUP(B62,Zutaten!C$2:F1000,4,false),"")</f>
        <v>0.007352456966</v>
      </c>
      <c r="E62" s="108">
        <f t="shared" si="2"/>
        <v>0.2940982786</v>
      </c>
      <c r="F62" s="85"/>
      <c r="G62" s="10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>
      <c r="A63" s="104" t="s">
        <v>99</v>
      </c>
      <c r="B63" s="104" t="s">
        <v>448</v>
      </c>
      <c r="C63" s="106">
        <v>150.0</v>
      </c>
      <c r="D63" s="107">
        <f>IF(B63&lt;&gt;"", VLOOKUP(B63,Zutaten!C$2:F1000,4,false),"")</f>
        <v>0.00311</v>
      </c>
      <c r="E63" s="108">
        <f t="shared" si="2"/>
        <v>0.4665</v>
      </c>
      <c r="F63" s="85"/>
      <c r="G63" s="10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</row>
    <row r="64">
      <c r="A64" s="85"/>
      <c r="B64" s="85"/>
      <c r="C64" s="85"/>
      <c r="D64" s="107" t="str">
        <f>IF(B64&lt;&gt;"", VLOOKUP(B64,Zutaten!C$2:F1000,4,false),"")</f>
        <v/>
      </c>
      <c r="E64" s="108">
        <f t="shared" si="2"/>
        <v>0</v>
      </c>
      <c r="F64" s="85"/>
      <c r="G64" s="10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</row>
    <row r="65">
      <c r="A65" s="104"/>
      <c r="B65" s="104"/>
      <c r="C65" s="104"/>
      <c r="D65" s="107" t="str">
        <f>IF(B65&lt;&gt;"", VLOOKUP(B65,Zutaten!C$2:F1000,4,false),"")</f>
        <v/>
      </c>
      <c r="E65" s="108">
        <f t="shared" si="2"/>
        <v>0</v>
      </c>
      <c r="F65" s="85"/>
      <c r="G65" s="10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</row>
    <row r="66">
      <c r="A66" s="104" t="s">
        <v>235</v>
      </c>
      <c r="B66" s="104" t="s">
        <v>543</v>
      </c>
      <c r="C66" s="106">
        <v>100.0</v>
      </c>
      <c r="D66" s="107">
        <f>IF(B66&lt;&gt;"", VLOOKUP(B66,Zutaten!C$2:F1000,4,false),"")</f>
        <v>0.01111957553</v>
      </c>
      <c r="E66" s="108">
        <f t="shared" si="2"/>
        <v>1.111957553</v>
      </c>
      <c r="F66" s="108">
        <f>SUM(E66:E69)</f>
        <v>1.696600314</v>
      </c>
      <c r="G66" s="105">
        <f>F66*4</f>
        <v>6.786401255</v>
      </c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</row>
    <row r="67">
      <c r="A67" s="104" t="s">
        <v>235</v>
      </c>
      <c r="B67" s="104" t="s">
        <v>96</v>
      </c>
      <c r="C67" s="106">
        <v>15.0</v>
      </c>
      <c r="D67" s="107">
        <f>IF(B67&lt;&gt;"", VLOOKUP(B67,Zutaten!C$2:F1000,4,false),"")</f>
        <v>0.004316376812</v>
      </c>
      <c r="E67" s="108">
        <f t="shared" si="2"/>
        <v>0.06474565217</v>
      </c>
      <c r="F67" s="85"/>
      <c r="G67" s="10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</row>
    <row r="68">
      <c r="A68" s="104" t="s">
        <v>235</v>
      </c>
      <c r="B68" s="104" t="s">
        <v>234</v>
      </c>
      <c r="C68" s="106">
        <v>25.0</v>
      </c>
      <c r="D68" s="107">
        <f>IF(B68&lt;&gt;"", VLOOKUP(B68,Zutaten!C$2:F1000,4,false),"")</f>
        <v>0.00213588435</v>
      </c>
      <c r="E68" s="108">
        <f t="shared" si="2"/>
        <v>0.05339710875</v>
      </c>
      <c r="F68" s="85"/>
      <c r="G68" s="10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</row>
    <row r="69">
      <c r="A69" s="104" t="s">
        <v>235</v>
      </c>
      <c r="B69" s="104" t="s">
        <v>448</v>
      </c>
      <c r="C69" s="106">
        <v>150.0</v>
      </c>
      <c r="D69" s="107">
        <f>IF(B69&lt;&gt;"", VLOOKUP(B69,Zutaten!C$2:F1000,4,false),"")</f>
        <v>0.00311</v>
      </c>
      <c r="E69" s="108">
        <f t="shared" si="2"/>
        <v>0.4665</v>
      </c>
      <c r="F69" s="85"/>
      <c r="G69" s="10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</row>
    <row r="70">
      <c r="A70" s="85"/>
      <c r="B70" s="85"/>
      <c r="C70" s="85"/>
      <c r="D70" s="107" t="str">
        <f>IF(B70&lt;&gt;"", VLOOKUP(B70,Zutaten!C$2:F1000,4,false),"")</f>
        <v/>
      </c>
      <c r="E70" s="85"/>
      <c r="F70" s="85"/>
      <c r="G70" s="10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</row>
    <row r="71">
      <c r="A71" s="85"/>
      <c r="B71" s="85"/>
      <c r="C71" s="85"/>
      <c r="D71" s="107" t="str">
        <f>IF(B71&lt;&gt;"", VLOOKUP(B71,Zutaten!C$2:F1000,4,false),"")</f>
        <v/>
      </c>
      <c r="E71" s="85"/>
      <c r="F71" s="85"/>
      <c r="G71" s="10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</row>
    <row r="72">
      <c r="A72" s="85"/>
      <c r="B72" s="85"/>
      <c r="C72" s="85"/>
      <c r="D72" s="107" t="str">
        <f>IF(B72&lt;&gt;"", VLOOKUP(B72,Zutaten!C$2:F1000,4,false),"")</f>
        <v/>
      </c>
      <c r="E72" s="85"/>
      <c r="F72" s="85"/>
      <c r="G72" s="10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</row>
    <row r="73">
      <c r="A73" s="85"/>
      <c r="B73" s="85"/>
      <c r="C73" s="85"/>
      <c r="D73" s="107" t="str">
        <f>IF(B73&lt;&gt;"", VLOOKUP(B73,Zutaten!C$2:F1000,4,false),"")</f>
        <v/>
      </c>
      <c r="E73" s="85"/>
      <c r="F73" s="85"/>
      <c r="G73" s="10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</row>
    <row r="74">
      <c r="A74" s="85"/>
      <c r="B74" s="85"/>
      <c r="C74" s="85"/>
      <c r="D74" s="107" t="str">
        <f>IF(B74&lt;&gt;"", VLOOKUP(B74,Zutaten!C$2:F1000,4,false),"")</f>
        <v/>
      </c>
      <c r="E74" s="85"/>
      <c r="F74" s="85"/>
      <c r="G74" s="10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>
      <c r="A75" s="85"/>
      <c r="B75" s="85"/>
      <c r="C75" s="85"/>
      <c r="D75" s="107" t="str">
        <f>IF(B75&lt;&gt;"", VLOOKUP(B75,Zutaten!C$2:F1000,4,false),"")</f>
        <v/>
      </c>
      <c r="E75" s="85"/>
      <c r="F75" s="85"/>
      <c r="G75" s="10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>
      <c r="A76" s="85"/>
      <c r="B76" s="85"/>
      <c r="C76" s="85"/>
      <c r="D76" s="107" t="str">
        <f>IF(B76&lt;&gt;"", VLOOKUP(B76,Zutaten!C$2:F1000,4,false),"")</f>
        <v/>
      </c>
      <c r="E76" s="85"/>
      <c r="F76" s="85"/>
      <c r="G76" s="10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</row>
    <row r="77">
      <c r="A77" s="85"/>
      <c r="B77" s="85"/>
      <c r="C77" s="85"/>
      <c r="D77" s="107" t="str">
        <f>IF(B77&lt;&gt;"", VLOOKUP(B77,Zutaten!C$2:F1000,4,false),"")</f>
        <v/>
      </c>
      <c r="E77" s="85"/>
      <c r="F77" s="85"/>
      <c r="G77" s="10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</row>
    <row r="78">
      <c r="A78" s="85"/>
      <c r="B78" s="85"/>
      <c r="C78" s="85"/>
      <c r="D78" s="107" t="str">
        <f>IF(B78&lt;&gt;"", VLOOKUP(B78,Zutaten!C$2:F1000,4,false),"")</f>
        <v/>
      </c>
      <c r="E78" s="85"/>
      <c r="F78" s="85"/>
      <c r="G78" s="10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</row>
    <row r="79">
      <c r="A79" s="104"/>
      <c r="B79" s="104"/>
      <c r="C79" s="104"/>
      <c r="D79" s="107" t="str">
        <f>IF(B79&lt;&gt;"", VLOOKUP(B79,Zutaten!C$2:F1000,4,false),"")</f>
        <v/>
      </c>
      <c r="E79" s="85"/>
      <c r="F79" s="85"/>
      <c r="G79" s="10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</row>
    <row r="80">
      <c r="A80" s="104" t="s">
        <v>599</v>
      </c>
      <c r="B80" s="113" t="s">
        <v>378</v>
      </c>
      <c r="C80" s="106">
        <v>400.0</v>
      </c>
      <c r="D80" s="107">
        <f>IF(B80&lt;&gt;"", VLOOKUP(B80,Zutaten!C$2:F1000,4,false),"")</f>
        <v>0.007642</v>
      </c>
      <c r="E80" s="85"/>
      <c r="F80" s="85"/>
      <c r="G80" s="10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</row>
    <row r="81">
      <c r="A81" s="109" t="s">
        <v>81</v>
      </c>
      <c r="B81" s="113" t="s">
        <v>392</v>
      </c>
      <c r="C81" s="106">
        <v>100.0</v>
      </c>
      <c r="D81" s="107">
        <f>IF(B81&lt;&gt;"", VLOOKUP(B81,Zutaten!C$2:F1000,4,false),"")</f>
        <v>0.006792</v>
      </c>
      <c r="E81" s="85"/>
      <c r="F81" s="85"/>
      <c r="G81" s="10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</row>
    <row r="82">
      <c r="A82" s="109" t="s">
        <v>81</v>
      </c>
      <c r="B82" s="104" t="s">
        <v>554</v>
      </c>
      <c r="C82" s="106">
        <v>100.0</v>
      </c>
      <c r="D82" s="107">
        <f>IF(B82&lt;&gt;"", VLOOKUP(B82,Zutaten!C$2:F1000,4,false),"")</f>
        <v>0.02559</v>
      </c>
      <c r="E82" s="85"/>
      <c r="F82" s="85"/>
      <c r="G82" s="10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</row>
    <row r="83">
      <c r="A83" s="109" t="s">
        <v>81</v>
      </c>
      <c r="B83" s="113" t="s">
        <v>396</v>
      </c>
      <c r="C83" s="106">
        <v>100.0</v>
      </c>
      <c r="D83" s="107">
        <f>IF(B83&lt;&gt;"", VLOOKUP(B83,Zutaten!C$2:F1000,4,false),"")</f>
        <v>0.0273</v>
      </c>
      <c r="E83" s="85"/>
      <c r="F83" s="85"/>
      <c r="G83" s="10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</row>
    <row r="84">
      <c r="A84" s="109" t="s">
        <v>81</v>
      </c>
      <c r="B84" s="104" t="s">
        <v>600</v>
      </c>
      <c r="C84" s="106">
        <v>10.0</v>
      </c>
      <c r="D84" s="107" t="str">
        <f>IF(B84&lt;&gt;"", VLOOKUP(B84,Zutaten!C$2:F1000,4,false),"")</f>
        <v>#N/A</v>
      </c>
      <c r="E84" s="85"/>
      <c r="F84" s="85"/>
      <c r="G84" s="10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</row>
    <row r="85">
      <c r="A85" s="109" t="s">
        <v>81</v>
      </c>
      <c r="B85" s="113" t="s">
        <v>467</v>
      </c>
      <c r="C85" s="106">
        <v>5.0</v>
      </c>
      <c r="D85" s="107">
        <f>IF(B85&lt;&gt;"", VLOOKUP(B85,Zutaten!C$2:F1000,4,false),"")</f>
        <v>0.000368</v>
      </c>
      <c r="E85" s="85"/>
      <c r="F85" s="85"/>
      <c r="G85" s="10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</row>
    <row r="86">
      <c r="A86" s="109" t="s">
        <v>81</v>
      </c>
      <c r="B86" s="113" t="s">
        <v>455</v>
      </c>
      <c r="C86" s="106">
        <v>1500.0</v>
      </c>
      <c r="D86" s="107">
        <f>IF(B86&lt;&gt;"", VLOOKUP(B86,Zutaten!C$2:F1000,4,false),"")</f>
        <v>0.00199</v>
      </c>
      <c r="E86" s="85"/>
      <c r="F86" s="85"/>
      <c r="G86" s="10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</row>
    <row r="87">
      <c r="A87" s="85"/>
      <c r="B87" s="85"/>
      <c r="C87" s="85"/>
      <c r="D87" s="107" t="str">
        <f>IF(B87&lt;&gt;"", VLOOKUP(B87,Zutaten!C$2:F1000,4,false),"")</f>
        <v/>
      </c>
      <c r="E87" s="85"/>
      <c r="F87" s="85"/>
      <c r="G87" s="10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</row>
    <row r="88">
      <c r="A88" s="104"/>
      <c r="B88" s="104"/>
      <c r="C88" s="104"/>
      <c r="D88" s="107" t="str">
        <f>IF(B88&lt;&gt;"", VLOOKUP(B88,Zutaten!C$2:F1000,4,false),"")</f>
        <v/>
      </c>
      <c r="E88" s="85"/>
      <c r="F88" s="85"/>
      <c r="G88" s="10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>
      <c r="A89" s="104" t="s">
        <v>601</v>
      </c>
      <c r="B89" s="113" t="s">
        <v>350</v>
      </c>
      <c r="C89" s="106">
        <v>1000.0</v>
      </c>
      <c r="D89" s="107">
        <f>IF(B89&lt;&gt;"", VLOOKUP(B89,Zutaten!C$2:F1000,4,false),"")</f>
        <v>0.00853</v>
      </c>
      <c r="E89" s="85"/>
      <c r="F89" s="85"/>
      <c r="G89" s="10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</row>
    <row r="90">
      <c r="A90" s="104" t="s">
        <v>601</v>
      </c>
      <c r="B90" s="113" t="s">
        <v>455</v>
      </c>
      <c r="C90" s="106">
        <v>500.0</v>
      </c>
      <c r="D90" s="107">
        <f>IF(B90&lt;&gt;"", VLOOKUP(B90,Zutaten!C$2:F1000,4,false),"")</f>
        <v>0.00199</v>
      </c>
      <c r="E90" s="85"/>
      <c r="F90" s="85"/>
      <c r="G90" s="10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</row>
    <row r="91">
      <c r="A91" s="104" t="s">
        <v>601</v>
      </c>
      <c r="B91" s="104" t="s">
        <v>555</v>
      </c>
      <c r="C91" s="106">
        <v>100.0</v>
      </c>
      <c r="D91" s="107">
        <f>IF(B91&lt;&gt;"", VLOOKUP(B91,Zutaten!C$2:F1000,4,false),"")</f>
        <v>0.01022</v>
      </c>
      <c r="E91" s="85"/>
      <c r="F91" s="85"/>
      <c r="G91" s="10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</row>
    <row r="92">
      <c r="A92" s="104" t="s">
        <v>601</v>
      </c>
      <c r="B92" s="104" t="s">
        <v>545</v>
      </c>
      <c r="C92" s="106">
        <v>10.0</v>
      </c>
      <c r="D92" s="107">
        <f>IF(B92&lt;&gt;"", VLOOKUP(B92,Zutaten!C$2:F1000,4,false),"")</f>
        <v>0.000368</v>
      </c>
      <c r="E92" s="85"/>
      <c r="F92" s="85"/>
      <c r="G92" s="10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</row>
    <row r="93">
      <c r="A93" s="85"/>
      <c r="B93" s="85"/>
      <c r="C93" s="85"/>
      <c r="D93" s="107" t="str">
        <f>IF(B93&lt;&gt;"", VLOOKUP(B93,Zutaten!C$2:F1000,4,false),"")</f>
        <v/>
      </c>
      <c r="E93" s="85"/>
      <c r="F93" s="85"/>
      <c r="G93" s="10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</row>
    <row r="94">
      <c r="A94" s="104"/>
      <c r="B94" s="104"/>
      <c r="C94" s="104"/>
      <c r="D94" s="107" t="str">
        <f>IF(B94&lt;&gt;"", VLOOKUP(B94,Zutaten!C$2:F1000,4,false),"")</f>
        <v/>
      </c>
      <c r="E94" s="85"/>
      <c r="F94" s="85"/>
      <c r="G94" s="10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</row>
    <row r="95">
      <c r="A95" s="104" t="s">
        <v>602</v>
      </c>
      <c r="B95" s="113" t="s">
        <v>464</v>
      </c>
      <c r="C95" s="104"/>
      <c r="D95" s="107">
        <f>IF(B95&lt;&gt;"", VLOOKUP(B95,Zutaten!C$2:F1000,4,false),"")</f>
        <v>0.001148</v>
      </c>
      <c r="E95" s="85"/>
      <c r="F95" s="85"/>
      <c r="G95" s="10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</row>
    <row r="96">
      <c r="A96" s="104" t="s">
        <v>602</v>
      </c>
      <c r="B96" s="104" t="s">
        <v>551</v>
      </c>
      <c r="C96" s="104"/>
      <c r="D96" s="107">
        <f>IF(B96&lt;&gt;"", VLOOKUP(B96,Zutaten!C$2:F1000,4,false),"")</f>
        <v>0.01118</v>
      </c>
      <c r="E96" s="85"/>
      <c r="F96" s="85"/>
      <c r="G96" s="10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</row>
    <row r="97">
      <c r="A97" s="104" t="s">
        <v>602</v>
      </c>
      <c r="B97" s="104" t="s">
        <v>552</v>
      </c>
      <c r="C97" s="104"/>
      <c r="D97" s="107">
        <f>IF(B97&lt;&gt;"", VLOOKUP(B97,Zutaten!C$2:F1000,4,false),"")</f>
        <v>0.00539</v>
      </c>
      <c r="E97" s="85"/>
      <c r="F97" s="85"/>
      <c r="G97" s="10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</row>
    <row r="98">
      <c r="A98" s="104" t="s">
        <v>602</v>
      </c>
      <c r="B98" s="20" t="s">
        <v>321</v>
      </c>
      <c r="C98" s="104"/>
      <c r="D98" s="107">
        <f>IF(B98&lt;&gt;"", VLOOKUP(B98,Zutaten!C$2:F1000,4,false),"")</f>
        <v>0.04294736842</v>
      </c>
      <c r="E98" s="85"/>
      <c r="F98" s="85"/>
      <c r="G98" s="10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</row>
    <row r="99">
      <c r="A99" s="104" t="s">
        <v>602</v>
      </c>
      <c r="B99" s="104" t="s">
        <v>545</v>
      </c>
      <c r="C99" s="104"/>
      <c r="D99" s="107">
        <f>IF(B99&lt;&gt;"", VLOOKUP(B99,Zutaten!C$2:F1000,4,false),"")</f>
        <v>0.000368</v>
      </c>
      <c r="E99" s="85"/>
      <c r="F99" s="85"/>
      <c r="G99" s="10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</row>
    <row r="100">
      <c r="A100" s="104" t="s">
        <v>602</v>
      </c>
      <c r="B100" s="104" t="s">
        <v>553</v>
      </c>
      <c r="C100" s="104"/>
      <c r="D100" s="107">
        <f>IF(B100&lt;&gt;"", VLOOKUP(B100,Zutaten!C$2:F1000,4,false),"")</f>
        <v>0.00144</v>
      </c>
      <c r="E100" s="85"/>
      <c r="F100" s="85"/>
      <c r="G100" s="10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</row>
    <row r="101">
      <c r="A101" s="104" t="s">
        <v>602</v>
      </c>
      <c r="B101" s="113" t="s">
        <v>516</v>
      </c>
      <c r="C101" s="104"/>
      <c r="D101" s="107">
        <f>IF(B101&lt;&gt;"", VLOOKUP(B101,Zutaten!C$2:F1000,4,false),"")</f>
        <v>0.001063</v>
      </c>
      <c r="E101" s="85"/>
      <c r="F101" s="85"/>
      <c r="G101" s="10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</row>
    <row r="102">
      <c r="A102" s="85"/>
      <c r="B102" s="85"/>
      <c r="C102" s="85"/>
      <c r="D102" s="107" t="str">
        <f>IF(B102&lt;&gt;"", VLOOKUP(B102,Zutaten!C$2:F1000,4,false),"")</f>
        <v/>
      </c>
      <c r="E102" s="85"/>
      <c r="F102" s="85"/>
      <c r="G102" s="10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</row>
    <row r="103">
      <c r="A103" s="85"/>
      <c r="B103" s="85"/>
      <c r="C103" s="85"/>
      <c r="D103" s="85"/>
      <c r="E103" s="85"/>
      <c r="F103" s="85"/>
      <c r="G103" s="10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</row>
    <row r="104">
      <c r="A104" s="85"/>
      <c r="B104" s="85"/>
      <c r="C104" s="85"/>
      <c r="D104" s="85"/>
      <c r="E104" s="85"/>
      <c r="F104" s="85"/>
      <c r="G104" s="10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</row>
    <row r="105">
      <c r="A105" s="85"/>
      <c r="B105" s="85"/>
      <c r="C105" s="85"/>
      <c r="D105" s="85"/>
      <c r="E105" s="85"/>
      <c r="F105" s="85"/>
      <c r="G105" s="10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</row>
    <row r="106">
      <c r="A106" s="85"/>
      <c r="B106" s="85"/>
      <c r="C106" s="85"/>
      <c r="D106" s="85"/>
      <c r="E106" s="85"/>
      <c r="F106" s="85"/>
      <c r="G106" s="10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</row>
    <row r="107">
      <c r="A107" s="85"/>
      <c r="B107" s="85"/>
      <c r="C107" s="85"/>
      <c r="D107" s="85"/>
      <c r="E107" s="85"/>
      <c r="F107" s="85"/>
      <c r="G107" s="10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</row>
    <row r="108">
      <c r="A108" s="85"/>
      <c r="B108" s="85"/>
      <c r="C108" s="85"/>
      <c r="D108" s="85"/>
      <c r="E108" s="85"/>
      <c r="F108" s="85"/>
      <c r="G108" s="10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</row>
    <row r="109">
      <c r="A109" s="85"/>
      <c r="B109" s="85"/>
      <c r="C109" s="85"/>
      <c r="D109" s="85"/>
      <c r="E109" s="85"/>
      <c r="F109" s="85"/>
      <c r="G109" s="10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</row>
    <row r="110">
      <c r="A110" s="85"/>
      <c r="B110" s="85"/>
      <c r="C110" s="85"/>
      <c r="D110" s="85"/>
      <c r="E110" s="85"/>
      <c r="F110" s="85"/>
      <c r="G110" s="10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</row>
    <row r="111">
      <c r="A111" s="85"/>
      <c r="B111" s="85"/>
      <c r="C111" s="85"/>
      <c r="D111" s="85"/>
      <c r="E111" s="85"/>
      <c r="F111" s="85"/>
      <c r="G111" s="10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</row>
    <row r="112">
      <c r="A112" s="85"/>
      <c r="B112" s="85"/>
      <c r="C112" s="85"/>
      <c r="D112" s="85"/>
      <c r="E112" s="85"/>
      <c r="F112" s="85"/>
      <c r="G112" s="10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</row>
    <row r="113">
      <c r="A113" s="85"/>
      <c r="B113" s="85"/>
      <c r="C113" s="85"/>
      <c r="D113" s="85"/>
      <c r="E113" s="85"/>
      <c r="F113" s="85"/>
      <c r="G113" s="10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</row>
    <row r="114">
      <c r="A114" s="85"/>
      <c r="B114" s="85"/>
      <c r="C114" s="85"/>
      <c r="D114" s="85"/>
      <c r="E114" s="85"/>
      <c r="F114" s="85"/>
      <c r="G114" s="10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</row>
    <row r="115">
      <c r="A115" s="85"/>
      <c r="B115" s="85"/>
      <c r="C115" s="85"/>
      <c r="D115" s="85"/>
      <c r="E115" s="85"/>
      <c r="F115" s="85"/>
      <c r="G115" s="10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</row>
    <row r="116">
      <c r="A116" s="85"/>
      <c r="B116" s="85"/>
      <c r="C116" s="85"/>
      <c r="D116" s="85"/>
      <c r="E116" s="85"/>
      <c r="F116" s="85"/>
      <c r="G116" s="10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</row>
    <row r="117">
      <c r="A117" s="85"/>
      <c r="B117" s="85"/>
      <c r="C117" s="85"/>
      <c r="D117" s="85"/>
      <c r="E117" s="85"/>
      <c r="F117" s="85"/>
      <c r="G117" s="10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</row>
    <row r="118">
      <c r="A118" s="85"/>
      <c r="B118" s="85"/>
      <c r="C118" s="85"/>
      <c r="D118" s="85"/>
      <c r="E118" s="85"/>
      <c r="F118" s="85"/>
      <c r="G118" s="10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</row>
    <row r="119">
      <c r="A119" s="85"/>
      <c r="B119" s="85"/>
      <c r="C119" s="85"/>
      <c r="D119" s="85"/>
      <c r="E119" s="85"/>
      <c r="F119" s="85"/>
      <c r="G119" s="10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</row>
    <row r="120">
      <c r="A120" s="85"/>
      <c r="B120" s="85"/>
      <c r="C120" s="85"/>
      <c r="D120" s="85"/>
      <c r="E120" s="85"/>
      <c r="F120" s="85"/>
      <c r="G120" s="10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</row>
    <row r="121">
      <c r="A121" s="85"/>
      <c r="B121" s="85"/>
      <c r="C121" s="85"/>
      <c r="D121" s="85"/>
      <c r="E121" s="85"/>
      <c r="F121" s="85"/>
      <c r="G121" s="10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</row>
    <row r="122">
      <c r="A122" s="85"/>
      <c r="B122" s="85"/>
      <c r="C122" s="85"/>
      <c r="D122" s="85"/>
      <c r="E122" s="85"/>
      <c r="F122" s="85"/>
      <c r="G122" s="10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</row>
    <row r="123">
      <c r="A123" s="85"/>
      <c r="B123" s="85"/>
      <c r="C123" s="85"/>
      <c r="D123" s="85"/>
      <c r="E123" s="85"/>
      <c r="F123" s="85"/>
      <c r="G123" s="10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</row>
    <row r="124">
      <c r="A124" s="85"/>
      <c r="B124" s="85"/>
      <c r="C124" s="85"/>
      <c r="D124" s="85"/>
      <c r="E124" s="85"/>
      <c r="F124" s="85"/>
      <c r="G124" s="10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</row>
    <row r="125">
      <c r="A125" s="85"/>
      <c r="B125" s="85"/>
      <c r="C125" s="85"/>
      <c r="D125" s="85"/>
      <c r="E125" s="85"/>
      <c r="F125" s="85"/>
      <c r="G125" s="10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</row>
    <row r="126">
      <c r="A126" s="85"/>
      <c r="B126" s="85"/>
      <c r="C126" s="85"/>
      <c r="D126" s="85"/>
      <c r="E126" s="85"/>
      <c r="F126" s="85"/>
      <c r="G126" s="10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</row>
    <row r="127">
      <c r="A127" s="85"/>
      <c r="B127" s="85"/>
      <c r="C127" s="85"/>
      <c r="D127" s="85"/>
      <c r="E127" s="85"/>
      <c r="F127" s="85"/>
      <c r="G127" s="10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</row>
    <row r="128">
      <c r="A128" s="85"/>
      <c r="B128" s="85"/>
      <c r="C128" s="85"/>
      <c r="D128" s="85"/>
      <c r="E128" s="85"/>
      <c r="F128" s="85"/>
      <c r="G128" s="10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</row>
    <row r="129">
      <c r="A129" s="85"/>
      <c r="B129" s="85"/>
      <c r="C129" s="85"/>
      <c r="D129" s="85"/>
      <c r="E129" s="85"/>
      <c r="F129" s="85"/>
      <c r="G129" s="10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</row>
    <row r="130">
      <c r="A130" s="85"/>
      <c r="B130" s="85"/>
      <c r="C130" s="85"/>
      <c r="D130" s="85"/>
      <c r="E130" s="85"/>
      <c r="F130" s="85"/>
      <c r="G130" s="10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</row>
    <row r="131">
      <c r="A131" s="85"/>
      <c r="B131" s="85"/>
      <c r="C131" s="85"/>
      <c r="D131" s="85"/>
      <c r="E131" s="85"/>
      <c r="F131" s="85"/>
      <c r="G131" s="10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</row>
    <row r="132">
      <c r="A132" s="85"/>
      <c r="B132" s="85"/>
      <c r="C132" s="85"/>
      <c r="D132" s="85"/>
      <c r="E132" s="85"/>
      <c r="F132" s="85"/>
      <c r="G132" s="10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</row>
    <row r="133">
      <c r="A133" s="85"/>
      <c r="B133" s="85"/>
      <c r="C133" s="85"/>
      <c r="D133" s="85"/>
      <c r="E133" s="85"/>
      <c r="F133" s="85"/>
      <c r="G133" s="10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</row>
    <row r="134">
      <c r="A134" s="85"/>
      <c r="B134" s="85"/>
      <c r="C134" s="85"/>
      <c r="D134" s="85"/>
      <c r="E134" s="85"/>
      <c r="F134" s="85"/>
      <c r="G134" s="10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</row>
    <row r="135">
      <c r="A135" s="85"/>
      <c r="B135" s="85"/>
      <c r="C135" s="85"/>
      <c r="D135" s="85"/>
      <c r="E135" s="85"/>
      <c r="F135" s="85"/>
      <c r="G135" s="10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</row>
    <row r="136">
      <c r="A136" s="85"/>
      <c r="B136" s="85"/>
      <c r="C136" s="85"/>
      <c r="D136" s="85"/>
      <c r="E136" s="85"/>
      <c r="F136" s="85"/>
      <c r="G136" s="10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</row>
    <row r="137">
      <c r="A137" s="85"/>
      <c r="B137" s="85"/>
      <c r="C137" s="85"/>
      <c r="D137" s="85"/>
      <c r="E137" s="85"/>
      <c r="F137" s="85"/>
      <c r="G137" s="10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</row>
    <row r="138">
      <c r="A138" s="85"/>
      <c r="B138" s="85"/>
      <c r="C138" s="85"/>
      <c r="D138" s="85"/>
      <c r="E138" s="85"/>
      <c r="F138" s="85"/>
      <c r="G138" s="10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</row>
    <row r="139">
      <c r="A139" s="85"/>
      <c r="B139" s="85"/>
      <c r="C139" s="85"/>
      <c r="D139" s="85"/>
      <c r="E139" s="85"/>
      <c r="F139" s="85"/>
      <c r="G139" s="10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</row>
    <row r="140">
      <c r="A140" s="85"/>
      <c r="B140" s="85"/>
      <c r="C140" s="85"/>
      <c r="D140" s="85"/>
      <c r="E140" s="85"/>
      <c r="F140" s="85"/>
      <c r="G140" s="10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</row>
    <row r="141">
      <c r="A141" s="85"/>
      <c r="B141" s="85"/>
      <c r="C141" s="85"/>
      <c r="D141" s="85"/>
      <c r="E141" s="85"/>
      <c r="F141" s="85"/>
      <c r="G141" s="10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</row>
    <row r="142">
      <c r="A142" s="85"/>
      <c r="B142" s="85"/>
      <c r="C142" s="85"/>
      <c r="D142" s="85"/>
      <c r="E142" s="85"/>
      <c r="F142" s="85"/>
      <c r="G142" s="10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</row>
    <row r="143">
      <c r="A143" s="85"/>
      <c r="B143" s="85"/>
      <c r="C143" s="85"/>
      <c r="D143" s="85"/>
      <c r="E143" s="85"/>
      <c r="F143" s="85"/>
      <c r="G143" s="10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</row>
    <row r="144">
      <c r="A144" s="85"/>
      <c r="B144" s="85"/>
      <c r="C144" s="85"/>
      <c r="D144" s="85"/>
      <c r="E144" s="85"/>
      <c r="F144" s="85"/>
      <c r="G144" s="10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</row>
    <row r="145">
      <c r="A145" s="85"/>
      <c r="B145" s="85"/>
      <c r="C145" s="85"/>
      <c r="D145" s="85"/>
      <c r="E145" s="85"/>
      <c r="F145" s="85"/>
      <c r="G145" s="10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</row>
    <row r="146">
      <c r="A146" s="85"/>
      <c r="B146" s="85"/>
      <c r="C146" s="85"/>
      <c r="D146" s="85"/>
      <c r="E146" s="85"/>
      <c r="F146" s="85"/>
      <c r="G146" s="10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</row>
    <row r="147">
      <c r="A147" s="85"/>
      <c r="B147" s="85"/>
      <c r="C147" s="85"/>
      <c r="D147" s="85"/>
      <c r="E147" s="85"/>
      <c r="F147" s="85"/>
      <c r="G147" s="10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</row>
    <row r="148">
      <c r="A148" s="85"/>
      <c r="B148" s="85"/>
      <c r="C148" s="85"/>
      <c r="D148" s="85"/>
      <c r="E148" s="85"/>
      <c r="F148" s="85"/>
      <c r="G148" s="10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</row>
    <row r="149">
      <c r="A149" s="85"/>
      <c r="B149" s="85"/>
      <c r="C149" s="85"/>
      <c r="D149" s="85"/>
      <c r="E149" s="85"/>
      <c r="F149" s="85"/>
      <c r="G149" s="10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</row>
    <row r="150">
      <c r="A150" s="85"/>
      <c r="B150" s="85"/>
      <c r="C150" s="85"/>
      <c r="D150" s="85"/>
      <c r="E150" s="85"/>
      <c r="F150" s="85"/>
      <c r="G150" s="10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</row>
    <row r="151">
      <c r="A151" s="85"/>
      <c r="B151" s="85"/>
      <c r="C151" s="85"/>
      <c r="D151" s="85"/>
      <c r="E151" s="85"/>
      <c r="F151" s="85"/>
      <c r="G151" s="10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</row>
    <row r="152">
      <c r="A152" s="85"/>
      <c r="B152" s="85"/>
      <c r="C152" s="85"/>
      <c r="D152" s="85"/>
      <c r="E152" s="85"/>
      <c r="F152" s="85"/>
      <c r="G152" s="10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</row>
    <row r="153">
      <c r="A153" s="85"/>
      <c r="B153" s="85"/>
      <c r="C153" s="85"/>
      <c r="D153" s="85"/>
      <c r="E153" s="85"/>
      <c r="F153" s="85"/>
      <c r="G153" s="10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</row>
    <row r="154">
      <c r="A154" s="85"/>
      <c r="B154" s="85"/>
      <c r="C154" s="85"/>
      <c r="D154" s="85"/>
      <c r="E154" s="85"/>
      <c r="F154" s="85"/>
      <c r="G154" s="10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</row>
    <row r="155">
      <c r="A155" s="85"/>
      <c r="B155" s="85"/>
      <c r="C155" s="85"/>
      <c r="D155" s="85"/>
      <c r="E155" s="85"/>
      <c r="F155" s="85"/>
      <c r="G155" s="10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</row>
    <row r="156">
      <c r="A156" s="85"/>
      <c r="B156" s="85"/>
      <c r="C156" s="85"/>
      <c r="D156" s="85"/>
      <c r="E156" s="85"/>
      <c r="F156" s="85"/>
      <c r="G156" s="10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</row>
    <row r="157">
      <c r="A157" s="85"/>
      <c r="B157" s="85"/>
      <c r="C157" s="85"/>
      <c r="D157" s="85"/>
      <c r="E157" s="85"/>
      <c r="F157" s="85"/>
      <c r="G157" s="10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</row>
    <row r="158">
      <c r="A158" s="85"/>
      <c r="B158" s="85"/>
      <c r="C158" s="85"/>
      <c r="D158" s="85"/>
      <c r="E158" s="85"/>
      <c r="F158" s="85"/>
      <c r="G158" s="10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</row>
    <row r="159">
      <c r="A159" s="85"/>
      <c r="B159" s="85"/>
      <c r="C159" s="85"/>
      <c r="D159" s="85"/>
      <c r="E159" s="85"/>
      <c r="F159" s="85"/>
      <c r="G159" s="10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</row>
    <row r="160">
      <c r="A160" s="85"/>
      <c r="B160" s="85"/>
      <c r="C160" s="85"/>
      <c r="D160" s="85"/>
      <c r="E160" s="85"/>
      <c r="F160" s="85"/>
      <c r="G160" s="10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</row>
    <row r="161">
      <c r="A161" s="85"/>
      <c r="B161" s="85"/>
      <c r="C161" s="85"/>
      <c r="D161" s="85"/>
      <c r="E161" s="85"/>
      <c r="F161" s="85"/>
      <c r="G161" s="10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</row>
    <row r="162">
      <c r="A162" s="85"/>
      <c r="B162" s="85"/>
      <c r="C162" s="85"/>
      <c r="D162" s="85"/>
      <c r="E162" s="85"/>
      <c r="F162" s="85"/>
      <c r="G162" s="10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</row>
    <row r="163">
      <c r="A163" s="85"/>
      <c r="B163" s="85"/>
      <c r="C163" s="85"/>
      <c r="D163" s="85"/>
      <c r="E163" s="85"/>
      <c r="F163" s="85"/>
      <c r="G163" s="10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</row>
    <row r="164">
      <c r="A164" s="85"/>
      <c r="B164" s="85"/>
      <c r="C164" s="85"/>
      <c r="D164" s="85"/>
      <c r="E164" s="85"/>
      <c r="F164" s="85"/>
      <c r="G164" s="10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</row>
    <row r="165">
      <c r="A165" s="85"/>
      <c r="B165" s="85"/>
      <c r="C165" s="85"/>
      <c r="D165" s="85"/>
      <c r="E165" s="85"/>
      <c r="F165" s="85"/>
      <c r="G165" s="10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</row>
    <row r="166">
      <c r="A166" s="85"/>
      <c r="B166" s="85"/>
      <c r="C166" s="85"/>
      <c r="D166" s="85"/>
      <c r="E166" s="85"/>
      <c r="F166" s="85"/>
      <c r="G166" s="10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</row>
    <row r="167">
      <c r="A167" s="85"/>
      <c r="B167" s="85"/>
      <c r="C167" s="85"/>
      <c r="D167" s="85"/>
      <c r="E167" s="85"/>
      <c r="F167" s="85"/>
      <c r="G167" s="10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</row>
    <row r="168">
      <c r="A168" s="85"/>
      <c r="B168" s="85"/>
      <c r="C168" s="85"/>
      <c r="D168" s="85"/>
      <c r="E168" s="85"/>
      <c r="F168" s="85"/>
      <c r="G168" s="10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</row>
    <row r="169">
      <c r="A169" s="85"/>
      <c r="B169" s="85"/>
      <c r="C169" s="85"/>
      <c r="D169" s="85"/>
      <c r="E169" s="85"/>
      <c r="F169" s="85"/>
      <c r="G169" s="10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</row>
    <row r="170">
      <c r="A170" s="85"/>
      <c r="B170" s="85"/>
      <c r="C170" s="85"/>
      <c r="D170" s="85"/>
      <c r="E170" s="85"/>
      <c r="F170" s="85"/>
      <c r="G170" s="10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</row>
    <row r="171">
      <c r="A171" s="85"/>
      <c r="B171" s="85"/>
      <c r="C171" s="85"/>
      <c r="D171" s="85"/>
      <c r="E171" s="85"/>
      <c r="F171" s="85"/>
      <c r="G171" s="10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</row>
    <row r="172">
      <c r="A172" s="85"/>
      <c r="B172" s="85"/>
      <c r="C172" s="85"/>
      <c r="D172" s="85"/>
      <c r="E172" s="85"/>
      <c r="F172" s="85"/>
      <c r="G172" s="10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</row>
    <row r="173">
      <c r="A173" s="85"/>
      <c r="B173" s="85"/>
      <c r="C173" s="85"/>
      <c r="D173" s="85"/>
      <c r="E173" s="85"/>
      <c r="F173" s="85"/>
      <c r="G173" s="10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</row>
    <row r="174">
      <c r="A174" s="85"/>
      <c r="B174" s="85"/>
      <c r="C174" s="85"/>
      <c r="D174" s="85"/>
      <c r="E174" s="85"/>
      <c r="F174" s="85"/>
      <c r="G174" s="10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</row>
    <row r="175">
      <c r="A175" s="85"/>
      <c r="B175" s="85"/>
      <c r="C175" s="85"/>
      <c r="D175" s="85"/>
      <c r="E175" s="85"/>
      <c r="F175" s="85"/>
      <c r="G175" s="10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</row>
    <row r="176">
      <c r="A176" s="85"/>
      <c r="B176" s="85"/>
      <c r="C176" s="85"/>
      <c r="D176" s="85"/>
      <c r="E176" s="85"/>
      <c r="F176" s="85"/>
      <c r="G176" s="10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</row>
    <row r="177">
      <c r="A177" s="85"/>
      <c r="B177" s="85"/>
      <c r="C177" s="85"/>
      <c r="D177" s="85"/>
      <c r="E177" s="85"/>
      <c r="F177" s="85"/>
      <c r="G177" s="10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</row>
    <row r="178">
      <c r="A178" s="85"/>
      <c r="B178" s="85"/>
      <c r="C178" s="85"/>
      <c r="D178" s="85"/>
      <c r="E178" s="85"/>
      <c r="F178" s="85"/>
      <c r="G178" s="10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</row>
    <row r="179">
      <c r="A179" s="85"/>
      <c r="B179" s="85"/>
      <c r="C179" s="85"/>
      <c r="D179" s="85"/>
      <c r="E179" s="85"/>
      <c r="F179" s="85"/>
      <c r="G179" s="10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</row>
    <row r="180">
      <c r="A180" s="85"/>
      <c r="B180" s="85"/>
      <c r="C180" s="85"/>
      <c r="D180" s="85"/>
      <c r="E180" s="85"/>
      <c r="F180" s="85"/>
      <c r="G180" s="10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</row>
    <row r="181">
      <c r="A181" s="85"/>
      <c r="B181" s="85"/>
      <c r="C181" s="85"/>
      <c r="D181" s="85"/>
      <c r="E181" s="85"/>
      <c r="F181" s="85"/>
      <c r="G181" s="10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</row>
    <row r="182">
      <c r="A182" s="85"/>
      <c r="B182" s="85"/>
      <c r="C182" s="85"/>
      <c r="D182" s="85"/>
      <c r="E182" s="85"/>
      <c r="F182" s="85"/>
      <c r="G182" s="10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</row>
    <row r="183">
      <c r="A183" s="85"/>
      <c r="B183" s="85"/>
      <c r="C183" s="85"/>
      <c r="D183" s="85"/>
      <c r="E183" s="85"/>
      <c r="F183" s="85"/>
      <c r="G183" s="10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</row>
    <row r="184">
      <c r="A184" s="85"/>
      <c r="B184" s="85"/>
      <c r="C184" s="85"/>
      <c r="D184" s="85"/>
      <c r="E184" s="85"/>
      <c r="F184" s="85"/>
      <c r="G184" s="10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</row>
    <row r="185">
      <c r="A185" s="85"/>
      <c r="B185" s="85"/>
      <c r="C185" s="85"/>
      <c r="D185" s="85"/>
      <c r="E185" s="85"/>
      <c r="F185" s="85"/>
      <c r="G185" s="10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</row>
    <row r="186">
      <c r="A186" s="85"/>
      <c r="B186" s="85"/>
      <c r="C186" s="85"/>
      <c r="D186" s="85"/>
      <c r="E186" s="85"/>
      <c r="F186" s="85"/>
      <c r="G186" s="10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</row>
    <row r="187">
      <c r="A187" s="85"/>
      <c r="B187" s="85"/>
      <c r="C187" s="85"/>
      <c r="D187" s="85"/>
      <c r="E187" s="85"/>
      <c r="F187" s="85"/>
      <c r="G187" s="10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</row>
    <row r="188">
      <c r="A188" s="85"/>
      <c r="B188" s="85"/>
      <c r="C188" s="85"/>
      <c r="D188" s="85"/>
      <c r="E188" s="85"/>
      <c r="F188" s="85"/>
      <c r="G188" s="10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</row>
    <row r="189">
      <c r="A189" s="85"/>
      <c r="B189" s="85"/>
      <c r="C189" s="85"/>
      <c r="D189" s="85"/>
      <c r="E189" s="85"/>
      <c r="F189" s="85"/>
      <c r="G189" s="10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</row>
    <row r="190">
      <c r="A190" s="85"/>
      <c r="B190" s="85"/>
      <c r="C190" s="85"/>
      <c r="D190" s="85"/>
      <c r="E190" s="85"/>
      <c r="F190" s="85"/>
      <c r="G190" s="10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</row>
    <row r="191">
      <c r="A191" s="85"/>
      <c r="B191" s="85"/>
      <c r="C191" s="85"/>
      <c r="D191" s="85"/>
      <c r="E191" s="85"/>
      <c r="F191" s="85"/>
      <c r="G191" s="10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</row>
    <row r="192">
      <c r="A192" s="85"/>
      <c r="B192" s="85"/>
      <c r="C192" s="85"/>
      <c r="D192" s="85"/>
      <c r="E192" s="85"/>
      <c r="F192" s="85"/>
      <c r="G192" s="10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</row>
    <row r="193">
      <c r="A193" s="85"/>
      <c r="B193" s="85"/>
      <c r="C193" s="85"/>
      <c r="D193" s="85"/>
      <c r="E193" s="85"/>
      <c r="F193" s="85"/>
      <c r="G193" s="10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</row>
    <row r="194">
      <c r="A194" s="85"/>
      <c r="B194" s="85"/>
      <c r="C194" s="85"/>
      <c r="D194" s="85"/>
      <c r="E194" s="85"/>
      <c r="F194" s="85"/>
      <c r="G194" s="10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</row>
    <row r="195">
      <c r="A195" s="85"/>
      <c r="B195" s="85"/>
      <c r="C195" s="85"/>
      <c r="D195" s="85"/>
      <c r="E195" s="85"/>
      <c r="F195" s="85"/>
      <c r="G195" s="10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</row>
    <row r="196">
      <c r="A196" s="85"/>
      <c r="B196" s="85"/>
      <c r="C196" s="85"/>
      <c r="D196" s="85"/>
      <c r="E196" s="85"/>
      <c r="F196" s="85"/>
      <c r="G196" s="10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</row>
    <row r="197">
      <c r="A197" s="85"/>
      <c r="B197" s="85"/>
      <c r="C197" s="85"/>
      <c r="D197" s="85"/>
      <c r="E197" s="85"/>
      <c r="F197" s="85"/>
      <c r="G197" s="10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</row>
    <row r="198">
      <c r="A198" s="85"/>
      <c r="B198" s="85"/>
      <c r="C198" s="85"/>
      <c r="D198" s="85"/>
      <c r="E198" s="85"/>
      <c r="F198" s="85"/>
      <c r="G198" s="10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</row>
    <row r="199">
      <c r="A199" s="85"/>
      <c r="B199" s="85"/>
      <c r="C199" s="85"/>
      <c r="D199" s="85"/>
      <c r="E199" s="85"/>
      <c r="F199" s="85"/>
      <c r="G199" s="10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</row>
    <row r="200">
      <c r="A200" s="85"/>
      <c r="B200" s="85"/>
      <c r="C200" s="85"/>
      <c r="D200" s="85"/>
      <c r="E200" s="85"/>
      <c r="F200" s="85"/>
      <c r="G200" s="10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</row>
    <row r="201">
      <c r="A201" s="85"/>
      <c r="B201" s="85"/>
      <c r="C201" s="85"/>
      <c r="D201" s="85"/>
      <c r="E201" s="85"/>
      <c r="F201" s="85"/>
      <c r="G201" s="10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</row>
    <row r="202">
      <c r="A202" s="85"/>
      <c r="B202" s="85"/>
      <c r="C202" s="85"/>
      <c r="D202" s="85"/>
      <c r="E202" s="85"/>
      <c r="F202" s="85"/>
      <c r="G202" s="10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</row>
    <row r="203">
      <c r="A203" s="85"/>
      <c r="B203" s="85"/>
      <c r="C203" s="85"/>
      <c r="D203" s="85"/>
      <c r="E203" s="85"/>
      <c r="F203" s="85"/>
      <c r="G203" s="10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</row>
    <row r="204">
      <c r="A204" s="85"/>
      <c r="B204" s="85"/>
      <c r="C204" s="85"/>
      <c r="D204" s="85"/>
      <c r="E204" s="85"/>
      <c r="F204" s="85"/>
      <c r="G204" s="10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</row>
    <row r="205">
      <c r="A205" s="85"/>
      <c r="B205" s="85"/>
      <c r="C205" s="85"/>
      <c r="D205" s="85"/>
      <c r="E205" s="85"/>
      <c r="F205" s="85"/>
      <c r="G205" s="10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</row>
    <row r="206">
      <c r="A206" s="85"/>
      <c r="B206" s="85"/>
      <c r="C206" s="85"/>
      <c r="D206" s="85"/>
      <c r="E206" s="85"/>
      <c r="F206" s="85"/>
      <c r="G206" s="10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</row>
    <row r="207">
      <c r="A207" s="85"/>
      <c r="B207" s="85"/>
      <c r="C207" s="85"/>
      <c r="D207" s="85"/>
      <c r="E207" s="85"/>
      <c r="F207" s="85"/>
      <c r="G207" s="10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</row>
    <row r="208">
      <c r="A208" s="85"/>
      <c r="B208" s="85"/>
      <c r="C208" s="85"/>
      <c r="D208" s="85"/>
      <c r="E208" s="85"/>
      <c r="F208" s="85"/>
      <c r="G208" s="10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</row>
    <row r="209">
      <c r="A209" s="85"/>
      <c r="B209" s="85"/>
      <c r="C209" s="85"/>
      <c r="D209" s="85"/>
      <c r="E209" s="85"/>
      <c r="F209" s="85"/>
      <c r="G209" s="10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</row>
    <row r="210">
      <c r="A210" s="85"/>
      <c r="B210" s="85"/>
      <c r="C210" s="85"/>
      <c r="D210" s="85"/>
      <c r="E210" s="85"/>
      <c r="F210" s="85"/>
      <c r="G210" s="10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</row>
    <row r="211">
      <c r="A211" s="85"/>
      <c r="B211" s="85"/>
      <c r="C211" s="85"/>
      <c r="D211" s="85"/>
      <c r="E211" s="85"/>
      <c r="F211" s="85"/>
      <c r="G211" s="10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</row>
    <row r="212">
      <c r="A212" s="85"/>
      <c r="B212" s="85"/>
      <c r="C212" s="85"/>
      <c r="D212" s="85"/>
      <c r="E212" s="85"/>
      <c r="F212" s="85"/>
      <c r="G212" s="10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</row>
    <row r="213">
      <c r="A213" s="85"/>
      <c r="B213" s="85"/>
      <c r="C213" s="85"/>
      <c r="D213" s="85"/>
      <c r="E213" s="85"/>
      <c r="F213" s="85"/>
      <c r="G213" s="10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</row>
    <row r="214">
      <c r="A214" s="85"/>
      <c r="B214" s="85"/>
      <c r="C214" s="85"/>
      <c r="D214" s="85"/>
      <c r="E214" s="85"/>
      <c r="F214" s="85"/>
      <c r="G214" s="10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</row>
    <row r="215">
      <c r="A215" s="85"/>
      <c r="B215" s="85"/>
      <c r="C215" s="85"/>
      <c r="D215" s="85"/>
      <c r="E215" s="85"/>
      <c r="F215" s="85"/>
      <c r="G215" s="10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</row>
    <row r="216">
      <c r="A216" s="85"/>
      <c r="B216" s="85"/>
      <c r="C216" s="85"/>
      <c r="D216" s="85"/>
      <c r="E216" s="85"/>
      <c r="F216" s="85"/>
      <c r="G216" s="10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</row>
    <row r="217">
      <c r="A217" s="85"/>
      <c r="B217" s="85"/>
      <c r="C217" s="85"/>
      <c r="D217" s="85"/>
      <c r="E217" s="85"/>
      <c r="F217" s="85"/>
      <c r="G217" s="10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</row>
    <row r="218">
      <c r="A218" s="85"/>
      <c r="B218" s="85"/>
      <c r="C218" s="85"/>
      <c r="D218" s="85"/>
      <c r="E218" s="85"/>
      <c r="F218" s="85"/>
      <c r="G218" s="10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</row>
    <row r="219">
      <c r="A219" s="85"/>
      <c r="B219" s="85"/>
      <c r="C219" s="85"/>
      <c r="D219" s="85"/>
      <c r="E219" s="85"/>
      <c r="F219" s="85"/>
      <c r="G219" s="10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</row>
    <row r="220">
      <c r="A220" s="85"/>
      <c r="B220" s="85"/>
      <c r="C220" s="85"/>
      <c r="D220" s="85"/>
      <c r="E220" s="85"/>
      <c r="F220" s="85"/>
      <c r="G220" s="10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</row>
    <row r="221">
      <c r="A221" s="85"/>
      <c r="B221" s="85"/>
      <c r="C221" s="85"/>
      <c r="D221" s="85"/>
      <c r="E221" s="85"/>
      <c r="F221" s="85"/>
      <c r="G221" s="10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</row>
    <row r="222">
      <c r="A222" s="85"/>
      <c r="B222" s="85"/>
      <c r="C222" s="85"/>
      <c r="D222" s="85"/>
      <c r="E222" s="85"/>
      <c r="F222" s="85"/>
      <c r="G222" s="10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</row>
    <row r="223">
      <c r="A223" s="85"/>
      <c r="B223" s="85"/>
      <c r="C223" s="85"/>
      <c r="D223" s="85"/>
      <c r="E223" s="85"/>
      <c r="F223" s="85"/>
      <c r="G223" s="10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</row>
    <row r="224">
      <c r="A224" s="85"/>
      <c r="B224" s="85"/>
      <c r="C224" s="85"/>
      <c r="D224" s="85"/>
      <c r="E224" s="85"/>
      <c r="F224" s="85"/>
      <c r="G224" s="10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</row>
    <row r="225">
      <c r="A225" s="85"/>
      <c r="B225" s="85"/>
      <c r="C225" s="85"/>
      <c r="D225" s="85"/>
      <c r="E225" s="85"/>
      <c r="F225" s="85"/>
      <c r="G225" s="10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</row>
    <row r="226">
      <c r="A226" s="85"/>
      <c r="B226" s="85"/>
      <c r="C226" s="85"/>
      <c r="D226" s="85"/>
      <c r="E226" s="85"/>
      <c r="F226" s="85"/>
      <c r="G226" s="10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</row>
    <row r="227">
      <c r="A227" s="85"/>
      <c r="B227" s="85"/>
      <c r="C227" s="85"/>
      <c r="D227" s="85"/>
      <c r="E227" s="85"/>
      <c r="F227" s="85"/>
      <c r="G227" s="10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</row>
    <row r="228">
      <c r="A228" s="85"/>
      <c r="B228" s="85"/>
      <c r="C228" s="85"/>
      <c r="D228" s="85"/>
      <c r="E228" s="85"/>
      <c r="F228" s="85"/>
      <c r="G228" s="10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</row>
    <row r="229">
      <c r="A229" s="85"/>
      <c r="B229" s="85"/>
      <c r="C229" s="85"/>
      <c r="D229" s="85"/>
      <c r="E229" s="85"/>
      <c r="F229" s="85"/>
      <c r="G229" s="10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</row>
    <row r="230">
      <c r="A230" s="85"/>
      <c r="B230" s="85"/>
      <c r="C230" s="85"/>
      <c r="D230" s="85"/>
      <c r="E230" s="85"/>
      <c r="F230" s="85"/>
      <c r="G230" s="10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</row>
    <row r="231">
      <c r="A231" s="85"/>
      <c r="B231" s="85"/>
      <c r="C231" s="85"/>
      <c r="D231" s="85"/>
      <c r="E231" s="85"/>
      <c r="F231" s="85"/>
      <c r="G231" s="10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</row>
    <row r="232">
      <c r="A232" s="85"/>
      <c r="B232" s="85"/>
      <c r="C232" s="85"/>
      <c r="D232" s="85"/>
      <c r="E232" s="85"/>
      <c r="F232" s="85"/>
      <c r="G232" s="10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</row>
    <row r="233">
      <c r="A233" s="85"/>
      <c r="B233" s="85"/>
      <c r="C233" s="85"/>
      <c r="D233" s="85"/>
      <c r="E233" s="85"/>
      <c r="F233" s="85"/>
      <c r="G233" s="10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</row>
    <row r="234">
      <c r="A234" s="85"/>
      <c r="B234" s="85"/>
      <c r="C234" s="85"/>
      <c r="D234" s="85"/>
      <c r="E234" s="85"/>
      <c r="F234" s="85"/>
      <c r="G234" s="10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</row>
    <row r="235">
      <c r="A235" s="85"/>
      <c r="B235" s="85"/>
      <c r="C235" s="85"/>
      <c r="D235" s="85"/>
      <c r="E235" s="85"/>
      <c r="F235" s="85"/>
      <c r="G235" s="10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</row>
    <row r="236">
      <c r="A236" s="85"/>
      <c r="B236" s="85"/>
      <c r="C236" s="85"/>
      <c r="D236" s="85"/>
      <c r="E236" s="85"/>
      <c r="F236" s="85"/>
      <c r="G236" s="10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</row>
    <row r="237">
      <c r="A237" s="85"/>
      <c r="B237" s="85"/>
      <c r="C237" s="85"/>
      <c r="D237" s="85"/>
      <c r="E237" s="85"/>
      <c r="F237" s="85"/>
      <c r="G237" s="10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</row>
    <row r="238">
      <c r="A238" s="85"/>
      <c r="B238" s="85"/>
      <c r="C238" s="85"/>
      <c r="D238" s="85"/>
      <c r="E238" s="85"/>
      <c r="F238" s="85"/>
      <c r="G238" s="10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</row>
    <row r="239">
      <c r="A239" s="85"/>
      <c r="B239" s="85"/>
      <c r="C239" s="85"/>
      <c r="D239" s="85"/>
      <c r="E239" s="85"/>
      <c r="F239" s="85"/>
      <c r="G239" s="10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</row>
    <row r="240">
      <c r="A240" s="85"/>
      <c r="B240" s="85"/>
      <c r="C240" s="85"/>
      <c r="D240" s="85"/>
      <c r="E240" s="85"/>
      <c r="F240" s="85"/>
      <c r="G240" s="10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</row>
    <row r="241">
      <c r="A241" s="85"/>
      <c r="B241" s="85"/>
      <c r="C241" s="85"/>
      <c r="D241" s="85"/>
      <c r="E241" s="85"/>
      <c r="F241" s="85"/>
      <c r="G241" s="10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</row>
    <row r="242">
      <c r="A242" s="85"/>
      <c r="B242" s="85"/>
      <c r="C242" s="85"/>
      <c r="D242" s="85"/>
      <c r="E242" s="85"/>
      <c r="F242" s="85"/>
      <c r="G242" s="10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</row>
    <row r="243">
      <c r="A243" s="85"/>
      <c r="B243" s="85"/>
      <c r="C243" s="85"/>
      <c r="D243" s="85"/>
      <c r="E243" s="85"/>
      <c r="F243" s="85"/>
      <c r="G243" s="10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</row>
    <row r="244">
      <c r="A244" s="85"/>
      <c r="B244" s="85"/>
      <c r="C244" s="85"/>
      <c r="D244" s="85"/>
      <c r="E244" s="85"/>
      <c r="F244" s="85"/>
      <c r="G244" s="10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</row>
    <row r="245">
      <c r="A245" s="85"/>
      <c r="B245" s="85"/>
      <c r="C245" s="85"/>
      <c r="D245" s="85"/>
      <c r="E245" s="85"/>
      <c r="F245" s="85"/>
      <c r="G245" s="10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</row>
    <row r="246">
      <c r="A246" s="85"/>
      <c r="B246" s="85"/>
      <c r="C246" s="85"/>
      <c r="D246" s="85"/>
      <c r="E246" s="85"/>
      <c r="F246" s="85"/>
      <c r="G246" s="10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</row>
    <row r="247">
      <c r="A247" s="85"/>
      <c r="B247" s="85"/>
      <c r="C247" s="85"/>
      <c r="D247" s="85"/>
      <c r="E247" s="85"/>
      <c r="F247" s="85"/>
      <c r="G247" s="10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</row>
    <row r="248">
      <c r="A248" s="85"/>
      <c r="B248" s="85"/>
      <c r="C248" s="85"/>
      <c r="D248" s="85"/>
      <c r="E248" s="85"/>
      <c r="F248" s="85"/>
      <c r="G248" s="10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</row>
    <row r="249">
      <c r="A249" s="85"/>
      <c r="B249" s="85"/>
      <c r="C249" s="85"/>
      <c r="D249" s="85"/>
      <c r="E249" s="85"/>
      <c r="F249" s="85"/>
      <c r="G249" s="10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</row>
    <row r="250">
      <c r="A250" s="85"/>
      <c r="B250" s="85"/>
      <c r="C250" s="85"/>
      <c r="D250" s="85"/>
      <c r="E250" s="85"/>
      <c r="F250" s="85"/>
      <c r="G250" s="10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</row>
    <row r="251">
      <c r="A251" s="85"/>
      <c r="B251" s="85"/>
      <c r="C251" s="85"/>
      <c r="D251" s="85"/>
      <c r="E251" s="85"/>
      <c r="F251" s="85"/>
      <c r="G251" s="10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</row>
    <row r="252">
      <c r="A252" s="85"/>
      <c r="B252" s="85"/>
      <c r="C252" s="85"/>
      <c r="D252" s="85"/>
      <c r="E252" s="85"/>
      <c r="F252" s="85"/>
      <c r="G252" s="10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</row>
    <row r="253">
      <c r="A253" s="85"/>
      <c r="B253" s="85"/>
      <c r="C253" s="85"/>
      <c r="D253" s="85"/>
      <c r="E253" s="85"/>
      <c r="F253" s="85"/>
      <c r="G253" s="10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</row>
    <row r="254">
      <c r="A254" s="85"/>
      <c r="B254" s="85"/>
      <c r="C254" s="85"/>
      <c r="D254" s="85"/>
      <c r="E254" s="85"/>
      <c r="F254" s="85"/>
      <c r="G254" s="10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</row>
    <row r="255">
      <c r="A255" s="85"/>
      <c r="B255" s="85"/>
      <c r="C255" s="85"/>
      <c r="D255" s="85"/>
      <c r="E255" s="85"/>
      <c r="F255" s="85"/>
      <c r="G255" s="10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</row>
    <row r="256">
      <c r="A256" s="85"/>
      <c r="B256" s="85"/>
      <c r="C256" s="85"/>
      <c r="D256" s="85"/>
      <c r="E256" s="85"/>
      <c r="F256" s="85"/>
      <c r="G256" s="10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</row>
    <row r="257">
      <c r="A257" s="85"/>
      <c r="B257" s="85"/>
      <c r="C257" s="85"/>
      <c r="D257" s="85"/>
      <c r="E257" s="85"/>
      <c r="F257" s="85"/>
      <c r="G257" s="10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</row>
    <row r="258">
      <c r="A258" s="85"/>
      <c r="B258" s="85"/>
      <c r="C258" s="85"/>
      <c r="D258" s="85"/>
      <c r="E258" s="85"/>
      <c r="F258" s="85"/>
      <c r="G258" s="10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</row>
    <row r="259">
      <c r="A259" s="85"/>
      <c r="B259" s="85"/>
      <c r="C259" s="85"/>
      <c r="D259" s="85"/>
      <c r="E259" s="85"/>
      <c r="F259" s="85"/>
      <c r="G259" s="10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</row>
    <row r="260">
      <c r="A260" s="85"/>
      <c r="B260" s="85"/>
      <c r="C260" s="85"/>
      <c r="D260" s="85"/>
      <c r="E260" s="85"/>
      <c r="F260" s="85"/>
      <c r="G260" s="10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</row>
    <row r="261">
      <c r="A261" s="85"/>
      <c r="B261" s="85"/>
      <c r="C261" s="85"/>
      <c r="D261" s="85"/>
      <c r="E261" s="85"/>
      <c r="F261" s="85"/>
      <c r="G261" s="10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</row>
    <row r="262">
      <c r="A262" s="85"/>
      <c r="B262" s="85"/>
      <c r="C262" s="85"/>
      <c r="D262" s="85"/>
      <c r="E262" s="85"/>
      <c r="F262" s="85"/>
      <c r="G262" s="10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</row>
    <row r="263">
      <c r="A263" s="85"/>
      <c r="B263" s="85"/>
      <c r="C263" s="85"/>
      <c r="D263" s="85"/>
      <c r="E263" s="85"/>
      <c r="F263" s="85"/>
      <c r="G263" s="10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</row>
    <row r="264">
      <c r="A264" s="85"/>
      <c r="B264" s="85"/>
      <c r="C264" s="85"/>
      <c r="D264" s="85"/>
      <c r="E264" s="85"/>
      <c r="F264" s="85"/>
      <c r="G264" s="10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</row>
    <row r="265">
      <c r="A265" s="85"/>
      <c r="B265" s="85"/>
      <c r="C265" s="85"/>
      <c r="D265" s="85"/>
      <c r="E265" s="85"/>
      <c r="F265" s="85"/>
      <c r="G265" s="10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</row>
    <row r="266">
      <c r="A266" s="85"/>
      <c r="B266" s="85"/>
      <c r="C266" s="85"/>
      <c r="D266" s="85"/>
      <c r="E266" s="85"/>
      <c r="F266" s="85"/>
      <c r="G266" s="10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</row>
    <row r="267">
      <c r="A267" s="85"/>
      <c r="B267" s="85"/>
      <c r="C267" s="85"/>
      <c r="D267" s="85"/>
      <c r="E267" s="85"/>
      <c r="F267" s="85"/>
      <c r="G267" s="10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</row>
    <row r="268">
      <c r="A268" s="85"/>
      <c r="B268" s="85"/>
      <c r="C268" s="85"/>
      <c r="D268" s="85"/>
      <c r="E268" s="85"/>
      <c r="F268" s="85"/>
      <c r="G268" s="10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</row>
    <row r="269">
      <c r="A269" s="85"/>
      <c r="B269" s="85"/>
      <c r="C269" s="85"/>
      <c r="D269" s="85"/>
      <c r="E269" s="85"/>
      <c r="F269" s="85"/>
      <c r="G269" s="10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</row>
    <row r="270">
      <c r="A270" s="85"/>
      <c r="B270" s="85"/>
      <c r="C270" s="85"/>
      <c r="D270" s="85"/>
      <c r="E270" s="85"/>
      <c r="F270" s="85"/>
      <c r="G270" s="10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</row>
    <row r="271">
      <c r="A271" s="85"/>
      <c r="B271" s="85"/>
      <c r="C271" s="85"/>
      <c r="D271" s="85"/>
      <c r="E271" s="85"/>
      <c r="F271" s="85"/>
      <c r="G271" s="10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</row>
    <row r="272">
      <c r="A272" s="85"/>
      <c r="B272" s="85"/>
      <c r="C272" s="85"/>
      <c r="D272" s="85"/>
      <c r="E272" s="85"/>
      <c r="F272" s="85"/>
      <c r="G272" s="10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</row>
    <row r="273">
      <c r="A273" s="85"/>
      <c r="B273" s="85"/>
      <c r="C273" s="85"/>
      <c r="D273" s="85"/>
      <c r="E273" s="85"/>
      <c r="F273" s="85"/>
      <c r="G273" s="10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</row>
    <row r="274">
      <c r="A274" s="85"/>
      <c r="B274" s="85"/>
      <c r="C274" s="85"/>
      <c r="D274" s="85"/>
      <c r="E274" s="85"/>
      <c r="F274" s="85"/>
      <c r="G274" s="10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</row>
    <row r="275">
      <c r="A275" s="85"/>
      <c r="B275" s="85"/>
      <c r="C275" s="85"/>
      <c r="D275" s="85"/>
      <c r="E275" s="85"/>
      <c r="F275" s="85"/>
      <c r="G275" s="10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</row>
    <row r="276">
      <c r="A276" s="85"/>
      <c r="B276" s="85"/>
      <c r="C276" s="85"/>
      <c r="D276" s="85"/>
      <c r="E276" s="85"/>
      <c r="F276" s="85"/>
      <c r="G276" s="10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</row>
    <row r="277">
      <c r="A277" s="85"/>
      <c r="B277" s="85"/>
      <c r="C277" s="85"/>
      <c r="D277" s="85"/>
      <c r="E277" s="85"/>
      <c r="F277" s="85"/>
      <c r="G277" s="10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</row>
    <row r="278">
      <c r="A278" s="85"/>
      <c r="B278" s="85"/>
      <c r="C278" s="85"/>
      <c r="D278" s="85"/>
      <c r="E278" s="85"/>
      <c r="F278" s="85"/>
      <c r="G278" s="10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</row>
    <row r="279">
      <c r="A279" s="85"/>
      <c r="B279" s="85"/>
      <c r="C279" s="85"/>
      <c r="D279" s="85"/>
      <c r="E279" s="85"/>
      <c r="F279" s="85"/>
      <c r="G279" s="10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</row>
    <row r="280">
      <c r="A280" s="85"/>
      <c r="B280" s="85"/>
      <c r="C280" s="85"/>
      <c r="D280" s="85"/>
      <c r="E280" s="85"/>
      <c r="F280" s="85"/>
      <c r="G280" s="10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</row>
    <row r="281">
      <c r="A281" s="85"/>
      <c r="B281" s="85"/>
      <c r="C281" s="85"/>
      <c r="D281" s="85"/>
      <c r="E281" s="85"/>
      <c r="F281" s="85"/>
      <c r="G281" s="10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</row>
    <row r="282">
      <c r="A282" s="85"/>
      <c r="B282" s="85"/>
      <c r="C282" s="85"/>
      <c r="D282" s="85"/>
      <c r="E282" s="85"/>
      <c r="F282" s="85"/>
      <c r="G282" s="10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</row>
    <row r="283">
      <c r="A283" s="85"/>
      <c r="B283" s="85"/>
      <c r="C283" s="85"/>
      <c r="D283" s="85"/>
      <c r="E283" s="85"/>
      <c r="F283" s="85"/>
      <c r="G283" s="10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</row>
    <row r="284">
      <c r="A284" s="85"/>
      <c r="B284" s="85"/>
      <c r="C284" s="85"/>
      <c r="D284" s="85"/>
      <c r="E284" s="85"/>
      <c r="F284" s="85"/>
      <c r="G284" s="10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</row>
    <row r="285">
      <c r="A285" s="85"/>
      <c r="B285" s="85"/>
      <c r="C285" s="85"/>
      <c r="D285" s="85"/>
      <c r="E285" s="85"/>
      <c r="F285" s="85"/>
      <c r="G285" s="10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</row>
    <row r="286">
      <c r="A286" s="85"/>
      <c r="B286" s="85"/>
      <c r="C286" s="85"/>
      <c r="D286" s="85"/>
      <c r="E286" s="85"/>
      <c r="F286" s="85"/>
      <c r="G286" s="10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</row>
    <row r="287">
      <c r="A287" s="85"/>
      <c r="B287" s="85"/>
      <c r="C287" s="85"/>
      <c r="D287" s="85"/>
      <c r="E287" s="85"/>
      <c r="F287" s="85"/>
      <c r="G287" s="10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</row>
    <row r="288">
      <c r="A288" s="85"/>
      <c r="B288" s="85"/>
      <c r="C288" s="85"/>
      <c r="D288" s="85"/>
      <c r="E288" s="85"/>
      <c r="F288" s="85"/>
      <c r="G288" s="10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</row>
    <row r="289">
      <c r="A289" s="85"/>
      <c r="B289" s="85"/>
      <c r="C289" s="85"/>
      <c r="D289" s="85"/>
      <c r="E289" s="85"/>
      <c r="F289" s="85"/>
      <c r="G289" s="10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</row>
    <row r="290">
      <c r="A290" s="85"/>
      <c r="B290" s="85"/>
      <c r="C290" s="85"/>
      <c r="D290" s="85"/>
      <c r="E290" s="85"/>
      <c r="F290" s="85"/>
      <c r="G290" s="10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</row>
    <row r="291">
      <c r="A291" s="85"/>
      <c r="B291" s="85"/>
      <c r="C291" s="85"/>
      <c r="D291" s="85"/>
      <c r="E291" s="85"/>
      <c r="F291" s="85"/>
      <c r="G291" s="10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</row>
    <row r="292">
      <c r="A292" s="85"/>
      <c r="B292" s="85"/>
      <c r="C292" s="85"/>
      <c r="D292" s="85"/>
      <c r="E292" s="85"/>
      <c r="F292" s="85"/>
      <c r="G292" s="10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</row>
    <row r="293">
      <c r="A293" s="85"/>
      <c r="B293" s="85"/>
      <c r="C293" s="85"/>
      <c r="D293" s="85"/>
      <c r="E293" s="85"/>
      <c r="F293" s="85"/>
      <c r="G293" s="10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</row>
    <row r="294">
      <c r="A294" s="85"/>
      <c r="B294" s="85"/>
      <c r="C294" s="85"/>
      <c r="D294" s="85"/>
      <c r="E294" s="85"/>
      <c r="F294" s="85"/>
      <c r="G294" s="10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</row>
    <row r="295">
      <c r="A295" s="85"/>
      <c r="B295" s="85"/>
      <c r="C295" s="85"/>
      <c r="D295" s="85"/>
      <c r="E295" s="85"/>
      <c r="F295" s="85"/>
      <c r="G295" s="10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</row>
    <row r="296">
      <c r="A296" s="85"/>
      <c r="B296" s="85"/>
      <c r="C296" s="85"/>
      <c r="D296" s="85"/>
      <c r="E296" s="85"/>
      <c r="F296" s="85"/>
      <c r="G296" s="10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</row>
    <row r="297">
      <c r="A297" s="85"/>
      <c r="B297" s="85"/>
      <c r="C297" s="85"/>
      <c r="D297" s="85"/>
      <c r="E297" s="85"/>
      <c r="F297" s="85"/>
      <c r="G297" s="10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</row>
    <row r="298">
      <c r="A298" s="85"/>
      <c r="B298" s="85"/>
      <c r="C298" s="85"/>
      <c r="D298" s="85"/>
      <c r="E298" s="85"/>
      <c r="F298" s="85"/>
      <c r="G298" s="10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</row>
    <row r="299">
      <c r="A299" s="85"/>
      <c r="B299" s="85"/>
      <c r="C299" s="85"/>
      <c r="D299" s="85"/>
      <c r="E299" s="85"/>
      <c r="F299" s="85"/>
      <c r="G299" s="10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</row>
    <row r="300">
      <c r="A300" s="85"/>
      <c r="B300" s="85"/>
      <c r="C300" s="85"/>
      <c r="D300" s="85"/>
      <c r="E300" s="85"/>
      <c r="F300" s="85"/>
      <c r="G300" s="10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</row>
    <row r="301">
      <c r="A301" s="85"/>
      <c r="B301" s="85"/>
      <c r="C301" s="85"/>
      <c r="D301" s="85"/>
      <c r="E301" s="85"/>
      <c r="F301" s="85"/>
      <c r="G301" s="10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</row>
    <row r="302">
      <c r="A302" s="85"/>
      <c r="B302" s="85"/>
      <c r="C302" s="85"/>
      <c r="D302" s="85"/>
      <c r="E302" s="85"/>
      <c r="F302" s="85"/>
      <c r="G302" s="10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</row>
    <row r="303">
      <c r="A303" s="85"/>
      <c r="B303" s="85"/>
      <c r="C303" s="85"/>
      <c r="D303" s="85"/>
      <c r="E303" s="85"/>
      <c r="F303" s="85"/>
      <c r="G303" s="10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</row>
    <row r="304">
      <c r="A304" s="85"/>
      <c r="B304" s="85"/>
      <c r="C304" s="85"/>
      <c r="D304" s="85"/>
      <c r="E304" s="85"/>
      <c r="F304" s="85"/>
      <c r="G304" s="10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</row>
    <row r="305">
      <c r="A305" s="85"/>
      <c r="B305" s="85"/>
      <c r="C305" s="85"/>
      <c r="D305" s="85"/>
      <c r="E305" s="85"/>
      <c r="F305" s="85"/>
      <c r="G305" s="10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</row>
    <row r="306">
      <c r="A306" s="85"/>
      <c r="B306" s="85"/>
      <c r="C306" s="85"/>
      <c r="D306" s="85"/>
      <c r="E306" s="85"/>
      <c r="F306" s="85"/>
      <c r="G306" s="10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</row>
    <row r="307">
      <c r="A307" s="85"/>
      <c r="B307" s="85"/>
      <c r="C307" s="85"/>
      <c r="D307" s="85"/>
      <c r="E307" s="85"/>
      <c r="F307" s="85"/>
      <c r="G307" s="10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</row>
    <row r="308">
      <c r="A308" s="85"/>
      <c r="B308" s="85"/>
      <c r="C308" s="85"/>
      <c r="D308" s="85"/>
      <c r="E308" s="85"/>
      <c r="F308" s="85"/>
      <c r="G308" s="10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</row>
    <row r="309">
      <c r="A309" s="85"/>
      <c r="B309" s="85"/>
      <c r="C309" s="85"/>
      <c r="D309" s="85"/>
      <c r="E309" s="85"/>
      <c r="F309" s="85"/>
      <c r="G309" s="10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</row>
    <row r="310">
      <c r="A310" s="85"/>
      <c r="B310" s="85"/>
      <c r="C310" s="85"/>
      <c r="D310" s="85"/>
      <c r="E310" s="85"/>
      <c r="F310" s="85"/>
      <c r="G310" s="10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</row>
    <row r="311">
      <c r="A311" s="85"/>
      <c r="B311" s="85"/>
      <c r="C311" s="85"/>
      <c r="D311" s="85"/>
      <c r="E311" s="85"/>
      <c r="F311" s="85"/>
      <c r="G311" s="10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</row>
    <row r="312">
      <c r="A312" s="85"/>
      <c r="B312" s="85"/>
      <c r="C312" s="85"/>
      <c r="D312" s="85"/>
      <c r="E312" s="85"/>
      <c r="F312" s="85"/>
      <c r="G312" s="10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</row>
    <row r="313">
      <c r="A313" s="85"/>
      <c r="B313" s="85"/>
      <c r="C313" s="85"/>
      <c r="D313" s="85"/>
      <c r="E313" s="85"/>
      <c r="F313" s="85"/>
      <c r="G313" s="10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</row>
    <row r="314">
      <c r="A314" s="85"/>
      <c r="B314" s="85"/>
      <c r="C314" s="85"/>
      <c r="D314" s="85"/>
      <c r="E314" s="85"/>
      <c r="F314" s="85"/>
      <c r="G314" s="10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</row>
    <row r="315">
      <c r="A315" s="85"/>
      <c r="B315" s="85"/>
      <c r="C315" s="85"/>
      <c r="D315" s="85"/>
      <c r="E315" s="85"/>
      <c r="F315" s="85"/>
      <c r="G315" s="10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</row>
    <row r="316">
      <c r="A316" s="85"/>
      <c r="B316" s="85"/>
      <c r="C316" s="85"/>
      <c r="D316" s="85"/>
      <c r="E316" s="85"/>
      <c r="F316" s="85"/>
      <c r="G316" s="10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</row>
    <row r="317">
      <c r="A317" s="85"/>
      <c r="B317" s="85"/>
      <c r="C317" s="85"/>
      <c r="D317" s="85"/>
      <c r="E317" s="85"/>
      <c r="F317" s="85"/>
      <c r="G317" s="10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</row>
    <row r="318">
      <c r="A318" s="85"/>
      <c r="B318" s="85"/>
      <c r="C318" s="85"/>
      <c r="D318" s="85"/>
      <c r="E318" s="85"/>
      <c r="F318" s="85"/>
      <c r="G318" s="10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</row>
    <row r="319">
      <c r="A319" s="85"/>
      <c r="B319" s="85"/>
      <c r="C319" s="85"/>
      <c r="D319" s="85"/>
      <c r="E319" s="85"/>
      <c r="F319" s="85"/>
      <c r="G319" s="10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</row>
    <row r="320">
      <c r="A320" s="85"/>
      <c r="B320" s="85"/>
      <c r="C320" s="85"/>
      <c r="D320" s="85"/>
      <c r="E320" s="85"/>
      <c r="F320" s="85"/>
      <c r="G320" s="10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</row>
    <row r="321">
      <c r="A321" s="85"/>
      <c r="B321" s="85"/>
      <c r="C321" s="85"/>
      <c r="D321" s="85"/>
      <c r="E321" s="85"/>
      <c r="F321" s="85"/>
      <c r="G321" s="10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</row>
    <row r="322">
      <c r="A322" s="85"/>
      <c r="B322" s="85"/>
      <c r="C322" s="85"/>
      <c r="D322" s="85"/>
      <c r="E322" s="85"/>
      <c r="F322" s="85"/>
      <c r="G322" s="10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</row>
    <row r="323">
      <c r="A323" s="85"/>
      <c r="B323" s="85"/>
      <c r="C323" s="85"/>
      <c r="D323" s="85"/>
      <c r="E323" s="85"/>
      <c r="F323" s="85"/>
      <c r="G323" s="10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</row>
    <row r="324">
      <c r="A324" s="85"/>
      <c r="B324" s="85"/>
      <c r="C324" s="85"/>
      <c r="D324" s="85"/>
      <c r="E324" s="85"/>
      <c r="F324" s="85"/>
      <c r="G324" s="10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</row>
    <row r="325">
      <c r="A325" s="85"/>
      <c r="B325" s="85"/>
      <c r="C325" s="85"/>
      <c r="D325" s="85"/>
      <c r="E325" s="85"/>
      <c r="F325" s="85"/>
      <c r="G325" s="10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</row>
    <row r="326">
      <c r="A326" s="85"/>
      <c r="B326" s="85"/>
      <c r="C326" s="85"/>
      <c r="D326" s="85"/>
      <c r="E326" s="85"/>
      <c r="F326" s="85"/>
      <c r="G326" s="10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</row>
    <row r="327">
      <c r="A327" s="85"/>
      <c r="B327" s="85"/>
      <c r="C327" s="85"/>
      <c r="D327" s="85"/>
      <c r="E327" s="85"/>
      <c r="F327" s="85"/>
      <c r="G327" s="10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</row>
    <row r="328">
      <c r="A328" s="85"/>
      <c r="B328" s="85"/>
      <c r="C328" s="85"/>
      <c r="D328" s="85"/>
      <c r="E328" s="85"/>
      <c r="F328" s="85"/>
      <c r="G328" s="10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</row>
    <row r="329">
      <c r="A329" s="85"/>
      <c r="B329" s="85"/>
      <c r="C329" s="85"/>
      <c r="D329" s="85"/>
      <c r="E329" s="85"/>
      <c r="F329" s="85"/>
      <c r="G329" s="10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</row>
    <row r="330">
      <c r="A330" s="85"/>
      <c r="B330" s="85"/>
      <c r="C330" s="85"/>
      <c r="D330" s="85"/>
      <c r="E330" s="85"/>
      <c r="F330" s="85"/>
      <c r="G330" s="10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</row>
    <row r="331">
      <c r="A331" s="85"/>
      <c r="B331" s="85"/>
      <c r="C331" s="85"/>
      <c r="D331" s="85"/>
      <c r="E331" s="85"/>
      <c r="F331" s="85"/>
      <c r="G331" s="10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</row>
    <row r="332">
      <c r="A332" s="85"/>
      <c r="B332" s="85"/>
      <c r="C332" s="85"/>
      <c r="D332" s="85"/>
      <c r="E332" s="85"/>
      <c r="F332" s="85"/>
      <c r="G332" s="10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</row>
    <row r="333">
      <c r="A333" s="85"/>
      <c r="B333" s="85"/>
      <c r="C333" s="85"/>
      <c r="D333" s="85"/>
      <c r="E333" s="85"/>
      <c r="F333" s="85"/>
      <c r="G333" s="10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</row>
    <row r="334">
      <c r="A334" s="85"/>
      <c r="B334" s="85"/>
      <c r="C334" s="85"/>
      <c r="D334" s="85"/>
      <c r="E334" s="85"/>
      <c r="F334" s="85"/>
      <c r="G334" s="10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</row>
    <row r="335">
      <c r="A335" s="85"/>
      <c r="B335" s="85"/>
      <c r="C335" s="85"/>
      <c r="D335" s="85"/>
      <c r="E335" s="85"/>
      <c r="F335" s="85"/>
      <c r="G335" s="10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</row>
    <row r="336">
      <c r="A336" s="85"/>
      <c r="B336" s="85"/>
      <c r="C336" s="85"/>
      <c r="D336" s="85"/>
      <c r="E336" s="85"/>
      <c r="F336" s="85"/>
      <c r="G336" s="10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</row>
    <row r="337">
      <c r="A337" s="85"/>
      <c r="B337" s="85"/>
      <c r="C337" s="85"/>
      <c r="D337" s="85"/>
      <c r="E337" s="85"/>
      <c r="F337" s="85"/>
      <c r="G337" s="10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</row>
    <row r="338">
      <c r="A338" s="85"/>
      <c r="B338" s="85"/>
      <c r="C338" s="85"/>
      <c r="D338" s="85"/>
      <c r="E338" s="85"/>
      <c r="F338" s="85"/>
      <c r="G338" s="10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</row>
    <row r="339">
      <c r="A339" s="85"/>
      <c r="B339" s="85"/>
      <c r="C339" s="85"/>
      <c r="D339" s="85"/>
      <c r="E339" s="85"/>
      <c r="F339" s="85"/>
      <c r="G339" s="10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</row>
    <row r="340">
      <c r="A340" s="85"/>
      <c r="B340" s="85"/>
      <c r="C340" s="85"/>
      <c r="D340" s="85"/>
      <c r="E340" s="85"/>
      <c r="F340" s="85"/>
      <c r="G340" s="10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</row>
    <row r="341">
      <c r="A341" s="85"/>
      <c r="B341" s="85"/>
      <c r="C341" s="85"/>
      <c r="D341" s="85"/>
      <c r="E341" s="85"/>
      <c r="F341" s="85"/>
      <c r="G341" s="10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</row>
    <row r="342">
      <c r="A342" s="85"/>
      <c r="B342" s="85"/>
      <c r="C342" s="85"/>
      <c r="D342" s="85"/>
      <c r="E342" s="85"/>
      <c r="F342" s="85"/>
      <c r="G342" s="10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</row>
    <row r="343">
      <c r="A343" s="85"/>
      <c r="B343" s="85"/>
      <c r="C343" s="85"/>
      <c r="D343" s="85"/>
      <c r="E343" s="85"/>
      <c r="F343" s="85"/>
      <c r="G343" s="10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</row>
    <row r="344">
      <c r="A344" s="85"/>
      <c r="B344" s="85"/>
      <c r="C344" s="85"/>
      <c r="D344" s="85"/>
      <c r="E344" s="85"/>
      <c r="F344" s="85"/>
      <c r="G344" s="10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</row>
    <row r="345">
      <c r="A345" s="85"/>
      <c r="B345" s="85"/>
      <c r="C345" s="85"/>
      <c r="D345" s="85"/>
      <c r="E345" s="85"/>
      <c r="F345" s="85"/>
      <c r="G345" s="10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</row>
    <row r="346">
      <c r="A346" s="85"/>
      <c r="B346" s="85"/>
      <c r="C346" s="85"/>
      <c r="D346" s="85"/>
      <c r="E346" s="85"/>
      <c r="F346" s="85"/>
      <c r="G346" s="10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</row>
    <row r="347">
      <c r="A347" s="85"/>
      <c r="B347" s="85"/>
      <c r="C347" s="85"/>
      <c r="D347" s="85"/>
      <c r="E347" s="85"/>
      <c r="F347" s="85"/>
      <c r="G347" s="10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</row>
    <row r="348">
      <c r="A348" s="85"/>
      <c r="B348" s="85"/>
      <c r="C348" s="85"/>
      <c r="D348" s="85"/>
      <c r="E348" s="85"/>
      <c r="F348" s="85"/>
      <c r="G348" s="10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</row>
    <row r="349">
      <c r="A349" s="85"/>
      <c r="B349" s="85"/>
      <c r="C349" s="85"/>
      <c r="D349" s="85"/>
      <c r="E349" s="85"/>
      <c r="F349" s="85"/>
      <c r="G349" s="10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</row>
    <row r="350">
      <c r="A350" s="85"/>
      <c r="B350" s="85"/>
      <c r="C350" s="85"/>
      <c r="D350" s="85"/>
      <c r="E350" s="85"/>
      <c r="F350" s="85"/>
      <c r="G350" s="10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</row>
    <row r="351">
      <c r="A351" s="85"/>
      <c r="B351" s="85"/>
      <c r="C351" s="85"/>
      <c r="D351" s="85"/>
      <c r="E351" s="85"/>
      <c r="F351" s="85"/>
      <c r="G351" s="10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</row>
    <row r="352">
      <c r="A352" s="85"/>
      <c r="B352" s="85"/>
      <c r="C352" s="85"/>
      <c r="D352" s="85"/>
      <c r="E352" s="85"/>
      <c r="F352" s="85"/>
      <c r="G352" s="10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</row>
    <row r="353">
      <c r="A353" s="85"/>
      <c r="B353" s="85"/>
      <c r="C353" s="85"/>
      <c r="D353" s="85"/>
      <c r="E353" s="85"/>
      <c r="F353" s="85"/>
      <c r="G353" s="10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</row>
    <row r="354">
      <c r="A354" s="85"/>
      <c r="B354" s="85"/>
      <c r="C354" s="85"/>
      <c r="D354" s="85"/>
      <c r="E354" s="85"/>
      <c r="F354" s="85"/>
      <c r="G354" s="10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</row>
    <row r="355">
      <c r="A355" s="85"/>
      <c r="B355" s="85"/>
      <c r="C355" s="85"/>
      <c r="D355" s="85"/>
      <c r="E355" s="85"/>
      <c r="F355" s="85"/>
      <c r="G355" s="10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</row>
    <row r="356">
      <c r="A356" s="85"/>
      <c r="B356" s="85"/>
      <c r="C356" s="85"/>
      <c r="D356" s="85"/>
      <c r="E356" s="85"/>
      <c r="F356" s="85"/>
      <c r="G356" s="10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</row>
    <row r="357">
      <c r="A357" s="85"/>
      <c r="B357" s="85"/>
      <c r="C357" s="85"/>
      <c r="D357" s="85"/>
      <c r="E357" s="85"/>
      <c r="F357" s="85"/>
      <c r="G357" s="10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</row>
    <row r="358">
      <c r="A358" s="85"/>
      <c r="B358" s="85"/>
      <c r="C358" s="85"/>
      <c r="D358" s="85"/>
      <c r="E358" s="85"/>
      <c r="F358" s="85"/>
      <c r="G358" s="10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</row>
    <row r="359">
      <c r="A359" s="85"/>
      <c r="B359" s="85"/>
      <c r="C359" s="85"/>
      <c r="D359" s="85"/>
      <c r="E359" s="85"/>
      <c r="F359" s="85"/>
      <c r="G359" s="10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</row>
    <row r="360">
      <c r="A360" s="85"/>
      <c r="B360" s="85"/>
      <c r="C360" s="85"/>
      <c r="D360" s="85"/>
      <c r="E360" s="85"/>
      <c r="F360" s="85"/>
      <c r="G360" s="10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</row>
    <row r="361">
      <c r="A361" s="85"/>
      <c r="B361" s="85"/>
      <c r="C361" s="85"/>
      <c r="D361" s="85"/>
      <c r="E361" s="85"/>
      <c r="F361" s="85"/>
      <c r="G361" s="10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</row>
    <row r="362">
      <c r="A362" s="85"/>
      <c r="B362" s="85"/>
      <c r="C362" s="85"/>
      <c r="D362" s="85"/>
      <c r="E362" s="85"/>
      <c r="F362" s="85"/>
      <c r="G362" s="10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</row>
    <row r="363">
      <c r="A363" s="85"/>
      <c r="B363" s="85"/>
      <c r="C363" s="85"/>
      <c r="D363" s="85"/>
      <c r="E363" s="85"/>
      <c r="F363" s="85"/>
      <c r="G363" s="10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</row>
    <row r="364">
      <c r="A364" s="85"/>
      <c r="B364" s="85"/>
      <c r="C364" s="85"/>
      <c r="D364" s="85"/>
      <c r="E364" s="85"/>
      <c r="F364" s="85"/>
      <c r="G364" s="10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</row>
    <row r="365">
      <c r="A365" s="85"/>
      <c r="B365" s="85"/>
      <c r="C365" s="85"/>
      <c r="D365" s="85"/>
      <c r="E365" s="85"/>
      <c r="F365" s="85"/>
      <c r="G365" s="10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</row>
    <row r="366">
      <c r="A366" s="85"/>
      <c r="B366" s="85"/>
      <c r="C366" s="85"/>
      <c r="D366" s="85"/>
      <c r="E366" s="85"/>
      <c r="F366" s="85"/>
      <c r="G366" s="10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</row>
    <row r="367">
      <c r="A367" s="85"/>
      <c r="B367" s="85"/>
      <c r="C367" s="85"/>
      <c r="D367" s="85"/>
      <c r="E367" s="85"/>
      <c r="F367" s="85"/>
      <c r="G367" s="10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</row>
    <row r="368">
      <c r="A368" s="85"/>
      <c r="B368" s="85"/>
      <c r="C368" s="85"/>
      <c r="D368" s="85"/>
      <c r="E368" s="85"/>
      <c r="F368" s="85"/>
      <c r="G368" s="10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</row>
    <row r="369">
      <c r="A369" s="85"/>
      <c r="B369" s="85"/>
      <c r="C369" s="85"/>
      <c r="D369" s="85"/>
      <c r="E369" s="85"/>
      <c r="F369" s="85"/>
      <c r="G369" s="10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</row>
    <row r="370">
      <c r="A370" s="85"/>
      <c r="B370" s="85"/>
      <c r="C370" s="85"/>
      <c r="D370" s="85"/>
      <c r="E370" s="85"/>
      <c r="F370" s="85"/>
      <c r="G370" s="10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</row>
    <row r="371">
      <c r="A371" s="85"/>
      <c r="B371" s="85"/>
      <c r="C371" s="85"/>
      <c r="D371" s="85"/>
      <c r="E371" s="85"/>
      <c r="F371" s="85"/>
      <c r="G371" s="10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</row>
    <row r="372">
      <c r="A372" s="85"/>
      <c r="B372" s="85"/>
      <c r="C372" s="85"/>
      <c r="D372" s="85"/>
      <c r="E372" s="85"/>
      <c r="F372" s="85"/>
      <c r="G372" s="10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</row>
    <row r="373">
      <c r="A373" s="85"/>
      <c r="B373" s="85"/>
      <c r="C373" s="85"/>
      <c r="D373" s="85"/>
      <c r="E373" s="85"/>
      <c r="F373" s="85"/>
      <c r="G373" s="10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</row>
    <row r="374">
      <c r="A374" s="85"/>
      <c r="B374" s="85"/>
      <c r="C374" s="85"/>
      <c r="D374" s="85"/>
      <c r="E374" s="85"/>
      <c r="F374" s="85"/>
      <c r="G374" s="10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</row>
    <row r="375">
      <c r="A375" s="85"/>
      <c r="B375" s="85"/>
      <c r="C375" s="85"/>
      <c r="D375" s="85"/>
      <c r="E375" s="85"/>
      <c r="F375" s="85"/>
      <c r="G375" s="10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</row>
    <row r="376">
      <c r="A376" s="85"/>
      <c r="B376" s="85"/>
      <c r="C376" s="85"/>
      <c r="D376" s="85"/>
      <c r="E376" s="85"/>
      <c r="F376" s="85"/>
      <c r="G376" s="10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</row>
    <row r="377">
      <c r="A377" s="85"/>
      <c r="B377" s="85"/>
      <c r="C377" s="85"/>
      <c r="D377" s="85"/>
      <c r="E377" s="85"/>
      <c r="F377" s="85"/>
      <c r="G377" s="10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</row>
    <row r="378">
      <c r="A378" s="85"/>
      <c r="B378" s="85"/>
      <c r="C378" s="85"/>
      <c r="D378" s="85"/>
      <c r="E378" s="85"/>
      <c r="F378" s="85"/>
      <c r="G378" s="10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</row>
    <row r="379">
      <c r="A379" s="85"/>
      <c r="B379" s="85"/>
      <c r="C379" s="85"/>
      <c r="D379" s="85"/>
      <c r="E379" s="85"/>
      <c r="F379" s="85"/>
      <c r="G379" s="10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</row>
    <row r="380">
      <c r="A380" s="85"/>
      <c r="B380" s="85"/>
      <c r="C380" s="85"/>
      <c r="D380" s="85"/>
      <c r="E380" s="85"/>
      <c r="F380" s="85"/>
      <c r="G380" s="10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</row>
    <row r="381">
      <c r="A381" s="85"/>
      <c r="B381" s="85"/>
      <c r="C381" s="85"/>
      <c r="D381" s="85"/>
      <c r="E381" s="85"/>
      <c r="F381" s="85"/>
      <c r="G381" s="10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</row>
    <row r="382">
      <c r="A382" s="85"/>
      <c r="B382" s="85"/>
      <c r="C382" s="85"/>
      <c r="D382" s="85"/>
      <c r="E382" s="85"/>
      <c r="F382" s="85"/>
      <c r="G382" s="10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</row>
    <row r="383">
      <c r="A383" s="85"/>
      <c r="B383" s="85"/>
      <c r="C383" s="85"/>
      <c r="D383" s="85"/>
      <c r="E383" s="85"/>
      <c r="F383" s="85"/>
      <c r="G383" s="10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</row>
    <row r="384">
      <c r="A384" s="85"/>
      <c r="B384" s="85"/>
      <c r="C384" s="85"/>
      <c r="D384" s="85"/>
      <c r="E384" s="85"/>
      <c r="F384" s="85"/>
      <c r="G384" s="10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</row>
    <row r="385">
      <c r="A385" s="85"/>
      <c r="B385" s="85"/>
      <c r="C385" s="85"/>
      <c r="D385" s="85"/>
      <c r="E385" s="85"/>
      <c r="F385" s="85"/>
      <c r="G385" s="10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</row>
    <row r="386">
      <c r="A386" s="85"/>
      <c r="B386" s="85"/>
      <c r="C386" s="85"/>
      <c r="D386" s="85"/>
      <c r="E386" s="85"/>
      <c r="F386" s="85"/>
      <c r="G386" s="10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</row>
    <row r="387">
      <c r="A387" s="85"/>
      <c r="B387" s="85"/>
      <c r="C387" s="85"/>
      <c r="D387" s="85"/>
      <c r="E387" s="85"/>
      <c r="F387" s="85"/>
      <c r="G387" s="10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</row>
    <row r="388">
      <c r="A388" s="85"/>
      <c r="B388" s="85"/>
      <c r="C388" s="85"/>
      <c r="D388" s="85"/>
      <c r="E388" s="85"/>
      <c r="F388" s="85"/>
      <c r="G388" s="10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</row>
    <row r="389">
      <c r="A389" s="85"/>
      <c r="B389" s="85"/>
      <c r="C389" s="85"/>
      <c r="D389" s="85"/>
      <c r="E389" s="85"/>
      <c r="F389" s="85"/>
      <c r="G389" s="10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</row>
    <row r="390">
      <c r="A390" s="85"/>
      <c r="B390" s="85"/>
      <c r="C390" s="85"/>
      <c r="D390" s="85"/>
      <c r="E390" s="85"/>
      <c r="F390" s="85"/>
      <c r="G390" s="10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</row>
    <row r="391">
      <c r="A391" s="85"/>
      <c r="B391" s="85"/>
      <c r="C391" s="85"/>
      <c r="D391" s="85"/>
      <c r="E391" s="85"/>
      <c r="F391" s="85"/>
      <c r="G391" s="10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</row>
    <row r="392">
      <c r="A392" s="85"/>
      <c r="B392" s="85"/>
      <c r="C392" s="85"/>
      <c r="D392" s="85"/>
      <c r="E392" s="85"/>
      <c r="F392" s="85"/>
      <c r="G392" s="10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</row>
    <row r="393">
      <c r="A393" s="85"/>
      <c r="B393" s="85"/>
      <c r="C393" s="85"/>
      <c r="D393" s="85"/>
      <c r="E393" s="85"/>
      <c r="F393" s="85"/>
      <c r="G393" s="10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</row>
    <row r="394">
      <c r="A394" s="85"/>
      <c r="B394" s="85"/>
      <c r="C394" s="85"/>
      <c r="D394" s="85"/>
      <c r="E394" s="85"/>
      <c r="F394" s="85"/>
      <c r="G394" s="10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</row>
    <row r="395">
      <c r="A395" s="85"/>
      <c r="B395" s="85"/>
      <c r="C395" s="85"/>
      <c r="D395" s="85"/>
      <c r="E395" s="85"/>
      <c r="F395" s="85"/>
      <c r="G395" s="10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</row>
    <row r="396">
      <c r="A396" s="85"/>
      <c r="B396" s="85"/>
      <c r="C396" s="85"/>
      <c r="D396" s="85"/>
      <c r="E396" s="85"/>
      <c r="F396" s="85"/>
      <c r="G396" s="10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</row>
    <row r="397">
      <c r="A397" s="85"/>
      <c r="B397" s="85"/>
      <c r="C397" s="85"/>
      <c r="D397" s="85"/>
      <c r="E397" s="85"/>
      <c r="F397" s="85"/>
      <c r="G397" s="10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</row>
    <row r="398">
      <c r="A398" s="85"/>
      <c r="B398" s="85"/>
      <c r="C398" s="85"/>
      <c r="D398" s="85"/>
      <c r="E398" s="85"/>
      <c r="F398" s="85"/>
      <c r="G398" s="10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</row>
    <row r="399">
      <c r="A399" s="85"/>
      <c r="B399" s="85"/>
      <c r="C399" s="85"/>
      <c r="D399" s="85"/>
      <c r="E399" s="85"/>
      <c r="F399" s="85"/>
      <c r="G399" s="10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</row>
    <row r="400">
      <c r="A400" s="85"/>
      <c r="B400" s="85"/>
      <c r="C400" s="85"/>
      <c r="D400" s="85"/>
      <c r="E400" s="85"/>
      <c r="F400" s="85"/>
      <c r="G400" s="10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</row>
    <row r="401">
      <c r="A401" s="85"/>
      <c r="B401" s="85"/>
      <c r="C401" s="85"/>
      <c r="D401" s="85"/>
      <c r="E401" s="85"/>
      <c r="F401" s="85"/>
      <c r="G401" s="10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</row>
    <row r="402">
      <c r="A402" s="85"/>
      <c r="B402" s="85"/>
      <c r="C402" s="85"/>
      <c r="D402" s="85"/>
      <c r="E402" s="85"/>
      <c r="F402" s="85"/>
      <c r="G402" s="10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</row>
    <row r="403">
      <c r="A403" s="85"/>
      <c r="B403" s="85"/>
      <c r="C403" s="85"/>
      <c r="D403" s="85"/>
      <c r="E403" s="85"/>
      <c r="F403" s="85"/>
      <c r="G403" s="10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</row>
    <row r="404">
      <c r="A404" s="85"/>
      <c r="B404" s="85"/>
      <c r="C404" s="85"/>
      <c r="D404" s="85"/>
      <c r="E404" s="85"/>
      <c r="F404" s="85"/>
      <c r="G404" s="10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</row>
    <row r="405">
      <c r="A405" s="85"/>
      <c r="B405" s="85"/>
      <c r="C405" s="85"/>
      <c r="D405" s="85"/>
      <c r="E405" s="85"/>
      <c r="F405" s="85"/>
      <c r="G405" s="10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</row>
    <row r="406">
      <c r="A406" s="85"/>
      <c r="B406" s="85"/>
      <c r="C406" s="85"/>
      <c r="D406" s="85"/>
      <c r="E406" s="85"/>
      <c r="F406" s="85"/>
      <c r="G406" s="10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</row>
    <row r="407">
      <c r="A407" s="85"/>
      <c r="B407" s="85"/>
      <c r="C407" s="85"/>
      <c r="D407" s="85"/>
      <c r="E407" s="85"/>
      <c r="F407" s="85"/>
      <c r="G407" s="10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</row>
    <row r="408">
      <c r="A408" s="85"/>
      <c r="B408" s="85"/>
      <c r="C408" s="85"/>
      <c r="D408" s="85"/>
      <c r="E408" s="85"/>
      <c r="F408" s="85"/>
      <c r="G408" s="10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</row>
    <row r="409">
      <c r="A409" s="85"/>
      <c r="B409" s="85"/>
      <c r="C409" s="85"/>
      <c r="D409" s="85"/>
      <c r="E409" s="85"/>
      <c r="F409" s="85"/>
      <c r="G409" s="10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</row>
    <row r="410">
      <c r="A410" s="85"/>
      <c r="B410" s="85"/>
      <c r="C410" s="85"/>
      <c r="D410" s="85"/>
      <c r="E410" s="85"/>
      <c r="F410" s="85"/>
      <c r="G410" s="10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</row>
    <row r="411">
      <c r="A411" s="85"/>
      <c r="B411" s="85"/>
      <c r="C411" s="85"/>
      <c r="D411" s="85"/>
      <c r="E411" s="85"/>
      <c r="F411" s="85"/>
      <c r="G411" s="10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</row>
    <row r="412">
      <c r="A412" s="85"/>
      <c r="B412" s="85"/>
      <c r="C412" s="85"/>
      <c r="D412" s="85"/>
      <c r="E412" s="85"/>
      <c r="F412" s="85"/>
      <c r="G412" s="10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</row>
    <row r="413">
      <c r="A413" s="85"/>
      <c r="B413" s="85"/>
      <c r="C413" s="85"/>
      <c r="D413" s="85"/>
      <c r="E413" s="85"/>
      <c r="F413" s="85"/>
      <c r="G413" s="10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</row>
    <row r="414">
      <c r="A414" s="85"/>
      <c r="B414" s="85"/>
      <c r="C414" s="85"/>
      <c r="D414" s="85"/>
      <c r="E414" s="85"/>
      <c r="F414" s="85"/>
      <c r="G414" s="10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</row>
    <row r="415">
      <c r="A415" s="85"/>
      <c r="B415" s="85"/>
      <c r="C415" s="85"/>
      <c r="D415" s="85"/>
      <c r="E415" s="85"/>
      <c r="F415" s="85"/>
      <c r="G415" s="10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</row>
    <row r="416">
      <c r="A416" s="85"/>
      <c r="B416" s="85"/>
      <c r="C416" s="85"/>
      <c r="D416" s="85"/>
      <c r="E416" s="85"/>
      <c r="F416" s="85"/>
      <c r="G416" s="10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</row>
    <row r="417">
      <c r="A417" s="85"/>
      <c r="B417" s="85"/>
      <c r="C417" s="85"/>
      <c r="D417" s="85"/>
      <c r="E417" s="85"/>
      <c r="F417" s="85"/>
      <c r="G417" s="10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</row>
    <row r="418">
      <c r="A418" s="85"/>
      <c r="B418" s="85"/>
      <c r="C418" s="85"/>
      <c r="D418" s="85"/>
      <c r="E418" s="85"/>
      <c r="F418" s="85"/>
      <c r="G418" s="10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</row>
    <row r="419">
      <c r="A419" s="85"/>
      <c r="B419" s="85"/>
      <c r="C419" s="85"/>
      <c r="D419" s="85"/>
      <c r="E419" s="85"/>
      <c r="F419" s="85"/>
      <c r="G419" s="10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</row>
    <row r="420">
      <c r="A420" s="85"/>
      <c r="B420" s="85"/>
      <c r="C420" s="85"/>
      <c r="D420" s="85"/>
      <c r="E420" s="85"/>
      <c r="F420" s="85"/>
      <c r="G420" s="10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</row>
    <row r="421">
      <c r="A421" s="85"/>
      <c r="B421" s="85"/>
      <c r="C421" s="85"/>
      <c r="D421" s="85"/>
      <c r="E421" s="85"/>
      <c r="F421" s="85"/>
      <c r="G421" s="10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</row>
    <row r="422">
      <c r="A422" s="85"/>
      <c r="B422" s="85"/>
      <c r="C422" s="85"/>
      <c r="D422" s="85"/>
      <c r="E422" s="85"/>
      <c r="F422" s="85"/>
      <c r="G422" s="10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</row>
    <row r="423">
      <c r="A423" s="85"/>
      <c r="B423" s="85"/>
      <c r="C423" s="85"/>
      <c r="D423" s="85"/>
      <c r="E423" s="85"/>
      <c r="F423" s="85"/>
      <c r="G423" s="10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</row>
    <row r="424">
      <c r="A424" s="85"/>
      <c r="B424" s="85"/>
      <c r="C424" s="85"/>
      <c r="D424" s="85"/>
      <c r="E424" s="85"/>
      <c r="F424" s="85"/>
      <c r="G424" s="10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</row>
    <row r="425">
      <c r="A425" s="85"/>
      <c r="B425" s="85"/>
      <c r="C425" s="85"/>
      <c r="D425" s="85"/>
      <c r="E425" s="85"/>
      <c r="F425" s="85"/>
      <c r="G425" s="10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</row>
    <row r="426">
      <c r="A426" s="85"/>
      <c r="B426" s="85"/>
      <c r="C426" s="85"/>
      <c r="D426" s="85"/>
      <c r="E426" s="85"/>
      <c r="F426" s="85"/>
      <c r="G426" s="10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</row>
    <row r="427">
      <c r="A427" s="85"/>
      <c r="B427" s="85"/>
      <c r="C427" s="85"/>
      <c r="D427" s="85"/>
      <c r="E427" s="85"/>
      <c r="F427" s="85"/>
      <c r="G427" s="10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</row>
    <row r="428">
      <c r="A428" s="85"/>
      <c r="B428" s="85"/>
      <c r="C428" s="85"/>
      <c r="D428" s="85"/>
      <c r="E428" s="85"/>
      <c r="F428" s="85"/>
      <c r="G428" s="10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</row>
    <row r="429">
      <c r="A429" s="85"/>
      <c r="B429" s="85"/>
      <c r="C429" s="85"/>
      <c r="D429" s="85"/>
      <c r="E429" s="85"/>
      <c r="F429" s="85"/>
      <c r="G429" s="10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</row>
    <row r="430">
      <c r="A430" s="85"/>
      <c r="B430" s="85"/>
      <c r="C430" s="85"/>
      <c r="D430" s="85"/>
      <c r="E430" s="85"/>
      <c r="F430" s="85"/>
      <c r="G430" s="10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</row>
    <row r="431">
      <c r="A431" s="85"/>
      <c r="B431" s="85"/>
      <c r="C431" s="85"/>
      <c r="D431" s="85"/>
      <c r="E431" s="85"/>
      <c r="F431" s="85"/>
      <c r="G431" s="10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</row>
    <row r="432">
      <c r="A432" s="85"/>
      <c r="B432" s="85"/>
      <c r="C432" s="85"/>
      <c r="D432" s="85"/>
      <c r="E432" s="85"/>
      <c r="F432" s="85"/>
      <c r="G432" s="10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</row>
    <row r="433">
      <c r="A433" s="85"/>
      <c r="B433" s="85"/>
      <c r="C433" s="85"/>
      <c r="D433" s="85"/>
      <c r="E433" s="85"/>
      <c r="F433" s="85"/>
      <c r="G433" s="10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</row>
    <row r="434">
      <c r="A434" s="85"/>
      <c r="B434" s="85"/>
      <c r="C434" s="85"/>
      <c r="D434" s="85"/>
      <c r="E434" s="85"/>
      <c r="F434" s="85"/>
      <c r="G434" s="10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</row>
    <row r="435">
      <c r="A435" s="85"/>
      <c r="B435" s="85"/>
      <c r="C435" s="85"/>
      <c r="D435" s="85"/>
      <c r="E435" s="85"/>
      <c r="F435" s="85"/>
      <c r="G435" s="10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</row>
    <row r="436">
      <c r="A436" s="85"/>
      <c r="B436" s="85"/>
      <c r="C436" s="85"/>
      <c r="D436" s="85"/>
      <c r="E436" s="85"/>
      <c r="F436" s="85"/>
      <c r="G436" s="10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</row>
    <row r="437">
      <c r="A437" s="85"/>
      <c r="B437" s="85"/>
      <c r="C437" s="85"/>
      <c r="D437" s="85"/>
      <c r="E437" s="85"/>
      <c r="F437" s="85"/>
      <c r="G437" s="10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</row>
    <row r="438">
      <c r="A438" s="85"/>
      <c r="B438" s="85"/>
      <c r="C438" s="85"/>
      <c r="D438" s="85"/>
      <c r="E438" s="85"/>
      <c r="F438" s="85"/>
      <c r="G438" s="10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</row>
    <row r="439">
      <c r="A439" s="85"/>
      <c r="B439" s="85"/>
      <c r="C439" s="85"/>
      <c r="D439" s="85"/>
      <c r="E439" s="85"/>
      <c r="F439" s="85"/>
      <c r="G439" s="10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</row>
    <row r="440">
      <c r="A440" s="85"/>
      <c r="B440" s="85"/>
      <c r="C440" s="85"/>
      <c r="D440" s="85"/>
      <c r="E440" s="85"/>
      <c r="F440" s="85"/>
      <c r="G440" s="10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</row>
    <row r="441">
      <c r="A441" s="85"/>
      <c r="B441" s="85"/>
      <c r="C441" s="85"/>
      <c r="D441" s="85"/>
      <c r="E441" s="85"/>
      <c r="F441" s="85"/>
      <c r="G441" s="10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</row>
    <row r="442">
      <c r="A442" s="85"/>
      <c r="B442" s="85"/>
      <c r="C442" s="85"/>
      <c r="D442" s="85"/>
      <c r="E442" s="85"/>
      <c r="F442" s="85"/>
      <c r="G442" s="10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</row>
    <row r="443">
      <c r="A443" s="85"/>
      <c r="B443" s="85"/>
      <c r="C443" s="85"/>
      <c r="D443" s="85"/>
      <c r="E443" s="85"/>
      <c r="F443" s="85"/>
      <c r="G443" s="10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</row>
    <row r="444">
      <c r="A444" s="85"/>
      <c r="B444" s="85"/>
      <c r="C444" s="85"/>
      <c r="D444" s="85"/>
      <c r="E444" s="85"/>
      <c r="F444" s="85"/>
      <c r="G444" s="10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</row>
    <row r="445">
      <c r="A445" s="85"/>
      <c r="B445" s="85"/>
      <c r="C445" s="85"/>
      <c r="D445" s="85"/>
      <c r="E445" s="85"/>
      <c r="F445" s="85"/>
      <c r="G445" s="10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</row>
    <row r="446">
      <c r="A446" s="85"/>
      <c r="B446" s="85"/>
      <c r="C446" s="85"/>
      <c r="D446" s="85"/>
      <c r="E446" s="85"/>
      <c r="F446" s="85"/>
      <c r="G446" s="10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</row>
    <row r="447">
      <c r="A447" s="85"/>
      <c r="B447" s="85"/>
      <c r="C447" s="85"/>
      <c r="D447" s="85"/>
      <c r="E447" s="85"/>
      <c r="F447" s="85"/>
      <c r="G447" s="10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</row>
    <row r="448">
      <c r="A448" s="85"/>
      <c r="B448" s="85"/>
      <c r="C448" s="85"/>
      <c r="D448" s="85"/>
      <c r="E448" s="85"/>
      <c r="F448" s="85"/>
      <c r="G448" s="10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</row>
    <row r="449">
      <c r="A449" s="85"/>
      <c r="B449" s="85"/>
      <c r="C449" s="85"/>
      <c r="D449" s="85"/>
      <c r="E449" s="85"/>
      <c r="F449" s="85"/>
      <c r="G449" s="10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</row>
    <row r="450">
      <c r="A450" s="85"/>
      <c r="B450" s="85"/>
      <c r="C450" s="85"/>
      <c r="D450" s="85"/>
      <c r="E450" s="85"/>
      <c r="F450" s="85"/>
      <c r="G450" s="10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</row>
    <row r="451">
      <c r="A451" s="85"/>
      <c r="B451" s="85"/>
      <c r="C451" s="85"/>
      <c r="D451" s="85"/>
      <c r="E451" s="85"/>
      <c r="F451" s="85"/>
      <c r="G451" s="10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</row>
    <row r="452">
      <c r="A452" s="85"/>
      <c r="B452" s="85"/>
      <c r="C452" s="85"/>
      <c r="D452" s="85"/>
      <c r="E452" s="85"/>
      <c r="F452" s="85"/>
      <c r="G452" s="10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</row>
    <row r="453">
      <c r="A453" s="85"/>
      <c r="B453" s="85"/>
      <c r="C453" s="85"/>
      <c r="D453" s="85"/>
      <c r="E453" s="85"/>
      <c r="F453" s="85"/>
      <c r="G453" s="10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</row>
    <row r="454">
      <c r="A454" s="85"/>
      <c r="B454" s="85"/>
      <c r="C454" s="85"/>
      <c r="D454" s="85"/>
      <c r="E454" s="85"/>
      <c r="F454" s="85"/>
      <c r="G454" s="10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</row>
    <row r="455">
      <c r="A455" s="85"/>
      <c r="B455" s="85"/>
      <c r="C455" s="85"/>
      <c r="D455" s="85"/>
      <c r="E455" s="85"/>
      <c r="F455" s="85"/>
      <c r="G455" s="10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</row>
    <row r="456">
      <c r="A456" s="85"/>
      <c r="B456" s="85"/>
      <c r="C456" s="85"/>
      <c r="D456" s="85"/>
      <c r="E456" s="85"/>
      <c r="F456" s="85"/>
      <c r="G456" s="10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</row>
    <row r="457">
      <c r="A457" s="85"/>
      <c r="B457" s="85"/>
      <c r="C457" s="85"/>
      <c r="D457" s="85"/>
      <c r="E457" s="85"/>
      <c r="F457" s="85"/>
      <c r="G457" s="10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</row>
    <row r="458">
      <c r="A458" s="85"/>
      <c r="B458" s="85"/>
      <c r="C458" s="85"/>
      <c r="D458" s="85"/>
      <c r="E458" s="85"/>
      <c r="F458" s="85"/>
      <c r="G458" s="10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</row>
    <row r="459">
      <c r="A459" s="85"/>
      <c r="B459" s="85"/>
      <c r="C459" s="85"/>
      <c r="D459" s="85"/>
      <c r="E459" s="85"/>
      <c r="F459" s="85"/>
      <c r="G459" s="10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</row>
    <row r="460">
      <c r="A460" s="85"/>
      <c r="B460" s="85"/>
      <c r="C460" s="85"/>
      <c r="D460" s="85"/>
      <c r="E460" s="85"/>
      <c r="F460" s="85"/>
      <c r="G460" s="10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</row>
    <row r="461">
      <c r="A461" s="85"/>
      <c r="B461" s="85"/>
      <c r="C461" s="85"/>
      <c r="D461" s="85"/>
      <c r="E461" s="85"/>
      <c r="F461" s="85"/>
      <c r="G461" s="10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</row>
    <row r="462">
      <c r="A462" s="85"/>
      <c r="B462" s="85"/>
      <c r="C462" s="85"/>
      <c r="D462" s="85"/>
      <c r="E462" s="85"/>
      <c r="F462" s="85"/>
      <c r="G462" s="10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</row>
    <row r="463">
      <c r="A463" s="85"/>
      <c r="B463" s="85"/>
      <c r="C463" s="85"/>
      <c r="D463" s="85"/>
      <c r="E463" s="85"/>
      <c r="F463" s="85"/>
      <c r="G463" s="10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</row>
    <row r="464">
      <c r="A464" s="85"/>
      <c r="B464" s="85"/>
      <c r="C464" s="85"/>
      <c r="D464" s="85"/>
      <c r="E464" s="85"/>
      <c r="F464" s="85"/>
      <c r="G464" s="10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</row>
    <row r="465">
      <c r="A465" s="85"/>
      <c r="B465" s="85"/>
      <c r="C465" s="85"/>
      <c r="D465" s="85"/>
      <c r="E465" s="85"/>
      <c r="F465" s="85"/>
      <c r="G465" s="10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</row>
    <row r="466">
      <c r="A466" s="85"/>
      <c r="B466" s="85"/>
      <c r="C466" s="85"/>
      <c r="D466" s="85"/>
      <c r="E466" s="85"/>
      <c r="F466" s="85"/>
      <c r="G466" s="10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</row>
    <row r="467">
      <c r="A467" s="85"/>
      <c r="B467" s="85"/>
      <c r="C467" s="85"/>
      <c r="D467" s="85"/>
      <c r="E467" s="85"/>
      <c r="F467" s="85"/>
      <c r="G467" s="10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</row>
    <row r="468">
      <c r="A468" s="85"/>
      <c r="B468" s="85"/>
      <c r="C468" s="85"/>
      <c r="D468" s="85"/>
      <c r="E468" s="85"/>
      <c r="F468" s="85"/>
      <c r="G468" s="10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</row>
    <row r="469">
      <c r="A469" s="85"/>
      <c r="B469" s="85"/>
      <c r="C469" s="85"/>
      <c r="D469" s="85"/>
      <c r="E469" s="85"/>
      <c r="F469" s="85"/>
      <c r="G469" s="10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</row>
    <row r="470">
      <c r="A470" s="85"/>
      <c r="B470" s="85"/>
      <c r="C470" s="85"/>
      <c r="D470" s="85"/>
      <c r="E470" s="85"/>
      <c r="F470" s="85"/>
      <c r="G470" s="10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</row>
    <row r="471">
      <c r="A471" s="85"/>
      <c r="B471" s="85"/>
      <c r="C471" s="85"/>
      <c r="D471" s="85"/>
      <c r="E471" s="85"/>
      <c r="F471" s="85"/>
      <c r="G471" s="10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</row>
    <row r="472">
      <c r="A472" s="85"/>
      <c r="B472" s="85"/>
      <c r="C472" s="85"/>
      <c r="D472" s="85"/>
      <c r="E472" s="85"/>
      <c r="F472" s="85"/>
      <c r="G472" s="10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</row>
    <row r="473">
      <c r="A473" s="85"/>
      <c r="B473" s="85"/>
      <c r="C473" s="85"/>
      <c r="D473" s="85"/>
      <c r="E473" s="85"/>
      <c r="F473" s="85"/>
      <c r="G473" s="10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</row>
    <row r="474">
      <c r="A474" s="85"/>
      <c r="B474" s="85"/>
      <c r="C474" s="85"/>
      <c r="D474" s="85"/>
      <c r="E474" s="85"/>
      <c r="F474" s="85"/>
      <c r="G474" s="10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</row>
    <row r="475">
      <c r="A475" s="85"/>
      <c r="B475" s="85"/>
      <c r="C475" s="85"/>
      <c r="D475" s="85"/>
      <c r="E475" s="85"/>
      <c r="F475" s="85"/>
      <c r="G475" s="10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</row>
    <row r="476">
      <c r="A476" s="85"/>
      <c r="B476" s="85"/>
      <c r="C476" s="85"/>
      <c r="D476" s="85"/>
      <c r="E476" s="85"/>
      <c r="F476" s="85"/>
      <c r="G476" s="10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</row>
    <row r="477">
      <c r="A477" s="85"/>
      <c r="B477" s="85"/>
      <c r="C477" s="85"/>
      <c r="D477" s="85"/>
      <c r="E477" s="85"/>
      <c r="F477" s="85"/>
      <c r="G477" s="10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</row>
    <row r="478">
      <c r="A478" s="85"/>
      <c r="B478" s="85"/>
      <c r="C478" s="85"/>
      <c r="D478" s="85"/>
      <c r="E478" s="85"/>
      <c r="F478" s="85"/>
      <c r="G478" s="10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</row>
    <row r="479">
      <c r="A479" s="85"/>
      <c r="B479" s="85"/>
      <c r="C479" s="85"/>
      <c r="D479" s="85"/>
      <c r="E479" s="85"/>
      <c r="F479" s="85"/>
      <c r="G479" s="10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</row>
    <row r="480">
      <c r="A480" s="85"/>
      <c r="B480" s="85"/>
      <c r="C480" s="85"/>
      <c r="D480" s="85"/>
      <c r="E480" s="85"/>
      <c r="F480" s="85"/>
      <c r="G480" s="10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</row>
    <row r="481">
      <c r="A481" s="85"/>
      <c r="B481" s="85"/>
      <c r="C481" s="85"/>
      <c r="D481" s="85"/>
      <c r="E481" s="85"/>
      <c r="F481" s="85"/>
      <c r="G481" s="10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</row>
    <row r="482">
      <c r="A482" s="85"/>
      <c r="B482" s="85"/>
      <c r="C482" s="85"/>
      <c r="D482" s="85"/>
      <c r="E482" s="85"/>
      <c r="F482" s="85"/>
      <c r="G482" s="10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</row>
    <row r="483">
      <c r="A483" s="85"/>
      <c r="B483" s="85"/>
      <c r="C483" s="85"/>
      <c r="D483" s="85"/>
      <c r="E483" s="85"/>
      <c r="F483" s="85"/>
      <c r="G483" s="10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</row>
    <row r="484">
      <c r="A484" s="85"/>
      <c r="B484" s="85"/>
      <c r="C484" s="85"/>
      <c r="D484" s="85"/>
      <c r="E484" s="85"/>
      <c r="F484" s="85"/>
      <c r="G484" s="10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</row>
    <row r="485">
      <c r="A485" s="85"/>
      <c r="B485" s="85"/>
      <c r="C485" s="85"/>
      <c r="D485" s="85"/>
      <c r="E485" s="85"/>
      <c r="F485" s="85"/>
      <c r="G485" s="10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</row>
    <row r="486">
      <c r="A486" s="85"/>
      <c r="B486" s="85"/>
      <c r="C486" s="85"/>
      <c r="D486" s="85"/>
      <c r="E486" s="85"/>
      <c r="F486" s="85"/>
      <c r="G486" s="10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</row>
    <row r="487">
      <c r="A487" s="85"/>
      <c r="B487" s="85"/>
      <c r="C487" s="85"/>
      <c r="D487" s="85"/>
      <c r="E487" s="85"/>
      <c r="F487" s="85"/>
      <c r="G487" s="10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</row>
    <row r="488">
      <c r="A488" s="85"/>
      <c r="B488" s="85"/>
      <c r="C488" s="85"/>
      <c r="D488" s="85"/>
      <c r="E488" s="85"/>
      <c r="F488" s="85"/>
      <c r="G488" s="10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</row>
    <row r="489">
      <c r="A489" s="85"/>
      <c r="B489" s="85"/>
      <c r="C489" s="85"/>
      <c r="D489" s="85"/>
      <c r="E489" s="85"/>
      <c r="F489" s="85"/>
      <c r="G489" s="10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</row>
    <row r="490">
      <c r="A490" s="85"/>
      <c r="B490" s="85"/>
      <c r="C490" s="85"/>
      <c r="D490" s="85"/>
      <c r="E490" s="85"/>
      <c r="F490" s="85"/>
      <c r="G490" s="10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</row>
    <row r="491">
      <c r="A491" s="85"/>
      <c r="B491" s="85"/>
      <c r="C491" s="85"/>
      <c r="D491" s="85"/>
      <c r="E491" s="85"/>
      <c r="F491" s="85"/>
      <c r="G491" s="10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</row>
    <row r="492">
      <c r="A492" s="85"/>
      <c r="B492" s="85"/>
      <c r="C492" s="85"/>
      <c r="D492" s="85"/>
      <c r="E492" s="85"/>
      <c r="F492" s="85"/>
      <c r="G492" s="10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</row>
    <row r="493">
      <c r="A493" s="85"/>
      <c r="B493" s="85"/>
      <c r="C493" s="85"/>
      <c r="D493" s="85"/>
      <c r="E493" s="85"/>
      <c r="F493" s="85"/>
      <c r="G493" s="10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</row>
    <row r="494">
      <c r="A494" s="85"/>
      <c r="B494" s="85"/>
      <c r="C494" s="85"/>
      <c r="D494" s="85"/>
      <c r="E494" s="85"/>
      <c r="F494" s="85"/>
      <c r="G494" s="10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</row>
    <row r="495">
      <c r="A495" s="85"/>
      <c r="B495" s="85"/>
      <c r="C495" s="85"/>
      <c r="D495" s="85"/>
      <c r="E495" s="85"/>
      <c r="F495" s="85"/>
      <c r="G495" s="10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</row>
    <row r="496">
      <c r="A496" s="85"/>
      <c r="B496" s="85"/>
      <c r="C496" s="85"/>
      <c r="D496" s="85"/>
      <c r="E496" s="85"/>
      <c r="F496" s="85"/>
      <c r="G496" s="10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</row>
    <row r="497">
      <c r="A497" s="85"/>
      <c r="B497" s="85"/>
      <c r="C497" s="85"/>
      <c r="D497" s="85"/>
      <c r="E497" s="85"/>
      <c r="F497" s="85"/>
      <c r="G497" s="10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</row>
    <row r="498">
      <c r="A498" s="85"/>
      <c r="B498" s="85"/>
      <c r="C498" s="85"/>
      <c r="D498" s="85"/>
      <c r="E498" s="85"/>
      <c r="F498" s="85"/>
      <c r="G498" s="10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</row>
    <row r="499">
      <c r="A499" s="85"/>
      <c r="B499" s="85"/>
      <c r="C499" s="85"/>
      <c r="D499" s="85"/>
      <c r="E499" s="85"/>
      <c r="F499" s="85"/>
      <c r="G499" s="10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</row>
    <row r="500">
      <c r="A500" s="85"/>
      <c r="B500" s="85"/>
      <c r="C500" s="85"/>
      <c r="D500" s="85"/>
      <c r="E500" s="85"/>
      <c r="F500" s="85"/>
      <c r="G500" s="10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</row>
    <row r="501">
      <c r="A501" s="85"/>
      <c r="B501" s="85"/>
      <c r="C501" s="85"/>
      <c r="D501" s="85"/>
      <c r="E501" s="85"/>
      <c r="F501" s="85"/>
      <c r="G501" s="10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</row>
    <row r="502">
      <c r="A502" s="85"/>
      <c r="B502" s="85"/>
      <c r="C502" s="85"/>
      <c r="D502" s="85"/>
      <c r="E502" s="85"/>
      <c r="F502" s="85"/>
      <c r="G502" s="10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</row>
    <row r="503">
      <c r="A503" s="85"/>
      <c r="B503" s="85"/>
      <c r="C503" s="85"/>
      <c r="D503" s="85"/>
      <c r="E503" s="85"/>
      <c r="F503" s="85"/>
      <c r="G503" s="10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</row>
    <row r="504">
      <c r="A504" s="85"/>
      <c r="B504" s="85"/>
      <c r="C504" s="85"/>
      <c r="D504" s="85"/>
      <c r="E504" s="85"/>
      <c r="F504" s="85"/>
      <c r="G504" s="10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</row>
    <row r="505">
      <c r="A505" s="85"/>
      <c r="B505" s="85"/>
      <c r="C505" s="85"/>
      <c r="D505" s="85"/>
      <c r="E505" s="85"/>
      <c r="F505" s="85"/>
      <c r="G505" s="10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</row>
    <row r="506">
      <c r="A506" s="85"/>
      <c r="B506" s="85"/>
      <c r="C506" s="85"/>
      <c r="D506" s="85"/>
      <c r="E506" s="85"/>
      <c r="F506" s="85"/>
      <c r="G506" s="10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</row>
    <row r="507">
      <c r="A507" s="85"/>
      <c r="B507" s="85"/>
      <c r="C507" s="85"/>
      <c r="D507" s="85"/>
      <c r="E507" s="85"/>
      <c r="F507" s="85"/>
      <c r="G507" s="10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</row>
    <row r="508">
      <c r="A508" s="85"/>
      <c r="B508" s="85"/>
      <c r="C508" s="85"/>
      <c r="D508" s="85"/>
      <c r="E508" s="85"/>
      <c r="F508" s="85"/>
      <c r="G508" s="10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</row>
    <row r="509">
      <c r="A509" s="85"/>
      <c r="B509" s="85"/>
      <c r="C509" s="85"/>
      <c r="D509" s="85"/>
      <c r="E509" s="85"/>
      <c r="F509" s="85"/>
      <c r="G509" s="10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</row>
    <row r="510">
      <c r="A510" s="85"/>
      <c r="B510" s="85"/>
      <c r="C510" s="85"/>
      <c r="D510" s="85"/>
      <c r="E510" s="85"/>
      <c r="F510" s="85"/>
      <c r="G510" s="10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</row>
    <row r="511">
      <c r="A511" s="85"/>
      <c r="B511" s="85"/>
      <c r="C511" s="85"/>
      <c r="D511" s="85"/>
      <c r="E511" s="85"/>
      <c r="F511" s="85"/>
      <c r="G511" s="10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</row>
    <row r="512">
      <c r="A512" s="85"/>
      <c r="B512" s="85"/>
      <c r="C512" s="85"/>
      <c r="D512" s="85"/>
      <c r="E512" s="85"/>
      <c r="F512" s="85"/>
      <c r="G512" s="10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</row>
    <row r="513">
      <c r="A513" s="85"/>
      <c r="B513" s="85"/>
      <c r="C513" s="85"/>
      <c r="D513" s="85"/>
      <c r="E513" s="85"/>
      <c r="F513" s="85"/>
      <c r="G513" s="10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</row>
    <row r="514">
      <c r="A514" s="85"/>
      <c r="B514" s="85"/>
      <c r="C514" s="85"/>
      <c r="D514" s="85"/>
      <c r="E514" s="85"/>
      <c r="F514" s="85"/>
      <c r="G514" s="10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</row>
    <row r="515">
      <c r="A515" s="85"/>
      <c r="B515" s="85"/>
      <c r="C515" s="85"/>
      <c r="D515" s="85"/>
      <c r="E515" s="85"/>
      <c r="F515" s="85"/>
      <c r="G515" s="10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</row>
    <row r="516">
      <c r="A516" s="85"/>
      <c r="B516" s="85"/>
      <c r="C516" s="85"/>
      <c r="D516" s="85"/>
      <c r="E516" s="85"/>
      <c r="F516" s="85"/>
      <c r="G516" s="10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</row>
    <row r="517">
      <c r="A517" s="85"/>
      <c r="B517" s="85"/>
      <c r="C517" s="85"/>
      <c r="D517" s="85"/>
      <c r="E517" s="85"/>
      <c r="F517" s="85"/>
      <c r="G517" s="10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</row>
    <row r="518">
      <c r="A518" s="85"/>
      <c r="B518" s="85"/>
      <c r="C518" s="85"/>
      <c r="D518" s="85"/>
      <c r="E518" s="85"/>
      <c r="F518" s="85"/>
      <c r="G518" s="10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</row>
    <row r="519">
      <c r="A519" s="85"/>
      <c r="B519" s="85"/>
      <c r="C519" s="85"/>
      <c r="D519" s="85"/>
      <c r="E519" s="85"/>
      <c r="F519" s="85"/>
      <c r="G519" s="10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</row>
    <row r="520">
      <c r="A520" s="85"/>
      <c r="B520" s="85"/>
      <c r="C520" s="85"/>
      <c r="D520" s="85"/>
      <c r="E520" s="85"/>
      <c r="F520" s="85"/>
      <c r="G520" s="10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</row>
    <row r="521">
      <c r="A521" s="85"/>
      <c r="B521" s="85"/>
      <c r="C521" s="85"/>
      <c r="D521" s="85"/>
      <c r="E521" s="85"/>
      <c r="F521" s="85"/>
      <c r="G521" s="10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</row>
    <row r="522">
      <c r="A522" s="85"/>
      <c r="B522" s="85"/>
      <c r="C522" s="85"/>
      <c r="D522" s="85"/>
      <c r="E522" s="85"/>
      <c r="F522" s="85"/>
      <c r="G522" s="10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</row>
    <row r="523">
      <c r="A523" s="85"/>
      <c r="B523" s="85"/>
      <c r="C523" s="85"/>
      <c r="D523" s="85"/>
      <c r="E523" s="85"/>
      <c r="F523" s="85"/>
      <c r="G523" s="10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</row>
    <row r="524">
      <c r="A524" s="85"/>
      <c r="B524" s="85"/>
      <c r="C524" s="85"/>
      <c r="D524" s="85"/>
      <c r="E524" s="85"/>
      <c r="F524" s="85"/>
      <c r="G524" s="10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</row>
    <row r="525">
      <c r="A525" s="85"/>
      <c r="B525" s="85"/>
      <c r="C525" s="85"/>
      <c r="D525" s="85"/>
      <c r="E525" s="85"/>
      <c r="F525" s="85"/>
      <c r="G525" s="10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</row>
    <row r="526">
      <c r="A526" s="85"/>
      <c r="B526" s="85"/>
      <c r="C526" s="85"/>
      <c r="D526" s="85"/>
      <c r="E526" s="85"/>
      <c r="F526" s="85"/>
      <c r="G526" s="10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</row>
    <row r="527">
      <c r="A527" s="85"/>
      <c r="B527" s="85"/>
      <c r="C527" s="85"/>
      <c r="D527" s="85"/>
      <c r="E527" s="85"/>
      <c r="F527" s="85"/>
      <c r="G527" s="10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</row>
    <row r="528">
      <c r="A528" s="85"/>
      <c r="B528" s="85"/>
      <c r="C528" s="85"/>
      <c r="D528" s="85"/>
      <c r="E528" s="85"/>
      <c r="F528" s="85"/>
      <c r="G528" s="10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</row>
    <row r="529">
      <c r="A529" s="85"/>
      <c r="B529" s="85"/>
      <c r="C529" s="85"/>
      <c r="D529" s="85"/>
      <c r="E529" s="85"/>
      <c r="F529" s="85"/>
      <c r="G529" s="10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</row>
    <row r="530">
      <c r="A530" s="85"/>
      <c r="B530" s="85"/>
      <c r="C530" s="85"/>
      <c r="D530" s="85"/>
      <c r="E530" s="85"/>
      <c r="F530" s="85"/>
      <c r="G530" s="10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</row>
    <row r="531">
      <c r="A531" s="85"/>
      <c r="B531" s="85"/>
      <c r="C531" s="85"/>
      <c r="D531" s="85"/>
      <c r="E531" s="85"/>
      <c r="F531" s="85"/>
      <c r="G531" s="10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</row>
    <row r="532">
      <c r="A532" s="85"/>
      <c r="B532" s="85"/>
      <c r="C532" s="85"/>
      <c r="D532" s="85"/>
      <c r="E532" s="85"/>
      <c r="F532" s="85"/>
      <c r="G532" s="10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</row>
    <row r="533">
      <c r="A533" s="85"/>
      <c r="B533" s="85"/>
      <c r="C533" s="85"/>
      <c r="D533" s="85"/>
      <c r="E533" s="85"/>
      <c r="F533" s="85"/>
      <c r="G533" s="10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</row>
    <row r="534">
      <c r="A534" s="85"/>
      <c r="B534" s="85"/>
      <c r="C534" s="85"/>
      <c r="D534" s="85"/>
      <c r="E534" s="85"/>
      <c r="F534" s="85"/>
      <c r="G534" s="10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</row>
    <row r="535">
      <c r="A535" s="85"/>
      <c r="B535" s="85"/>
      <c r="C535" s="85"/>
      <c r="D535" s="85"/>
      <c r="E535" s="85"/>
      <c r="F535" s="85"/>
      <c r="G535" s="10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</row>
    <row r="536">
      <c r="A536" s="85"/>
      <c r="B536" s="85"/>
      <c r="C536" s="85"/>
      <c r="D536" s="85"/>
      <c r="E536" s="85"/>
      <c r="F536" s="85"/>
      <c r="G536" s="10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</row>
    <row r="537">
      <c r="A537" s="85"/>
      <c r="B537" s="85"/>
      <c r="C537" s="85"/>
      <c r="D537" s="85"/>
      <c r="E537" s="85"/>
      <c r="F537" s="85"/>
      <c r="G537" s="10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</row>
    <row r="538">
      <c r="A538" s="85"/>
      <c r="B538" s="85"/>
      <c r="C538" s="85"/>
      <c r="D538" s="85"/>
      <c r="E538" s="85"/>
      <c r="F538" s="85"/>
      <c r="G538" s="10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</row>
    <row r="539">
      <c r="A539" s="85"/>
      <c r="B539" s="85"/>
      <c r="C539" s="85"/>
      <c r="D539" s="85"/>
      <c r="E539" s="85"/>
      <c r="F539" s="85"/>
      <c r="G539" s="10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</row>
    <row r="540">
      <c r="A540" s="85"/>
      <c r="B540" s="85"/>
      <c r="C540" s="85"/>
      <c r="D540" s="85"/>
      <c r="E540" s="85"/>
      <c r="F540" s="85"/>
      <c r="G540" s="10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</row>
    <row r="541">
      <c r="A541" s="85"/>
      <c r="B541" s="85"/>
      <c r="C541" s="85"/>
      <c r="D541" s="85"/>
      <c r="E541" s="85"/>
      <c r="F541" s="85"/>
      <c r="G541" s="10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</row>
    <row r="542">
      <c r="A542" s="85"/>
      <c r="B542" s="85"/>
      <c r="C542" s="85"/>
      <c r="D542" s="85"/>
      <c r="E542" s="85"/>
      <c r="F542" s="85"/>
      <c r="G542" s="10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</row>
    <row r="543">
      <c r="A543" s="85"/>
      <c r="B543" s="85"/>
      <c r="C543" s="85"/>
      <c r="D543" s="85"/>
      <c r="E543" s="85"/>
      <c r="F543" s="85"/>
      <c r="G543" s="10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</row>
    <row r="544">
      <c r="A544" s="85"/>
      <c r="B544" s="85"/>
      <c r="C544" s="85"/>
      <c r="D544" s="85"/>
      <c r="E544" s="85"/>
      <c r="F544" s="85"/>
      <c r="G544" s="10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</row>
    <row r="545">
      <c r="A545" s="85"/>
      <c r="B545" s="85"/>
      <c r="C545" s="85"/>
      <c r="D545" s="85"/>
      <c r="E545" s="85"/>
      <c r="F545" s="85"/>
      <c r="G545" s="10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</row>
    <row r="546">
      <c r="A546" s="85"/>
      <c r="B546" s="85"/>
      <c r="C546" s="85"/>
      <c r="D546" s="85"/>
      <c r="E546" s="85"/>
      <c r="F546" s="85"/>
      <c r="G546" s="10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</row>
    <row r="547">
      <c r="A547" s="85"/>
      <c r="B547" s="85"/>
      <c r="C547" s="85"/>
      <c r="D547" s="85"/>
      <c r="E547" s="85"/>
      <c r="F547" s="85"/>
      <c r="G547" s="10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</row>
    <row r="548">
      <c r="A548" s="85"/>
      <c r="B548" s="85"/>
      <c r="C548" s="85"/>
      <c r="D548" s="85"/>
      <c r="E548" s="85"/>
      <c r="F548" s="85"/>
      <c r="G548" s="10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</row>
    <row r="549">
      <c r="A549" s="85"/>
      <c r="B549" s="85"/>
      <c r="C549" s="85"/>
      <c r="D549" s="85"/>
      <c r="E549" s="85"/>
      <c r="F549" s="85"/>
      <c r="G549" s="10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</row>
    <row r="550">
      <c r="A550" s="85"/>
      <c r="B550" s="85"/>
      <c r="C550" s="85"/>
      <c r="D550" s="85"/>
      <c r="E550" s="85"/>
      <c r="F550" s="85"/>
      <c r="G550" s="10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</row>
    <row r="551">
      <c r="A551" s="85"/>
      <c r="B551" s="85"/>
      <c r="C551" s="85"/>
      <c r="D551" s="85"/>
      <c r="E551" s="85"/>
      <c r="F551" s="85"/>
      <c r="G551" s="10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</row>
    <row r="552">
      <c r="A552" s="85"/>
      <c r="B552" s="85"/>
      <c r="C552" s="85"/>
      <c r="D552" s="85"/>
      <c r="E552" s="85"/>
      <c r="F552" s="85"/>
      <c r="G552" s="10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</row>
    <row r="553">
      <c r="A553" s="85"/>
      <c r="B553" s="85"/>
      <c r="C553" s="85"/>
      <c r="D553" s="85"/>
      <c r="E553" s="85"/>
      <c r="F553" s="85"/>
      <c r="G553" s="10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</row>
    <row r="554">
      <c r="A554" s="85"/>
      <c r="B554" s="85"/>
      <c r="C554" s="85"/>
      <c r="D554" s="85"/>
      <c r="E554" s="85"/>
      <c r="F554" s="85"/>
      <c r="G554" s="10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</row>
    <row r="555">
      <c r="A555" s="85"/>
      <c r="B555" s="85"/>
      <c r="C555" s="85"/>
      <c r="D555" s="85"/>
      <c r="E555" s="85"/>
      <c r="F555" s="85"/>
      <c r="G555" s="10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</row>
    <row r="556">
      <c r="A556" s="85"/>
      <c r="B556" s="85"/>
      <c r="C556" s="85"/>
      <c r="D556" s="85"/>
      <c r="E556" s="85"/>
      <c r="F556" s="85"/>
      <c r="G556" s="10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</row>
    <row r="557">
      <c r="A557" s="85"/>
      <c r="B557" s="85"/>
      <c r="C557" s="85"/>
      <c r="D557" s="85"/>
      <c r="E557" s="85"/>
      <c r="F557" s="85"/>
      <c r="G557" s="10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</row>
    <row r="558">
      <c r="A558" s="85"/>
      <c r="B558" s="85"/>
      <c r="C558" s="85"/>
      <c r="D558" s="85"/>
      <c r="E558" s="85"/>
      <c r="F558" s="85"/>
      <c r="G558" s="10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</row>
    <row r="559">
      <c r="A559" s="85"/>
      <c r="B559" s="85"/>
      <c r="C559" s="85"/>
      <c r="D559" s="85"/>
      <c r="E559" s="85"/>
      <c r="F559" s="85"/>
      <c r="G559" s="10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</row>
    <row r="560">
      <c r="A560" s="85"/>
      <c r="B560" s="85"/>
      <c r="C560" s="85"/>
      <c r="D560" s="85"/>
      <c r="E560" s="85"/>
      <c r="F560" s="85"/>
      <c r="G560" s="10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</row>
    <row r="561">
      <c r="A561" s="85"/>
      <c r="B561" s="85"/>
      <c r="C561" s="85"/>
      <c r="D561" s="85"/>
      <c r="E561" s="85"/>
      <c r="F561" s="85"/>
      <c r="G561" s="10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</row>
    <row r="562">
      <c r="A562" s="85"/>
      <c r="B562" s="85"/>
      <c r="C562" s="85"/>
      <c r="D562" s="85"/>
      <c r="E562" s="85"/>
      <c r="F562" s="85"/>
      <c r="G562" s="10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</row>
    <row r="563">
      <c r="A563" s="85"/>
      <c r="B563" s="85"/>
      <c r="C563" s="85"/>
      <c r="D563" s="85"/>
      <c r="E563" s="85"/>
      <c r="F563" s="85"/>
      <c r="G563" s="10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</row>
    <row r="564">
      <c r="A564" s="85"/>
      <c r="B564" s="85"/>
      <c r="C564" s="85"/>
      <c r="D564" s="85"/>
      <c r="E564" s="85"/>
      <c r="F564" s="85"/>
      <c r="G564" s="10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</row>
    <row r="565">
      <c r="A565" s="85"/>
      <c r="B565" s="85"/>
      <c r="C565" s="85"/>
      <c r="D565" s="85"/>
      <c r="E565" s="85"/>
      <c r="F565" s="85"/>
      <c r="G565" s="10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</row>
    <row r="566">
      <c r="A566" s="85"/>
      <c r="B566" s="85"/>
      <c r="C566" s="85"/>
      <c r="D566" s="85"/>
      <c r="E566" s="85"/>
      <c r="F566" s="85"/>
      <c r="G566" s="10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</row>
    <row r="567">
      <c r="A567" s="85"/>
      <c r="B567" s="85"/>
      <c r="C567" s="85"/>
      <c r="D567" s="85"/>
      <c r="E567" s="85"/>
      <c r="F567" s="85"/>
      <c r="G567" s="10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</row>
    <row r="568">
      <c r="A568" s="85"/>
      <c r="B568" s="85"/>
      <c r="C568" s="85"/>
      <c r="D568" s="85"/>
      <c r="E568" s="85"/>
      <c r="F568" s="85"/>
      <c r="G568" s="10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</row>
    <row r="569">
      <c r="A569" s="85"/>
      <c r="B569" s="85"/>
      <c r="C569" s="85"/>
      <c r="D569" s="85"/>
      <c r="E569" s="85"/>
      <c r="F569" s="85"/>
      <c r="G569" s="10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</row>
    <row r="570">
      <c r="A570" s="85"/>
      <c r="B570" s="85"/>
      <c r="C570" s="85"/>
      <c r="D570" s="85"/>
      <c r="E570" s="85"/>
      <c r="F570" s="85"/>
      <c r="G570" s="10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</row>
    <row r="571">
      <c r="A571" s="85"/>
      <c r="B571" s="85"/>
      <c r="C571" s="85"/>
      <c r="D571" s="85"/>
      <c r="E571" s="85"/>
      <c r="F571" s="85"/>
      <c r="G571" s="10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</row>
    <row r="572">
      <c r="A572" s="85"/>
      <c r="B572" s="85"/>
      <c r="C572" s="85"/>
      <c r="D572" s="85"/>
      <c r="E572" s="85"/>
      <c r="F572" s="85"/>
      <c r="G572" s="10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</row>
    <row r="573">
      <c r="A573" s="85"/>
      <c r="B573" s="85"/>
      <c r="C573" s="85"/>
      <c r="D573" s="85"/>
      <c r="E573" s="85"/>
      <c r="F573" s="85"/>
      <c r="G573" s="10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</row>
    <row r="574">
      <c r="A574" s="85"/>
      <c r="B574" s="85"/>
      <c r="C574" s="85"/>
      <c r="D574" s="85"/>
      <c r="E574" s="85"/>
      <c r="F574" s="85"/>
      <c r="G574" s="10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</row>
    <row r="575">
      <c r="A575" s="85"/>
      <c r="B575" s="85"/>
      <c r="C575" s="85"/>
      <c r="D575" s="85"/>
      <c r="E575" s="85"/>
      <c r="F575" s="85"/>
      <c r="G575" s="10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</row>
    <row r="576">
      <c r="A576" s="85"/>
      <c r="B576" s="85"/>
      <c r="C576" s="85"/>
      <c r="D576" s="85"/>
      <c r="E576" s="85"/>
      <c r="F576" s="85"/>
      <c r="G576" s="10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</row>
    <row r="577">
      <c r="A577" s="85"/>
      <c r="B577" s="85"/>
      <c r="C577" s="85"/>
      <c r="D577" s="85"/>
      <c r="E577" s="85"/>
      <c r="F577" s="85"/>
      <c r="G577" s="10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</row>
    <row r="578">
      <c r="A578" s="85"/>
      <c r="B578" s="85"/>
      <c r="C578" s="85"/>
      <c r="D578" s="85"/>
      <c r="E578" s="85"/>
      <c r="F578" s="85"/>
      <c r="G578" s="10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</row>
    <row r="579">
      <c r="A579" s="85"/>
      <c r="B579" s="85"/>
      <c r="C579" s="85"/>
      <c r="D579" s="85"/>
      <c r="E579" s="85"/>
      <c r="F579" s="85"/>
      <c r="G579" s="10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</row>
    <row r="580">
      <c r="A580" s="85"/>
      <c r="B580" s="85"/>
      <c r="C580" s="85"/>
      <c r="D580" s="85"/>
      <c r="E580" s="85"/>
      <c r="F580" s="85"/>
      <c r="G580" s="10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</row>
    <row r="581">
      <c r="A581" s="85"/>
      <c r="B581" s="85"/>
      <c r="C581" s="85"/>
      <c r="D581" s="85"/>
      <c r="E581" s="85"/>
      <c r="F581" s="85"/>
      <c r="G581" s="10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</row>
    <row r="582">
      <c r="A582" s="85"/>
      <c r="B582" s="85"/>
      <c r="C582" s="85"/>
      <c r="D582" s="85"/>
      <c r="E582" s="85"/>
      <c r="F582" s="85"/>
      <c r="G582" s="10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</row>
    <row r="583">
      <c r="A583" s="85"/>
      <c r="B583" s="85"/>
      <c r="C583" s="85"/>
      <c r="D583" s="85"/>
      <c r="E583" s="85"/>
      <c r="F583" s="85"/>
      <c r="G583" s="10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</row>
    <row r="584">
      <c r="A584" s="85"/>
      <c r="B584" s="85"/>
      <c r="C584" s="85"/>
      <c r="D584" s="85"/>
      <c r="E584" s="85"/>
      <c r="F584" s="85"/>
      <c r="G584" s="10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</row>
    <row r="585">
      <c r="A585" s="85"/>
      <c r="B585" s="85"/>
      <c r="C585" s="85"/>
      <c r="D585" s="85"/>
      <c r="E585" s="85"/>
      <c r="F585" s="85"/>
      <c r="G585" s="10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</row>
    <row r="586">
      <c r="A586" s="85"/>
      <c r="B586" s="85"/>
      <c r="C586" s="85"/>
      <c r="D586" s="85"/>
      <c r="E586" s="85"/>
      <c r="F586" s="85"/>
      <c r="G586" s="10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</row>
    <row r="587">
      <c r="A587" s="85"/>
      <c r="B587" s="85"/>
      <c r="C587" s="85"/>
      <c r="D587" s="85"/>
      <c r="E587" s="85"/>
      <c r="F587" s="85"/>
      <c r="G587" s="10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</row>
    <row r="588">
      <c r="A588" s="85"/>
      <c r="B588" s="85"/>
      <c r="C588" s="85"/>
      <c r="D588" s="85"/>
      <c r="E588" s="85"/>
      <c r="F588" s="85"/>
      <c r="G588" s="10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</row>
    <row r="589">
      <c r="A589" s="85"/>
      <c r="B589" s="85"/>
      <c r="C589" s="85"/>
      <c r="D589" s="85"/>
      <c r="E589" s="85"/>
      <c r="F589" s="85"/>
      <c r="G589" s="10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</row>
    <row r="590">
      <c r="A590" s="85"/>
      <c r="B590" s="85"/>
      <c r="C590" s="85"/>
      <c r="D590" s="85"/>
      <c r="E590" s="85"/>
      <c r="F590" s="85"/>
      <c r="G590" s="10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</row>
    <row r="591">
      <c r="A591" s="85"/>
      <c r="B591" s="85"/>
      <c r="C591" s="85"/>
      <c r="D591" s="85"/>
      <c r="E591" s="85"/>
      <c r="F591" s="85"/>
      <c r="G591" s="10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</row>
    <row r="592">
      <c r="A592" s="85"/>
      <c r="B592" s="85"/>
      <c r="C592" s="85"/>
      <c r="D592" s="85"/>
      <c r="E592" s="85"/>
      <c r="F592" s="85"/>
      <c r="G592" s="10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</row>
    <row r="593">
      <c r="A593" s="85"/>
      <c r="B593" s="85"/>
      <c r="C593" s="85"/>
      <c r="D593" s="85"/>
      <c r="E593" s="85"/>
      <c r="F593" s="85"/>
      <c r="G593" s="10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</row>
    <row r="594">
      <c r="A594" s="85"/>
      <c r="B594" s="85"/>
      <c r="C594" s="85"/>
      <c r="D594" s="85"/>
      <c r="E594" s="85"/>
      <c r="F594" s="85"/>
      <c r="G594" s="10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</row>
    <row r="595">
      <c r="A595" s="85"/>
      <c r="B595" s="85"/>
      <c r="C595" s="85"/>
      <c r="D595" s="85"/>
      <c r="E595" s="85"/>
      <c r="F595" s="85"/>
      <c r="G595" s="10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</row>
    <row r="596">
      <c r="A596" s="85"/>
      <c r="B596" s="85"/>
      <c r="C596" s="85"/>
      <c r="D596" s="85"/>
      <c r="E596" s="85"/>
      <c r="F596" s="85"/>
      <c r="G596" s="10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</row>
    <row r="597">
      <c r="A597" s="85"/>
      <c r="B597" s="85"/>
      <c r="C597" s="85"/>
      <c r="D597" s="85"/>
      <c r="E597" s="85"/>
      <c r="F597" s="85"/>
      <c r="G597" s="10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</row>
    <row r="598">
      <c r="A598" s="85"/>
      <c r="B598" s="85"/>
      <c r="C598" s="85"/>
      <c r="D598" s="85"/>
      <c r="E598" s="85"/>
      <c r="F598" s="85"/>
      <c r="G598" s="10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</row>
    <row r="599">
      <c r="A599" s="85"/>
      <c r="B599" s="85"/>
      <c r="C599" s="85"/>
      <c r="D599" s="85"/>
      <c r="E599" s="85"/>
      <c r="F599" s="85"/>
      <c r="G599" s="10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</row>
    <row r="600">
      <c r="A600" s="85"/>
      <c r="B600" s="85"/>
      <c r="C600" s="85"/>
      <c r="D600" s="85"/>
      <c r="E600" s="85"/>
      <c r="F600" s="85"/>
      <c r="G600" s="10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</row>
    <row r="601">
      <c r="A601" s="85"/>
      <c r="B601" s="85"/>
      <c r="C601" s="85"/>
      <c r="D601" s="85"/>
      <c r="E601" s="85"/>
      <c r="F601" s="85"/>
      <c r="G601" s="10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</row>
    <row r="602">
      <c r="A602" s="85"/>
      <c r="B602" s="85"/>
      <c r="C602" s="85"/>
      <c r="D602" s="85"/>
      <c r="E602" s="85"/>
      <c r="F602" s="85"/>
      <c r="G602" s="10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</row>
    <row r="603">
      <c r="A603" s="85"/>
      <c r="B603" s="85"/>
      <c r="C603" s="85"/>
      <c r="D603" s="85"/>
      <c r="E603" s="85"/>
      <c r="F603" s="85"/>
      <c r="G603" s="10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</row>
    <row r="604">
      <c r="A604" s="85"/>
      <c r="B604" s="85"/>
      <c r="C604" s="85"/>
      <c r="D604" s="85"/>
      <c r="E604" s="85"/>
      <c r="F604" s="85"/>
      <c r="G604" s="10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</row>
    <row r="605">
      <c r="A605" s="85"/>
      <c r="B605" s="85"/>
      <c r="C605" s="85"/>
      <c r="D605" s="85"/>
      <c r="E605" s="85"/>
      <c r="F605" s="85"/>
      <c r="G605" s="10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</row>
    <row r="606">
      <c r="A606" s="85"/>
      <c r="B606" s="85"/>
      <c r="C606" s="85"/>
      <c r="D606" s="85"/>
      <c r="E606" s="85"/>
      <c r="F606" s="85"/>
      <c r="G606" s="10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</row>
    <row r="607">
      <c r="A607" s="85"/>
      <c r="B607" s="85"/>
      <c r="C607" s="85"/>
      <c r="D607" s="85"/>
      <c r="E607" s="85"/>
      <c r="F607" s="85"/>
      <c r="G607" s="10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</row>
    <row r="608">
      <c r="A608" s="85"/>
      <c r="B608" s="85"/>
      <c r="C608" s="85"/>
      <c r="D608" s="85"/>
      <c r="E608" s="85"/>
      <c r="F608" s="85"/>
      <c r="G608" s="10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</row>
    <row r="609">
      <c r="A609" s="85"/>
      <c r="B609" s="85"/>
      <c r="C609" s="85"/>
      <c r="D609" s="85"/>
      <c r="E609" s="85"/>
      <c r="F609" s="85"/>
      <c r="G609" s="10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</row>
    <row r="610">
      <c r="A610" s="85"/>
      <c r="B610" s="85"/>
      <c r="C610" s="85"/>
      <c r="D610" s="85"/>
      <c r="E610" s="85"/>
      <c r="F610" s="85"/>
      <c r="G610" s="10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</row>
    <row r="611">
      <c r="A611" s="85"/>
      <c r="B611" s="85"/>
      <c r="C611" s="85"/>
      <c r="D611" s="85"/>
      <c r="E611" s="85"/>
      <c r="F611" s="85"/>
      <c r="G611" s="10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</row>
    <row r="612">
      <c r="A612" s="85"/>
      <c r="B612" s="85"/>
      <c r="C612" s="85"/>
      <c r="D612" s="85"/>
      <c r="E612" s="85"/>
      <c r="F612" s="85"/>
      <c r="G612" s="10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</row>
    <row r="613">
      <c r="A613" s="85"/>
      <c r="B613" s="85"/>
      <c r="C613" s="85"/>
      <c r="D613" s="85"/>
      <c r="E613" s="85"/>
      <c r="F613" s="85"/>
      <c r="G613" s="10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</row>
    <row r="614">
      <c r="A614" s="85"/>
      <c r="B614" s="85"/>
      <c r="C614" s="85"/>
      <c r="D614" s="85"/>
      <c r="E614" s="85"/>
      <c r="F614" s="85"/>
      <c r="G614" s="10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</row>
    <row r="615">
      <c r="A615" s="85"/>
      <c r="B615" s="85"/>
      <c r="C615" s="85"/>
      <c r="D615" s="85"/>
      <c r="E615" s="85"/>
      <c r="F615" s="85"/>
      <c r="G615" s="10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</row>
    <row r="616">
      <c r="A616" s="85"/>
      <c r="B616" s="85"/>
      <c r="C616" s="85"/>
      <c r="D616" s="85"/>
      <c r="E616" s="85"/>
      <c r="F616" s="85"/>
      <c r="G616" s="10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</row>
    <row r="617">
      <c r="A617" s="85"/>
      <c r="B617" s="85"/>
      <c r="C617" s="85"/>
      <c r="D617" s="85"/>
      <c r="E617" s="85"/>
      <c r="F617" s="85"/>
      <c r="G617" s="10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</row>
    <row r="618">
      <c r="A618" s="85"/>
      <c r="B618" s="85"/>
      <c r="C618" s="85"/>
      <c r="D618" s="85"/>
      <c r="E618" s="85"/>
      <c r="F618" s="85"/>
      <c r="G618" s="10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</row>
    <row r="619">
      <c r="A619" s="85"/>
      <c r="B619" s="85"/>
      <c r="C619" s="85"/>
      <c r="D619" s="85"/>
      <c r="E619" s="85"/>
      <c r="F619" s="85"/>
      <c r="G619" s="10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</row>
    <row r="620">
      <c r="A620" s="85"/>
      <c r="B620" s="85"/>
      <c r="C620" s="85"/>
      <c r="D620" s="85"/>
      <c r="E620" s="85"/>
      <c r="F620" s="85"/>
      <c r="G620" s="10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</row>
    <row r="621">
      <c r="A621" s="85"/>
      <c r="B621" s="85"/>
      <c r="C621" s="85"/>
      <c r="D621" s="85"/>
      <c r="E621" s="85"/>
      <c r="F621" s="85"/>
      <c r="G621" s="10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</row>
    <row r="622">
      <c r="A622" s="85"/>
      <c r="B622" s="85"/>
      <c r="C622" s="85"/>
      <c r="D622" s="85"/>
      <c r="E622" s="85"/>
      <c r="F622" s="85"/>
      <c r="G622" s="10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</row>
    <row r="623">
      <c r="A623" s="85"/>
      <c r="B623" s="85"/>
      <c r="C623" s="85"/>
      <c r="D623" s="85"/>
      <c r="E623" s="85"/>
      <c r="F623" s="85"/>
      <c r="G623" s="10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</row>
    <row r="624">
      <c r="A624" s="85"/>
      <c r="B624" s="85"/>
      <c r="C624" s="85"/>
      <c r="D624" s="85"/>
      <c r="E624" s="85"/>
      <c r="F624" s="85"/>
      <c r="G624" s="10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</row>
    <row r="625">
      <c r="A625" s="85"/>
      <c r="B625" s="85"/>
      <c r="C625" s="85"/>
      <c r="D625" s="85"/>
      <c r="E625" s="85"/>
      <c r="F625" s="85"/>
      <c r="G625" s="10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</row>
    <row r="626">
      <c r="A626" s="85"/>
      <c r="B626" s="85"/>
      <c r="C626" s="85"/>
      <c r="D626" s="85"/>
      <c r="E626" s="85"/>
      <c r="F626" s="85"/>
      <c r="G626" s="10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</row>
    <row r="627">
      <c r="A627" s="85"/>
      <c r="B627" s="85"/>
      <c r="C627" s="85"/>
      <c r="D627" s="85"/>
      <c r="E627" s="85"/>
      <c r="F627" s="85"/>
      <c r="G627" s="10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</row>
    <row r="628">
      <c r="A628" s="85"/>
      <c r="B628" s="85"/>
      <c r="C628" s="85"/>
      <c r="D628" s="85"/>
      <c r="E628" s="85"/>
      <c r="F628" s="85"/>
      <c r="G628" s="10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</row>
    <row r="629">
      <c r="A629" s="85"/>
      <c r="B629" s="85"/>
      <c r="C629" s="85"/>
      <c r="D629" s="85"/>
      <c r="E629" s="85"/>
      <c r="F629" s="85"/>
      <c r="G629" s="10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</row>
    <row r="630">
      <c r="A630" s="85"/>
      <c r="B630" s="85"/>
      <c r="C630" s="85"/>
      <c r="D630" s="85"/>
      <c r="E630" s="85"/>
      <c r="F630" s="85"/>
      <c r="G630" s="10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</row>
    <row r="631">
      <c r="A631" s="85"/>
      <c r="B631" s="85"/>
      <c r="C631" s="85"/>
      <c r="D631" s="85"/>
      <c r="E631" s="85"/>
      <c r="F631" s="85"/>
      <c r="G631" s="10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</row>
    <row r="632">
      <c r="A632" s="85"/>
      <c r="B632" s="85"/>
      <c r="C632" s="85"/>
      <c r="D632" s="85"/>
      <c r="E632" s="85"/>
      <c r="F632" s="85"/>
      <c r="G632" s="10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</row>
    <row r="633">
      <c r="A633" s="85"/>
      <c r="B633" s="85"/>
      <c r="C633" s="85"/>
      <c r="D633" s="85"/>
      <c r="E633" s="85"/>
      <c r="F633" s="85"/>
      <c r="G633" s="10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</row>
    <row r="634">
      <c r="A634" s="85"/>
      <c r="B634" s="85"/>
      <c r="C634" s="85"/>
      <c r="D634" s="85"/>
      <c r="E634" s="85"/>
      <c r="F634" s="85"/>
      <c r="G634" s="10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</row>
    <row r="635">
      <c r="A635" s="85"/>
      <c r="B635" s="85"/>
      <c r="C635" s="85"/>
      <c r="D635" s="85"/>
      <c r="E635" s="85"/>
      <c r="F635" s="85"/>
      <c r="G635" s="10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</row>
    <row r="636">
      <c r="A636" s="85"/>
      <c r="B636" s="85"/>
      <c r="C636" s="85"/>
      <c r="D636" s="85"/>
      <c r="E636" s="85"/>
      <c r="F636" s="85"/>
      <c r="G636" s="10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</row>
    <row r="637">
      <c r="A637" s="85"/>
      <c r="B637" s="85"/>
      <c r="C637" s="85"/>
      <c r="D637" s="85"/>
      <c r="E637" s="85"/>
      <c r="F637" s="85"/>
      <c r="G637" s="10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</row>
    <row r="638">
      <c r="A638" s="85"/>
      <c r="B638" s="85"/>
      <c r="C638" s="85"/>
      <c r="D638" s="85"/>
      <c r="E638" s="85"/>
      <c r="F638" s="85"/>
      <c r="G638" s="10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</row>
    <row r="639">
      <c r="A639" s="85"/>
      <c r="B639" s="85"/>
      <c r="C639" s="85"/>
      <c r="D639" s="85"/>
      <c r="E639" s="85"/>
      <c r="F639" s="85"/>
      <c r="G639" s="10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</row>
    <row r="640">
      <c r="A640" s="85"/>
      <c r="B640" s="85"/>
      <c r="C640" s="85"/>
      <c r="D640" s="85"/>
      <c r="E640" s="85"/>
      <c r="F640" s="85"/>
      <c r="G640" s="10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</row>
    <row r="641">
      <c r="A641" s="85"/>
      <c r="B641" s="85"/>
      <c r="C641" s="85"/>
      <c r="D641" s="85"/>
      <c r="E641" s="85"/>
      <c r="F641" s="85"/>
      <c r="G641" s="10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</row>
    <row r="642">
      <c r="A642" s="85"/>
      <c r="B642" s="85"/>
      <c r="C642" s="85"/>
      <c r="D642" s="85"/>
      <c r="E642" s="85"/>
      <c r="F642" s="85"/>
      <c r="G642" s="10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</row>
    <row r="643">
      <c r="A643" s="85"/>
      <c r="B643" s="85"/>
      <c r="C643" s="85"/>
      <c r="D643" s="85"/>
      <c r="E643" s="85"/>
      <c r="F643" s="85"/>
      <c r="G643" s="10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</row>
    <row r="644">
      <c r="A644" s="85"/>
      <c r="B644" s="85"/>
      <c r="C644" s="85"/>
      <c r="D644" s="85"/>
      <c r="E644" s="85"/>
      <c r="F644" s="85"/>
      <c r="G644" s="10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</row>
    <row r="645">
      <c r="A645" s="85"/>
      <c r="B645" s="85"/>
      <c r="C645" s="85"/>
      <c r="D645" s="85"/>
      <c r="E645" s="85"/>
      <c r="F645" s="85"/>
      <c r="G645" s="10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</row>
    <row r="646">
      <c r="A646" s="85"/>
      <c r="B646" s="85"/>
      <c r="C646" s="85"/>
      <c r="D646" s="85"/>
      <c r="E646" s="85"/>
      <c r="F646" s="85"/>
      <c r="G646" s="10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</row>
    <row r="647">
      <c r="A647" s="85"/>
      <c r="B647" s="85"/>
      <c r="C647" s="85"/>
      <c r="D647" s="85"/>
      <c r="E647" s="85"/>
      <c r="F647" s="85"/>
      <c r="G647" s="10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</row>
    <row r="648">
      <c r="A648" s="85"/>
      <c r="B648" s="85"/>
      <c r="C648" s="85"/>
      <c r="D648" s="85"/>
      <c r="E648" s="85"/>
      <c r="F648" s="85"/>
      <c r="G648" s="10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</row>
    <row r="649">
      <c r="A649" s="85"/>
      <c r="B649" s="85"/>
      <c r="C649" s="85"/>
      <c r="D649" s="85"/>
      <c r="E649" s="85"/>
      <c r="F649" s="85"/>
      <c r="G649" s="10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</row>
    <row r="650">
      <c r="A650" s="85"/>
      <c r="B650" s="85"/>
      <c r="C650" s="85"/>
      <c r="D650" s="85"/>
      <c r="E650" s="85"/>
      <c r="F650" s="85"/>
      <c r="G650" s="10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</row>
    <row r="651">
      <c r="A651" s="85"/>
      <c r="B651" s="85"/>
      <c r="C651" s="85"/>
      <c r="D651" s="85"/>
      <c r="E651" s="85"/>
      <c r="F651" s="85"/>
      <c r="G651" s="10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</row>
    <row r="652">
      <c r="A652" s="85"/>
      <c r="B652" s="85"/>
      <c r="C652" s="85"/>
      <c r="D652" s="85"/>
      <c r="E652" s="85"/>
      <c r="F652" s="85"/>
      <c r="G652" s="10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</row>
    <row r="653">
      <c r="A653" s="85"/>
      <c r="B653" s="85"/>
      <c r="C653" s="85"/>
      <c r="D653" s="85"/>
      <c r="E653" s="85"/>
      <c r="F653" s="85"/>
      <c r="G653" s="10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</row>
    <row r="654">
      <c r="A654" s="85"/>
      <c r="B654" s="85"/>
      <c r="C654" s="85"/>
      <c r="D654" s="85"/>
      <c r="E654" s="85"/>
      <c r="F654" s="85"/>
      <c r="G654" s="10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</row>
    <row r="655">
      <c r="A655" s="85"/>
      <c r="B655" s="85"/>
      <c r="C655" s="85"/>
      <c r="D655" s="85"/>
      <c r="E655" s="85"/>
      <c r="F655" s="85"/>
      <c r="G655" s="10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</row>
    <row r="656">
      <c r="A656" s="85"/>
      <c r="B656" s="85"/>
      <c r="C656" s="85"/>
      <c r="D656" s="85"/>
      <c r="E656" s="85"/>
      <c r="F656" s="85"/>
      <c r="G656" s="10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</row>
    <row r="657">
      <c r="A657" s="85"/>
      <c r="B657" s="85"/>
      <c r="C657" s="85"/>
      <c r="D657" s="85"/>
      <c r="E657" s="85"/>
      <c r="F657" s="85"/>
      <c r="G657" s="10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</row>
    <row r="658">
      <c r="A658" s="85"/>
      <c r="B658" s="85"/>
      <c r="C658" s="85"/>
      <c r="D658" s="85"/>
      <c r="E658" s="85"/>
      <c r="F658" s="85"/>
      <c r="G658" s="10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</row>
    <row r="659">
      <c r="A659" s="85"/>
      <c r="B659" s="85"/>
      <c r="C659" s="85"/>
      <c r="D659" s="85"/>
      <c r="E659" s="85"/>
      <c r="F659" s="85"/>
      <c r="G659" s="10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</row>
    <row r="660">
      <c r="A660" s="85"/>
      <c r="B660" s="85"/>
      <c r="C660" s="85"/>
      <c r="D660" s="85"/>
      <c r="E660" s="85"/>
      <c r="F660" s="85"/>
      <c r="G660" s="10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</row>
    <row r="661">
      <c r="A661" s="85"/>
      <c r="B661" s="85"/>
      <c r="C661" s="85"/>
      <c r="D661" s="85"/>
      <c r="E661" s="85"/>
      <c r="F661" s="85"/>
      <c r="G661" s="10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</row>
    <row r="662">
      <c r="A662" s="85"/>
      <c r="B662" s="85"/>
      <c r="C662" s="85"/>
      <c r="D662" s="85"/>
      <c r="E662" s="85"/>
      <c r="F662" s="85"/>
      <c r="G662" s="10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</row>
    <row r="663">
      <c r="A663" s="85"/>
      <c r="B663" s="85"/>
      <c r="C663" s="85"/>
      <c r="D663" s="85"/>
      <c r="E663" s="85"/>
      <c r="F663" s="85"/>
      <c r="G663" s="10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</row>
    <row r="664">
      <c r="A664" s="85"/>
      <c r="B664" s="85"/>
      <c r="C664" s="85"/>
      <c r="D664" s="85"/>
      <c r="E664" s="85"/>
      <c r="F664" s="85"/>
      <c r="G664" s="10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</row>
    <row r="665">
      <c r="A665" s="85"/>
      <c r="B665" s="85"/>
      <c r="C665" s="85"/>
      <c r="D665" s="85"/>
      <c r="E665" s="85"/>
      <c r="F665" s="85"/>
      <c r="G665" s="10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</row>
    <row r="666">
      <c r="A666" s="85"/>
      <c r="B666" s="85"/>
      <c r="C666" s="85"/>
      <c r="D666" s="85"/>
      <c r="E666" s="85"/>
      <c r="F666" s="85"/>
      <c r="G666" s="10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</row>
    <row r="667">
      <c r="A667" s="85"/>
      <c r="B667" s="85"/>
      <c r="C667" s="85"/>
      <c r="D667" s="85"/>
      <c r="E667" s="85"/>
      <c r="F667" s="85"/>
      <c r="G667" s="10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</row>
    <row r="668">
      <c r="A668" s="85"/>
      <c r="B668" s="85"/>
      <c r="C668" s="85"/>
      <c r="D668" s="85"/>
      <c r="E668" s="85"/>
      <c r="F668" s="85"/>
      <c r="G668" s="10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</row>
    <row r="669">
      <c r="A669" s="85"/>
      <c r="B669" s="85"/>
      <c r="C669" s="85"/>
      <c r="D669" s="85"/>
      <c r="E669" s="85"/>
      <c r="F669" s="85"/>
      <c r="G669" s="10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</row>
    <row r="670">
      <c r="A670" s="85"/>
      <c r="B670" s="85"/>
      <c r="C670" s="85"/>
      <c r="D670" s="85"/>
      <c r="E670" s="85"/>
      <c r="F670" s="85"/>
      <c r="G670" s="10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</row>
    <row r="671">
      <c r="A671" s="85"/>
      <c r="B671" s="85"/>
      <c r="C671" s="85"/>
      <c r="D671" s="85"/>
      <c r="E671" s="85"/>
      <c r="F671" s="85"/>
      <c r="G671" s="10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</row>
    <row r="672">
      <c r="A672" s="85"/>
      <c r="B672" s="85"/>
      <c r="C672" s="85"/>
      <c r="D672" s="85"/>
      <c r="E672" s="85"/>
      <c r="F672" s="85"/>
      <c r="G672" s="10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</row>
    <row r="673">
      <c r="A673" s="85"/>
      <c r="B673" s="85"/>
      <c r="C673" s="85"/>
      <c r="D673" s="85"/>
      <c r="E673" s="85"/>
      <c r="F673" s="85"/>
      <c r="G673" s="10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</row>
    <row r="674">
      <c r="A674" s="85"/>
      <c r="B674" s="85"/>
      <c r="C674" s="85"/>
      <c r="D674" s="85"/>
      <c r="E674" s="85"/>
      <c r="F674" s="85"/>
      <c r="G674" s="10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</row>
    <row r="675">
      <c r="A675" s="85"/>
      <c r="B675" s="85"/>
      <c r="C675" s="85"/>
      <c r="D675" s="85"/>
      <c r="E675" s="85"/>
      <c r="F675" s="85"/>
      <c r="G675" s="10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</row>
    <row r="676">
      <c r="A676" s="85"/>
      <c r="B676" s="85"/>
      <c r="C676" s="85"/>
      <c r="D676" s="85"/>
      <c r="E676" s="85"/>
      <c r="F676" s="85"/>
      <c r="G676" s="10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</row>
    <row r="677">
      <c r="A677" s="85"/>
      <c r="B677" s="85"/>
      <c r="C677" s="85"/>
      <c r="D677" s="85"/>
      <c r="E677" s="85"/>
      <c r="F677" s="85"/>
      <c r="G677" s="10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</row>
    <row r="678">
      <c r="A678" s="85"/>
      <c r="B678" s="85"/>
      <c r="C678" s="85"/>
      <c r="D678" s="85"/>
      <c r="E678" s="85"/>
      <c r="F678" s="85"/>
      <c r="G678" s="10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</row>
    <row r="679">
      <c r="A679" s="85"/>
      <c r="B679" s="85"/>
      <c r="C679" s="85"/>
      <c r="D679" s="85"/>
      <c r="E679" s="85"/>
      <c r="F679" s="85"/>
      <c r="G679" s="10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</row>
    <row r="680">
      <c r="A680" s="85"/>
      <c r="B680" s="85"/>
      <c r="C680" s="85"/>
      <c r="D680" s="85"/>
      <c r="E680" s="85"/>
      <c r="F680" s="85"/>
      <c r="G680" s="10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</row>
    <row r="681">
      <c r="A681" s="85"/>
      <c r="B681" s="85"/>
      <c r="C681" s="85"/>
      <c r="D681" s="85"/>
      <c r="E681" s="85"/>
      <c r="F681" s="85"/>
      <c r="G681" s="10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</row>
    <row r="682">
      <c r="A682" s="85"/>
      <c r="B682" s="85"/>
      <c r="C682" s="85"/>
      <c r="D682" s="85"/>
      <c r="E682" s="85"/>
      <c r="F682" s="85"/>
      <c r="G682" s="10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</row>
    <row r="683">
      <c r="A683" s="85"/>
      <c r="B683" s="85"/>
      <c r="C683" s="85"/>
      <c r="D683" s="85"/>
      <c r="E683" s="85"/>
      <c r="F683" s="85"/>
      <c r="G683" s="10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</row>
    <row r="684">
      <c r="A684" s="85"/>
      <c r="B684" s="85"/>
      <c r="C684" s="85"/>
      <c r="D684" s="85"/>
      <c r="E684" s="85"/>
      <c r="F684" s="85"/>
      <c r="G684" s="10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</row>
    <row r="685">
      <c r="A685" s="85"/>
      <c r="B685" s="85"/>
      <c r="C685" s="85"/>
      <c r="D685" s="85"/>
      <c r="E685" s="85"/>
      <c r="F685" s="85"/>
      <c r="G685" s="10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</row>
    <row r="686">
      <c r="A686" s="85"/>
      <c r="B686" s="85"/>
      <c r="C686" s="85"/>
      <c r="D686" s="85"/>
      <c r="E686" s="85"/>
      <c r="F686" s="85"/>
      <c r="G686" s="10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</row>
    <row r="687">
      <c r="A687" s="85"/>
      <c r="B687" s="85"/>
      <c r="C687" s="85"/>
      <c r="D687" s="85"/>
      <c r="E687" s="85"/>
      <c r="F687" s="85"/>
      <c r="G687" s="10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</row>
    <row r="688">
      <c r="A688" s="85"/>
      <c r="B688" s="85"/>
      <c r="C688" s="85"/>
      <c r="D688" s="85"/>
      <c r="E688" s="85"/>
      <c r="F688" s="85"/>
      <c r="G688" s="10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</row>
    <row r="689">
      <c r="A689" s="85"/>
      <c r="B689" s="85"/>
      <c r="C689" s="85"/>
      <c r="D689" s="85"/>
      <c r="E689" s="85"/>
      <c r="F689" s="85"/>
      <c r="G689" s="10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</row>
    <row r="690">
      <c r="A690" s="85"/>
      <c r="B690" s="85"/>
      <c r="C690" s="85"/>
      <c r="D690" s="85"/>
      <c r="E690" s="85"/>
      <c r="F690" s="85"/>
      <c r="G690" s="10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</row>
    <row r="691">
      <c r="A691" s="85"/>
      <c r="B691" s="85"/>
      <c r="C691" s="85"/>
      <c r="D691" s="85"/>
      <c r="E691" s="85"/>
      <c r="F691" s="85"/>
      <c r="G691" s="10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</row>
    <row r="692">
      <c r="A692" s="85"/>
      <c r="B692" s="85"/>
      <c r="C692" s="85"/>
      <c r="D692" s="85"/>
      <c r="E692" s="85"/>
      <c r="F692" s="85"/>
      <c r="G692" s="10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</row>
    <row r="693">
      <c r="A693" s="85"/>
      <c r="B693" s="85"/>
      <c r="C693" s="85"/>
      <c r="D693" s="85"/>
      <c r="E693" s="85"/>
      <c r="F693" s="85"/>
      <c r="G693" s="10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</row>
    <row r="694">
      <c r="A694" s="85"/>
      <c r="B694" s="85"/>
      <c r="C694" s="85"/>
      <c r="D694" s="85"/>
      <c r="E694" s="85"/>
      <c r="F694" s="85"/>
      <c r="G694" s="10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</row>
    <row r="695">
      <c r="A695" s="85"/>
      <c r="B695" s="85"/>
      <c r="C695" s="85"/>
      <c r="D695" s="85"/>
      <c r="E695" s="85"/>
      <c r="F695" s="85"/>
      <c r="G695" s="10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</row>
    <row r="696">
      <c r="A696" s="85"/>
      <c r="B696" s="85"/>
      <c r="C696" s="85"/>
      <c r="D696" s="85"/>
      <c r="E696" s="85"/>
      <c r="F696" s="85"/>
      <c r="G696" s="10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</row>
    <row r="697">
      <c r="A697" s="85"/>
      <c r="B697" s="85"/>
      <c r="C697" s="85"/>
      <c r="D697" s="85"/>
      <c r="E697" s="85"/>
      <c r="F697" s="85"/>
      <c r="G697" s="10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</row>
    <row r="698">
      <c r="A698" s="85"/>
      <c r="B698" s="85"/>
      <c r="C698" s="85"/>
      <c r="D698" s="85"/>
      <c r="E698" s="85"/>
      <c r="F698" s="85"/>
      <c r="G698" s="10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</row>
    <row r="699">
      <c r="A699" s="85"/>
      <c r="B699" s="85"/>
      <c r="C699" s="85"/>
      <c r="D699" s="85"/>
      <c r="E699" s="85"/>
      <c r="F699" s="85"/>
      <c r="G699" s="10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</row>
    <row r="700">
      <c r="A700" s="85"/>
      <c r="B700" s="85"/>
      <c r="C700" s="85"/>
      <c r="D700" s="85"/>
      <c r="E700" s="85"/>
      <c r="F700" s="85"/>
      <c r="G700" s="10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</row>
    <row r="701">
      <c r="A701" s="85"/>
      <c r="B701" s="85"/>
      <c r="C701" s="85"/>
      <c r="D701" s="85"/>
      <c r="E701" s="85"/>
      <c r="F701" s="85"/>
      <c r="G701" s="10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</row>
    <row r="702">
      <c r="A702" s="85"/>
      <c r="B702" s="85"/>
      <c r="C702" s="85"/>
      <c r="D702" s="85"/>
      <c r="E702" s="85"/>
      <c r="F702" s="85"/>
      <c r="G702" s="10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</row>
    <row r="703">
      <c r="A703" s="85"/>
      <c r="B703" s="85"/>
      <c r="C703" s="85"/>
      <c r="D703" s="85"/>
      <c r="E703" s="85"/>
      <c r="F703" s="85"/>
      <c r="G703" s="10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</row>
    <row r="704">
      <c r="A704" s="85"/>
      <c r="B704" s="85"/>
      <c r="C704" s="85"/>
      <c r="D704" s="85"/>
      <c r="E704" s="85"/>
      <c r="F704" s="85"/>
      <c r="G704" s="10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</row>
    <row r="705">
      <c r="A705" s="85"/>
      <c r="B705" s="85"/>
      <c r="C705" s="85"/>
      <c r="D705" s="85"/>
      <c r="E705" s="85"/>
      <c r="F705" s="85"/>
      <c r="G705" s="10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</row>
    <row r="706">
      <c r="A706" s="85"/>
      <c r="B706" s="85"/>
      <c r="C706" s="85"/>
      <c r="D706" s="85"/>
      <c r="E706" s="85"/>
      <c r="F706" s="85"/>
      <c r="G706" s="10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</row>
    <row r="707">
      <c r="A707" s="85"/>
      <c r="B707" s="85"/>
      <c r="C707" s="85"/>
      <c r="D707" s="85"/>
      <c r="E707" s="85"/>
      <c r="F707" s="85"/>
      <c r="G707" s="10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</row>
    <row r="708">
      <c r="A708" s="85"/>
      <c r="B708" s="85"/>
      <c r="C708" s="85"/>
      <c r="D708" s="85"/>
      <c r="E708" s="85"/>
      <c r="F708" s="85"/>
      <c r="G708" s="10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</row>
    <row r="709">
      <c r="A709" s="85"/>
      <c r="B709" s="85"/>
      <c r="C709" s="85"/>
      <c r="D709" s="85"/>
      <c r="E709" s="85"/>
      <c r="F709" s="85"/>
      <c r="G709" s="10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</row>
    <row r="710">
      <c r="A710" s="85"/>
      <c r="B710" s="85"/>
      <c r="C710" s="85"/>
      <c r="D710" s="85"/>
      <c r="E710" s="85"/>
      <c r="F710" s="85"/>
      <c r="G710" s="10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</row>
    <row r="711">
      <c r="A711" s="85"/>
      <c r="B711" s="85"/>
      <c r="C711" s="85"/>
      <c r="D711" s="85"/>
      <c r="E711" s="85"/>
      <c r="F711" s="85"/>
      <c r="G711" s="10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</row>
    <row r="712">
      <c r="A712" s="85"/>
      <c r="B712" s="85"/>
      <c r="C712" s="85"/>
      <c r="D712" s="85"/>
      <c r="E712" s="85"/>
      <c r="F712" s="85"/>
      <c r="G712" s="10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</row>
    <row r="713">
      <c r="A713" s="85"/>
      <c r="B713" s="85"/>
      <c r="C713" s="85"/>
      <c r="D713" s="85"/>
      <c r="E713" s="85"/>
      <c r="F713" s="85"/>
      <c r="G713" s="10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</row>
    <row r="714">
      <c r="A714" s="85"/>
      <c r="B714" s="85"/>
      <c r="C714" s="85"/>
      <c r="D714" s="85"/>
      <c r="E714" s="85"/>
      <c r="F714" s="85"/>
      <c r="G714" s="10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</row>
    <row r="715">
      <c r="A715" s="85"/>
      <c r="B715" s="85"/>
      <c r="C715" s="85"/>
      <c r="D715" s="85"/>
      <c r="E715" s="85"/>
      <c r="F715" s="85"/>
      <c r="G715" s="10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</row>
    <row r="716">
      <c r="A716" s="85"/>
      <c r="B716" s="85"/>
      <c r="C716" s="85"/>
      <c r="D716" s="85"/>
      <c r="E716" s="85"/>
      <c r="F716" s="85"/>
      <c r="G716" s="10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</row>
    <row r="717">
      <c r="A717" s="85"/>
      <c r="B717" s="85"/>
      <c r="C717" s="85"/>
      <c r="D717" s="85"/>
      <c r="E717" s="85"/>
      <c r="F717" s="85"/>
      <c r="G717" s="10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</row>
    <row r="718">
      <c r="A718" s="85"/>
      <c r="B718" s="85"/>
      <c r="C718" s="85"/>
      <c r="D718" s="85"/>
      <c r="E718" s="85"/>
      <c r="F718" s="85"/>
      <c r="G718" s="10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</row>
    <row r="719">
      <c r="A719" s="85"/>
      <c r="B719" s="85"/>
      <c r="C719" s="85"/>
      <c r="D719" s="85"/>
      <c r="E719" s="85"/>
      <c r="F719" s="85"/>
      <c r="G719" s="10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</row>
    <row r="720">
      <c r="A720" s="85"/>
      <c r="B720" s="85"/>
      <c r="C720" s="85"/>
      <c r="D720" s="85"/>
      <c r="E720" s="85"/>
      <c r="F720" s="85"/>
      <c r="G720" s="10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</row>
    <row r="721">
      <c r="A721" s="85"/>
      <c r="B721" s="85"/>
      <c r="C721" s="85"/>
      <c r="D721" s="85"/>
      <c r="E721" s="85"/>
      <c r="F721" s="85"/>
      <c r="G721" s="10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</row>
    <row r="722">
      <c r="A722" s="85"/>
      <c r="B722" s="85"/>
      <c r="C722" s="85"/>
      <c r="D722" s="85"/>
      <c r="E722" s="85"/>
      <c r="F722" s="85"/>
      <c r="G722" s="10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</row>
    <row r="723">
      <c r="A723" s="85"/>
      <c r="B723" s="85"/>
      <c r="C723" s="85"/>
      <c r="D723" s="85"/>
      <c r="E723" s="85"/>
      <c r="F723" s="85"/>
      <c r="G723" s="10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</row>
    <row r="724">
      <c r="A724" s="85"/>
      <c r="B724" s="85"/>
      <c r="C724" s="85"/>
      <c r="D724" s="85"/>
      <c r="E724" s="85"/>
      <c r="F724" s="85"/>
      <c r="G724" s="10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</row>
    <row r="725">
      <c r="A725" s="85"/>
      <c r="B725" s="85"/>
      <c r="C725" s="85"/>
      <c r="D725" s="85"/>
      <c r="E725" s="85"/>
      <c r="F725" s="85"/>
      <c r="G725" s="10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</row>
    <row r="726">
      <c r="A726" s="85"/>
      <c r="B726" s="85"/>
      <c r="C726" s="85"/>
      <c r="D726" s="85"/>
      <c r="E726" s="85"/>
      <c r="F726" s="85"/>
      <c r="G726" s="10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</row>
    <row r="727">
      <c r="A727" s="85"/>
      <c r="B727" s="85"/>
      <c r="C727" s="85"/>
      <c r="D727" s="85"/>
      <c r="E727" s="85"/>
      <c r="F727" s="85"/>
      <c r="G727" s="10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</row>
    <row r="728">
      <c r="A728" s="85"/>
      <c r="B728" s="85"/>
      <c r="C728" s="85"/>
      <c r="D728" s="85"/>
      <c r="E728" s="85"/>
      <c r="F728" s="85"/>
      <c r="G728" s="10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</row>
    <row r="729">
      <c r="A729" s="85"/>
      <c r="B729" s="85"/>
      <c r="C729" s="85"/>
      <c r="D729" s="85"/>
      <c r="E729" s="85"/>
      <c r="F729" s="85"/>
      <c r="G729" s="10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</row>
    <row r="730">
      <c r="A730" s="85"/>
      <c r="B730" s="85"/>
      <c r="C730" s="85"/>
      <c r="D730" s="85"/>
      <c r="E730" s="85"/>
      <c r="F730" s="85"/>
      <c r="G730" s="10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</row>
    <row r="731">
      <c r="A731" s="85"/>
      <c r="B731" s="85"/>
      <c r="C731" s="85"/>
      <c r="D731" s="85"/>
      <c r="E731" s="85"/>
      <c r="F731" s="85"/>
      <c r="G731" s="10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</row>
    <row r="732">
      <c r="A732" s="85"/>
      <c r="B732" s="85"/>
      <c r="C732" s="85"/>
      <c r="D732" s="85"/>
      <c r="E732" s="85"/>
      <c r="F732" s="85"/>
      <c r="G732" s="10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</row>
    <row r="733">
      <c r="A733" s="85"/>
      <c r="B733" s="85"/>
      <c r="C733" s="85"/>
      <c r="D733" s="85"/>
      <c r="E733" s="85"/>
      <c r="F733" s="85"/>
      <c r="G733" s="10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</row>
    <row r="734">
      <c r="A734" s="85"/>
      <c r="B734" s="85"/>
      <c r="C734" s="85"/>
      <c r="D734" s="85"/>
      <c r="E734" s="85"/>
      <c r="F734" s="85"/>
      <c r="G734" s="10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</row>
    <row r="735">
      <c r="A735" s="85"/>
      <c r="B735" s="85"/>
      <c r="C735" s="85"/>
      <c r="D735" s="85"/>
      <c r="E735" s="85"/>
      <c r="F735" s="85"/>
      <c r="G735" s="10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</row>
    <row r="736">
      <c r="A736" s="85"/>
      <c r="B736" s="85"/>
      <c r="C736" s="85"/>
      <c r="D736" s="85"/>
      <c r="E736" s="85"/>
      <c r="F736" s="85"/>
      <c r="G736" s="10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</row>
    <row r="737">
      <c r="A737" s="85"/>
      <c r="B737" s="85"/>
      <c r="C737" s="85"/>
      <c r="D737" s="85"/>
      <c r="E737" s="85"/>
      <c r="F737" s="85"/>
      <c r="G737" s="10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</row>
    <row r="738">
      <c r="A738" s="85"/>
      <c r="B738" s="85"/>
      <c r="C738" s="85"/>
      <c r="D738" s="85"/>
      <c r="E738" s="85"/>
      <c r="F738" s="85"/>
      <c r="G738" s="10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</row>
    <row r="739">
      <c r="A739" s="85"/>
      <c r="B739" s="85"/>
      <c r="C739" s="85"/>
      <c r="D739" s="85"/>
      <c r="E739" s="85"/>
      <c r="F739" s="85"/>
      <c r="G739" s="10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</row>
    <row r="740">
      <c r="A740" s="85"/>
      <c r="B740" s="85"/>
      <c r="C740" s="85"/>
      <c r="D740" s="85"/>
      <c r="E740" s="85"/>
      <c r="F740" s="85"/>
      <c r="G740" s="10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</row>
    <row r="741">
      <c r="A741" s="85"/>
      <c r="B741" s="85"/>
      <c r="C741" s="85"/>
      <c r="D741" s="85"/>
      <c r="E741" s="85"/>
      <c r="F741" s="85"/>
      <c r="G741" s="10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</row>
    <row r="742">
      <c r="A742" s="85"/>
      <c r="B742" s="85"/>
      <c r="C742" s="85"/>
      <c r="D742" s="85"/>
      <c r="E742" s="85"/>
      <c r="F742" s="85"/>
      <c r="G742" s="10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</row>
    <row r="743">
      <c r="A743" s="85"/>
      <c r="B743" s="85"/>
      <c r="C743" s="85"/>
      <c r="D743" s="85"/>
      <c r="E743" s="85"/>
      <c r="F743" s="85"/>
      <c r="G743" s="10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</row>
    <row r="744">
      <c r="A744" s="85"/>
      <c r="B744" s="85"/>
      <c r="C744" s="85"/>
      <c r="D744" s="85"/>
      <c r="E744" s="85"/>
      <c r="F744" s="85"/>
      <c r="G744" s="10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</row>
    <row r="745">
      <c r="A745" s="85"/>
      <c r="B745" s="85"/>
      <c r="C745" s="85"/>
      <c r="D745" s="85"/>
      <c r="E745" s="85"/>
      <c r="F745" s="85"/>
      <c r="G745" s="10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</row>
    <row r="746">
      <c r="A746" s="85"/>
      <c r="B746" s="85"/>
      <c r="C746" s="85"/>
      <c r="D746" s="85"/>
      <c r="E746" s="85"/>
      <c r="F746" s="85"/>
      <c r="G746" s="10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</row>
    <row r="747">
      <c r="A747" s="85"/>
      <c r="B747" s="85"/>
      <c r="C747" s="85"/>
      <c r="D747" s="85"/>
      <c r="E747" s="85"/>
      <c r="F747" s="85"/>
      <c r="G747" s="10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</row>
    <row r="748">
      <c r="A748" s="85"/>
      <c r="B748" s="85"/>
      <c r="C748" s="85"/>
      <c r="D748" s="85"/>
      <c r="E748" s="85"/>
      <c r="F748" s="85"/>
      <c r="G748" s="10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</row>
    <row r="749">
      <c r="A749" s="85"/>
      <c r="B749" s="85"/>
      <c r="C749" s="85"/>
      <c r="D749" s="85"/>
      <c r="E749" s="85"/>
      <c r="F749" s="85"/>
      <c r="G749" s="10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</row>
    <row r="750">
      <c r="A750" s="85"/>
      <c r="B750" s="85"/>
      <c r="C750" s="85"/>
      <c r="D750" s="85"/>
      <c r="E750" s="85"/>
      <c r="F750" s="85"/>
      <c r="G750" s="10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</row>
    <row r="751">
      <c r="A751" s="85"/>
      <c r="B751" s="85"/>
      <c r="C751" s="85"/>
      <c r="D751" s="85"/>
      <c r="E751" s="85"/>
      <c r="F751" s="85"/>
      <c r="G751" s="10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</row>
    <row r="752">
      <c r="A752" s="85"/>
      <c r="B752" s="85"/>
      <c r="C752" s="85"/>
      <c r="D752" s="85"/>
      <c r="E752" s="85"/>
      <c r="F752" s="85"/>
      <c r="G752" s="10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</row>
    <row r="753">
      <c r="A753" s="85"/>
      <c r="B753" s="85"/>
      <c r="C753" s="85"/>
      <c r="D753" s="85"/>
      <c r="E753" s="85"/>
      <c r="F753" s="85"/>
      <c r="G753" s="10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</row>
    <row r="754">
      <c r="A754" s="85"/>
      <c r="B754" s="85"/>
      <c r="C754" s="85"/>
      <c r="D754" s="85"/>
      <c r="E754" s="85"/>
      <c r="F754" s="85"/>
      <c r="G754" s="10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</row>
    <row r="755">
      <c r="A755" s="85"/>
      <c r="B755" s="85"/>
      <c r="C755" s="85"/>
      <c r="D755" s="85"/>
      <c r="E755" s="85"/>
      <c r="F755" s="85"/>
      <c r="G755" s="10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</row>
    <row r="756">
      <c r="A756" s="85"/>
      <c r="B756" s="85"/>
      <c r="C756" s="85"/>
      <c r="D756" s="85"/>
      <c r="E756" s="85"/>
      <c r="F756" s="85"/>
      <c r="G756" s="10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</row>
    <row r="757">
      <c r="A757" s="85"/>
      <c r="B757" s="85"/>
      <c r="C757" s="85"/>
      <c r="D757" s="85"/>
      <c r="E757" s="85"/>
      <c r="F757" s="85"/>
      <c r="G757" s="10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</row>
    <row r="758">
      <c r="A758" s="85"/>
      <c r="B758" s="85"/>
      <c r="C758" s="85"/>
      <c r="D758" s="85"/>
      <c r="E758" s="85"/>
      <c r="F758" s="85"/>
      <c r="G758" s="10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</row>
    <row r="759">
      <c r="A759" s="85"/>
      <c r="B759" s="85"/>
      <c r="C759" s="85"/>
      <c r="D759" s="85"/>
      <c r="E759" s="85"/>
      <c r="F759" s="85"/>
      <c r="G759" s="10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</row>
    <row r="760">
      <c r="A760" s="85"/>
      <c r="B760" s="85"/>
      <c r="C760" s="85"/>
      <c r="D760" s="85"/>
      <c r="E760" s="85"/>
      <c r="F760" s="85"/>
      <c r="G760" s="10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</row>
    <row r="761">
      <c r="A761" s="85"/>
      <c r="B761" s="85"/>
      <c r="C761" s="85"/>
      <c r="D761" s="85"/>
      <c r="E761" s="85"/>
      <c r="F761" s="85"/>
      <c r="G761" s="10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</row>
    <row r="762">
      <c r="A762" s="85"/>
      <c r="B762" s="85"/>
      <c r="C762" s="85"/>
      <c r="D762" s="85"/>
      <c r="E762" s="85"/>
      <c r="F762" s="85"/>
      <c r="G762" s="10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</row>
    <row r="763">
      <c r="A763" s="85"/>
      <c r="B763" s="85"/>
      <c r="C763" s="85"/>
      <c r="D763" s="85"/>
      <c r="E763" s="85"/>
      <c r="F763" s="85"/>
      <c r="G763" s="10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</row>
    <row r="764">
      <c r="A764" s="85"/>
      <c r="B764" s="85"/>
      <c r="C764" s="85"/>
      <c r="D764" s="85"/>
      <c r="E764" s="85"/>
      <c r="F764" s="85"/>
      <c r="G764" s="10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</row>
    <row r="765">
      <c r="A765" s="85"/>
      <c r="B765" s="85"/>
      <c r="C765" s="85"/>
      <c r="D765" s="85"/>
      <c r="E765" s="85"/>
      <c r="F765" s="85"/>
      <c r="G765" s="10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</row>
    <row r="766">
      <c r="A766" s="85"/>
      <c r="B766" s="85"/>
      <c r="C766" s="85"/>
      <c r="D766" s="85"/>
      <c r="E766" s="85"/>
      <c r="F766" s="85"/>
      <c r="G766" s="10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</row>
    <row r="767">
      <c r="A767" s="85"/>
      <c r="B767" s="85"/>
      <c r="C767" s="85"/>
      <c r="D767" s="85"/>
      <c r="E767" s="85"/>
      <c r="F767" s="85"/>
      <c r="G767" s="10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</row>
    <row r="768">
      <c r="A768" s="85"/>
      <c r="B768" s="85"/>
      <c r="C768" s="85"/>
      <c r="D768" s="85"/>
      <c r="E768" s="85"/>
      <c r="F768" s="85"/>
      <c r="G768" s="10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</row>
    <row r="769">
      <c r="A769" s="85"/>
      <c r="B769" s="85"/>
      <c r="C769" s="85"/>
      <c r="D769" s="85"/>
      <c r="E769" s="85"/>
      <c r="F769" s="85"/>
      <c r="G769" s="10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</row>
    <row r="770">
      <c r="A770" s="85"/>
      <c r="B770" s="85"/>
      <c r="C770" s="85"/>
      <c r="D770" s="85"/>
      <c r="E770" s="85"/>
      <c r="F770" s="85"/>
      <c r="G770" s="10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</row>
    <row r="771">
      <c r="A771" s="85"/>
      <c r="B771" s="85"/>
      <c r="C771" s="85"/>
      <c r="D771" s="85"/>
      <c r="E771" s="85"/>
      <c r="F771" s="85"/>
      <c r="G771" s="10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</row>
    <row r="772">
      <c r="A772" s="85"/>
      <c r="B772" s="85"/>
      <c r="C772" s="85"/>
      <c r="D772" s="85"/>
      <c r="E772" s="85"/>
      <c r="F772" s="85"/>
      <c r="G772" s="10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</row>
    <row r="773">
      <c r="A773" s="85"/>
      <c r="B773" s="85"/>
      <c r="C773" s="85"/>
      <c r="D773" s="85"/>
      <c r="E773" s="85"/>
      <c r="F773" s="85"/>
      <c r="G773" s="10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</row>
    <row r="774">
      <c r="A774" s="85"/>
      <c r="B774" s="85"/>
      <c r="C774" s="85"/>
      <c r="D774" s="85"/>
      <c r="E774" s="85"/>
      <c r="F774" s="85"/>
      <c r="G774" s="10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</row>
    <row r="775">
      <c r="A775" s="85"/>
      <c r="B775" s="85"/>
      <c r="C775" s="85"/>
      <c r="D775" s="85"/>
      <c r="E775" s="85"/>
      <c r="F775" s="85"/>
      <c r="G775" s="10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</row>
    <row r="776">
      <c r="A776" s="85"/>
      <c r="B776" s="85"/>
      <c r="C776" s="85"/>
      <c r="D776" s="85"/>
      <c r="E776" s="85"/>
      <c r="F776" s="85"/>
      <c r="G776" s="10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</row>
    <row r="777">
      <c r="A777" s="85"/>
      <c r="B777" s="85"/>
      <c r="C777" s="85"/>
      <c r="D777" s="85"/>
      <c r="E777" s="85"/>
      <c r="F777" s="85"/>
      <c r="G777" s="10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</row>
    <row r="778">
      <c r="A778" s="85"/>
      <c r="B778" s="85"/>
      <c r="C778" s="85"/>
      <c r="D778" s="85"/>
      <c r="E778" s="85"/>
      <c r="F778" s="85"/>
      <c r="G778" s="10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</row>
    <row r="779">
      <c r="A779" s="85"/>
      <c r="B779" s="85"/>
      <c r="C779" s="85"/>
      <c r="D779" s="85"/>
      <c r="E779" s="85"/>
      <c r="F779" s="85"/>
      <c r="G779" s="10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</row>
    <row r="780">
      <c r="A780" s="85"/>
      <c r="B780" s="85"/>
      <c r="C780" s="85"/>
      <c r="D780" s="85"/>
      <c r="E780" s="85"/>
      <c r="F780" s="85"/>
      <c r="G780" s="10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</row>
    <row r="781">
      <c r="A781" s="85"/>
      <c r="B781" s="85"/>
      <c r="C781" s="85"/>
      <c r="D781" s="85"/>
      <c r="E781" s="85"/>
      <c r="F781" s="85"/>
      <c r="G781" s="10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</row>
    <row r="782">
      <c r="A782" s="85"/>
      <c r="B782" s="85"/>
      <c r="C782" s="85"/>
      <c r="D782" s="85"/>
      <c r="E782" s="85"/>
      <c r="F782" s="85"/>
      <c r="G782" s="10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</row>
    <row r="783">
      <c r="A783" s="85"/>
      <c r="B783" s="85"/>
      <c r="C783" s="85"/>
      <c r="D783" s="85"/>
      <c r="E783" s="85"/>
      <c r="F783" s="85"/>
      <c r="G783" s="10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</row>
    <row r="784">
      <c r="A784" s="85"/>
      <c r="B784" s="85"/>
      <c r="C784" s="85"/>
      <c r="D784" s="85"/>
      <c r="E784" s="85"/>
      <c r="F784" s="85"/>
      <c r="G784" s="10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</row>
    <row r="785">
      <c r="A785" s="85"/>
      <c r="B785" s="85"/>
      <c r="C785" s="85"/>
      <c r="D785" s="85"/>
      <c r="E785" s="85"/>
      <c r="F785" s="85"/>
      <c r="G785" s="10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</row>
    <row r="786">
      <c r="A786" s="85"/>
      <c r="B786" s="85"/>
      <c r="C786" s="85"/>
      <c r="D786" s="85"/>
      <c r="E786" s="85"/>
      <c r="F786" s="85"/>
      <c r="G786" s="10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</row>
    <row r="787">
      <c r="A787" s="85"/>
      <c r="B787" s="85"/>
      <c r="C787" s="85"/>
      <c r="D787" s="85"/>
      <c r="E787" s="85"/>
      <c r="F787" s="85"/>
      <c r="G787" s="10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</row>
    <row r="788">
      <c r="A788" s="85"/>
      <c r="B788" s="85"/>
      <c r="C788" s="85"/>
      <c r="D788" s="85"/>
      <c r="E788" s="85"/>
      <c r="F788" s="85"/>
      <c r="G788" s="10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</row>
    <row r="789">
      <c r="A789" s="85"/>
      <c r="B789" s="85"/>
      <c r="C789" s="85"/>
      <c r="D789" s="85"/>
      <c r="E789" s="85"/>
      <c r="F789" s="85"/>
      <c r="G789" s="10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</row>
    <row r="790">
      <c r="A790" s="85"/>
      <c r="B790" s="85"/>
      <c r="C790" s="85"/>
      <c r="D790" s="85"/>
      <c r="E790" s="85"/>
      <c r="F790" s="85"/>
      <c r="G790" s="10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</row>
    <row r="791">
      <c r="A791" s="85"/>
      <c r="B791" s="85"/>
      <c r="C791" s="85"/>
      <c r="D791" s="85"/>
      <c r="E791" s="85"/>
      <c r="F791" s="85"/>
      <c r="G791" s="10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</row>
    <row r="792">
      <c r="A792" s="85"/>
      <c r="B792" s="85"/>
      <c r="C792" s="85"/>
      <c r="D792" s="85"/>
      <c r="E792" s="85"/>
      <c r="F792" s="85"/>
      <c r="G792" s="10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</row>
    <row r="793">
      <c r="A793" s="85"/>
      <c r="B793" s="85"/>
      <c r="C793" s="85"/>
      <c r="D793" s="85"/>
      <c r="E793" s="85"/>
      <c r="F793" s="85"/>
      <c r="G793" s="10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</row>
    <row r="794">
      <c r="A794" s="85"/>
      <c r="B794" s="85"/>
      <c r="C794" s="85"/>
      <c r="D794" s="85"/>
      <c r="E794" s="85"/>
      <c r="F794" s="85"/>
      <c r="G794" s="10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</row>
    <row r="795">
      <c r="A795" s="85"/>
      <c r="B795" s="85"/>
      <c r="C795" s="85"/>
      <c r="D795" s="85"/>
      <c r="E795" s="85"/>
      <c r="F795" s="85"/>
      <c r="G795" s="10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</row>
    <row r="796">
      <c r="A796" s="85"/>
      <c r="B796" s="85"/>
      <c r="C796" s="85"/>
      <c r="D796" s="85"/>
      <c r="E796" s="85"/>
      <c r="F796" s="85"/>
      <c r="G796" s="10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</row>
    <row r="797">
      <c r="A797" s="85"/>
      <c r="B797" s="85"/>
      <c r="C797" s="85"/>
      <c r="D797" s="85"/>
      <c r="E797" s="85"/>
      <c r="F797" s="85"/>
      <c r="G797" s="10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</row>
    <row r="798">
      <c r="A798" s="85"/>
      <c r="B798" s="85"/>
      <c r="C798" s="85"/>
      <c r="D798" s="85"/>
      <c r="E798" s="85"/>
      <c r="F798" s="85"/>
      <c r="G798" s="10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</row>
    <row r="799">
      <c r="A799" s="85"/>
      <c r="B799" s="85"/>
      <c r="C799" s="85"/>
      <c r="D799" s="85"/>
      <c r="E799" s="85"/>
      <c r="F799" s="85"/>
      <c r="G799" s="10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</row>
    <row r="800">
      <c r="A800" s="85"/>
      <c r="B800" s="85"/>
      <c r="C800" s="85"/>
      <c r="D800" s="85"/>
      <c r="E800" s="85"/>
      <c r="F800" s="85"/>
      <c r="G800" s="10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</row>
    <row r="801">
      <c r="A801" s="85"/>
      <c r="B801" s="85"/>
      <c r="C801" s="85"/>
      <c r="D801" s="85"/>
      <c r="E801" s="85"/>
      <c r="F801" s="85"/>
      <c r="G801" s="10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</row>
    <row r="802">
      <c r="A802" s="85"/>
      <c r="B802" s="85"/>
      <c r="C802" s="85"/>
      <c r="D802" s="85"/>
      <c r="E802" s="85"/>
      <c r="F802" s="85"/>
      <c r="G802" s="10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</row>
    <row r="803">
      <c r="A803" s="85"/>
      <c r="B803" s="85"/>
      <c r="C803" s="85"/>
      <c r="D803" s="85"/>
      <c r="E803" s="85"/>
      <c r="F803" s="85"/>
      <c r="G803" s="10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</row>
    <row r="804">
      <c r="A804" s="85"/>
      <c r="B804" s="85"/>
      <c r="C804" s="85"/>
      <c r="D804" s="85"/>
      <c r="E804" s="85"/>
      <c r="F804" s="85"/>
      <c r="G804" s="10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</row>
    <row r="805">
      <c r="A805" s="85"/>
      <c r="B805" s="85"/>
      <c r="C805" s="85"/>
      <c r="D805" s="85"/>
      <c r="E805" s="85"/>
      <c r="F805" s="85"/>
      <c r="G805" s="10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</row>
    <row r="806">
      <c r="A806" s="85"/>
      <c r="B806" s="85"/>
      <c r="C806" s="85"/>
      <c r="D806" s="85"/>
      <c r="E806" s="85"/>
      <c r="F806" s="85"/>
      <c r="G806" s="10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</row>
    <row r="807">
      <c r="A807" s="85"/>
      <c r="B807" s="85"/>
      <c r="C807" s="85"/>
      <c r="D807" s="85"/>
      <c r="E807" s="85"/>
      <c r="F807" s="85"/>
      <c r="G807" s="10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</row>
    <row r="808">
      <c r="A808" s="85"/>
      <c r="B808" s="85"/>
      <c r="C808" s="85"/>
      <c r="D808" s="85"/>
      <c r="E808" s="85"/>
      <c r="F808" s="85"/>
      <c r="G808" s="10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</row>
    <row r="809">
      <c r="A809" s="85"/>
      <c r="B809" s="85"/>
      <c r="C809" s="85"/>
      <c r="D809" s="85"/>
      <c r="E809" s="85"/>
      <c r="F809" s="85"/>
      <c r="G809" s="10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</row>
    <row r="810">
      <c r="A810" s="85"/>
      <c r="B810" s="85"/>
      <c r="C810" s="85"/>
      <c r="D810" s="85"/>
      <c r="E810" s="85"/>
      <c r="F810" s="85"/>
      <c r="G810" s="10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</row>
    <row r="811">
      <c r="A811" s="85"/>
      <c r="B811" s="85"/>
      <c r="C811" s="85"/>
      <c r="D811" s="85"/>
      <c r="E811" s="85"/>
      <c r="F811" s="85"/>
      <c r="G811" s="10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</row>
    <row r="812">
      <c r="A812" s="85"/>
      <c r="B812" s="85"/>
      <c r="C812" s="85"/>
      <c r="D812" s="85"/>
      <c r="E812" s="85"/>
      <c r="F812" s="85"/>
      <c r="G812" s="10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</row>
    <row r="813">
      <c r="A813" s="85"/>
      <c r="B813" s="85"/>
      <c r="C813" s="85"/>
      <c r="D813" s="85"/>
      <c r="E813" s="85"/>
      <c r="F813" s="85"/>
      <c r="G813" s="10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</row>
    <row r="814">
      <c r="A814" s="85"/>
      <c r="B814" s="85"/>
      <c r="C814" s="85"/>
      <c r="D814" s="85"/>
      <c r="E814" s="85"/>
      <c r="F814" s="85"/>
      <c r="G814" s="10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</row>
    <row r="815">
      <c r="A815" s="85"/>
      <c r="B815" s="85"/>
      <c r="C815" s="85"/>
      <c r="D815" s="85"/>
      <c r="E815" s="85"/>
      <c r="F815" s="85"/>
      <c r="G815" s="10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</row>
    <row r="816">
      <c r="A816" s="85"/>
      <c r="B816" s="85"/>
      <c r="C816" s="85"/>
      <c r="D816" s="85"/>
      <c r="E816" s="85"/>
      <c r="F816" s="85"/>
      <c r="G816" s="10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</row>
    <row r="817">
      <c r="A817" s="85"/>
      <c r="B817" s="85"/>
      <c r="C817" s="85"/>
      <c r="D817" s="85"/>
      <c r="E817" s="85"/>
      <c r="F817" s="85"/>
      <c r="G817" s="10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</row>
    <row r="818">
      <c r="A818" s="85"/>
      <c r="B818" s="85"/>
      <c r="C818" s="85"/>
      <c r="D818" s="85"/>
      <c r="E818" s="85"/>
      <c r="F818" s="85"/>
      <c r="G818" s="10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</row>
    <row r="819">
      <c r="A819" s="85"/>
      <c r="B819" s="85"/>
      <c r="C819" s="85"/>
      <c r="D819" s="85"/>
      <c r="E819" s="85"/>
      <c r="F819" s="85"/>
      <c r="G819" s="10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</row>
    <row r="820">
      <c r="A820" s="85"/>
      <c r="B820" s="85"/>
      <c r="C820" s="85"/>
      <c r="D820" s="85"/>
      <c r="E820" s="85"/>
      <c r="F820" s="85"/>
      <c r="G820" s="10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</row>
    <row r="821">
      <c r="A821" s="85"/>
      <c r="B821" s="85"/>
      <c r="C821" s="85"/>
      <c r="D821" s="85"/>
      <c r="E821" s="85"/>
      <c r="F821" s="85"/>
      <c r="G821" s="10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</row>
    <row r="822">
      <c r="A822" s="85"/>
      <c r="B822" s="85"/>
      <c r="C822" s="85"/>
      <c r="D822" s="85"/>
      <c r="E822" s="85"/>
      <c r="F822" s="85"/>
      <c r="G822" s="10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</row>
    <row r="823">
      <c r="A823" s="85"/>
      <c r="B823" s="85"/>
      <c r="C823" s="85"/>
      <c r="D823" s="85"/>
      <c r="E823" s="85"/>
      <c r="F823" s="85"/>
      <c r="G823" s="10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</row>
    <row r="824">
      <c r="A824" s="85"/>
      <c r="B824" s="85"/>
      <c r="C824" s="85"/>
      <c r="D824" s="85"/>
      <c r="E824" s="85"/>
      <c r="F824" s="85"/>
      <c r="G824" s="10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</row>
    <row r="825">
      <c r="A825" s="85"/>
      <c r="B825" s="85"/>
      <c r="C825" s="85"/>
      <c r="D825" s="85"/>
      <c r="E825" s="85"/>
      <c r="F825" s="85"/>
      <c r="G825" s="10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</row>
    <row r="826">
      <c r="A826" s="85"/>
      <c r="B826" s="85"/>
      <c r="C826" s="85"/>
      <c r="D826" s="85"/>
      <c r="E826" s="85"/>
      <c r="F826" s="85"/>
      <c r="G826" s="10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</row>
    <row r="827">
      <c r="A827" s="85"/>
      <c r="B827" s="85"/>
      <c r="C827" s="85"/>
      <c r="D827" s="85"/>
      <c r="E827" s="85"/>
      <c r="F827" s="85"/>
      <c r="G827" s="10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</row>
    <row r="828">
      <c r="A828" s="85"/>
      <c r="B828" s="85"/>
      <c r="C828" s="85"/>
      <c r="D828" s="85"/>
      <c r="E828" s="85"/>
      <c r="F828" s="85"/>
      <c r="G828" s="10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</row>
    <row r="829">
      <c r="A829" s="85"/>
      <c r="B829" s="85"/>
      <c r="C829" s="85"/>
      <c r="D829" s="85"/>
      <c r="E829" s="85"/>
      <c r="F829" s="85"/>
      <c r="G829" s="10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</row>
    <row r="830">
      <c r="A830" s="85"/>
      <c r="B830" s="85"/>
      <c r="C830" s="85"/>
      <c r="D830" s="85"/>
      <c r="E830" s="85"/>
      <c r="F830" s="85"/>
      <c r="G830" s="10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</row>
    <row r="831">
      <c r="A831" s="85"/>
      <c r="B831" s="85"/>
      <c r="C831" s="85"/>
      <c r="D831" s="85"/>
      <c r="E831" s="85"/>
      <c r="F831" s="85"/>
      <c r="G831" s="10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</row>
    <row r="832">
      <c r="A832" s="85"/>
      <c r="B832" s="85"/>
      <c r="C832" s="85"/>
      <c r="D832" s="85"/>
      <c r="E832" s="85"/>
      <c r="F832" s="85"/>
      <c r="G832" s="10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</row>
    <row r="833">
      <c r="A833" s="85"/>
      <c r="B833" s="85"/>
      <c r="C833" s="85"/>
      <c r="D833" s="85"/>
      <c r="E833" s="85"/>
      <c r="F833" s="85"/>
      <c r="G833" s="10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</row>
    <row r="834">
      <c r="A834" s="85"/>
      <c r="B834" s="85"/>
      <c r="C834" s="85"/>
      <c r="D834" s="85"/>
      <c r="E834" s="85"/>
      <c r="F834" s="85"/>
      <c r="G834" s="10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</row>
    <row r="835">
      <c r="A835" s="85"/>
      <c r="B835" s="85"/>
      <c r="C835" s="85"/>
      <c r="D835" s="85"/>
      <c r="E835" s="85"/>
      <c r="F835" s="85"/>
      <c r="G835" s="10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</row>
    <row r="836">
      <c r="A836" s="85"/>
      <c r="B836" s="85"/>
      <c r="C836" s="85"/>
      <c r="D836" s="85"/>
      <c r="E836" s="85"/>
      <c r="F836" s="85"/>
      <c r="G836" s="10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</row>
    <row r="837">
      <c r="A837" s="85"/>
      <c r="B837" s="85"/>
      <c r="C837" s="85"/>
      <c r="D837" s="85"/>
      <c r="E837" s="85"/>
      <c r="F837" s="85"/>
      <c r="G837" s="10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</row>
    <row r="838">
      <c r="A838" s="85"/>
      <c r="B838" s="85"/>
      <c r="C838" s="85"/>
      <c r="D838" s="85"/>
      <c r="E838" s="85"/>
      <c r="F838" s="85"/>
      <c r="G838" s="10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</row>
    <row r="839">
      <c r="A839" s="85"/>
      <c r="B839" s="85"/>
      <c r="C839" s="85"/>
      <c r="D839" s="85"/>
      <c r="E839" s="85"/>
      <c r="F839" s="85"/>
      <c r="G839" s="10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</row>
    <row r="840">
      <c r="A840" s="85"/>
      <c r="B840" s="85"/>
      <c r="C840" s="85"/>
      <c r="D840" s="85"/>
      <c r="E840" s="85"/>
      <c r="F840" s="85"/>
      <c r="G840" s="10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</row>
    <row r="841">
      <c r="A841" s="85"/>
      <c r="B841" s="85"/>
      <c r="C841" s="85"/>
      <c r="D841" s="85"/>
      <c r="E841" s="85"/>
      <c r="F841" s="85"/>
      <c r="G841" s="10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</row>
    <row r="842">
      <c r="A842" s="85"/>
      <c r="B842" s="85"/>
      <c r="C842" s="85"/>
      <c r="D842" s="85"/>
      <c r="E842" s="85"/>
      <c r="F842" s="85"/>
      <c r="G842" s="10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</row>
    <row r="843">
      <c r="A843" s="85"/>
      <c r="B843" s="85"/>
      <c r="C843" s="85"/>
      <c r="D843" s="85"/>
      <c r="E843" s="85"/>
      <c r="F843" s="85"/>
      <c r="G843" s="10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</row>
    <row r="844">
      <c r="A844" s="85"/>
      <c r="B844" s="85"/>
      <c r="C844" s="85"/>
      <c r="D844" s="85"/>
      <c r="E844" s="85"/>
      <c r="F844" s="85"/>
      <c r="G844" s="10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</row>
    <row r="845">
      <c r="A845" s="85"/>
      <c r="B845" s="85"/>
      <c r="C845" s="85"/>
      <c r="D845" s="85"/>
      <c r="E845" s="85"/>
      <c r="F845" s="85"/>
      <c r="G845" s="10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</row>
    <row r="846">
      <c r="A846" s="85"/>
      <c r="B846" s="85"/>
      <c r="C846" s="85"/>
      <c r="D846" s="85"/>
      <c r="E846" s="85"/>
      <c r="F846" s="85"/>
      <c r="G846" s="10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</row>
    <row r="847">
      <c r="A847" s="85"/>
      <c r="B847" s="85"/>
      <c r="C847" s="85"/>
      <c r="D847" s="85"/>
      <c r="E847" s="85"/>
      <c r="F847" s="85"/>
      <c r="G847" s="10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</row>
    <row r="848">
      <c r="A848" s="85"/>
      <c r="B848" s="85"/>
      <c r="C848" s="85"/>
      <c r="D848" s="85"/>
      <c r="E848" s="85"/>
      <c r="F848" s="85"/>
      <c r="G848" s="10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</row>
    <row r="849">
      <c r="A849" s="85"/>
      <c r="B849" s="85"/>
      <c r="C849" s="85"/>
      <c r="D849" s="85"/>
      <c r="E849" s="85"/>
      <c r="F849" s="85"/>
      <c r="G849" s="10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</row>
    <row r="850">
      <c r="A850" s="85"/>
      <c r="B850" s="85"/>
      <c r="C850" s="85"/>
      <c r="D850" s="85"/>
      <c r="E850" s="85"/>
      <c r="F850" s="85"/>
      <c r="G850" s="10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</row>
    <row r="851">
      <c r="A851" s="85"/>
      <c r="B851" s="85"/>
      <c r="C851" s="85"/>
      <c r="D851" s="85"/>
      <c r="E851" s="85"/>
      <c r="F851" s="85"/>
      <c r="G851" s="10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</row>
    <row r="852">
      <c r="A852" s="85"/>
      <c r="B852" s="85"/>
      <c r="C852" s="85"/>
      <c r="D852" s="85"/>
      <c r="E852" s="85"/>
      <c r="F852" s="85"/>
      <c r="G852" s="10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</row>
    <row r="853">
      <c r="A853" s="85"/>
      <c r="B853" s="85"/>
      <c r="C853" s="85"/>
      <c r="D853" s="85"/>
      <c r="E853" s="85"/>
      <c r="F853" s="85"/>
      <c r="G853" s="10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</row>
    <row r="854">
      <c r="A854" s="85"/>
      <c r="B854" s="85"/>
      <c r="C854" s="85"/>
      <c r="D854" s="85"/>
      <c r="E854" s="85"/>
      <c r="F854" s="85"/>
      <c r="G854" s="10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</row>
    <row r="855">
      <c r="A855" s="85"/>
      <c r="B855" s="85"/>
      <c r="C855" s="85"/>
      <c r="D855" s="85"/>
      <c r="E855" s="85"/>
      <c r="F855" s="85"/>
      <c r="G855" s="10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</row>
    <row r="856">
      <c r="A856" s="85"/>
      <c r="B856" s="85"/>
      <c r="C856" s="85"/>
      <c r="D856" s="85"/>
      <c r="E856" s="85"/>
      <c r="F856" s="85"/>
      <c r="G856" s="10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</row>
    <row r="857">
      <c r="A857" s="85"/>
      <c r="B857" s="85"/>
      <c r="C857" s="85"/>
      <c r="D857" s="85"/>
      <c r="E857" s="85"/>
      <c r="F857" s="85"/>
      <c r="G857" s="10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</row>
    <row r="858">
      <c r="A858" s="85"/>
      <c r="B858" s="85"/>
      <c r="C858" s="85"/>
      <c r="D858" s="85"/>
      <c r="E858" s="85"/>
      <c r="F858" s="85"/>
      <c r="G858" s="10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</row>
    <row r="859">
      <c r="A859" s="85"/>
      <c r="B859" s="85"/>
      <c r="C859" s="85"/>
      <c r="D859" s="85"/>
      <c r="E859" s="85"/>
      <c r="F859" s="85"/>
      <c r="G859" s="10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</row>
    <row r="860">
      <c r="A860" s="85"/>
      <c r="B860" s="85"/>
      <c r="C860" s="85"/>
      <c r="D860" s="85"/>
      <c r="E860" s="85"/>
      <c r="F860" s="85"/>
      <c r="G860" s="10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</row>
    <row r="861">
      <c r="A861" s="85"/>
      <c r="B861" s="85"/>
      <c r="C861" s="85"/>
      <c r="D861" s="85"/>
      <c r="E861" s="85"/>
      <c r="F861" s="85"/>
      <c r="G861" s="10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</row>
    <row r="862">
      <c r="A862" s="85"/>
      <c r="B862" s="85"/>
      <c r="C862" s="85"/>
      <c r="D862" s="85"/>
      <c r="E862" s="85"/>
      <c r="F862" s="85"/>
      <c r="G862" s="10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</row>
    <row r="863">
      <c r="A863" s="85"/>
      <c r="B863" s="85"/>
      <c r="C863" s="85"/>
      <c r="D863" s="85"/>
      <c r="E863" s="85"/>
      <c r="F863" s="85"/>
      <c r="G863" s="10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</row>
    <row r="864">
      <c r="A864" s="85"/>
      <c r="B864" s="85"/>
      <c r="C864" s="85"/>
      <c r="D864" s="85"/>
      <c r="E864" s="85"/>
      <c r="F864" s="85"/>
      <c r="G864" s="10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</row>
    <row r="865">
      <c r="A865" s="85"/>
      <c r="B865" s="85"/>
      <c r="C865" s="85"/>
      <c r="D865" s="85"/>
      <c r="E865" s="85"/>
      <c r="F865" s="85"/>
      <c r="G865" s="10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</row>
    <row r="866">
      <c r="A866" s="85"/>
      <c r="B866" s="85"/>
      <c r="C866" s="85"/>
      <c r="D866" s="85"/>
      <c r="E866" s="85"/>
      <c r="F866" s="85"/>
      <c r="G866" s="10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</row>
    <row r="867">
      <c r="A867" s="85"/>
      <c r="B867" s="85"/>
      <c r="C867" s="85"/>
      <c r="D867" s="85"/>
      <c r="E867" s="85"/>
      <c r="F867" s="85"/>
      <c r="G867" s="10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</row>
    <row r="868">
      <c r="A868" s="85"/>
      <c r="B868" s="85"/>
      <c r="C868" s="85"/>
      <c r="D868" s="85"/>
      <c r="E868" s="85"/>
      <c r="F868" s="85"/>
      <c r="G868" s="10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</row>
    <row r="869">
      <c r="A869" s="85"/>
      <c r="B869" s="85"/>
      <c r="C869" s="85"/>
      <c r="D869" s="85"/>
      <c r="E869" s="85"/>
      <c r="F869" s="85"/>
      <c r="G869" s="10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</row>
    <row r="870">
      <c r="A870" s="85"/>
      <c r="B870" s="85"/>
      <c r="C870" s="85"/>
      <c r="D870" s="85"/>
      <c r="E870" s="85"/>
      <c r="F870" s="85"/>
      <c r="G870" s="10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</row>
    <row r="871">
      <c r="A871" s="85"/>
      <c r="B871" s="85"/>
      <c r="C871" s="85"/>
      <c r="D871" s="85"/>
      <c r="E871" s="85"/>
      <c r="F871" s="85"/>
      <c r="G871" s="10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</row>
    <row r="872">
      <c r="A872" s="85"/>
      <c r="B872" s="85"/>
      <c r="C872" s="85"/>
      <c r="D872" s="85"/>
      <c r="E872" s="85"/>
      <c r="F872" s="85"/>
      <c r="G872" s="10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</row>
    <row r="873">
      <c r="A873" s="85"/>
      <c r="B873" s="85"/>
      <c r="C873" s="85"/>
      <c r="D873" s="85"/>
      <c r="E873" s="85"/>
      <c r="F873" s="85"/>
      <c r="G873" s="10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</row>
    <row r="874">
      <c r="A874" s="85"/>
      <c r="B874" s="85"/>
      <c r="C874" s="85"/>
      <c r="D874" s="85"/>
      <c r="E874" s="85"/>
      <c r="F874" s="85"/>
      <c r="G874" s="10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</row>
    <row r="875">
      <c r="A875" s="85"/>
      <c r="B875" s="85"/>
      <c r="C875" s="85"/>
      <c r="D875" s="85"/>
      <c r="E875" s="85"/>
      <c r="F875" s="85"/>
      <c r="G875" s="10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</row>
    <row r="876">
      <c r="A876" s="85"/>
      <c r="B876" s="85"/>
      <c r="C876" s="85"/>
      <c r="D876" s="85"/>
      <c r="E876" s="85"/>
      <c r="F876" s="85"/>
      <c r="G876" s="10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</row>
    <row r="877">
      <c r="A877" s="85"/>
      <c r="B877" s="85"/>
      <c r="C877" s="85"/>
      <c r="D877" s="85"/>
      <c r="E877" s="85"/>
      <c r="F877" s="85"/>
      <c r="G877" s="10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</row>
    <row r="878">
      <c r="A878" s="85"/>
      <c r="B878" s="85"/>
      <c r="C878" s="85"/>
      <c r="D878" s="85"/>
      <c r="E878" s="85"/>
      <c r="F878" s="85"/>
      <c r="G878" s="10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</row>
    <row r="879">
      <c r="A879" s="85"/>
      <c r="B879" s="85"/>
      <c r="C879" s="85"/>
      <c r="D879" s="85"/>
      <c r="E879" s="85"/>
      <c r="F879" s="85"/>
      <c r="G879" s="10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</row>
    <row r="880">
      <c r="A880" s="85"/>
      <c r="B880" s="85"/>
      <c r="C880" s="85"/>
      <c r="D880" s="85"/>
      <c r="E880" s="85"/>
      <c r="F880" s="85"/>
      <c r="G880" s="10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</row>
    <row r="881">
      <c r="A881" s="85"/>
      <c r="B881" s="85"/>
      <c r="C881" s="85"/>
      <c r="D881" s="85"/>
      <c r="E881" s="85"/>
      <c r="F881" s="85"/>
      <c r="G881" s="10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</row>
    <row r="882">
      <c r="A882" s="85"/>
      <c r="B882" s="85"/>
      <c r="C882" s="85"/>
      <c r="D882" s="85"/>
      <c r="E882" s="85"/>
      <c r="F882" s="85"/>
      <c r="G882" s="10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</row>
    <row r="883">
      <c r="A883" s="85"/>
      <c r="B883" s="85"/>
      <c r="C883" s="85"/>
      <c r="D883" s="85"/>
      <c r="E883" s="85"/>
      <c r="F883" s="85"/>
      <c r="G883" s="10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</row>
    <row r="884">
      <c r="A884" s="85"/>
      <c r="B884" s="85"/>
      <c r="C884" s="85"/>
      <c r="D884" s="85"/>
      <c r="E884" s="85"/>
      <c r="F884" s="85"/>
      <c r="G884" s="10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</row>
    <row r="885">
      <c r="A885" s="85"/>
      <c r="B885" s="85"/>
      <c r="C885" s="85"/>
      <c r="D885" s="85"/>
      <c r="E885" s="85"/>
      <c r="F885" s="85"/>
      <c r="G885" s="10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</row>
    <row r="886">
      <c r="A886" s="85"/>
      <c r="B886" s="85"/>
      <c r="C886" s="85"/>
      <c r="D886" s="85"/>
      <c r="E886" s="85"/>
      <c r="F886" s="85"/>
      <c r="G886" s="10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</row>
    <row r="887">
      <c r="A887" s="85"/>
      <c r="B887" s="85"/>
      <c r="C887" s="85"/>
      <c r="D887" s="85"/>
      <c r="E887" s="85"/>
      <c r="F887" s="85"/>
      <c r="G887" s="10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</row>
    <row r="888">
      <c r="A888" s="85"/>
      <c r="B888" s="85"/>
      <c r="C888" s="85"/>
      <c r="D888" s="85"/>
      <c r="E888" s="85"/>
      <c r="F888" s="85"/>
      <c r="G888" s="10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</row>
    <row r="889">
      <c r="A889" s="85"/>
      <c r="B889" s="85"/>
      <c r="C889" s="85"/>
      <c r="D889" s="85"/>
      <c r="E889" s="85"/>
      <c r="F889" s="85"/>
      <c r="G889" s="10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</row>
    <row r="890">
      <c r="A890" s="85"/>
      <c r="B890" s="85"/>
      <c r="C890" s="85"/>
      <c r="D890" s="85"/>
      <c r="E890" s="85"/>
      <c r="F890" s="85"/>
      <c r="G890" s="10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</row>
    <row r="891">
      <c r="A891" s="85"/>
      <c r="B891" s="85"/>
      <c r="C891" s="85"/>
      <c r="D891" s="85"/>
      <c r="E891" s="85"/>
      <c r="F891" s="85"/>
      <c r="G891" s="10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</row>
    <row r="892">
      <c r="A892" s="85"/>
      <c r="B892" s="85"/>
      <c r="C892" s="85"/>
      <c r="D892" s="85"/>
      <c r="E892" s="85"/>
      <c r="F892" s="85"/>
      <c r="G892" s="10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</row>
    <row r="893">
      <c r="A893" s="85"/>
      <c r="B893" s="85"/>
      <c r="C893" s="85"/>
      <c r="D893" s="85"/>
      <c r="E893" s="85"/>
      <c r="F893" s="85"/>
      <c r="G893" s="10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</row>
    <row r="894">
      <c r="A894" s="85"/>
      <c r="B894" s="85"/>
      <c r="C894" s="85"/>
      <c r="D894" s="85"/>
      <c r="E894" s="85"/>
      <c r="F894" s="85"/>
      <c r="G894" s="10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</row>
    <row r="895">
      <c r="A895" s="85"/>
      <c r="B895" s="85"/>
      <c r="C895" s="85"/>
      <c r="D895" s="85"/>
      <c r="E895" s="85"/>
      <c r="F895" s="85"/>
      <c r="G895" s="10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</row>
    <row r="896">
      <c r="A896" s="85"/>
      <c r="B896" s="85"/>
      <c r="C896" s="85"/>
      <c r="D896" s="85"/>
      <c r="E896" s="85"/>
      <c r="F896" s="85"/>
      <c r="G896" s="10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</row>
    <row r="897">
      <c r="A897" s="85"/>
      <c r="B897" s="85"/>
      <c r="C897" s="85"/>
      <c r="D897" s="85"/>
      <c r="E897" s="85"/>
      <c r="F897" s="85"/>
      <c r="G897" s="10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</row>
    <row r="898">
      <c r="A898" s="85"/>
      <c r="B898" s="85"/>
      <c r="C898" s="85"/>
      <c r="D898" s="85"/>
      <c r="E898" s="85"/>
      <c r="F898" s="85"/>
      <c r="G898" s="10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</row>
    <row r="899">
      <c r="A899" s="85"/>
      <c r="B899" s="85"/>
      <c r="C899" s="85"/>
      <c r="D899" s="85"/>
      <c r="E899" s="85"/>
      <c r="F899" s="85"/>
      <c r="G899" s="10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</row>
    <row r="900">
      <c r="A900" s="85"/>
      <c r="B900" s="85"/>
      <c r="C900" s="85"/>
      <c r="D900" s="85"/>
      <c r="E900" s="85"/>
      <c r="F900" s="85"/>
      <c r="G900" s="10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</row>
    <row r="901">
      <c r="A901" s="85"/>
      <c r="B901" s="85"/>
      <c r="C901" s="85"/>
      <c r="D901" s="85"/>
      <c r="E901" s="85"/>
      <c r="F901" s="85"/>
      <c r="G901" s="10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</row>
    <row r="902">
      <c r="A902" s="85"/>
      <c r="B902" s="85"/>
      <c r="C902" s="85"/>
      <c r="D902" s="85"/>
      <c r="E902" s="85"/>
      <c r="F902" s="85"/>
      <c r="G902" s="10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</row>
    <row r="903">
      <c r="A903" s="85"/>
      <c r="B903" s="85"/>
      <c r="C903" s="85"/>
      <c r="D903" s="85"/>
      <c r="E903" s="85"/>
      <c r="F903" s="85"/>
      <c r="G903" s="10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</row>
    <row r="904">
      <c r="A904" s="85"/>
      <c r="B904" s="85"/>
      <c r="C904" s="85"/>
      <c r="D904" s="85"/>
      <c r="E904" s="85"/>
      <c r="F904" s="85"/>
      <c r="G904" s="10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</row>
    <row r="905">
      <c r="A905" s="85"/>
      <c r="B905" s="85"/>
      <c r="C905" s="85"/>
      <c r="D905" s="85"/>
      <c r="E905" s="85"/>
      <c r="F905" s="85"/>
      <c r="G905" s="10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</row>
    <row r="906">
      <c r="A906" s="85"/>
      <c r="B906" s="85"/>
      <c r="C906" s="85"/>
      <c r="D906" s="85"/>
      <c r="E906" s="85"/>
      <c r="F906" s="85"/>
      <c r="G906" s="10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</row>
    <row r="907">
      <c r="A907" s="85"/>
      <c r="B907" s="85"/>
      <c r="C907" s="85"/>
      <c r="D907" s="85"/>
      <c r="E907" s="85"/>
      <c r="F907" s="85"/>
      <c r="G907" s="10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</row>
    <row r="908">
      <c r="A908" s="85"/>
      <c r="B908" s="85"/>
      <c r="C908" s="85"/>
      <c r="D908" s="85"/>
      <c r="E908" s="85"/>
      <c r="F908" s="85"/>
      <c r="G908" s="10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</row>
    <row r="909">
      <c r="A909" s="85"/>
      <c r="B909" s="85"/>
      <c r="C909" s="85"/>
      <c r="D909" s="85"/>
      <c r="E909" s="85"/>
      <c r="F909" s="85"/>
      <c r="G909" s="10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</row>
    <row r="910">
      <c r="A910" s="85"/>
      <c r="B910" s="85"/>
      <c r="C910" s="85"/>
      <c r="D910" s="85"/>
      <c r="E910" s="85"/>
      <c r="F910" s="85"/>
      <c r="G910" s="10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</row>
    <row r="911">
      <c r="A911" s="85"/>
      <c r="B911" s="85"/>
      <c r="C911" s="85"/>
      <c r="D911" s="85"/>
      <c r="E911" s="85"/>
      <c r="F911" s="85"/>
      <c r="G911" s="10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</row>
    <row r="912">
      <c r="A912" s="85"/>
      <c r="B912" s="85"/>
      <c r="C912" s="85"/>
      <c r="D912" s="85"/>
      <c r="E912" s="85"/>
      <c r="F912" s="85"/>
      <c r="G912" s="10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</row>
    <row r="913">
      <c r="A913" s="85"/>
      <c r="B913" s="85"/>
      <c r="C913" s="85"/>
      <c r="D913" s="85"/>
      <c r="E913" s="85"/>
      <c r="F913" s="85"/>
      <c r="G913" s="10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</row>
    <row r="914">
      <c r="A914" s="85"/>
      <c r="B914" s="85"/>
      <c r="C914" s="85"/>
      <c r="D914" s="85"/>
      <c r="E914" s="85"/>
      <c r="F914" s="85"/>
      <c r="G914" s="10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</row>
    <row r="915">
      <c r="A915" s="85"/>
      <c r="B915" s="85"/>
      <c r="C915" s="85"/>
      <c r="D915" s="85"/>
      <c r="E915" s="85"/>
      <c r="F915" s="85"/>
      <c r="G915" s="10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</row>
    <row r="916">
      <c r="A916" s="85"/>
      <c r="B916" s="85"/>
      <c r="C916" s="85"/>
      <c r="D916" s="85"/>
      <c r="E916" s="85"/>
      <c r="F916" s="85"/>
      <c r="G916" s="10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</row>
    <row r="917">
      <c r="A917" s="85"/>
      <c r="B917" s="85"/>
      <c r="C917" s="85"/>
      <c r="D917" s="85"/>
      <c r="E917" s="85"/>
      <c r="F917" s="85"/>
      <c r="G917" s="10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</row>
    <row r="918">
      <c r="A918" s="85"/>
      <c r="B918" s="85"/>
      <c r="C918" s="85"/>
      <c r="D918" s="85"/>
      <c r="E918" s="85"/>
      <c r="F918" s="85"/>
      <c r="G918" s="10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</row>
    <row r="919">
      <c r="A919" s="85"/>
      <c r="B919" s="85"/>
      <c r="C919" s="85"/>
      <c r="D919" s="85"/>
      <c r="E919" s="85"/>
      <c r="F919" s="85"/>
      <c r="G919" s="10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</row>
    <row r="920">
      <c r="A920" s="85"/>
      <c r="B920" s="85"/>
      <c r="C920" s="85"/>
      <c r="D920" s="85"/>
      <c r="E920" s="85"/>
      <c r="F920" s="85"/>
      <c r="G920" s="10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</row>
    <row r="921">
      <c r="A921" s="85"/>
      <c r="B921" s="85"/>
      <c r="C921" s="85"/>
      <c r="D921" s="85"/>
      <c r="E921" s="85"/>
      <c r="F921" s="85"/>
      <c r="G921" s="10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</row>
    <row r="922">
      <c r="A922" s="85"/>
      <c r="B922" s="85"/>
      <c r="C922" s="85"/>
      <c r="D922" s="85"/>
      <c r="E922" s="85"/>
      <c r="F922" s="85"/>
      <c r="G922" s="10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</row>
    <row r="923">
      <c r="A923" s="85"/>
      <c r="B923" s="85"/>
      <c r="C923" s="85"/>
      <c r="D923" s="85"/>
      <c r="E923" s="85"/>
      <c r="F923" s="85"/>
      <c r="G923" s="10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</row>
    <row r="924">
      <c r="A924" s="85"/>
      <c r="B924" s="85"/>
      <c r="C924" s="85"/>
      <c r="D924" s="85"/>
      <c r="E924" s="85"/>
      <c r="F924" s="85"/>
      <c r="G924" s="10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</row>
    <row r="925">
      <c r="A925" s="85"/>
      <c r="B925" s="85"/>
      <c r="C925" s="85"/>
      <c r="D925" s="85"/>
      <c r="E925" s="85"/>
      <c r="F925" s="85"/>
      <c r="G925" s="10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</row>
    <row r="926">
      <c r="A926" s="85"/>
      <c r="B926" s="85"/>
      <c r="C926" s="85"/>
      <c r="D926" s="85"/>
      <c r="E926" s="85"/>
      <c r="F926" s="85"/>
      <c r="G926" s="10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</row>
    <row r="927">
      <c r="A927" s="85"/>
      <c r="B927" s="85"/>
      <c r="C927" s="85"/>
      <c r="D927" s="85"/>
      <c r="E927" s="85"/>
      <c r="F927" s="85"/>
      <c r="G927" s="10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</row>
    <row r="928">
      <c r="A928" s="85"/>
      <c r="B928" s="85"/>
      <c r="C928" s="85"/>
      <c r="D928" s="85"/>
      <c r="E928" s="85"/>
      <c r="F928" s="85"/>
      <c r="G928" s="10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</row>
    <row r="929">
      <c r="A929" s="85"/>
      <c r="B929" s="85"/>
      <c r="C929" s="85"/>
      <c r="D929" s="85"/>
      <c r="E929" s="85"/>
      <c r="F929" s="85"/>
      <c r="G929" s="10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</row>
    <row r="930">
      <c r="A930" s="85"/>
      <c r="B930" s="85"/>
      <c r="C930" s="85"/>
      <c r="D930" s="85"/>
      <c r="E930" s="85"/>
      <c r="F930" s="85"/>
      <c r="G930" s="10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</row>
    <row r="931">
      <c r="A931" s="85"/>
      <c r="B931" s="85"/>
      <c r="C931" s="85"/>
      <c r="D931" s="85"/>
      <c r="E931" s="85"/>
      <c r="F931" s="85"/>
      <c r="G931" s="10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</row>
    <row r="932">
      <c r="A932" s="85"/>
      <c r="B932" s="85"/>
      <c r="C932" s="85"/>
      <c r="D932" s="85"/>
      <c r="E932" s="85"/>
      <c r="F932" s="85"/>
      <c r="G932" s="10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</row>
    <row r="933">
      <c r="A933" s="85"/>
      <c r="B933" s="85"/>
      <c r="C933" s="85"/>
      <c r="D933" s="85"/>
      <c r="E933" s="85"/>
      <c r="F933" s="85"/>
      <c r="G933" s="10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</row>
    <row r="934">
      <c r="A934" s="85"/>
      <c r="B934" s="85"/>
      <c r="C934" s="85"/>
      <c r="D934" s="85"/>
      <c r="E934" s="85"/>
      <c r="F934" s="85"/>
      <c r="G934" s="10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</row>
    <row r="935">
      <c r="A935" s="85"/>
      <c r="B935" s="85"/>
      <c r="C935" s="85"/>
      <c r="D935" s="85"/>
      <c r="E935" s="85"/>
      <c r="F935" s="85"/>
      <c r="G935" s="10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</row>
    <row r="936">
      <c r="A936" s="85"/>
      <c r="B936" s="85"/>
      <c r="C936" s="85"/>
      <c r="D936" s="85"/>
      <c r="E936" s="85"/>
      <c r="F936" s="85"/>
      <c r="G936" s="10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</row>
    <row r="937">
      <c r="A937" s="85"/>
      <c r="B937" s="85"/>
      <c r="C937" s="85"/>
      <c r="D937" s="85"/>
      <c r="E937" s="85"/>
      <c r="F937" s="85"/>
      <c r="G937" s="10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</row>
    <row r="938">
      <c r="A938" s="85"/>
      <c r="B938" s="85"/>
      <c r="C938" s="85"/>
      <c r="D938" s="85"/>
      <c r="E938" s="85"/>
      <c r="F938" s="85"/>
      <c r="G938" s="10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</row>
    <row r="939">
      <c r="A939" s="85"/>
      <c r="B939" s="85"/>
      <c r="C939" s="85"/>
      <c r="D939" s="85"/>
      <c r="E939" s="85"/>
      <c r="F939" s="85"/>
      <c r="G939" s="10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</row>
    <row r="940">
      <c r="A940" s="85"/>
      <c r="B940" s="85"/>
      <c r="C940" s="85"/>
      <c r="D940" s="85"/>
      <c r="E940" s="85"/>
      <c r="F940" s="85"/>
      <c r="G940" s="10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</row>
    <row r="941">
      <c r="A941" s="85"/>
      <c r="B941" s="85"/>
      <c r="C941" s="85"/>
      <c r="D941" s="85"/>
      <c r="E941" s="85"/>
      <c r="F941" s="85"/>
      <c r="G941" s="10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</row>
    <row r="942">
      <c r="A942" s="85"/>
      <c r="B942" s="85"/>
      <c r="C942" s="85"/>
      <c r="D942" s="85"/>
      <c r="E942" s="85"/>
      <c r="F942" s="85"/>
      <c r="G942" s="10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</row>
    <row r="943">
      <c r="A943" s="85"/>
      <c r="B943" s="85"/>
      <c r="C943" s="85"/>
      <c r="D943" s="85"/>
      <c r="E943" s="85"/>
      <c r="F943" s="85"/>
      <c r="G943" s="10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</row>
    <row r="944">
      <c r="A944" s="85"/>
      <c r="B944" s="85"/>
      <c r="C944" s="85"/>
      <c r="D944" s="85"/>
      <c r="E944" s="85"/>
      <c r="F944" s="85"/>
      <c r="G944" s="10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</row>
    <row r="945">
      <c r="A945" s="85"/>
      <c r="B945" s="85"/>
      <c r="C945" s="85"/>
      <c r="D945" s="85"/>
      <c r="E945" s="85"/>
      <c r="F945" s="85"/>
      <c r="G945" s="10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</row>
    <row r="946">
      <c r="A946" s="85"/>
      <c r="B946" s="85"/>
      <c r="C946" s="85"/>
      <c r="D946" s="85"/>
      <c r="E946" s="85"/>
      <c r="F946" s="85"/>
      <c r="G946" s="10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</row>
    <row r="947">
      <c r="A947" s="85"/>
      <c r="B947" s="85"/>
      <c r="C947" s="85"/>
      <c r="D947" s="85"/>
      <c r="E947" s="85"/>
      <c r="F947" s="85"/>
      <c r="G947" s="10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</row>
    <row r="948">
      <c r="A948" s="85"/>
      <c r="B948" s="85"/>
      <c r="C948" s="85"/>
      <c r="D948" s="85"/>
      <c r="E948" s="85"/>
      <c r="F948" s="85"/>
      <c r="G948" s="10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</row>
    <row r="949">
      <c r="A949" s="85"/>
      <c r="B949" s="85"/>
      <c r="C949" s="85"/>
      <c r="D949" s="85"/>
      <c r="E949" s="85"/>
      <c r="F949" s="85"/>
      <c r="G949" s="10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</row>
    <row r="950">
      <c r="A950" s="85"/>
      <c r="B950" s="85"/>
      <c r="C950" s="85"/>
      <c r="D950" s="85"/>
      <c r="E950" s="85"/>
      <c r="F950" s="85"/>
      <c r="G950" s="10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</row>
    <row r="951">
      <c r="A951" s="85"/>
      <c r="B951" s="85"/>
      <c r="C951" s="85"/>
      <c r="D951" s="85"/>
      <c r="E951" s="85"/>
      <c r="F951" s="85"/>
      <c r="G951" s="10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</row>
    <row r="952">
      <c r="A952" s="85"/>
      <c r="B952" s="85"/>
      <c r="C952" s="85"/>
      <c r="D952" s="85"/>
      <c r="E952" s="85"/>
      <c r="F952" s="85"/>
      <c r="G952" s="10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</row>
    <row r="953">
      <c r="A953" s="85"/>
      <c r="B953" s="85"/>
      <c r="C953" s="85"/>
      <c r="D953" s="85"/>
      <c r="E953" s="85"/>
      <c r="F953" s="85"/>
      <c r="G953" s="10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</row>
    <row r="954">
      <c r="A954" s="85"/>
      <c r="B954" s="85"/>
      <c r="C954" s="85"/>
      <c r="D954" s="85"/>
      <c r="E954" s="85"/>
      <c r="F954" s="85"/>
      <c r="G954" s="10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</row>
    <row r="955">
      <c r="A955" s="85"/>
      <c r="B955" s="85"/>
      <c r="C955" s="85"/>
      <c r="D955" s="85"/>
      <c r="E955" s="85"/>
      <c r="F955" s="85"/>
      <c r="G955" s="10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</row>
    <row r="956">
      <c r="A956" s="85"/>
      <c r="B956" s="85"/>
      <c r="C956" s="85"/>
      <c r="D956" s="85"/>
      <c r="E956" s="85"/>
      <c r="F956" s="85"/>
      <c r="G956" s="10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</row>
    <row r="957">
      <c r="A957" s="85"/>
      <c r="B957" s="85"/>
      <c r="C957" s="85"/>
      <c r="D957" s="85"/>
      <c r="E957" s="85"/>
      <c r="F957" s="85"/>
      <c r="G957" s="10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</row>
    <row r="958">
      <c r="A958" s="85"/>
      <c r="B958" s="85"/>
      <c r="C958" s="85"/>
      <c r="D958" s="85"/>
      <c r="E958" s="85"/>
      <c r="F958" s="85"/>
      <c r="G958" s="10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</row>
    <row r="959">
      <c r="A959" s="85"/>
      <c r="B959" s="85"/>
      <c r="C959" s="85"/>
      <c r="D959" s="85"/>
      <c r="E959" s="85"/>
      <c r="F959" s="85"/>
      <c r="G959" s="10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</row>
    <row r="960">
      <c r="A960" s="85"/>
      <c r="B960" s="85"/>
      <c r="C960" s="85"/>
      <c r="D960" s="85"/>
      <c r="E960" s="85"/>
      <c r="F960" s="85"/>
      <c r="G960" s="10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</row>
    <row r="961">
      <c r="A961" s="85"/>
      <c r="B961" s="85"/>
      <c r="C961" s="85"/>
      <c r="D961" s="85"/>
      <c r="E961" s="85"/>
      <c r="F961" s="85"/>
      <c r="G961" s="10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</row>
    <row r="962">
      <c r="A962" s="85"/>
      <c r="B962" s="85"/>
      <c r="C962" s="85"/>
      <c r="D962" s="85"/>
      <c r="E962" s="85"/>
      <c r="F962" s="85"/>
      <c r="G962" s="10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</row>
    <row r="963">
      <c r="A963" s="85"/>
      <c r="B963" s="85"/>
      <c r="C963" s="85"/>
      <c r="D963" s="85"/>
      <c r="E963" s="85"/>
      <c r="F963" s="85"/>
      <c r="G963" s="10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</row>
    <row r="964">
      <c r="A964" s="85"/>
      <c r="B964" s="85"/>
      <c r="C964" s="85"/>
      <c r="D964" s="85"/>
      <c r="E964" s="85"/>
      <c r="F964" s="85"/>
      <c r="G964" s="10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</row>
    <row r="965">
      <c r="A965" s="85"/>
      <c r="B965" s="85"/>
      <c r="C965" s="85"/>
      <c r="D965" s="85"/>
      <c r="E965" s="85"/>
      <c r="F965" s="85"/>
      <c r="G965" s="10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</row>
    <row r="966">
      <c r="A966" s="85"/>
      <c r="B966" s="85"/>
      <c r="C966" s="85"/>
      <c r="D966" s="85"/>
      <c r="E966" s="85"/>
      <c r="F966" s="85"/>
      <c r="G966" s="10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</row>
    <row r="967">
      <c r="A967" s="85"/>
      <c r="B967" s="85"/>
      <c r="C967" s="85"/>
      <c r="D967" s="85"/>
      <c r="E967" s="85"/>
      <c r="F967" s="85"/>
      <c r="G967" s="10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</row>
    <row r="968">
      <c r="A968" s="85"/>
      <c r="B968" s="85"/>
      <c r="C968" s="85"/>
      <c r="D968" s="85"/>
      <c r="E968" s="85"/>
      <c r="F968" s="85"/>
      <c r="G968" s="10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</row>
    <row r="969">
      <c r="A969" s="85"/>
      <c r="B969" s="85"/>
      <c r="C969" s="85"/>
      <c r="D969" s="85"/>
      <c r="E969" s="85"/>
      <c r="F969" s="85"/>
      <c r="G969" s="10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</row>
    <row r="970">
      <c r="A970" s="85"/>
      <c r="B970" s="85"/>
      <c r="C970" s="85"/>
      <c r="D970" s="85"/>
      <c r="E970" s="85"/>
      <c r="F970" s="85"/>
      <c r="G970" s="10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</row>
    <row r="971">
      <c r="A971" s="85"/>
      <c r="B971" s="85"/>
      <c r="C971" s="85"/>
      <c r="D971" s="85"/>
      <c r="E971" s="85"/>
      <c r="F971" s="85"/>
      <c r="G971" s="10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</row>
    <row r="972">
      <c r="A972" s="85"/>
      <c r="B972" s="85"/>
      <c r="C972" s="85"/>
      <c r="D972" s="85"/>
      <c r="E972" s="85"/>
      <c r="F972" s="85"/>
      <c r="G972" s="10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</row>
    <row r="973">
      <c r="A973" s="85"/>
      <c r="B973" s="85"/>
      <c r="C973" s="85"/>
      <c r="D973" s="85"/>
      <c r="E973" s="85"/>
      <c r="F973" s="85"/>
      <c r="G973" s="10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</row>
    <row r="974">
      <c r="A974" s="85"/>
      <c r="B974" s="85"/>
      <c r="C974" s="85"/>
      <c r="D974" s="85"/>
      <c r="E974" s="85"/>
      <c r="F974" s="85"/>
      <c r="G974" s="105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</row>
    <row r="975">
      <c r="A975" s="85"/>
      <c r="B975" s="85"/>
      <c r="C975" s="85"/>
      <c r="D975" s="85"/>
      <c r="E975" s="85"/>
      <c r="F975" s="85"/>
      <c r="G975" s="105"/>
      <c r="H975" s="85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</row>
    <row r="976">
      <c r="A976" s="85"/>
      <c r="B976" s="85"/>
      <c r="C976" s="85"/>
      <c r="D976" s="85"/>
      <c r="E976" s="85"/>
      <c r="F976" s="85"/>
      <c r="G976" s="10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</row>
    <row r="977">
      <c r="A977" s="85"/>
      <c r="B977" s="85"/>
      <c r="C977" s="85"/>
      <c r="D977" s="85"/>
      <c r="E977" s="85"/>
      <c r="F977" s="85"/>
      <c r="G977" s="105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</row>
    <row r="978">
      <c r="A978" s="85"/>
      <c r="B978" s="85"/>
      <c r="C978" s="85"/>
      <c r="D978" s="85"/>
      <c r="E978" s="85"/>
      <c r="F978" s="85"/>
      <c r="G978" s="105"/>
      <c r="H978" s="85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</row>
    <row r="979">
      <c r="A979" s="85"/>
      <c r="B979" s="85"/>
      <c r="C979" s="85"/>
      <c r="D979" s="85"/>
      <c r="E979" s="85"/>
      <c r="F979" s="85"/>
      <c r="G979" s="105"/>
      <c r="H979" s="85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</row>
    <row r="980">
      <c r="A980" s="85"/>
      <c r="B980" s="85"/>
      <c r="C980" s="85"/>
      <c r="D980" s="85"/>
      <c r="E980" s="85"/>
      <c r="F980" s="85"/>
      <c r="G980" s="105"/>
      <c r="H980" s="85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</row>
    <row r="981">
      <c r="A981" s="85"/>
      <c r="B981" s="85"/>
      <c r="C981" s="85"/>
      <c r="D981" s="85"/>
      <c r="E981" s="85"/>
      <c r="F981" s="85"/>
      <c r="G981" s="105"/>
      <c r="H981" s="85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</row>
    <row r="982">
      <c r="A982" s="85"/>
      <c r="B982" s="85"/>
      <c r="C982" s="85"/>
      <c r="D982" s="85"/>
      <c r="E982" s="85"/>
      <c r="F982" s="85"/>
      <c r="G982" s="105"/>
      <c r="H982" s="85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</row>
    <row r="983">
      <c r="A983" s="85"/>
      <c r="B983" s="85"/>
      <c r="C983" s="85"/>
      <c r="D983" s="85"/>
      <c r="E983" s="85"/>
      <c r="F983" s="85"/>
      <c r="G983" s="105"/>
      <c r="H983" s="85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</row>
    <row r="984">
      <c r="A984" s="85"/>
      <c r="B984" s="85"/>
      <c r="C984" s="85"/>
      <c r="D984" s="85"/>
      <c r="E984" s="85"/>
      <c r="F984" s="85"/>
      <c r="G984" s="105"/>
      <c r="H984" s="85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</row>
    <row r="985">
      <c r="A985" s="85"/>
      <c r="B985" s="85"/>
      <c r="C985" s="85"/>
      <c r="D985" s="85"/>
      <c r="E985" s="85"/>
      <c r="F985" s="85"/>
      <c r="G985" s="105"/>
      <c r="H985" s="85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</row>
    <row r="986">
      <c r="A986" s="85"/>
      <c r="B986" s="85"/>
      <c r="C986" s="85"/>
      <c r="D986" s="85"/>
      <c r="E986" s="85"/>
      <c r="F986" s="85"/>
      <c r="G986" s="105"/>
      <c r="H986" s="85"/>
      <c r="I986" s="85"/>
      <c r="J986" s="85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5"/>
    </row>
    <row r="987">
      <c r="A987" s="85"/>
      <c r="B987" s="85"/>
      <c r="C987" s="85"/>
      <c r="D987" s="85"/>
      <c r="E987" s="85"/>
      <c r="F987" s="85"/>
      <c r="G987" s="105"/>
      <c r="H987" s="85"/>
      <c r="I987" s="85"/>
      <c r="J987" s="85"/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5"/>
    </row>
    <row r="988">
      <c r="A988" s="85"/>
      <c r="B988" s="85"/>
      <c r="C988" s="85"/>
      <c r="D988" s="85"/>
      <c r="E988" s="85"/>
      <c r="F988" s="85"/>
      <c r="G988" s="105"/>
      <c r="H988" s="85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</row>
    <row r="989">
      <c r="A989" s="85"/>
      <c r="B989" s="85"/>
      <c r="C989" s="85"/>
      <c r="D989" s="85"/>
      <c r="E989" s="85"/>
      <c r="F989" s="85"/>
      <c r="G989" s="105"/>
      <c r="H989" s="85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</row>
    <row r="990">
      <c r="A990" s="85"/>
      <c r="B990" s="85"/>
      <c r="C990" s="85"/>
      <c r="D990" s="85"/>
      <c r="E990" s="85"/>
      <c r="F990" s="85"/>
      <c r="G990" s="105"/>
      <c r="H990" s="85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</row>
    <row r="991">
      <c r="A991" s="85"/>
      <c r="B991" s="85"/>
      <c r="C991" s="85"/>
      <c r="D991" s="85"/>
      <c r="E991" s="85"/>
      <c r="F991" s="85"/>
      <c r="G991" s="105"/>
      <c r="H991" s="85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</row>
    <row r="992">
      <c r="A992" s="85"/>
      <c r="B992" s="85"/>
      <c r="C992" s="85"/>
      <c r="D992" s="85"/>
      <c r="E992" s="85"/>
      <c r="F992" s="85"/>
      <c r="G992" s="105"/>
      <c r="H992" s="85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</row>
    <row r="993">
      <c r="A993" s="85"/>
      <c r="B993" s="85"/>
      <c r="C993" s="85"/>
      <c r="D993" s="85"/>
      <c r="E993" s="85"/>
      <c r="F993" s="85"/>
      <c r="G993" s="105"/>
      <c r="H993" s="85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</row>
    <row r="994">
      <c r="A994" s="85"/>
      <c r="B994" s="85"/>
      <c r="C994" s="85"/>
      <c r="D994" s="85"/>
      <c r="E994" s="85"/>
      <c r="F994" s="85"/>
      <c r="G994" s="105"/>
      <c r="H994" s="85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</row>
    <row r="995">
      <c r="A995" s="85"/>
      <c r="B995" s="85"/>
      <c r="C995" s="85"/>
      <c r="D995" s="85"/>
      <c r="E995" s="85"/>
      <c r="F995" s="85"/>
      <c r="G995" s="105"/>
      <c r="H995" s="85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</row>
    <row r="996">
      <c r="A996" s="85"/>
      <c r="B996" s="85"/>
      <c r="C996" s="85"/>
      <c r="D996" s="85"/>
      <c r="E996" s="85"/>
      <c r="F996" s="85"/>
      <c r="G996" s="105"/>
      <c r="H996" s="85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</row>
    <row r="997">
      <c r="A997" s="85"/>
      <c r="B997" s="85"/>
      <c r="C997" s="85"/>
      <c r="D997" s="85"/>
      <c r="E997" s="85"/>
      <c r="F997" s="85"/>
      <c r="G997" s="105"/>
      <c r="H997" s="85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</row>
    <row r="998">
      <c r="A998" s="85"/>
      <c r="B998" s="85"/>
      <c r="C998" s="85"/>
      <c r="D998" s="85"/>
      <c r="E998" s="85"/>
      <c r="F998" s="85"/>
      <c r="G998" s="105"/>
      <c r="H998" s="85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5"/>
    </row>
    <row r="999">
      <c r="A999" s="85"/>
      <c r="B999" s="85"/>
      <c r="C999" s="85"/>
      <c r="D999" s="85"/>
      <c r="E999" s="85"/>
      <c r="F999" s="85"/>
      <c r="G999" s="105"/>
      <c r="H999" s="85"/>
      <c r="I999" s="85"/>
      <c r="J999" s="85"/>
      <c r="K999" s="85"/>
      <c r="L999" s="85"/>
      <c r="M999" s="85"/>
      <c r="N999" s="85"/>
      <c r="O999" s="85"/>
      <c r="P999" s="85"/>
      <c r="Q999" s="85"/>
      <c r="R999" s="85"/>
      <c r="S999" s="85"/>
      <c r="T999" s="85"/>
      <c r="U999" s="85"/>
      <c r="V999" s="85"/>
      <c r="W999" s="85"/>
      <c r="X999" s="85"/>
      <c r="Y999" s="85"/>
      <c r="Z999" s="85"/>
    </row>
    <row r="1000">
      <c r="A1000" s="85"/>
      <c r="B1000" s="85"/>
      <c r="C1000" s="85"/>
      <c r="D1000" s="85"/>
      <c r="E1000" s="85"/>
      <c r="F1000" s="85"/>
      <c r="G1000" s="105"/>
      <c r="H1000" s="85"/>
      <c r="I1000" s="85"/>
      <c r="J1000" s="85"/>
      <c r="K1000" s="85"/>
      <c r="L1000" s="85"/>
      <c r="M1000" s="85"/>
      <c r="N1000" s="85"/>
      <c r="O1000" s="85"/>
      <c r="P1000" s="85"/>
      <c r="Q1000" s="85"/>
      <c r="R1000" s="85"/>
      <c r="S1000" s="85"/>
      <c r="T1000" s="85"/>
      <c r="U1000" s="85"/>
      <c r="V1000" s="85"/>
      <c r="W1000" s="85"/>
      <c r="X1000" s="85"/>
      <c r="Y1000" s="85"/>
      <c r="Z1000" s="8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65.63"/>
  </cols>
  <sheetData>
    <row r="1">
      <c r="A1" s="18" t="s">
        <v>603</v>
      </c>
      <c r="B1" s="18" t="s">
        <v>604</v>
      </c>
      <c r="C1" s="18" t="s">
        <v>605</v>
      </c>
      <c r="D1" s="18" t="s">
        <v>606</v>
      </c>
      <c r="E1" s="18" t="s">
        <v>607</v>
      </c>
      <c r="F1" s="18" t="s">
        <v>608</v>
      </c>
      <c r="G1" s="18" t="s">
        <v>609</v>
      </c>
      <c r="H1" s="114" t="s">
        <v>610</v>
      </c>
      <c r="I1" s="114" t="s">
        <v>534</v>
      </c>
      <c r="J1" s="18" t="s">
        <v>611</v>
      </c>
      <c r="K1" s="18" t="s">
        <v>612</v>
      </c>
    </row>
    <row r="2">
      <c r="A2" s="18">
        <v>5.022394E7</v>
      </c>
      <c r="B2" s="18">
        <v>5.022394E7</v>
      </c>
      <c r="C2" s="18" t="s">
        <v>613</v>
      </c>
      <c r="D2" s="18">
        <v>2.0028572E7</v>
      </c>
      <c r="E2" s="18" t="s">
        <v>614</v>
      </c>
      <c r="F2" s="18">
        <v>10100.0</v>
      </c>
      <c r="G2" s="18" t="s">
        <v>615</v>
      </c>
      <c r="H2" s="114" t="s">
        <v>616</v>
      </c>
      <c r="I2" s="114">
        <v>706.69</v>
      </c>
      <c r="J2" s="114">
        <v>4927.51</v>
      </c>
      <c r="K2" s="114">
        <v>6.97</v>
      </c>
    </row>
    <row r="3">
      <c r="A3" s="18">
        <v>5.022394E7</v>
      </c>
      <c r="B3" s="18">
        <v>5.022394E7</v>
      </c>
      <c r="C3" s="18" t="s">
        <v>613</v>
      </c>
      <c r="D3" s="18">
        <v>1.6317338E7</v>
      </c>
      <c r="E3" s="18" t="s">
        <v>617</v>
      </c>
      <c r="F3" s="18">
        <v>60300.0</v>
      </c>
      <c r="G3" s="115" t="s">
        <v>618</v>
      </c>
      <c r="H3" s="114" t="s">
        <v>616</v>
      </c>
      <c r="I3" s="114">
        <v>1320.0</v>
      </c>
      <c r="J3" s="114">
        <v>2913.6</v>
      </c>
      <c r="K3" s="114">
        <v>2.21</v>
      </c>
    </row>
    <row r="4">
      <c r="A4" s="18">
        <v>5.022394E7</v>
      </c>
      <c r="B4" s="18">
        <v>5.022394E7</v>
      </c>
      <c r="C4" s="18" t="s">
        <v>613</v>
      </c>
      <c r="D4" s="18">
        <v>1.533998E7</v>
      </c>
      <c r="E4" s="18" t="s">
        <v>619</v>
      </c>
      <c r="F4" s="18">
        <v>10100.0</v>
      </c>
      <c r="G4" s="18" t="s">
        <v>615</v>
      </c>
      <c r="H4" s="114" t="s">
        <v>616</v>
      </c>
      <c r="I4" s="114">
        <v>436.8</v>
      </c>
      <c r="J4" s="114">
        <v>2398.03</v>
      </c>
      <c r="K4" s="114">
        <v>5.49</v>
      </c>
    </row>
    <row r="5">
      <c r="A5" s="18">
        <v>5.022394E7</v>
      </c>
      <c r="B5" s="18">
        <v>5.022394E7</v>
      </c>
      <c r="C5" s="18" t="s">
        <v>613</v>
      </c>
      <c r="D5" s="18">
        <v>1.667833E7</v>
      </c>
      <c r="E5" s="18" t="s">
        <v>620</v>
      </c>
      <c r="F5" s="18">
        <v>10700.0</v>
      </c>
      <c r="G5" s="18" t="s">
        <v>621</v>
      </c>
      <c r="H5" s="114" t="s">
        <v>616</v>
      </c>
      <c r="I5" s="114">
        <v>342.52</v>
      </c>
      <c r="J5" s="114">
        <v>1983.0</v>
      </c>
      <c r="K5" s="114">
        <v>5.79</v>
      </c>
    </row>
    <row r="6">
      <c r="A6" s="18">
        <v>5.022394E7</v>
      </c>
      <c r="B6" s="18">
        <v>5.022394E7</v>
      </c>
      <c r="C6" s="18" t="s">
        <v>613</v>
      </c>
      <c r="D6" s="18">
        <v>1.4833342E7</v>
      </c>
      <c r="E6" s="18" t="s">
        <v>622</v>
      </c>
      <c r="F6" s="18">
        <v>60300.0</v>
      </c>
      <c r="G6" s="18" t="s">
        <v>618</v>
      </c>
      <c r="H6" s="114" t="s">
        <v>616</v>
      </c>
      <c r="I6" s="114">
        <v>510.0</v>
      </c>
      <c r="J6" s="114">
        <v>1716.0</v>
      </c>
      <c r="K6" s="114">
        <v>3.36</v>
      </c>
    </row>
    <row r="7">
      <c r="A7" s="18">
        <v>5.022394E7</v>
      </c>
      <c r="B7" s="18">
        <v>5.022394E7</v>
      </c>
      <c r="C7" s="18" t="s">
        <v>613</v>
      </c>
      <c r="D7" s="18">
        <v>1.7578387E7</v>
      </c>
      <c r="E7" s="18" t="s">
        <v>623</v>
      </c>
      <c r="F7" s="18">
        <v>80300.0</v>
      </c>
      <c r="G7" s="18" t="s">
        <v>624</v>
      </c>
      <c r="H7" s="114" t="s">
        <v>625</v>
      </c>
      <c r="I7" s="114">
        <v>174.0</v>
      </c>
      <c r="J7" s="114">
        <v>1617.06</v>
      </c>
      <c r="K7" s="114">
        <v>9.29</v>
      </c>
    </row>
    <row r="8">
      <c r="A8" s="18">
        <v>5.022394E7</v>
      </c>
      <c r="B8" s="18">
        <v>5.022394E7</v>
      </c>
      <c r="C8" s="18" t="s">
        <v>613</v>
      </c>
      <c r="D8" s="18">
        <v>1.1188001E7</v>
      </c>
      <c r="E8" s="18" t="s">
        <v>626</v>
      </c>
      <c r="F8" s="18">
        <v>10200.0</v>
      </c>
      <c r="G8" s="18" t="s">
        <v>627</v>
      </c>
      <c r="H8" s="114" t="s">
        <v>616</v>
      </c>
      <c r="I8" s="114">
        <v>221.1</v>
      </c>
      <c r="J8" s="114">
        <v>1569.96</v>
      </c>
      <c r="K8" s="114">
        <v>7.1</v>
      </c>
    </row>
    <row r="9">
      <c r="A9" s="18">
        <v>5.022394E7</v>
      </c>
      <c r="B9" s="18">
        <v>5.022394E7</v>
      </c>
      <c r="C9" s="18" t="s">
        <v>613</v>
      </c>
      <c r="D9" s="18">
        <v>1.516663E7</v>
      </c>
      <c r="E9" s="18" t="s">
        <v>628</v>
      </c>
      <c r="F9" s="18">
        <v>80100.0</v>
      </c>
      <c r="G9" s="18" t="s">
        <v>629</v>
      </c>
      <c r="H9" s="114" t="s">
        <v>630</v>
      </c>
      <c r="I9" s="114">
        <v>940.0</v>
      </c>
      <c r="J9" s="114">
        <v>1426.8</v>
      </c>
      <c r="K9" s="114">
        <v>1.52</v>
      </c>
    </row>
    <row r="10">
      <c r="A10" s="18">
        <v>5.022394E7</v>
      </c>
      <c r="B10" s="18">
        <v>5.022394E7</v>
      </c>
      <c r="C10" s="18" t="s">
        <v>613</v>
      </c>
      <c r="D10" s="18">
        <v>1.028296E7</v>
      </c>
      <c r="E10" s="18" t="s">
        <v>631</v>
      </c>
      <c r="F10" s="18">
        <v>80300.0</v>
      </c>
      <c r="G10" s="18" t="s">
        <v>624</v>
      </c>
      <c r="H10" s="114" t="s">
        <v>616</v>
      </c>
      <c r="I10" s="114">
        <v>110.0</v>
      </c>
      <c r="J10" s="114">
        <v>1328.8</v>
      </c>
      <c r="K10" s="114">
        <v>12.08</v>
      </c>
    </row>
    <row r="11">
      <c r="A11" s="18">
        <v>5.022394E7</v>
      </c>
      <c r="B11" s="18">
        <v>5.022394E7</v>
      </c>
      <c r="C11" s="18" t="s">
        <v>613</v>
      </c>
      <c r="D11" s="18">
        <v>1.4796777E7</v>
      </c>
      <c r="E11" s="18" t="s">
        <v>632</v>
      </c>
      <c r="F11" s="18">
        <v>30700.0</v>
      </c>
      <c r="G11" s="18" t="s">
        <v>633</v>
      </c>
      <c r="H11" s="114" t="s">
        <v>634</v>
      </c>
      <c r="I11" s="114">
        <v>168.0</v>
      </c>
      <c r="J11" s="114">
        <v>888.28</v>
      </c>
      <c r="K11" s="114">
        <v>5.29</v>
      </c>
    </row>
    <row r="12">
      <c r="A12" s="18">
        <v>5.022394E7</v>
      </c>
      <c r="B12" s="18">
        <v>5.022394E7</v>
      </c>
      <c r="C12" s="18" t="s">
        <v>613</v>
      </c>
      <c r="D12" s="18">
        <v>1.5276551E7</v>
      </c>
      <c r="E12" s="18" t="s">
        <v>635</v>
      </c>
      <c r="F12" s="18">
        <v>50200.0</v>
      </c>
      <c r="G12" s="18" t="s">
        <v>636</v>
      </c>
      <c r="H12" s="114" t="s">
        <v>616</v>
      </c>
      <c r="I12" s="114">
        <v>78.07</v>
      </c>
      <c r="J12" s="114">
        <v>872.19</v>
      </c>
      <c r="K12" s="114">
        <v>11.17</v>
      </c>
    </row>
    <row r="13">
      <c r="A13" s="18">
        <v>5.022394E7</v>
      </c>
      <c r="B13" s="18">
        <v>5.022394E7</v>
      </c>
      <c r="C13" s="18" t="s">
        <v>613</v>
      </c>
      <c r="D13" s="18">
        <v>1.0329689E7</v>
      </c>
      <c r="E13" s="18" t="s">
        <v>637</v>
      </c>
      <c r="F13" s="18">
        <v>10100.0</v>
      </c>
      <c r="G13" s="18" t="s">
        <v>615</v>
      </c>
      <c r="H13" s="114" t="s">
        <v>616</v>
      </c>
      <c r="I13" s="114">
        <v>103.47</v>
      </c>
      <c r="J13" s="114">
        <v>672.73</v>
      </c>
      <c r="K13" s="114">
        <v>6.5</v>
      </c>
    </row>
    <row r="14">
      <c r="A14" s="18">
        <v>5.022394E7</v>
      </c>
      <c r="B14" s="18">
        <v>5.022394E7</v>
      </c>
      <c r="C14" s="18" t="s">
        <v>613</v>
      </c>
      <c r="D14" s="18">
        <v>1.0329429E7</v>
      </c>
      <c r="E14" s="18" t="s">
        <v>638</v>
      </c>
      <c r="F14" s="18">
        <v>10200.0</v>
      </c>
      <c r="G14" s="18" t="s">
        <v>627</v>
      </c>
      <c r="H14" s="114" t="s">
        <v>616</v>
      </c>
      <c r="I14" s="114">
        <v>149.46</v>
      </c>
      <c r="J14" s="114">
        <v>663.49</v>
      </c>
      <c r="K14" s="114">
        <v>4.44</v>
      </c>
    </row>
    <row r="15">
      <c r="A15" s="18">
        <v>5.022394E7</v>
      </c>
      <c r="B15" s="18">
        <v>5.022394E7</v>
      </c>
      <c r="C15" s="18" t="s">
        <v>613</v>
      </c>
      <c r="D15" s="18">
        <v>1.726808E7</v>
      </c>
      <c r="E15" s="18" t="s">
        <v>639</v>
      </c>
      <c r="F15" s="18">
        <v>80100.0</v>
      </c>
      <c r="G15" s="18" t="s">
        <v>629</v>
      </c>
      <c r="H15" s="114" t="s">
        <v>630</v>
      </c>
      <c r="I15" s="114">
        <v>520.0</v>
      </c>
      <c r="J15" s="114">
        <v>659.1</v>
      </c>
      <c r="K15" s="114">
        <v>1.27</v>
      </c>
    </row>
    <row r="16">
      <c r="A16" s="18">
        <v>5.022394E7</v>
      </c>
      <c r="B16" s="18">
        <v>5.022394E7</v>
      </c>
      <c r="C16" s="18" t="s">
        <v>613</v>
      </c>
      <c r="D16" s="18">
        <v>1.1641179E7</v>
      </c>
      <c r="E16" s="18" t="s">
        <v>640</v>
      </c>
      <c r="F16" s="18">
        <v>80300.0</v>
      </c>
      <c r="G16" s="18" t="s">
        <v>624</v>
      </c>
      <c r="H16" s="114" t="s">
        <v>641</v>
      </c>
      <c r="I16" s="114">
        <v>184.0</v>
      </c>
      <c r="J16" s="114">
        <v>645.84</v>
      </c>
      <c r="K16" s="114">
        <v>3.51</v>
      </c>
    </row>
    <row r="17">
      <c r="A17" s="18">
        <v>5.022394E7</v>
      </c>
      <c r="B17" s="18">
        <v>5.022394E7</v>
      </c>
      <c r="C17" s="18" t="s">
        <v>613</v>
      </c>
      <c r="D17" s="18">
        <v>1.7414326E7</v>
      </c>
      <c r="E17" s="18" t="s">
        <v>642</v>
      </c>
      <c r="F17" s="18">
        <v>20800.0</v>
      </c>
      <c r="G17" s="18" t="s">
        <v>643</v>
      </c>
      <c r="H17" s="114" t="s">
        <v>616</v>
      </c>
      <c r="I17" s="114">
        <v>68.57</v>
      </c>
      <c r="J17" s="114">
        <v>635.97</v>
      </c>
      <c r="K17" s="114">
        <v>9.27</v>
      </c>
    </row>
    <row r="18">
      <c r="A18" s="18">
        <v>5.022394E7</v>
      </c>
      <c r="B18" s="18">
        <v>5.022394E7</v>
      </c>
      <c r="C18" s="18" t="s">
        <v>613</v>
      </c>
      <c r="D18" s="18">
        <v>1.0335239E7</v>
      </c>
      <c r="E18" s="18" t="s">
        <v>644</v>
      </c>
      <c r="F18" s="18">
        <v>10200.0</v>
      </c>
      <c r="G18" s="18" t="s">
        <v>627</v>
      </c>
      <c r="H18" s="114" t="s">
        <v>616</v>
      </c>
      <c r="I18" s="114">
        <v>120.7</v>
      </c>
      <c r="J18" s="114">
        <v>619.87</v>
      </c>
      <c r="K18" s="114">
        <v>5.14</v>
      </c>
    </row>
    <row r="19">
      <c r="A19" s="18">
        <v>5.022394E7</v>
      </c>
      <c r="B19" s="18">
        <v>5.022394E7</v>
      </c>
      <c r="C19" s="18" t="s">
        <v>613</v>
      </c>
      <c r="D19" s="18">
        <v>1.4397882E7</v>
      </c>
      <c r="E19" s="18" t="s">
        <v>645</v>
      </c>
      <c r="F19" s="18">
        <v>50400.0</v>
      </c>
      <c r="G19" s="18" t="s">
        <v>646</v>
      </c>
      <c r="H19" s="114" t="s">
        <v>616</v>
      </c>
      <c r="I19" s="114">
        <v>60.0</v>
      </c>
      <c r="J19" s="114">
        <v>593.4</v>
      </c>
      <c r="K19" s="114">
        <v>9.89</v>
      </c>
    </row>
    <row r="20">
      <c r="A20" s="18">
        <v>5.022394E7</v>
      </c>
      <c r="B20" s="18">
        <v>5.022394E7</v>
      </c>
      <c r="C20" s="18" t="s">
        <v>613</v>
      </c>
      <c r="D20" s="18">
        <v>1.4759949E7</v>
      </c>
      <c r="E20" s="18" t="s">
        <v>647</v>
      </c>
      <c r="F20" s="18">
        <v>30403.0</v>
      </c>
      <c r="G20" s="18" t="s">
        <v>648</v>
      </c>
      <c r="H20" s="114" t="s">
        <v>616</v>
      </c>
      <c r="I20" s="114">
        <v>294.0</v>
      </c>
      <c r="J20" s="114">
        <v>570.27</v>
      </c>
      <c r="K20" s="114">
        <v>1.94</v>
      </c>
    </row>
    <row r="21">
      <c r="A21" s="18">
        <v>5.022394E7</v>
      </c>
      <c r="B21" s="18">
        <v>5.022394E7</v>
      </c>
      <c r="C21" s="18" t="s">
        <v>613</v>
      </c>
      <c r="D21" s="18">
        <v>1.7549707E7</v>
      </c>
      <c r="E21" s="18" t="s">
        <v>649</v>
      </c>
      <c r="F21" s="18">
        <v>80300.0</v>
      </c>
      <c r="G21" s="18" t="s">
        <v>624</v>
      </c>
      <c r="H21" s="114" t="s">
        <v>625</v>
      </c>
      <c r="I21" s="114">
        <v>108.0</v>
      </c>
      <c r="J21" s="114">
        <v>554.52</v>
      </c>
      <c r="K21" s="114">
        <v>5.13</v>
      </c>
    </row>
    <row r="22">
      <c r="A22" s="18">
        <v>5.022394E7</v>
      </c>
      <c r="B22" s="18">
        <v>5.022394E7</v>
      </c>
      <c r="C22" s="18" t="s">
        <v>613</v>
      </c>
      <c r="D22" s="18">
        <v>1.66645E7</v>
      </c>
      <c r="E22" s="18" t="s">
        <v>650</v>
      </c>
      <c r="F22" s="18">
        <v>30700.0</v>
      </c>
      <c r="G22" s="18" t="s">
        <v>633</v>
      </c>
      <c r="H22" s="114" t="s">
        <v>634</v>
      </c>
      <c r="I22" s="114">
        <v>136.0</v>
      </c>
      <c r="J22" s="114">
        <v>532.48</v>
      </c>
      <c r="K22" s="114">
        <v>3.92</v>
      </c>
    </row>
    <row r="23">
      <c r="A23" s="18">
        <v>5.022394E7</v>
      </c>
      <c r="B23" s="18">
        <v>5.022394E7</v>
      </c>
      <c r="C23" s="18" t="s">
        <v>613</v>
      </c>
      <c r="D23" s="18">
        <v>1.7221153E7</v>
      </c>
      <c r="E23" s="18" t="s">
        <v>651</v>
      </c>
      <c r="F23" s="18">
        <v>120700.0</v>
      </c>
      <c r="G23" s="18" t="s">
        <v>652</v>
      </c>
      <c r="H23" s="114" t="s">
        <v>634</v>
      </c>
      <c r="I23" s="114">
        <v>130.0</v>
      </c>
      <c r="J23" s="114">
        <v>514.2</v>
      </c>
      <c r="K23" s="114">
        <v>3.96</v>
      </c>
    </row>
    <row r="24">
      <c r="A24" s="18">
        <v>5.022394E7</v>
      </c>
      <c r="B24" s="18">
        <v>5.022394E7</v>
      </c>
      <c r="C24" s="18" t="s">
        <v>613</v>
      </c>
      <c r="D24" s="18">
        <v>1.0805268E7</v>
      </c>
      <c r="E24" s="18" t="s">
        <v>653</v>
      </c>
      <c r="F24" s="18">
        <v>80200.0</v>
      </c>
      <c r="G24" s="18" t="s">
        <v>654</v>
      </c>
      <c r="H24" s="114" t="s">
        <v>625</v>
      </c>
      <c r="I24" s="114">
        <v>81.0</v>
      </c>
      <c r="J24" s="114">
        <v>423.91</v>
      </c>
      <c r="K24" s="114">
        <v>5.23</v>
      </c>
    </row>
    <row r="25">
      <c r="A25" s="18">
        <v>5.022394E7</v>
      </c>
      <c r="B25" s="18">
        <v>5.022394E7</v>
      </c>
      <c r="C25" s="18" t="s">
        <v>613</v>
      </c>
      <c r="D25" s="18">
        <v>1.5218247E7</v>
      </c>
      <c r="E25" s="18" t="s">
        <v>655</v>
      </c>
      <c r="F25" s="18">
        <v>30700.0</v>
      </c>
      <c r="G25" s="18" t="s">
        <v>633</v>
      </c>
      <c r="H25" s="114" t="s">
        <v>616</v>
      </c>
      <c r="I25" s="114">
        <v>157.5</v>
      </c>
      <c r="J25" s="114">
        <v>363.08</v>
      </c>
      <c r="K25" s="114">
        <v>2.31</v>
      </c>
    </row>
    <row r="26">
      <c r="A26" s="18">
        <v>5.022394E7</v>
      </c>
      <c r="B26" s="18">
        <v>5.022394E7</v>
      </c>
      <c r="C26" s="18" t="s">
        <v>613</v>
      </c>
      <c r="D26" s="18">
        <v>3.0012356E7</v>
      </c>
      <c r="E26" s="18" t="s">
        <v>656</v>
      </c>
      <c r="F26" s="18">
        <v>80300.0</v>
      </c>
      <c r="G26" s="18" t="s">
        <v>624</v>
      </c>
      <c r="H26" s="114" t="s">
        <v>625</v>
      </c>
      <c r="I26" s="114">
        <v>65.0</v>
      </c>
      <c r="J26" s="114">
        <v>361.65</v>
      </c>
      <c r="K26" s="114">
        <v>5.56</v>
      </c>
    </row>
    <row r="27">
      <c r="A27" s="18">
        <v>5.022394E7</v>
      </c>
      <c r="B27" s="18">
        <v>5.022394E7</v>
      </c>
      <c r="C27" s="18" t="s">
        <v>613</v>
      </c>
      <c r="D27" s="18">
        <v>1.6357587E7</v>
      </c>
      <c r="E27" s="18" t="s">
        <v>657</v>
      </c>
      <c r="F27" s="18">
        <v>30600.0</v>
      </c>
      <c r="G27" s="18" t="s">
        <v>658</v>
      </c>
      <c r="H27" s="114" t="s">
        <v>634</v>
      </c>
      <c r="I27" s="114">
        <v>40.0</v>
      </c>
      <c r="J27" s="114">
        <v>359.6</v>
      </c>
      <c r="K27" s="114">
        <v>8.99</v>
      </c>
    </row>
    <row r="28">
      <c r="A28" s="18">
        <v>5.022394E7</v>
      </c>
      <c r="B28" s="18">
        <v>5.022394E7</v>
      </c>
      <c r="C28" s="18" t="s">
        <v>613</v>
      </c>
      <c r="D28" s="18">
        <v>1.3344849E7</v>
      </c>
      <c r="E28" s="18" t="s">
        <v>659</v>
      </c>
      <c r="F28" s="18">
        <v>80300.0</v>
      </c>
      <c r="G28" s="18" t="s">
        <v>624</v>
      </c>
      <c r="H28" s="114" t="s">
        <v>625</v>
      </c>
      <c r="I28" s="114">
        <v>121.0</v>
      </c>
      <c r="J28" s="114">
        <v>353.32</v>
      </c>
      <c r="K28" s="114">
        <v>2.92</v>
      </c>
    </row>
    <row r="29">
      <c r="A29" s="18">
        <v>5.022394E7</v>
      </c>
      <c r="B29" s="18">
        <v>5.022394E7</v>
      </c>
      <c r="C29" s="18" t="s">
        <v>613</v>
      </c>
      <c r="D29" s="18">
        <v>1.7370943E7</v>
      </c>
      <c r="E29" s="18" t="s">
        <v>660</v>
      </c>
      <c r="F29" s="18">
        <v>30700.0</v>
      </c>
      <c r="G29" s="18" t="s">
        <v>633</v>
      </c>
      <c r="H29" s="114" t="s">
        <v>625</v>
      </c>
      <c r="I29" s="114">
        <v>85.0</v>
      </c>
      <c r="J29" s="114">
        <v>347.85</v>
      </c>
      <c r="K29" s="114">
        <v>4.09</v>
      </c>
    </row>
    <row r="30">
      <c r="A30" s="18">
        <v>5.022394E7</v>
      </c>
      <c r="B30" s="18">
        <v>5.022394E7</v>
      </c>
      <c r="C30" s="18" t="s">
        <v>613</v>
      </c>
      <c r="D30" s="18">
        <v>1.0224779E7</v>
      </c>
      <c r="E30" s="18" t="s">
        <v>661</v>
      </c>
      <c r="F30" s="18">
        <v>120200.0</v>
      </c>
      <c r="G30" s="18" t="s">
        <v>662</v>
      </c>
      <c r="H30" s="114" t="s">
        <v>616</v>
      </c>
      <c r="I30" s="114">
        <v>161.0</v>
      </c>
      <c r="J30" s="114">
        <v>343.39</v>
      </c>
      <c r="K30" s="114">
        <v>2.13</v>
      </c>
    </row>
    <row r="31">
      <c r="A31" s="18">
        <v>5.022394E7</v>
      </c>
      <c r="B31" s="18">
        <v>5.022394E7</v>
      </c>
      <c r="C31" s="18" t="s">
        <v>613</v>
      </c>
      <c r="D31" s="18">
        <v>1.5113733E7</v>
      </c>
      <c r="E31" s="18" t="s">
        <v>663</v>
      </c>
      <c r="F31" s="18">
        <v>10100.0</v>
      </c>
      <c r="G31" s="18" t="s">
        <v>615</v>
      </c>
      <c r="H31" s="114" t="s">
        <v>616</v>
      </c>
      <c r="I31" s="114">
        <v>87.55</v>
      </c>
      <c r="J31" s="114">
        <v>342.32</v>
      </c>
      <c r="K31" s="114">
        <v>3.91</v>
      </c>
    </row>
    <row r="32">
      <c r="A32" s="18">
        <v>5.022394E7</v>
      </c>
      <c r="B32" s="18">
        <v>5.0223941E7</v>
      </c>
      <c r="C32" s="18" t="s">
        <v>664</v>
      </c>
      <c r="D32" s="18">
        <v>1.4359132E7</v>
      </c>
      <c r="E32" s="18" t="s">
        <v>665</v>
      </c>
      <c r="F32" s="18">
        <v>230700.0</v>
      </c>
      <c r="G32" s="18" t="s">
        <v>666</v>
      </c>
      <c r="H32" s="114" t="s">
        <v>625</v>
      </c>
      <c r="I32" s="114">
        <v>20.0</v>
      </c>
      <c r="J32" s="114">
        <v>333.5</v>
      </c>
      <c r="K32" s="114">
        <v>16.68</v>
      </c>
    </row>
    <row r="33">
      <c r="A33" s="18">
        <v>5.022394E7</v>
      </c>
      <c r="B33" s="18">
        <v>5.022394E7</v>
      </c>
      <c r="C33" s="18" t="s">
        <v>613</v>
      </c>
      <c r="D33" s="18">
        <v>1.2250042E7</v>
      </c>
      <c r="E33" s="18" t="s">
        <v>667</v>
      </c>
      <c r="F33" s="18">
        <v>80200.0</v>
      </c>
      <c r="G33" s="18" t="s">
        <v>654</v>
      </c>
      <c r="H33" s="114" t="s">
        <v>625</v>
      </c>
      <c r="I33" s="114">
        <v>108.0</v>
      </c>
      <c r="J33" s="114">
        <v>317.88</v>
      </c>
      <c r="K33" s="114">
        <v>2.94</v>
      </c>
    </row>
    <row r="34">
      <c r="A34" s="18">
        <v>5.022394E7</v>
      </c>
      <c r="B34" s="18">
        <v>5.022394E7</v>
      </c>
      <c r="C34" s="18" t="s">
        <v>613</v>
      </c>
      <c r="D34" s="18">
        <v>1.7972918E7</v>
      </c>
      <c r="E34" s="18" t="s">
        <v>668</v>
      </c>
      <c r="F34" s="18">
        <v>20800.0</v>
      </c>
      <c r="G34" s="18" t="s">
        <v>643</v>
      </c>
      <c r="H34" s="114" t="s">
        <v>616</v>
      </c>
      <c r="I34" s="114">
        <v>36.0</v>
      </c>
      <c r="J34" s="114">
        <v>317.16</v>
      </c>
      <c r="K34" s="114">
        <v>8.81</v>
      </c>
    </row>
    <row r="35">
      <c r="A35" s="18">
        <v>5.022394E7</v>
      </c>
      <c r="B35" s="18">
        <v>5.022394E7</v>
      </c>
      <c r="C35" s="18" t="s">
        <v>613</v>
      </c>
      <c r="D35" s="18">
        <v>1.0235874E7</v>
      </c>
      <c r="E35" s="18" t="s">
        <v>669</v>
      </c>
      <c r="F35" s="18">
        <v>130200.0</v>
      </c>
      <c r="G35" s="18" t="s">
        <v>670</v>
      </c>
      <c r="H35" s="114" t="s">
        <v>671</v>
      </c>
      <c r="I35" s="114">
        <v>90.0</v>
      </c>
      <c r="J35" s="114">
        <v>304.1</v>
      </c>
      <c r="K35" s="114">
        <v>3.38</v>
      </c>
    </row>
    <row r="36">
      <c r="A36" s="18">
        <v>5.022394E7</v>
      </c>
      <c r="B36" s="18">
        <v>5.022394E7</v>
      </c>
      <c r="C36" s="18" t="s">
        <v>613</v>
      </c>
      <c r="D36" s="18">
        <v>1.4758638E7</v>
      </c>
      <c r="E36" s="18" t="s">
        <v>672</v>
      </c>
      <c r="F36" s="18">
        <v>30403.0</v>
      </c>
      <c r="G36" s="18" t="s">
        <v>648</v>
      </c>
      <c r="H36" s="114" t="s">
        <v>673</v>
      </c>
      <c r="I36" s="114">
        <v>75.0</v>
      </c>
      <c r="J36" s="114">
        <v>302.78</v>
      </c>
      <c r="K36" s="114">
        <v>4.04</v>
      </c>
    </row>
    <row r="37">
      <c r="A37" s="18">
        <v>5.022394E7</v>
      </c>
      <c r="B37" s="18">
        <v>5.022394E7</v>
      </c>
      <c r="C37" s="18" t="s">
        <v>613</v>
      </c>
      <c r="D37" s="18">
        <v>1.4369186E7</v>
      </c>
      <c r="E37" s="18" t="s">
        <v>674</v>
      </c>
      <c r="F37" s="18">
        <v>80300.0</v>
      </c>
      <c r="G37" s="18" t="s">
        <v>624</v>
      </c>
      <c r="H37" s="114" t="s">
        <v>675</v>
      </c>
      <c r="I37" s="114">
        <v>24.0</v>
      </c>
      <c r="J37" s="114">
        <v>272.64</v>
      </c>
      <c r="K37" s="114">
        <v>11.36</v>
      </c>
    </row>
    <row r="38">
      <c r="A38" s="18">
        <v>5.022394E7</v>
      </c>
      <c r="B38" s="18">
        <v>5.022394E7</v>
      </c>
      <c r="C38" s="18" t="s">
        <v>613</v>
      </c>
      <c r="D38" s="18">
        <v>1.4694349E7</v>
      </c>
      <c r="E38" s="18" t="s">
        <v>676</v>
      </c>
      <c r="F38" s="18">
        <v>121300.0</v>
      </c>
      <c r="G38" s="18" t="s">
        <v>677</v>
      </c>
      <c r="H38" s="114" t="s">
        <v>678</v>
      </c>
      <c r="I38" s="114">
        <v>36.0</v>
      </c>
      <c r="J38" s="114">
        <v>266.04</v>
      </c>
      <c r="K38" s="114">
        <v>7.39</v>
      </c>
    </row>
    <row r="39">
      <c r="A39" s="18">
        <v>5.022394E7</v>
      </c>
      <c r="B39" s="18">
        <v>5.022394E7</v>
      </c>
      <c r="C39" s="18" t="s">
        <v>613</v>
      </c>
      <c r="D39" s="18">
        <v>1.5277077E7</v>
      </c>
      <c r="E39" s="18" t="s">
        <v>679</v>
      </c>
      <c r="F39" s="18">
        <v>41100.0</v>
      </c>
      <c r="G39" s="18" t="s">
        <v>680</v>
      </c>
      <c r="H39" s="114" t="s">
        <v>616</v>
      </c>
      <c r="I39" s="114">
        <v>35.0</v>
      </c>
      <c r="J39" s="114">
        <v>244.65</v>
      </c>
      <c r="K39" s="114">
        <v>6.99</v>
      </c>
    </row>
    <row r="40">
      <c r="A40" s="18">
        <v>5.022394E7</v>
      </c>
      <c r="B40" s="18">
        <v>5.022394E7</v>
      </c>
      <c r="C40" s="18" t="s">
        <v>613</v>
      </c>
      <c r="D40" s="18">
        <v>1.4761522E7</v>
      </c>
      <c r="E40" s="18" t="s">
        <v>681</v>
      </c>
      <c r="F40" s="18">
        <v>30403.0</v>
      </c>
      <c r="G40" s="18" t="s">
        <v>648</v>
      </c>
      <c r="H40" s="114" t="s">
        <v>616</v>
      </c>
      <c r="I40" s="114">
        <v>24.0</v>
      </c>
      <c r="J40" s="114">
        <v>226.93</v>
      </c>
      <c r="K40" s="114">
        <v>9.46</v>
      </c>
    </row>
    <row r="41">
      <c r="A41" s="18">
        <v>5.022394E7</v>
      </c>
      <c r="B41" s="18">
        <v>5.022394E7</v>
      </c>
      <c r="C41" s="18" t="s">
        <v>613</v>
      </c>
      <c r="D41" s="18">
        <v>1.2404155E7</v>
      </c>
      <c r="E41" s="18" t="s">
        <v>682</v>
      </c>
      <c r="F41" s="18">
        <v>120300.0</v>
      </c>
      <c r="G41" s="18" t="s">
        <v>683</v>
      </c>
      <c r="H41" s="114" t="s">
        <v>684</v>
      </c>
      <c r="I41" s="114">
        <v>17.0</v>
      </c>
      <c r="J41" s="114">
        <v>220.66</v>
      </c>
      <c r="K41" s="114">
        <v>12.98</v>
      </c>
    </row>
    <row r="42">
      <c r="A42" s="18">
        <v>5.022394E7</v>
      </c>
      <c r="B42" s="18">
        <v>5.022394E7</v>
      </c>
      <c r="C42" s="18" t="s">
        <v>613</v>
      </c>
      <c r="D42" s="18">
        <v>1.0273814E7</v>
      </c>
      <c r="E42" s="18" t="s">
        <v>685</v>
      </c>
      <c r="F42" s="18">
        <v>80200.0</v>
      </c>
      <c r="G42" s="18" t="s">
        <v>654</v>
      </c>
      <c r="H42" s="114" t="s">
        <v>625</v>
      </c>
      <c r="I42" s="114">
        <v>288.0</v>
      </c>
      <c r="J42" s="114">
        <v>211.39</v>
      </c>
      <c r="K42" s="114">
        <v>0.73</v>
      </c>
    </row>
    <row r="43">
      <c r="A43" s="18">
        <v>5.022394E7</v>
      </c>
      <c r="B43" s="18">
        <v>5.0223941E7</v>
      </c>
      <c r="C43" s="18" t="s">
        <v>664</v>
      </c>
      <c r="D43" s="18">
        <v>1.0376225E7</v>
      </c>
      <c r="E43" s="18" t="s">
        <v>686</v>
      </c>
      <c r="F43" s="18">
        <v>230300.0</v>
      </c>
      <c r="G43" s="18" t="s">
        <v>687</v>
      </c>
      <c r="H43" s="114" t="s">
        <v>625</v>
      </c>
      <c r="I43" s="114">
        <v>4.0</v>
      </c>
      <c r="J43" s="114">
        <v>199.16</v>
      </c>
      <c r="K43" s="114">
        <v>49.79</v>
      </c>
    </row>
    <row r="44">
      <c r="A44" s="18">
        <v>5.022394E7</v>
      </c>
      <c r="B44" s="18">
        <v>5.022394E7</v>
      </c>
      <c r="C44" s="18" t="s">
        <v>613</v>
      </c>
      <c r="D44" s="18">
        <v>1.0334812E7</v>
      </c>
      <c r="E44" s="18" t="s">
        <v>688</v>
      </c>
      <c r="F44" s="18">
        <v>10100.0</v>
      </c>
      <c r="G44" s="18" t="s">
        <v>615</v>
      </c>
      <c r="H44" s="114" t="s">
        <v>616</v>
      </c>
      <c r="I44" s="114">
        <v>31.44</v>
      </c>
      <c r="J44" s="114">
        <v>194.24</v>
      </c>
      <c r="K44" s="114">
        <v>6.18</v>
      </c>
    </row>
    <row r="45">
      <c r="A45" s="18">
        <v>5.022394E7</v>
      </c>
      <c r="B45" s="18">
        <v>5.022394E7</v>
      </c>
      <c r="C45" s="18" t="s">
        <v>613</v>
      </c>
      <c r="D45" s="18">
        <v>1.1941613E7</v>
      </c>
      <c r="E45" s="18" t="s">
        <v>689</v>
      </c>
      <c r="F45" s="18">
        <v>120200.0</v>
      </c>
      <c r="G45" s="18" t="s">
        <v>662</v>
      </c>
      <c r="H45" s="114" t="s">
        <v>684</v>
      </c>
      <c r="I45" s="114">
        <v>13.0</v>
      </c>
      <c r="J45" s="114">
        <v>192.27</v>
      </c>
      <c r="K45" s="114">
        <v>14.79</v>
      </c>
    </row>
    <row r="46">
      <c r="A46" s="18">
        <v>5.022394E7</v>
      </c>
      <c r="B46" s="18">
        <v>5.022394E7</v>
      </c>
      <c r="C46" s="18" t="s">
        <v>613</v>
      </c>
      <c r="D46" s="18">
        <v>1.4760037E7</v>
      </c>
      <c r="E46" s="18" t="s">
        <v>690</v>
      </c>
      <c r="F46" s="18">
        <v>30403.0</v>
      </c>
      <c r="G46" s="18" t="s">
        <v>648</v>
      </c>
      <c r="H46" s="114" t="s">
        <v>616</v>
      </c>
      <c r="I46" s="114">
        <v>30.0</v>
      </c>
      <c r="J46" s="114">
        <v>179.84</v>
      </c>
      <c r="K46" s="114">
        <v>5.99</v>
      </c>
    </row>
    <row r="47">
      <c r="A47" s="18">
        <v>5.022394E7</v>
      </c>
      <c r="B47" s="18">
        <v>5.022394E7</v>
      </c>
      <c r="C47" s="18" t="s">
        <v>613</v>
      </c>
      <c r="D47" s="18">
        <v>1.0172773E7</v>
      </c>
      <c r="E47" s="18" t="s">
        <v>691</v>
      </c>
      <c r="F47" s="18">
        <v>110200.0</v>
      </c>
      <c r="G47" s="18" t="s">
        <v>692</v>
      </c>
      <c r="H47" s="114" t="s">
        <v>678</v>
      </c>
      <c r="I47" s="114">
        <v>20.0</v>
      </c>
      <c r="J47" s="114">
        <v>176.2</v>
      </c>
      <c r="K47" s="114">
        <v>8.81</v>
      </c>
    </row>
    <row r="48">
      <c r="A48" s="18">
        <v>5.022394E7</v>
      </c>
      <c r="B48" s="18">
        <v>5.022394E7</v>
      </c>
      <c r="C48" s="18" t="s">
        <v>613</v>
      </c>
      <c r="D48" s="18">
        <v>1.035465E7</v>
      </c>
      <c r="E48" s="18" t="s">
        <v>693</v>
      </c>
      <c r="F48" s="18">
        <v>60200.0</v>
      </c>
      <c r="G48" s="18" t="s">
        <v>694</v>
      </c>
      <c r="H48" s="114" t="s">
        <v>616</v>
      </c>
      <c r="I48" s="114">
        <v>40.0</v>
      </c>
      <c r="J48" s="114">
        <v>175.6</v>
      </c>
      <c r="K48" s="114">
        <v>4.39</v>
      </c>
    </row>
    <row r="49">
      <c r="A49" s="18">
        <v>5.022394E7</v>
      </c>
      <c r="B49" s="18">
        <v>5.022394E7</v>
      </c>
      <c r="C49" s="18" t="s">
        <v>613</v>
      </c>
      <c r="D49" s="18">
        <v>1.5465313E7</v>
      </c>
      <c r="E49" s="18" t="s">
        <v>695</v>
      </c>
      <c r="F49" s="18">
        <v>121200.0</v>
      </c>
      <c r="G49" s="18" t="s">
        <v>696</v>
      </c>
      <c r="H49" s="114" t="s">
        <v>678</v>
      </c>
      <c r="I49" s="114">
        <v>28.0</v>
      </c>
      <c r="J49" s="114">
        <v>156.44</v>
      </c>
      <c r="K49" s="114">
        <v>5.59</v>
      </c>
    </row>
    <row r="50">
      <c r="A50" s="18">
        <v>5.022394E7</v>
      </c>
      <c r="B50" s="18">
        <v>5.022394E7</v>
      </c>
      <c r="C50" s="18" t="s">
        <v>613</v>
      </c>
      <c r="D50" s="18">
        <v>1.7676649E7</v>
      </c>
      <c r="E50" s="18" t="s">
        <v>697</v>
      </c>
      <c r="F50" s="18">
        <v>90600.0</v>
      </c>
      <c r="G50" s="18" t="s">
        <v>698</v>
      </c>
      <c r="H50" s="114" t="s">
        <v>634</v>
      </c>
      <c r="I50" s="114">
        <v>26.0</v>
      </c>
      <c r="J50" s="114">
        <v>153.27</v>
      </c>
      <c r="K50" s="114">
        <v>5.9</v>
      </c>
    </row>
    <row r="51">
      <c r="A51" s="18">
        <v>5.022394E7</v>
      </c>
      <c r="B51" s="18">
        <v>5.022394E7</v>
      </c>
      <c r="C51" s="18" t="s">
        <v>613</v>
      </c>
      <c r="D51" s="18">
        <v>1.0335024E7</v>
      </c>
      <c r="E51" s="18" t="s">
        <v>699</v>
      </c>
      <c r="F51" s="18">
        <v>10200.0</v>
      </c>
      <c r="G51" s="18" t="s">
        <v>627</v>
      </c>
      <c r="H51" s="114" t="s">
        <v>616</v>
      </c>
      <c r="I51" s="114">
        <v>25.76</v>
      </c>
      <c r="J51" s="114">
        <v>148.8</v>
      </c>
      <c r="K51" s="114">
        <v>5.78</v>
      </c>
    </row>
    <row r="52">
      <c r="A52" s="18">
        <v>5.022394E7</v>
      </c>
      <c r="B52" s="18">
        <v>5.022394E7</v>
      </c>
      <c r="C52" s="18" t="s">
        <v>613</v>
      </c>
      <c r="D52" s="18">
        <v>1.7624541E7</v>
      </c>
      <c r="E52" s="18" t="s">
        <v>700</v>
      </c>
      <c r="F52" s="18">
        <v>60600.0</v>
      </c>
      <c r="G52" s="18" t="s">
        <v>701</v>
      </c>
      <c r="H52" s="114" t="s">
        <v>641</v>
      </c>
      <c r="I52" s="114">
        <v>60.0</v>
      </c>
      <c r="J52" s="114">
        <v>141.6</v>
      </c>
      <c r="K52" s="114">
        <v>2.36</v>
      </c>
    </row>
    <row r="53">
      <c r="A53" s="18">
        <v>5.022394E7</v>
      </c>
      <c r="B53" s="18">
        <v>5.022394E7</v>
      </c>
      <c r="C53" s="18" t="s">
        <v>613</v>
      </c>
      <c r="D53" s="18">
        <v>1.0115664E7</v>
      </c>
      <c r="E53" s="18" t="s">
        <v>702</v>
      </c>
      <c r="F53" s="18">
        <v>100100.0</v>
      </c>
      <c r="G53" s="18" t="s">
        <v>703</v>
      </c>
      <c r="H53" s="114" t="s">
        <v>684</v>
      </c>
      <c r="I53" s="114">
        <v>14.0</v>
      </c>
      <c r="J53" s="114">
        <v>133.14</v>
      </c>
      <c r="K53" s="114">
        <v>9.51</v>
      </c>
    </row>
    <row r="54">
      <c r="A54" s="18">
        <v>5.022394E7</v>
      </c>
      <c r="B54" s="18">
        <v>5.022394E7</v>
      </c>
      <c r="C54" s="18" t="s">
        <v>613</v>
      </c>
      <c r="D54" s="18">
        <v>1.3115005E7</v>
      </c>
      <c r="E54" s="18" t="s">
        <v>704</v>
      </c>
      <c r="F54" s="18">
        <v>90100.0</v>
      </c>
      <c r="G54" s="18" t="s">
        <v>705</v>
      </c>
      <c r="H54" s="114" t="s">
        <v>616</v>
      </c>
      <c r="I54" s="114">
        <v>45.0</v>
      </c>
      <c r="J54" s="114">
        <v>130.5</v>
      </c>
      <c r="K54" s="114">
        <v>2.9</v>
      </c>
    </row>
    <row r="55">
      <c r="A55" s="18">
        <v>5.022394E7</v>
      </c>
      <c r="B55" s="18">
        <v>5.022394E7</v>
      </c>
      <c r="C55" s="18" t="s">
        <v>613</v>
      </c>
      <c r="D55" s="18">
        <v>1.6588011E7</v>
      </c>
      <c r="E55" s="18" t="s">
        <v>706</v>
      </c>
      <c r="F55" s="18">
        <v>130200.0</v>
      </c>
      <c r="G55" s="18" t="s">
        <v>670</v>
      </c>
      <c r="H55" s="114" t="s">
        <v>671</v>
      </c>
      <c r="I55" s="114">
        <v>100.0</v>
      </c>
      <c r="J55" s="114">
        <v>129.0</v>
      </c>
      <c r="K55" s="114">
        <v>1.29</v>
      </c>
    </row>
    <row r="56">
      <c r="A56" s="18">
        <v>5.022394E7</v>
      </c>
      <c r="B56" s="18">
        <v>5.022394E7</v>
      </c>
      <c r="C56" s="18" t="s">
        <v>613</v>
      </c>
      <c r="D56" s="18">
        <v>1.6788367E7</v>
      </c>
      <c r="E56" s="18" t="s">
        <v>707</v>
      </c>
      <c r="F56" s="18">
        <v>90600.0</v>
      </c>
      <c r="G56" s="18" t="s">
        <v>698</v>
      </c>
      <c r="H56" s="114" t="s">
        <v>634</v>
      </c>
      <c r="I56" s="114">
        <v>3.0</v>
      </c>
      <c r="J56" s="114">
        <v>125.38</v>
      </c>
      <c r="K56" s="114">
        <v>41.79</v>
      </c>
    </row>
    <row r="57">
      <c r="A57" s="18">
        <v>5.022394E7</v>
      </c>
      <c r="B57" s="18">
        <v>5.0223941E7</v>
      </c>
      <c r="C57" s="18" t="s">
        <v>664</v>
      </c>
      <c r="D57" s="18">
        <v>1.7096294E7</v>
      </c>
      <c r="E57" s="18" t="s">
        <v>708</v>
      </c>
      <c r="F57" s="18">
        <v>240100.0</v>
      </c>
      <c r="G57" s="18" t="s">
        <v>709</v>
      </c>
      <c r="H57" s="114" t="s">
        <v>710</v>
      </c>
      <c r="I57" s="114">
        <v>7.0</v>
      </c>
      <c r="J57" s="114">
        <v>122.99</v>
      </c>
      <c r="K57" s="114">
        <v>17.57</v>
      </c>
    </row>
    <row r="58">
      <c r="A58" s="18">
        <v>5.022394E7</v>
      </c>
      <c r="B58" s="18">
        <v>5.0223941E7</v>
      </c>
      <c r="C58" s="18" t="s">
        <v>664</v>
      </c>
      <c r="D58" s="18">
        <v>1.3973575E7</v>
      </c>
      <c r="E58" s="18" t="s">
        <v>711</v>
      </c>
      <c r="F58" s="18">
        <v>240300.0</v>
      </c>
      <c r="G58" s="18" t="s">
        <v>712</v>
      </c>
      <c r="H58" s="114" t="s">
        <v>710</v>
      </c>
      <c r="I58" s="114">
        <v>3.0</v>
      </c>
      <c r="J58" s="114">
        <v>117.0</v>
      </c>
      <c r="K58" s="114">
        <v>39.0</v>
      </c>
    </row>
    <row r="59">
      <c r="A59" s="18">
        <v>5.022394E7</v>
      </c>
      <c r="B59" s="18">
        <v>5.022394E7</v>
      </c>
      <c r="C59" s="18" t="s">
        <v>613</v>
      </c>
      <c r="D59" s="18">
        <v>1.2035342E7</v>
      </c>
      <c r="E59" s="18" t="s">
        <v>713</v>
      </c>
      <c r="F59" s="18">
        <v>121300.0</v>
      </c>
      <c r="G59" s="18" t="s">
        <v>677</v>
      </c>
      <c r="H59" s="114" t="s">
        <v>678</v>
      </c>
      <c r="I59" s="114">
        <v>10.0</v>
      </c>
      <c r="J59" s="114">
        <v>115.9</v>
      </c>
      <c r="K59" s="114">
        <v>11.59</v>
      </c>
    </row>
    <row r="60">
      <c r="A60" s="18">
        <v>5.022394E7</v>
      </c>
      <c r="B60" s="18">
        <v>5.022394E7</v>
      </c>
      <c r="C60" s="18" t="s">
        <v>613</v>
      </c>
      <c r="D60" s="18">
        <v>1.4762086E7</v>
      </c>
      <c r="E60" s="18" t="s">
        <v>714</v>
      </c>
      <c r="F60" s="18">
        <v>30403.0</v>
      </c>
      <c r="G60" s="18" t="s">
        <v>648</v>
      </c>
      <c r="H60" s="114" t="s">
        <v>625</v>
      </c>
      <c r="I60" s="114">
        <v>81.0</v>
      </c>
      <c r="J60" s="114">
        <v>113.21</v>
      </c>
      <c r="K60" s="114">
        <v>1.4</v>
      </c>
    </row>
    <row r="61">
      <c r="A61" s="18">
        <v>5.022394E7</v>
      </c>
      <c r="B61" s="18">
        <v>5.022394E7</v>
      </c>
      <c r="C61" s="18" t="s">
        <v>613</v>
      </c>
      <c r="D61" s="18">
        <v>1.403646E7</v>
      </c>
      <c r="E61" s="18" t="s">
        <v>715</v>
      </c>
      <c r="F61" s="18">
        <v>80200.0</v>
      </c>
      <c r="G61" s="18" t="s">
        <v>654</v>
      </c>
      <c r="H61" s="114" t="s">
        <v>625</v>
      </c>
      <c r="I61" s="114">
        <v>80.0</v>
      </c>
      <c r="J61" s="114">
        <v>112.8</v>
      </c>
      <c r="K61" s="114">
        <v>1.41</v>
      </c>
    </row>
    <row r="62">
      <c r="A62" s="18">
        <v>5.022394E7</v>
      </c>
      <c r="B62" s="18">
        <v>5.0223941E7</v>
      </c>
      <c r="C62" s="18" t="s">
        <v>664</v>
      </c>
      <c r="D62" s="18">
        <v>1.5447876E7</v>
      </c>
      <c r="E62" s="18" t="s">
        <v>716</v>
      </c>
      <c r="F62" s="18">
        <v>230300.0</v>
      </c>
      <c r="G62" s="18" t="s">
        <v>687</v>
      </c>
      <c r="H62" s="114" t="s">
        <v>717</v>
      </c>
      <c r="I62" s="114">
        <v>6.0</v>
      </c>
      <c r="J62" s="114">
        <v>108.84</v>
      </c>
      <c r="K62" s="114">
        <v>18.14</v>
      </c>
    </row>
    <row r="63">
      <c r="A63" s="18">
        <v>5.022394E7</v>
      </c>
      <c r="B63" s="18">
        <v>5.022394E7</v>
      </c>
      <c r="C63" s="18" t="s">
        <v>613</v>
      </c>
      <c r="D63" s="18">
        <v>1.6387478E7</v>
      </c>
      <c r="E63" s="18" t="s">
        <v>718</v>
      </c>
      <c r="F63" s="18">
        <v>10100.0</v>
      </c>
      <c r="G63" s="18" t="s">
        <v>615</v>
      </c>
      <c r="H63" s="114" t="s">
        <v>616</v>
      </c>
      <c r="I63" s="114">
        <v>12.87</v>
      </c>
      <c r="J63" s="114">
        <v>108.11</v>
      </c>
      <c r="K63" s="114">
        <v>8.4</v>
      </c>
    </row>
    <row r="64">
      <c r="A64" s="18">
        <v>5.022394E7</v>
      </c>
      <c r="B64" s="18">
        <v>5.0223941E7</v>
      </c>
      <c r="C64" s="18" t="s">
        <v>664</v>
      </c>
      <c r="D64" s="18">
        <v>1.4481239E7</v>
      </c>
      <c r="E64" s="18" t="s">
        <v>719</v>
      </c>
      <c r="F64" s="18">
        <v>261100.0</v>
      </c>
      <c r="G64" s="18" t="s">
        <v>720</v>
      </c>
      <c r="H64" s="114" t="s">
        <v>625</v>
      </c>
      <c r="I64" s="114">
        <v>12.0</v>
      </c>
      <c r="J64" s="114">
        <v>107.28</v>
      </c>
      <c r="K64" s="114">
        <v>8.94</v>
      </c>
    </row>
    <row r="65">
      <c r="A65" s="18">
        <v>5.022394E7</v>
      </c>
      <c r="B65" s="18">
        <v>5.022394E7</v>
      </c>
      <c r="C65" s="18" t="s">
        <v>613</v>
      </c>
      <c r="D65" s="18">
        <v>1.2458455E7</v>
      </c>
      <c r="E65" s="18" t="s">
        <v>721</v>
      </c>
      <c r="F65" s="18">
        <v>80300.0</v>
      </c>
      <c r="G65" s="18" t="s">
        <v>624</v>
      </c>
      <c r="H65" s="114" t="s">
        <v>616</v>
      </c>
      <c r="I65" s="114">
        <v>7.35</v>
      </c>
      <c r="J65" s="114">
        <v>100.23</v>
      </c>
      <c r="K65" s="114">
        <v>13.64</v>
      </c>
    </row>
    <row r="66">
      <c r="A66" s="18">
        <v>5.022394E7</v>
      </c>
      <c r="B66" s="18">
        <v>5.022394E7</v>
      </c>
      <c r="C66" s="18" t="s">
        <v>613</v>
      </c>
      <c r="D66" s="18">
        <v>1.3847685E7</v>
      </c>
      <c r="E66" s="18" t="s">
        <v>722</v>
      </c>
      <c r="F66" s="18">
        <v>170100.0</v>
      </c>
      <c r="G66" s="18" t="s">
        <v>723</v>
      </c>
      <c r="H66" s="114" t="s">
        <v>684</v>
      </c>
      <c r="I66" s="114">
        <v>48.0</v>
      </c>
      <c r="J66" s="114">
        <v>99.12</v>
      </c>
      <c r="K66" s="114">
        <v>2.07</v>
      </c>
    </row>
    <row r="67">
      <c r="A67" s="18">
        <v>5.022394E7</v>
      </c>
      <c r="B67" s="18">
        <v>5.022394E7</v>
      </c>
      <c r="C67" s="18" t="s">
        <v>613</v>
      </c>
      <c r="D67" s="18">
        <v>1.5990907E7</v>
      </c>
      <c r="E67" s="18" t="s">
        <v>724</v>
      </c>
      <c r="F67" s="18">
        <v>40100.0</v>
      </c>
      <c r="G67" s="18" t="s">
        <v>725</v>
      </c>
      <c r="H67" s="114" t="s">
        <v>616</v>
      </c>
      <c r="I67" s="114">
        <v>20.0</v>
      </c>
      <c r="J67" s="114">
        <v>87.6</v>
      </c>
      <c r="K67" s="114">
        <v>4.38</v>
      </c>
    </row>
    <row r="68">
      <c r="A68" s="18">
        <v>5.022394E7</v>
      </c>
      <c r="B68" s="18">
        <v>5.022394E7</v>
      </c>
      <c r="C68" s="18" t="s">
        <v>613</v>
      </c>
      <c r="D68" s="18">
        <v>1.6152809E7</v>
      </c>
      <c r="E68" s="18" t="s">
        <v>726</v>
      </c>
      <c r="F68" s="18">
        <v>121300.0</v>
      </c>
      <c r="G68" s="18" t="s">
        <v>677</v>
      </c>
      <c r="H68" s="114" t="s">
        <v>678</v>
      </c>
      <c r="I68" s="114">
        <v>11.0</v>
      </c>
      <c r="J68" s="114">
        <v>87.34</v>
      </c>
      <c r="K68" s="114">
        <v>7.94</v>
      </c>
    </row>
    <row r="69">
      <c r="A69" s="18">
        <v>5.022394E7</v>
      </c>
      <c r="B69" s="18">
        <v>5.022394E7</v>
      </c>
      <c r="C69" s="18" t="s">
        <v>613</v>
      </c>
      <c r="D69" s="18">
        <v>1.3520618E7</v>
      </c>
      <c r="E69" s="18" t="s">
        <v>727</v>
      </c>
      <c r="F69" s="18">
        <v>10100.0</v>
      </c>
      <c r="G69" s="18" t="s">
        <v>615</v>
      </c>
      <c r="H69" s="114" t="s">
        <v>616</v>
      </c>
      <c r="I69" s="114">
        <v>10.56</v>
      </c>
      <c r="J69" s="114">
        <v>84.92</v>
      </c>
      <c r="K69" s="114">
        <v>8.04</v>
      </c>
    </row>
    <row r="70">
      <c r="A70" s="18">
        <v>5.022394E7</v>
      </c>
      <c r="B70" s="18">
        <v>5.022394E7</v>
      </c>
      <c r="C70" s="18" t="s">
        <v>613</v>
      </c>
      <c r="D70" s="18">
        <v>1.4759055E7</v>
      </c>
      <c r="E70" s="18" t="s">
        <v>728</v>
      </c>
      <c r="F70" s="18">
        <v>30403.0</v>
      </c>
      <c r="G70" s="18" t="s">
        <v>648</v>
      </c>
      <c r="H70" s="114" t="s">
        <v>616</v>
      </c>
      <c r="I70" s="114">
        <v>27.46</v>
      </c>
      <c r="J70" s="114">
        <v>81.61</v>
      </c>
      <c r="K70" s="114">
        <v>2.97</v>
      </c>
    </row>
    <row r="71">
      <c r="A71" s="18">
        <v>5.022394E7</v>
      </c>
      <c r="B71" s="18">
        <v>5.022394E7</v>
      </c>
      <c r="C71" s="18" t="s">
        <v>613</v>
      </c>
      <c r="D71" s="18">
        <v>1.6996472E7</v>
      </c>
      <c r="E71" s="18" t="s">
        <v>729</v>
      </c>
      <c r="F71" s="18">
        <v>90100.0</v>
      </c>
      <c r="G71" s="18" t="s">
        <v>705</v>
      </c>
      <c r="H71" s="114" t="s">
        <v>625</v>
      </c>
      <c r="I71" s="114">
        <v>120.0</v>
      </c>
      <c r="J71" s="114">
        <v>81.6</v>
      </c>
      <c r="K71" s="114">
        <v>0.68</v>
      </c>
    </row>
    <row r="72">
      <c r="A72" s="18">
        <v>5.022394E7</v>
      </c>
      <c r="B72" s="18">
        <v>5.022394E7</v>
      </c>
      <c r="C72" s="18" t="s">
        <v>613</v>
      </c>
      <c r="D72" s="18">
        <v>1.6152793E7</v>
      </c>
      <c r="E72" s="18" t="s">
        <v>730</v>
      </c>
      <c r="F72" s="18">
        <v>121300.0</v>
      </c>
      <c r="G72" s="18" t="s">
        <v>677</v>
      </c>
      <c r="H72" s="114" t="s">
        <v>678</v>
      </c>
      <c r="I72" s="114">
        <v>5.0</v>
      </c>
      <c r="J72" s="114">
        <v>78.55</v>
      </c>
      <c r="K72" s="114">
        <v>15.71</v>
      </c>
    </row>
    <row r="73">
      <c r="A73" s="18">
        <v>5.022394E7</v>
      </c>
      <c r="B73" s="18">
        <v>5.022394E7</v>
      </c>
      <c r="C73" s="18" t="s">
        <v>613</v>
      </c>
      <c r="D73" s="18">
        <v>1.4746147E7</v>
      </c>
      <c r="E73" s="18" t="s">
        <v>731</v>
      </c>
      <c r="F73" s="18">
        <v>120400.0</v>
      </c>
      <c r="G73" s="18" t="s">
        <v>732</v>
      </c>
      <c r="H73" s="114" t="s">
        <v>630</v>
      </c>
      <c r="I73" s="114">
        <v>60.0</v>
      </c>
      <c r="J73" s="114">
        <v>78.0</v>
      </c>
      <c r="K73" s="114">
        <v>1.3</v>
      </c>
    </row>
    <row r="74">
      <c r="A74" s="18">
        <v>5.022394E7</v>
      </c>
      <c r="B74" s="18">
        <v>5.022394E7</v>
      </c>
      <c r="C74" s="18" t="s">
        <v>613</v>
      </c>
      <c r="D74" s="18">
        <v>1.4756993E7</v>
      </c>
      <c r="E74" s="18" t="s">
        <v>733</v>
      </c>
      <c r="F74" s="18">
        <v>30403.0</v>
      </c>
      <c r="G74" s="18" t="s">
        <v>648</v>
      </c>
      <c r="H74" s="114" t="s">
        <v>616</v>
      </c>
      <c r="I74" s="114">
        <v>29.48</v>
      </c>
      <c r="J74" s="114">
        <v>76.77</v>
      </c>
      <c r="K74" s="114">
        <v>2.6</v>
      </c>
    </row>
    <row r="75">
      <c r="A75" s="18">
        <v>5.022394E7</v>
      </c>
      <c r="B75" s="18">
        <v>5.022394E7</v>
      </c>
      <c r="C75" s="18" t="s">
        <v>613</v>
      </c>
      <c r="D75" s="18">
        <v>1.4397639E7</v>
      </c>
      <c r="E75" s="18" t="s">
        <v>734</v>
      </c>
      <c r="F75" s="18">
        <v>90600.0</v>
      </c>
      <c r="G75" s="18" t="s">
        <v>698</v>
      </c>
      <c r="H75" s="114" t="s">
        <v>616</v>
      </c>
      <c r="I75" s="114">
        <v>5.0</v>
      </c>
      <c r="J75" s="114">
        <v>75.55</v>
      </c>
      <c r="K75" s="114">
        <v>15.11</v>
      </c>
    </row>
    <row r="76">
      <c r="A76" s="18">
        <v>5.022394E7</v>
      </c>
      <c r="B76" s="18">
        <v>5.0223941E7</v>
      </c>
      <c r="C76" s="18" t="s">
        <v>664</v>
      </c>
      <c r="D76" s="18">
        <v>1.1790716E7</v>
      </c>
      <c r="E76" s="18" t="s">
        <v>735</v>
      </c>
      <c r="F76" s="18">
        <v>240400.0</v>
      </c>
      <c r="G76" s="18" t="s">
        <v>736</v>
      </c>
      <c r="H76" s="114" t="s">
        <v>737</v>
      </c>
      <c r="I76" s="114">
        <v>2.0</v>
      </c>
      <c r="J76" s="114">
        <v>74.88</v>
      </c>
      <c r="K76" s="114">
        <v>37.44</v>
      </c>
    </row>
    <row r="77">
      <c r="A77" s="18">
        <v>5.022394E7</v>
      </c>
      <c r="B77" s="18">
        <v>5.022394E7</v>
      </c>
      <c r="C77" s="18" t="s">
        <v>613</v>
      </c>
      <c r="D77" s="18">
        <v>1.4111471E7</v>
      </c>
      <c r="E77" s="18" t="s">
        <v>738</v>
      </c>
      <c r="F77" s="18">
        <v>80300.0</v>
      </c>
      <c r="G77" s="18" t="s">
        <v>624</v>
      </c>
      <c r="H77" s="114" t="s">
        <v>625</v>
      </c>
      <c r="I77" s="114">
        <v>7.0</v>
      </c>
      <c r="J77" s="114">
        <v>73.35</v>
      </c>
      <c r="K77" s="114">
        <v>10.48</v>
      </c>
    </row>
    <row r="78">
      <c r="A78" s="18">
        <v>5.022394E7</v>
      </c>
      <c r="B78" s="18">
        <v>5.022394E7</v>
      </c>
      <c r="C78" s="18" t="s">
        <v>613</v>
      </c>
      <c r="D78" s="18">
        <v>1.4758041E7</v>
      </c>
      <c r="E78" s="18" t="s">
        <v>739</v>
      </c>
      <c r="F78" s="18">
        <v>30403.0</v>
      </c>
      <c r="G78" s="18" t="s">
        <v>648</v>
      </c>
      <c r="H78" s="114" t="s">
        <v>616</v>
      </c>
      <c r="I78" s="114">
        <v>20.0</v>
      </c>
      <c r="J78" s="114">
        <v>71.24</v>
      </c>
      <c r="K78" s="114">
        <v>3.56</v>
      </c>
    </row>
    <row r="79">
      <c r="A79" s="18">
        <v>5.022394E7</v>
      </c>
      <c r="B79" s="18">
        <v>5.022394E7</v>
      </c>
      <c r="C79" s="18" t="s">
        <v>613</v>
      </c>
      <c r="D79" s="18">
        <v>2.0020163E7</v>
      </c>
      <c r="E79" s="18" t="s">
        <v>740</v>
      </c>
      <c r="F79" s="18">
        <v>90100.0</v>
      </c>
      <c r="G79" s="18" t="s">
        <v>705</v>
      </c>
      <c r="H79" s="114" t="s">
        <v>625</v>
      </c>
      <c r="I79" s="114">
        <v>110.0</v>
      </c>
      <c r="J79" s="114">
        <v>68.97</v>
      </c>
      <c r="K79" s="114">
        <v>0.63</v>
      </c>
    </row>
    <row r="80">
      <c r="A80" s="18">
        <v>5.022394E7</v>
      </c>
      <c r="B80" s="18">
        <v>5.0223941E7</v>
      </c>
      <c r="C80" s="18" t="s">
        <v>664</v>
      </c>
      <c r="D80" s="18">
        <v>1.4957239E7</v>
      </c>
      <c r="E80" s="18" t="s">
        <v>741</v>
      </c>
      <c r="F80" s="18">
        <v>230300.0</v>
      </c>
      <c r="G80" s="18" t="s">
        <v>687</v>
      </c>
      <c r="H80" s="114" t="s">
        <v>717</v>
      </c>
      <c r="I80" s="114">
        <v>20.0</v>
      </c>
      <c r="J80" s="114">
        <v>65.4</v>
      </c>
      <c r="K80" s="114">
        <v>3.27</v>
      </c>
    </row>
    <row r="81">
      <c r="A81" s="18">
        <v>5.022394E7</v>
      </c>
      <c r="B81" s="18">
        <v>5.022394E7</v>
      </c>
      <c r="C81" s="18" t="s">
        <v>613</v>
      </c>
      <c r="D81" s="18">
        <v>1.0852989E7</v>
      </c>
      <c r="E81" s="18" t="s">
        <v>742</v>
      </c>
      <c r="F81" s="18">
        <v>80300.0</v>
      </c>
      <c r="G81" s="18" t="s">
        <v>624</v>
      </c>
      <c r="H81" s="114" t="s">
        <v>625</v>
      </c>
      <c r="I81" s="114">
        <v>24.0</v>
      </c>
      <c r="J81" s="114">
        <v>63.6</v>
      </c>
      <c r="K81" s="114">
        <v>2.65</v>
      </c>
    </row>
    <row r="82">
      <c r="A82" s="18">
        <v>5.022394E7</v>
      </c>
      <c r="B82" s="18">
        <v>5.022394E7</v>
      </c>
      <c r="C82" s="18" t="s">
        <v>613</v>
      </c>
      <c r="D82" s="18">
        <v>1.6987869E7</v>
      </c>
      <c r="E82" s="18" t="s">
        <v>743</v>
      </c>
      <c r="F82" s="18">
        <v>120200.0</v>
      </c>
      <c r="G82" s="18" t="s">
        <v>662</v>
      </c>
      <c r="H82" s="114" t="s">
        <v>684</v>
      </c>
      <c r="I82" s="114">
        <v>11.0</v>
      </c>
      <c r="J82" s="114">
        <v>51.81</v>
      </c>
      <c r="K82" s="114">
        <v>4.71</v>
      </c>
    </row>
    <row r="83">
      <c r="A83" s="18">
        <v>5.022394E7</v>
      </c>
      <c r="B83" s="18">
        <v>5.022394E7</v>
      </c>
      <c r="C83" s="18" t="s">
        <v>613</v>
      </c>
      <c r="D83" s="18">
        <v>1.0186084E7</v>
      </c>
      <c r="E83" s="18" t="s">
        <v>744</v>
      </c>
      <c r="F83" s="18">
        <v>120200.0</v>
      </c>
      <c r="G83" s="18" t="s">
        <v>662</v>
      </c>
      <c r="H83" s="114" t="s">
        <v>616</v>
      </c>
      <c r="I83" s="114">
        <v>30.0</v>
      </c>
      <c r="J83" s="114">
        <v>51.2</v>
      </c>
      <c r="K83" s="114">
        <v>1.71</v>
      </c>
    </row>
    <row r="84">
      <c r="A84" s="18">
        <v>5.022394E7</v>
      </c>
      <c r="B84" s="18">
        <v>5.022394E7</v>
      </c>
      <c r="C84" s="18" t="s">
        <v>613</v>
      </c>
      <c r="D84" s="18">
        <v>1.0176351E7</v>
      </c>
      <c r="E84" s="18" t="s">
        <v>745</v>
      </c>
      <c r="F84" s="18">
        <v>120700.0</v>
      </c>
      <c r="G84" s="18" t="s">
        <v>652</v>
      </c>
      <c r="H84" s="114" t="s">
        <v>684</v>
      </c>
      <c r="I84" s="114">
        <v>5.0</v>
      </c>
      <c r="J84" s="114">
        <v>50.75</v>
      </c>
      <c r="K84" s="114">
        <v>10.15</v>
      </c>
    </row>
    <row r="85">
      <c r="A85" s="18">
        <v>5.022394E7</v>
      </c>
      <c r="B85" s="18">
        <v>5.022394E7</v>
      </c>
      <c r="C85" s="18" t="s">
        <v>613</v>
      </c>
      <c r="D85" s="18">
        <v>2.0002336E7</v>
      </c>
      <c r="E85" s="18" t="s">
        <v>746</v>
      </c>
      <c r="F85" s="18">
        <v>90100.0</v>
      </c>
      <c r="G85" s="18" t="s">
        <v>705</v>
      </c>
      <c r="H85" s="114" t="s">
        <v>625</v>
      </c>
      <c r="I85" s="114">
        <v>80.0</v>
      </c>
      <c r="J85" s="114">
        <v>50.4</v>
      </c>
      <c r="K85" s="114">
        <v>0.63</v>
      </c>
    </row>
    <row r="86">
      <c r="A86" s="18">
        <v>5.022394E7</v>
      </c>
      <c r="B86" s="18">
        <v>5.022394E7</v>
      </c>
      <c r="C86" s="18" t="s">
        <v>613</v>
      </c>
      <c r="D86" s="18">
        <v>1.6087279E7</v>
      </c>
      <c r="E86" s="18" t="s">
        <v>747</v>
      </c>
      <c r="F86" s="18">
        <v>130100.0</v>
      </c>
      <c r="G86" s="18" t="s">
        <v>748</v>
      </c>
      <c r="H86" s="114" t="s">
        <v>625</v>
      </c>
      <c r="I86" s="114">
        <v>32.0</v>
      </c>
      <c r="J86" s="114">
        <v>49.92</v>
      </c>
      <c r="K86" s="114">
        <v>1.56</v>
      </c>
    </row>
    <row r="87">
      <c r="A87" s="18">
        <v>5.022394E7</v>
      </c>
      <c r="B87" s="18">
        <v>5.022394E7</v>
      </c>
      <c r="C87" s="18" t="s">
        <v>613</v>
      </c>
      <c r="D87" s="18">
        <v>1.4044922E7</v>
      </c>
      <c r="E87" s="18" t="s">
        <v>749</v>
      </c>
      <c r="F87" s="18">
        <v>60800.0</v>
      </c>
      <c r="G87" s="18" t="s">
        <v>750</v>
      </c>
      <c r="H87" s="114" t="s">
        <v>630</v>
      </c>
      <c r="I87" s="114">
        <v>15.0</v>
      </c>
      <c r="J87" s="114">
        <v>49.38</v>
      </c>
      <c r="K87" s="114">
        <v>3.29</v>
      </c>
    </row>
    <row r="88">
      <c r="A88" s="18">
        <v>5.022394E7</v>
      </c>
      <c r="B88" s="18">
        <v>5.022394E7</v>
      </c>
      <c r="C88" s="18" t="s">
        <v>613</v>
      </c>
      <c r="D88" s="18">
        <v>1.4044953E7</v>
      </c>
      <c r="E88" s="18" t="s">
        <v>751</v>
      </c>
      <c r="F88" s="18">
        <v>60800.0</v>
      </c>
      <c r="G88" s="18" t="s">
        <v>750</v>
      </c>
      <c r="H88" s="114" t="s">
        <v>630</v>
      </c>
      <c r="I88" s="114">
        <v>15.0</v>
      </c>
      <c r="J88" s="114">
        <v>49.38</v>
      </c>
      <c r="K88" s="114">
        <v>3.29</v>
      </c>
    </row>
    <row r="89">
      <c r="A89" s="18">
        <v>5.022394E7</v>
      </c>
      <c r="B89" s="18">
        <v>5.0223941E7</v>
      </c>
      <c r="C89" s="18" t="s">
        <v>664</v>
      </c>
      <c r="D89" s="18">
        <v>1.1965008E7</v>
      </c>
      <c r="E89" s="18" t="s">
        <v>752</v>
      </c>
      <c r="F89" s="18">
        <v>240100.0</v>
      </c>
      <c r="G89" s="18" t="s">
        <v>709</v>
      </c>
      <c r="H89" s="114" t="s">
        <v>710</v>
      </c>
      <c r="I89" s="114">
        <v>1.0</v>
      </c>
      <c r="J89" s="114">
        <v>49.0</v>
      </c>
      <c r="K89" s="114">
        <v>49.0</v>
      </c>
    </row>
    <row r="90">
      <c r="A90" s="18">
        <v>5.022394E7</v>
      </c>
      <c r="B90" s="18">
        <v>5.022394E7</v>
      </c>
      <c r="C90" s="18" t="s">
        <v>613</v>
      </c>
      <c r="D90" s="18">
        <v>1.4760051E7</v>
      </c>
      <c r="E90" s="18" t="s">
        <v>753</v>
      </c>
      <c r="F90" s="18">
        <v>30403.0</v>
      </c>
      <c r="G90" s="18" t="s">
        <v>648</v>
      </c>
      <c r="H90" s="114" t="s">
        <v>616</v>
      </c>
      <c r="I90" s="114">
        <v>24.0</v>
      </c>
      <c r="J90" s="114">
        <v>48.76</v>
      </c>
      <c r="K90" s="114">
        <v>2.03</v>
      </c>
    </row>
    <row r="91">
      <c r="A91" s="18">
        <v>5.022394E7</v>
      </c>
      <c r="B91" s="18">
        <v>5.022394E7</v>
      </c>
      <c r="C91" s="18" t="s">
        <v>613</v>
      </c>
      <c r="D91" s="18">
        <v>1.1481089E7</v>
      </c>
      <c r="E91" s="18" t="s">
        <v>754</v>
      </c>
      <c r="F91" s="18">
        <v>120300.0</v>
      </c>
      <c r="G91" s="18" t="s">
        <v>683</v>
      </c>
      <c r="H91" s="114" t="s">
        <v>684</v>
      </c>
      <c r="I91" s="114">
        <v>9.0</v>
      </c>
      <c r="J91" s="114">
        <v>47.52</v>
      </c>
      <c r="K91" s="114">
        <v>5.28</v>
      </c>
    </row>
    <row r="92">
      <c r="A92" s="18">
        <v>5.022394E7</v>
      </c>
      <c r="B92" s="18">
        <v>5.0223941E7</v>
      </c>
      <c r="C92" s="18" t="s">
        <v>664</v>
      </c>
      <c r="D92" s="18">
        <v>1.4360411E7</v>
      </c>
      <c r="E92" s="18" t="s">
        <v>755</v>
      </c>
      <c r="F92" s="18">
        <v>230700.0</v>
      </c>
      <c r="G92" s="18" t="s">
        <v>666</v>
      </c>
      <c r="H92" s="114" t="s">
        <v>625</v>
      </c>
      <c r="I92" s="114">
        <v>2.0</v>
      </c>
      <c r="J92" s="114">
        <v>45.5</v>
      </c>
      <c r="K92" s="114">
        <v>22.75</v>
      </c>
    </row>
    <row r="93">
      <c r="A93" s="18">
        <v>5.022394E7</v>
      </c>
      <c r="B93" s="18">
        <v>5.0223941E7</v>
      </c>
      <c r="C93" s="18" t="s">
        <v>664</v>
      </c>
      <c r="D93" s="18">
        <v>1.6110731E7</v>
      </c>
      <c r="E93" s="18" t="s">
        <v>756</v>
      </c>
      <c r="F93" s="18">
        <v>260800.0</v>
      </c>
      <c r="G93" s="18" t="s">
        <v>757</v>
      </c>
      <c r="H93" s="114" t="s">
        <v>625</v>
      </c>
      <c r="I93" s="114">
        <v>3.0</v>
      </c>
      <c r="J93" s="114">
        <v>44.97</v>
      </c>
      <c r="K93" s="114">
        <v>14.99</v>
      </c>
    </row>
    <row r="94">
      <c r="A94" s="18">
        <v>5.022394E7</v>
      </c>
      <c r="B94" s="18">
        <v>5.022394E7</v>
      </c>
      <c r="C94" s="18" t="s">
        <v>613</v>
      </c>
      <c r="D94" s="18">
        <v>1.735578E7</v>
      </c>
      <c r="E94" s="18" t="s">
        <v>758</v>
      </c>
      <c r="F94" s="18">
        <v>120300.0</v>
      </c>
      <c r="G94" s="18" t="s">
        <v>683</v>
      </c>
      <c r="H94" s="114" t="s">
        <v>684</v>
      </c>
      <c r="I94" s="114">
        <v>12.0</v>
      </c>
      <c r="J94" s="114">
        <v>44.28</v>
      </c>
      <c r="K94" s="114">
        <v>3.69</v>
      </c>
    </row>
    <row r="95">
      <c r="A95" s="18">
        <v>5.022394E7</v>
      </c>
      <c r="B95" s="18">
        <v>5.022394E7</v>
      </c>
      <c r="C95" s="18" t="s">
        <v>613</v>
      </c>
      <c r="D95" s="18">
        <v>1.4757952E7</v>
      </c>
      <c r="E95" s="18" t="s">
        <v>759</v>
      </c>
      <c r="F95" s="18">
        <v>30403.0</v>
      </c>
      <c r="G95" s="18" t="s">
        <v>648</v>
      </c>
      <c r="H95" s="114" t="s">
        <v>616</v>
      </c>
      <c r="I95" s="114">
        <v>15.0</v>
      </c>
      <c r="J95" s="114">
        <v>44.0</v>
      </c>
      <c r="K95" s="114">
        <v>2.93</v>
      </c>
    </row>
    <row r="96">
      <c r="A96" s="18">
        <v>5.022394E7</v>
      </c>
      <c r="B96" s="18">
        <v>5.022394E7</v>
      </c>
      <c r="C96" s="18" t="s">
        <v>613</v>
      </c>
      <c r="D96" s="18">
        <v>1.7909174E7</v>
      </c>
      <c r="E96" s="18" t="s">
        <v>760</v>
      </c>
      <c r="F96" s="18">
        <v>30403.0</v>
      </c>
      <c r="G96" s="18" t="s">
        <v>648</v>
      </c>
      <c r="H96" s="114" t="s">
        <v>634</v>
      </c>
      <c r="I96" s="114">
        <v>15.0</v>
      </c>
      <c r="J96" s="114">
        <v>42.59</v>
      </c>
      <c r="K96" s="114">
        <v>2.84</v>
      </c>
    </row>
    <row r="97">
      <c r="A97" s="18">
        <v>5.022394E7</v>
      </c>
      <c r="B97" s="18">
        <v>5.022394E7</v>
      </c>
      <c r="C97" s="18" t="s">
        <v>613</v>
      </c>
      <c r="D97" s="18">
        <v>1.1327516E7</v>
      </c>
      <c r="E97" s="18" t="s">
        <v>761</v>
      </c>
      <c r="F97" s="18">
        <v>260500.0</v>
      </c>
      <c r="G97" s="18" t="s">
        <v>762</v>
      </c>
      <c r="H97" s="114" t="s">
        <v>641</v>
      </c>
      <c r="I97" s="114">
        <v>3.0</v>
      </c>
      <c r="J97" s="114">
        <v>42.0</v>
      </c>
      <c r="K97" s="114">
        <v>14.0</v>
      </c>
    </row>
    <row r="98">
      <c r="A98" s="18">
        <v>5.022394E7</v>
      </c>
      <c r="B98" s="18">
        <v>5.022394E7</v>
      </c>
      <c r="C98" s="18" t="s">
        <v>613</v>
      </c>
      <c r="D98" s="18">
        <v>1.475885E7</v>
      </c>
      <c r="E98" s="18" t="s">
        <v>763</v>
      </c>
      <c r="F98" s="18">
        <v>30403.0</v>
      </c>
      <c r="G98" s="18" t="s">
        <v>648</v>
      </c>
      <c r="H98" s="114" t="s">
        <v>616</v>
      </c>
      <c r="I98" s="114">
        <v>84.38</v>
      </c>
      <c r="J98" s="114">
        <v>41.85</v>
      </c>
      <c r="K98" s="114">
        <v>0.5</v>
      </c>
    </row>
    <row r="99">
      <c r="A99" s="18">
        <v>5.022394E7</v>
      </c>
      <c r="B99" s="18">
        <v>5.022394E7</v>
      </c>
      <c r="C99" s="18" t="s">
        <v>613</v>
      </c>
      <c r="D99" s="18">
        <v>1.4757587E7</v>
      </c>
      <c r="E99" s="18" t="s">
        <v>764</v>
      </c>
      <c r="F99" s="18">
        <v>30403.0</v>
      </c>
      <c r="G99" s="18" t="s">
        <v>648</v>
      </c>
      <c r="H99" s="114" t="s">
        <v>625</v>
      </c>
      <c r="I99" s="114">
        <v>4.0</v>
      </c>
      <c r="J99" s="114">
        <v>41.19</v>
      </c>
      <c r="K99" s="114">
        <v>10.3</v>
      </c>
    </row>
    <row r="100">
      <c r="A100" s="18">
        <v>5.022394E7</v>
      </c>
      <c r="B100" s="18">
        <v>5.0223941E7</v>
      </c>
      <c r="C100" s="18" t="s">
        <v>664</v>
      </c>
      <c r="D100" s="18">
        <v>1.4433771E7</v>
      </c>
      <c r="E100" s="18" t="s">
        <v>765</v>
      </c>
      <c r="F100" s="18">
        <v>240300.0</v>
      </c>
      <c r="G100" s="18" t="s">
        <v>712</v>
      </c>
      <c r="H100" s="114" t="s">
        <v>684</v>
      </c>
      <c r="I100" s="114">
        <v>6.0</v>
      </c>
      <c r="J100" s="114">
        <v>40.8</v>
      </c>
      <c r="K100" s="114">
        <v>6.8</v>
      </c>
    </row>
    <row r="101">
      <c r="A101" s="18">
        <v>5.022394E7</v>
      </c>
      <c r="B101" s="18">
        <v>5.022394E7</v>
      </c>
      <c r="C101" s="18" t="s">
        <v>613</v>
      </c>
      <c r="D101" s="18">
        <v>1.0852767E7</v>
      </c>
      <c r="E101" s="18" t="s">
        <v>766</v>
      </c>
      <c r="F101" s="18">
        <v>310200.0</v>
      </c>
      <c r="G101" s="18" t="s">
        <v>767</v>
      </c>
      <c r="H101" s="114" t="s">
        <v>641</v>
      </c>
      <c r="I101" s="114">
        <v>1.0</v>
      </c>
      <c r="J101" s="114">
        <v>40.0</v>
      </c>
      <c r="K101" s="114">
        <v>40.0</v>
      </c>
    </row>
    <row r="102">
      <c r="A102" s="18">
        <v>5.022394E7</v>
      </c>
      <c r="B102" s="18">
        <v>5.022394E7</v>
      </c>
      <c r="C102" s="18" t="s">
        <v>613</v>
      </c>
      <c r="D102" s="18">
        <v>1.5955364E7</v>
      </c>
      <c r="E102" s="18" t="s">
        <v>768</v>
      </c>
      <c r="F102" s="18">
        <v>80200.0</v>
      </c>
      <c r="G102" s="18" t="s">
        <v>654</v>
      </c>
      <c r="H102" s="114" t="s">
        <v>616</v>
      </c>
      <c r="I102" s="114">
        <v>20.0</v>
      </c>
      <c r="J102" s="114">
        <v>39.4</v>
      </c>
      <c r="K102" s="114">
        <v>1.97</v>
      </c>
    </row>
    <row r="103">
      <c r="A103" s="18">
        <v>5.022394E7</v>
      </c>
      <c r="B103" s="18">
        <v>5.022394E7</v>
      </c>
      <c r="C103" s="18" t="s">
        <v>613</v>
      </c>
      <c r="D103" s="18">
        <v>1.4832E7</v>
      </c>
      <c r="E103" s="18" t="s">
        <v>769</v>
      </c>
      <c r="F103" s="18">
        <v>80200.0</v>
      </c>
      <c r="G103" s="18" t="s">
        <v>654</v>
      </c>
      <c r="H103" s="114" t="s">
        <v>616</v>
      </c>
      <c r="I103" s="114">
        <v>10.0</v>
      </c>
      <c r="J103" s="114">
        <v>39.3</v>
      </c>
      <c r="K103" s="114">
        <v>3.93</v>
      </c>
    </row>
    <row r="104">
      <c r="A104" s="18">
        <v>5.022394E7</v>
      </c>
      <c r="B104" s="18">
        <v>5.022394E7</v>
      </c>
      <c r="C104" s="18" t="s">
        <v>613</v>
      </c>
      <c r="D104" s="18">
        <v>1.2105779E7</v>
      </c>
      <c r="E104" s="18" t="s">
        <v>770</v>
      </c>
      <c r="F104" s="18">
        <v>170100.0</v>
      </c>
      <c r="G104" s="18" t="s">
        <v>723</v>
      </c>
      <c r="H104" s="114" t="s">
        <v>625</v>
      </c>
      <c r="I104" s="114">
        <v>24.0</v>
      </c>
      <c r="J104" s="114">
        <v>38.16</v>
      </c>
      <c r="K104" s="114">
        <v>1.59</v>
      </c>
    </row>
    <row r="105">
      <c r="A105" s="18">
        <v>5.022394E7</v>
      </c>
      <c r="B105" s="18">
        <v>5.0223941E7</v>
      </c>
      <c r="C105" s="18" t="s">
        <v>664</v>
      </c>
      <c r="D105" s="18">
        <v>2.0183455E7</v>
      </c>
      <c r="E105" s="18" t="s">
        <v>771</v>
      </c>
      <c r="F105" s="18">
        <v>240200.0</v>
      </c>
      <c r="G105" s="18" t="s">
        <v>772</v>
      </c>
      <c r="H105" s="114" t="s">
        <v>641</v>
      </c>
      <c r="I105" s="114">
        <v>60.0</v>
      </c>
      <c r="J105" s="114">
        <v>37.8</v>
      </c>
      <c r="K105" s="114">
        <v>0.63</v>
      </c>
    </row>
    <row r="106">
      <c r="A106" s="18">
        <v>5.022394E7</v>
      </c>
      <c r="B106" s="18">
        <v>5.022394E7</v>
      </c>
      <c r="C106" s="18" t="s">
        <v>613</v>
      </c>
      <c r="D106" s="18">
        <v>1.2233571E7</v>
      </c>
      <c r="E106" s="18" t="s">
        <v>773</v>
      </c>
      <c r="F106" s="18">
        <v>121300.0</v>
      </c>
      <c r="G106" s="18" t="s">
        <v>677</v>
      </c>
      <c r="H106" s="114" t="s">
        <v>678</v>
      </c>
      <c r="I106" s="114">
        <v>5.0</v>
      </c>
      <c r="J106" s="114">
        <v>37.0</v>
      </c>
      <c r="K106" s="114">
        <v>7.4</v>
      </c>
    </row>
    <row r="107">
      <c r="A107" s="18">
        <v>5.022394E7</v>
      </c>
      <c r="B107" s="18">
        <v>5.022394E7</v>
      </c>
      <c r="C107" s="18" t="s">
        <v>613</v>
      </c>
      <c r="D107" s="18">
        <v>1.0355503E7</v>
      </c>
      <c r="E107" s="18" t="s">
        <v>774</v>
      </c>
      <c r="F107" s="18">
        <v>60200.0</v>
      </c>
      <c r="G107" s="18" t="s">
        <v>694</v>
      </c>
      <c r="H107" s="114" t="s">
        <v>616</v>
      </c>
      <c r="I107" s="114">
        <v>20.0</v>
      </c>
      <c r="J107" s="114">
        <v>36.8</v>
      </c>
      <c r="K107" s="114">
        <v>1.84</v>
      </c>
    </row>
    <row r="108">
      <c r="A108" s="18">
        <v>5.022394E7</v>
      </c>
      <c r="B108" s="18">
        <v>5.0223941E7</v>
      </c>
      <c r="C108" s="18" t="s">
        <v>664</v>
      </c>
      <c r="D108" s="18">
        <v>1.1327653E7</v>
      </c>
      <c r="E108" s="18" t="s">
        <v>775</v>
      </c>
      <c r="F108" s="18">
        <v>260500.0</v>
      </c>
      <c r="G108" s="18" t="s">
        <v>762</v>
      </c>
      <c r="H108" s="114" t="s">
        <v>641</v>
      </c>
      <c r="I108" s="114">
        <v>2.0</v>
      </c>
      <c r="J108" s="114">
        <v>36.56</v>
      </c>
      <c r="K108" s="114">
        <v>18.28</v>
      </c>
    </row>
    <row r="109">
      <c r="A109" s="18">
        <v>5.022394E7</v>
      </c>
      <c r="B109" s="18">
        <v>5.0223941E7</v>
      </c>
      <c r="C109" s="18" t="s">
        <v>664</v>
      </c>
      <c r="D109" s="18">
        <v>1.7085564E7</v>
      </c>
      <c r="E109" s="18" t="s">
        <v>776</v>
      </c>
      <c r="F109" s="18">
        <v>230300.0</v>
      </c>
      <c r="G109" s="18" t="s">
        <v>687</v>
      </c>
      <c r="H109" s="114" t="s">
        <v>717</v>
      </c>
      <c r="I109" s="114">
        <v>24.0</v>
      </c>
      <c r="J109" s="114">
        <v>35.28</v>
      </c>
      <c r="K109" s="114">
        <v>1.47</v>
      </c>
    </row>
    <row r="110">
      <c r="A110" s="18">
        <v>5.022394E7</v>
      </c>
      <c r="B110" s="18">
        <v>5.022394E7</v>
      </c>
      <c r="C110" s="18" t="s">
        <v>613</v>
      </c>
      <c r="D110" s="18">
        <v>1.3702526E7</v>
      </c>
      <c r="E110" s="18" t="s">
        <v>777</v>
      </c>
      <c r="F110" s="18">
        <v>120200.0</v>
      </c>
      <c r="G110" s="18" t="s">
        <v>662</v>
      </c>
      <c r="H110" s="114" t="s">
        <v>671</v>
      </c>
      <c r="I110" s="114">
        <v>6.0</v>
      </c>
      <c r="J110" s="114">
        <v>35.12</v>
      </c>
      <c r="K110" s="114">
        <v>5.85</v>
      </c>
    </row>
    <row r="111">
      <c r="A111" s="18">
        <v>5.022394E7</v>
      </c>
      <c r="B111" s="18">
        <v>5.022394E7</v>
      </c>
      <c r="C111" s="18" t="s">
        <v>613</v>
      </c>
      <c r="D111" s="18">
        <v>1.4760013E7</v>
      </c>
      <c r="E111" s="18" t="s">
        <v>778</v>
      </c>
      <c r="F111" s="18">
        <v>30403.0</v>
      </c>
      <c r="G111" s="18" t="s">
        <v>648</v>
      </c>
      <c r="H111" s="114" t="s">
        <v>779</v>
      </c>
      <c r="I111" s="114">
        <v>27.0</v>
      </c>
      <c r="J111" s="114">
        <v>34.13</v>
      </c>
      <c r="K111" s="114">
        <v>1.26</v>
      </c>
    </row>
    <row r="112">
      <c r="A112" s="18">
        <v>5.022394E7</v>
      </c>
      <c r="B112" s="18">
        <v>5.022394E7</v>
      </c>
      <c r="C112" s="18" t="s">
        <v>613</v>
      </c>
      <c r="D112" s="18">
        <v>1.3789732E7</v>
      </c>
      <c r="E112" s="18" t="s">
        <v>780</v>
      </c>
      <c r="F112" s="18">
        <v>110100.0</v>
      </c>
      <c r="G112" s="18" t="s">
        <v>781</v>
      </c>
      <c r="H112" s="114" t="s">
        <v>678</v>
      </c>
      <c r="I112" s="114">
        <v>10.0</v>
      </c>
      <c r="J112" s="114">
        <v>34.0</v>
      </c>
      <c r="K112" s="114">
        <v>3.4</v>
      </c>
    </row>
    <row r="113">
      <c r="A113" s="18">
        <v>5.022394E7</v>
      </c>
      <c r="B113" s="18">
        <v>5.0223941E7</v>
      </c>
      <c r="C113" s="18" t="s">
        <v>664</v>
      </c>
      <c r="D113" s="18">
        <v>1.5447807E7</v>
      </c>
      <c r="E113" s="18" t="s">
        <v>782</v>
      </c>
      <c r="F113" s="18">
        <v>230300.0</v>
      </c>
      <c r="G113" s="18" t="s">
        <v>687</v>
      </c>
      <c r="H113" s="114" t="s">
        <v>717</v>
      </c>
      <c r="I113" s="114">
        <v>3.0</v>
      </c>
      <c r="J113" s="114">
        <v>33.48</v>
      </c>
      <c r="K113" s="114">
        <v>11.16</v>
      </c>
    </row>
    <row r="114">
      <c r="A114" s="18">
        <v>5.022394E7</v>
      </c>
      <c r="B114" s="18">
        <v>5.022394E7</v>
      </c>
      <c r="C114" s="18" t="s">
        <v>613</v>
      </c>
      <c r="D114" s="18">
        <v>1.4044984E7</v>
      </c>
      <c r="E114" s="18" t="s">
        <v>783</v>
      </c>
      <c r="F114" s="18">
        <v>60800.0</v>
      </c>
      <c r="G114" s="18" t="s">
        <v>750</v>
      </c>
      <c r="H114" s="114" t="s">
        <v>630</v>
      </c>
      <c r="I114" s="114">
        <v>10.0</v>
      </c>
      <c r="J114" s="114">
        <v>32.92</v>
      </c>
      <c r="K114" s="114">
        <v>3.29</v>
      </c>
    </row>
    <row r="115">
      <c r="A115" s="18">
        <v>5.022394E7</v>
      </c>
      <c r="B115" s="18">
        <v>5.0223941E7</v>
      </c>
      <c r="C115" s="18" t="s">
        <v>664</v>
      </c>
      <c r="D115" s="18">
        <v>1.4434228E7</v>
      </c>
      <c r="E115" s="18" t="s">
        <v>784</v>
      </c>
      <c r="F115" s="18">
        <v>240300.0</v>
      </c>
      <c r="G115" s="18" t="s">
        <v>712</v>
      </c>
      <c r="H115" s="114" t="s">
        <v>684</v>
      </c>
      <c r="I115" s="114">
        <v>24.0</v>
      </c>
      <c r="J115" s="114">
        <v>31.32</v>
      </c>
      <c r="K115" s="114">
        <v>1.31</v>
      </c>
    </row>
    <row r="116">
      <c r="A116" s="18">
        <v>5.022394E7</v>
      </c>
      <c r="B116" s="18">
        <v>5.022394E7</v>
      </c>
      <c r="C116" s="18" t="s">
        <v>613</v>
      </c>
      <c r="D116" s="18">
        <v>1.6152915E7</v>
      </c>
      <c r="E116" s="18" t="s">
        <v>785</v>
      </c>
      <c r="F116" s="18">
        <v>121300.0</v>
      </c>
      <c r="G116" s="18" t="s">
        <v>677</v>
      </c>
      <c r="H116" s="114" t="s">
        <v>678</v>
      </c>
      <c r="I116" s="114">
        <v>5.0</v>
      </c>
      <c r="J116" s="114">
        <v>30.25</v>
      </c>
      <c r="K116" s="114">
        <v>6.05</v>
      </c>
    </row>
    <row r="117">
      <c r="A117" s="18">
        <v>5.022394E7</v>
      </c>
      <c r="B117" s="18">
        <v>5.022394E7</v>
      </c>
      <c r="C117" s="18" t="s">
        <v>613</v>
      </c>
      <c r="D117" s="18">
        <v>1.1239055E7</v>
      </c>
      <c r="E117" s="18" t="s">
        <v>786</v>
      </c>
      <c r="F117" s="18">
        <v>310200.0</v>
      </c>
      <c r="G117" s="18" t="s">
        <v>767</v>
      </c>
      <c r="H117" s="114" t="s">
        <v>641</v>
      </c>
      <c r="I117" s="114">
        <v>3.0</v>
      </c>
      <c r="J117" s="114">
        <v>30.0</v>
      </c>
      <c r="K117" s="114">
        <v>10.0</v>
      </c>
    </row>
    <row r="118">
      <c r="A118" s="18">
        <v>5.022394E7</v>
      </c>
      <c r="B118" s="18">
        <v>5.022394E7</v>
      </c>
      <c r="C118" s="18" t="s">
        <v>613</v>
      </c>
      <c r="D118" s="18">
        <v>1.7584845E7</v>
      </c>
      <c r="E118" s="18" t="s">
        <v>787</v>
      </c>
      <c r="F118" s="18">
        <v>110100.0</v>
      </c>
      <c r="G118" s="18" t="s">
        <v>781</v>
      </c>
      <c r="H118" s="114" t="s">
        <v>678</v>
      </c>
      <c r="I118" s="114">
        <v>3.0</v>
      </c>
      <c r="J118" s="114">
        <v>29.97</v>
      </c>
      <c r="K118" s="114">
        <v>9.99</v>
      </c>
    </row>
    <row r="119">
      <c r="A119" s="18">
        <v>5.022394E7</v>
      </c>
      <c r="B119" s="18">
        <v>5.0223941E7</v>
      </c>
      <c r="C119" s="18" t="s">
        <v>664</v>
      </c>
      <c r="D119" s="18">
        <v>2.0183479E7</v>
      </c>
      <c r="E119" s="18" t="s">
        <v>788</v>
      </c>
      <c r="F119" s="18">
        <v>240200.0</v>
      </c>
      <c r="G119" s="18" t="s">
        <v>772</v>
      </c>
      <c r="H119" s="114" t="s">
        <v>641</v>
      </c>
      <c r="I119" s="114">
        <v>30.0</v>
      </c>
      <c r="J119" s="114">
        <v>29.7</v>
      </c>
      <c r="K119" s="114">
        <v>0.99</v>
      </c>
    </row>
    <row r="120">
      <c r="A120" s="18">
        <v>5.022394E7</v>
      </c>
      <c r="B120" s="18">
        <v>5.022394E7</v>
      </c>
      <c r="C120" s="18" t="s">
        <v>613</v>
      </c>
      <c r="D120" s="18">
        <v>1.0169674E7</v>
      </c>
      <c r="E120" s="18" t="s">
        <v>789</v>
      </c>
      <c r="F120" s="18">
        <v>110300.0</v>
      </c>
      <c r="G120" s="18" t="s">
        <v>790</v>
      </c>
      <c r="H120" s="114" t="s">
        <v>678</v>
      </c>
      <c r="I120" s="114">
        <v>5.0</v>
      </c>
      <c r="J120" s="114">
        <v>29.17</v>
      </c>
      <c r="K120" s="114">
        <v>5.83</v>
      </c>
    </row>
    <row r="121">
      <c r="A121" s="18">
        <v>5.022394E7</v>
      </c>
      <c r="B121" s="18">
        <v>5.022394E7</v>
      </c>
      <c r="C121" s="18" t="s">
        <v>613</v>
      </c>
      <c r="D121" s="18">
        <v>1.2105786E7</v>
      </c>
      <c r="E121" s="18" t="s">
        <v>791</v>
      </c>
      <c r="F121" s="18">
        <v>170100.0</v>
      </c>
      <c r="G121" s="18" t="s">
        <v>723</v>
      </c>
      <c r="H121" s="114" t="s">
        <v>625</v>
      </c>
      <c r="I121" s="114">
        <v>18.0</v>
      </c>
      <c r="J121" s="114">
        <v>28.62</v>
      </c>
      <c r="K121" s="114">
        <v>1.59</v>
      </c>
    </row>
    <row r="122">
      <c r="A122" s="18">
        <v>5.022394E7</v>
      </c>
      <c r="B122" s="18">
        <v>5.022394E7</v>
      </c>
      <c r="C122" s="18" t="s">
        <v>613</v>
      </c>
      <c r="D122" s="18">
        <v>1.5313164E7</v>
      </c>
      <c r="E122" s="18" t="s">
        <v>792</v>
      </c>
      <c r="F122" s="18">
        <v>30403.0</v>
      </c>
      <c r="G122" s="18" t="s">
        <v>648</v>
      </c>
      <c r="H122" s="114" t="s">
        <v>779</v>
      </c>
      <c r="I122" s="114">
        <v>15.0</v>
      </c>
      <c r="J122" s="114">
        <v>28.43</v>
      </c>
      <c r="K122" s="114">
        <v>1.9</v>
      </c>
    </row>
    <row r="123">
      <c r="A123" s="18">
        <v>5.022394E7</v>
      </c>
      <c r="B123" s="18">
        <v>5.022394E7</v>
      </c>
      <c r="C123" s="18" t="s">
        <v>613</v>
      </c>
      <c r="D123" s="18">
        <v>1.4781117E7</v>
      </c>
      <c r="E123" s="18" t="s">
        <v>793</v>
      </c>
      <c r="F123" s="18">
        <v>90600.0</v>
      </c>
      <c r="G123" s="18" t="s">
        <v>698</v>
      </c>
      <c r="H123" s="114" t="s">
        <v>634</v>
      </c>
      <c r="I123" s="114">
        <v>4.0</v>
      </c>
      <c r="J123" s="114">
        <v>27.48</v>
      </c>
      <c r="K123" s="114">
        <v>6.87</v>
      </c>
    </row>
    <row r="124">
      <c r="A124" s="18">
        <v>5.022394E7</v>
      </c>
      <c r="B124" s="18">
        <v>5.022394E7</v>
      </c>
      <c r="C124" s="18" t="s">
        <v>613</v>
      </c>
      <c r="D124" s="18">
        <v>1.085275E7</v>
      </c>
      <c r="E124" s="18" t="s">
        <v>794</v>
      </c>
      <c r="F124" s="18">
        <v>310200.0</v>
      </c>
      <c r="G124" s="18" t="s">
        <v>767</v>
      </c>
      <c r="H124" s="114" t="s">
        <v>641</v>
      </c>
      <c r="I124" s="114">
        <v>9.0</v>
      </c>
      <c r="J124" s="114">
        <v>27.0</v>
      </c>
      <c r="K124" s="114">
        <v>3.0</v>
      </c>
    </row>
    <row r="125">
      <c r="A125" s="18">
        <v>5.022394E7</v>
      </c>
      <c r="B125" s="18">
        <v>5.022394E7</v>
      </c>
      <c r="C125" s="18" t="s">
        <v>613</v>
      </c>
      <c r="D125" s="18">
        <v>1.5347008E7</v>
      </c>
      <c r="E125" s="18" t="s">
        <v>795</v>
      </c>
      <c r="F125" s="18">
        <v>60800.0</v>
      </c>
      <c r="G125" s="18" t="s">
        <v>750</v>
      </c>
      <c r="H125" s="114" t="s">
        <v>641</v>
      </c>
      <c r="I125" s="114">
        <v>30.0</v>
      </c>
      <c r="J125" s="114">
        <v>26.55</v>
      </c>
      <c r="K125" s="114">
        <v>0.89</v>
      </c>
    </row>
    <row r="126">
      <c r="A126" s="18">
        <v>5.022394E7</v>
      </c>
      <c r="B126" s="18">
        <v>5.022394E7</v>
      </c>
      <c r="C126" s="18" t="s">
        <v>613</v>
      </c>
      <c r="D126" s="18">
        <v>1.4875113E7</v>
      </c>
      <c r="E126" s="18" t="s">
        <v>796</v>
      </c>
      <c r="F126" s="18">
        <v>121300.0</v>
      </c>
      <c r="G126" s="18" t="s">
        <v>677</v>
      </c>
      <c r="H126" s="114" t="s">
        <v>678</v>
      </c>
      <c r="I126" s="114">
        <v>1.0</v>
      </c>
      <c r="J126" s="114">
        <v>26.15</v>
      </c>
      <c r="K126" s="114">
        <v>26.15</v>
      </c>
    </row>
    <row r="127">
      <c r="A127" s="18">
        <v>5.022394E7</v>
      </c>
      <c r="B127" s="18">
        <v>5.022394E7</v>
      </c>
      <c r="C127" s="18" t="s">
        <v>613</v>
      </c>
      <c r="D127" s="18">
        <v>1.7185226E7</v>
      </c>
      <c r="E127" s="18" t="s">
        <v>797</v>
      </c>
      <c r="F127" s="18">
        <v>60800.0</v>
      </c>
      <c r="G127" s="18" t="s">
        <v>750</v>
      </c>
      <c r="H127" s="114" t="s">
        <v>641</v>
      </c>
      <c r="I127" s="114">
        <v>20.0</v>
      </c>
      <c r="J127" s="114">
        <v>25.96</v>
      </c>
      <c r="K127" s="114">
        <v>1.3</v>
      </c>
    </row>
    <row r="128">
      <c r="A128" s="18">
        <v>5.022394E7</v>
      </c>
      <c r="B128" s="18">
        <v>5.022394E7</v>
      </c>
      <c r="C128" s="18" t="s">
        <v>613</v>
      </c>
      <c r="D128" s="18">
        <v>1.4593147E7</v>
      </c>
      <c r="E128" s="18" t="s">
        <v>798</v>
      </c>
      <c r="F128" s="18">
        <v>90100.0</v>
      </c>
      <c r="G128" s="18" t="s">
        <v>705</v>
      </c>
      <c r="H128" s="114" t="s">
        <v>616</v>
      </c>
      <c r="I128" s="114">
        <v>10.0</v>
      </c>
      <c r="J128" s="114">
        <v>25.3</v>
      </c>
      <c r="K128" s="114">
        <v>2.53</v>
      </c>
    </row>
    <row r="129">
      <c r="A129" s="18">
        <v>5.022394E7</v>
      </c>
      <c r="B129" s="18">
        <v>5.022394E7</v>
      </c>
      <c r="C129" s="18" t="s">
        <v>613</v>
      </c>
      <c r="D129" s="18">
        <v>1.2720095E7</v>
      </c>
      <c r="E129" s="18" t="s">
        <v>799</v>
      </c>
      <c r="F129" s="18">
        <v>60800.0</v>
      </c>
      <c r="G129" s="18" t="s">
        <v>750</v>
      </c>
      <c r="H129" s="114" t="s">
        <v>641</v>
      </c>
      <c r="I129" s="114">
        <v>16.0</v>
      </c>
      <c r="J129" s="114">
        <v>23.65</v>
      </c>
      <c r="K129" s="114">
        <v>1.48</v>
      </c>
    </row>
    <row r="130">
      <c r="A130" s="18">
        <v>5.022394E7</v>
      </c>
      <c r="B130" s="18">
        <v>5.022394E7</v>
      </c>
      <c r="C130" s="18" t="s">
        <v>613</v>
      </c>
      <c r="D130" s="18">
        <v>1.490495E7</v>
      </c>
      <c r="E130" s="18" t="s">
        <v>800</v>
      </c>
      <c r="F130" s="18">
        <v>60800.0</v>
      </c>
      <c r="G130" s="18" t="s">
        <v>750</v>
      </c>
      <c r="H130" s="114" t="s">
        <v>641</v>
      </c>
      <c r="I130" s="114">
        <v>16.0</v>
      </c>
      <c r="J130" s="114">
        <v>23.65</v>
      </c>
      <c r="K130" s="114">
        <v>1.48</v>
      </c>
    </row>
    <row r="131">
      <c r="A131" s="18">
        <v>5.022394E7</v>
      </c>
      <c r="B131" s="18">
        <v>5.022394E7</v>
      </c>
      <c r="C131" s="18" t="s">
        <v>613</v>
      </c>
      <c r="D131" s="18">
        <v>1.4757709E7</v>
      </c>
      <c r="E131" s="18" t="s">
        <v>801</v>
      </c>
      <c r="F131" s="18">
        <v>30403.0</v>
      </c>
      <c r="G131" s="18" t="s">
        <v>648</v>
      </c>
      <c r="H131" s="114" t="s">
        <v>673</v>
      </c>
      <c r="I131" s="114">
        <v>29.0</v>
      </c>
      <c r="J131" s="114">
        <v>22.72</v>
      </c>
      <c r="K131" s="114">
        <v>0.78</v>
      </c>
    </row>
    <row r="132">
      <c r="A132" s="18">
        <v>5.022394E7</v>
      </c>
      <c r="B132" s="18">
        <v>5.022394E7</v>
      </c>
      <c r="C132" s="18" t="s">
        <v>613</v>
      </c>
      <c r="D132" s="18">
        <v>1.5847362E7</v>
      </c>
      <c r="E132" s="18" t="s">
        <v>802</v>
      </c>
      <c r="F132" s="18">
        <v>121300.0</v>
      </c>
      <c r="G132" s="18" t="s">
        <v>677</v>
      </c>
      <c r="H132" s="114" t="s">
        <v>678</v>
      </c>
      <c r="I132" s="114">
        <v>2.0</v>
      </c>
      <c r="J132" s="114">
        <v>21.64</v>
      </c>
      <c r="K132" s="114">
        <v>10.82</v>
      </c>
    </row>
    <row r="133">
      <c r="A133" s="18">
        <v>5.022394E7</v>
      </c>
      <c r="B133" s="18">
        <v>5.022394E7</v>
      </c>
      <c r="C133" s="18" t="s">
        <v>613</v>
      </c>
      <c r="D133" s="18">
        <v>1.2214419E7</v>
      </c>
      <c r="E133" s="18" t="s">
        <v>803</v>
      </c>
      <c r="F133" s="18">
        <v>120700.0</v>
      </c>
      <c r="G133" s="18" t="s">
        <v>652</v>
      </c>
      <c r="H133" s="114" t="s">
        <v>671</v>
      </c>
      <c r="I133" s="114">
        <v>4.0</v>
      </c>
      <c r="J133" s="114">
        <v>21.56</v>
      </c>
      <c r="K133" s="114">
        <v>5.39</v>
      </c>
    </row>
    <row r="134">
      <c r="A134" s="18">
        <v>5.022394E7</v>
      </c>
      <c r="B134" s="18">
        <v>5.022394E7</v>
      </c>
      <c r="C134" s="18" t="s">
        <v>613</v>
      </c>
      <c r="D134" s="18">
        <v>1.4454875E7</v>
      </c>
      <c r="E134" s="18" t="s">
        <v>804</v>
      </c>
      <c r="F134" s="18">
        <v>170200.0</v>
      </c>
      <c r="G134" s="18" t="s">
        <v>805</v>
      </c>
      <c r="H134" s="114" t="s">
        <v>710</v>
      </c>
      <c r="I134" s="114">
        <v>1.0</v>
      </c>
      <c r="J134" s="114">
        <v>21.31</v>
      </c>
      <c r="K134" s="114">
        <v>21.31</v>
      </c>
    </row>
    <row r="135">
      <c r="A135" s="18">
        <v>5.022394E7</v>
      </c>
      <c r="B135" s="18">
        <v>5.022394E7</v>
      </c>
      <c r="C135" s="18" t="s">
        <v>613</v>
      </c>
      <c r="D135" s="18">
        <v>1.679768E7</v>
      </c>
      <c r="E135" s="18" t="s">
        <v>806</v>
      </c>
      <c r="F135" s="18">
        <v>60800.0</v>
      </c>
      <c r="G135" s="18" t="s">
        <v>750</v>
      </c>
      <c r="H135" s="114" t="s">
        <v>641</v>
      </c>
      <c r="I135" s="114">
        <v>35.0</v>
      </c>
      <c r="J135" s="114">
        <v>20.72</v>
      </c>
      <c r="K135" s="114">
        <v>0.59</v>
      </c>
    </row>
    <row r="136">
      <c r="A136" s="18">
        <v>5.022394E7</v>
      </c>
      <c r="B136" s="18">
        <v>5.022394E7</v>
      </c>
      <c r="C136" s="18" t="s">
        <v>613</v>
      </c>
      <c r="D136" s="18">
        <v>1.4758485E7</v>
      </c>
      <c r="E136" s="18" t="s">
        <v>807</v>
      </c>
      <c r="F136" s="18">
        <v>30403.0</v>
      </c>
      <c r="G136" s="18" t="s">
        <v>648</v>
      </c>
      <c r="H136" s="114" t="s">
        <v>616</v>
      </c>
      <c r="I136" s="114">
        <v>3.0</v>
      </c>
      <c r="J136" s="114">
        <v>20.38</v>
      </c>
      <c r="K136" s="114">
        <v>6.79</v>
      </c>
    </row>
    <row r="137">
      <c r="A137" s="18">
        <v>5.022394E7</v>
      </c>
      <c r="B137" s="18">
        <v>5.022394E7</v>
      </c>
      <c r="C137" s="18" t="s">
        <v>613</v>
      </c>
      <c r="D137" s="18">
        <v>1.4760327E7</v>
      </c>
      <c r="E137" s="18" t="s">
        <v>808</v>
      </c>
      <c r="F137" s="18">
        <v>30403.0</v>
      </c>
      <c r="G137" s="18" t="s">
        <v>648</v>
      </c>
      <c r="H137" s="114" t="s">
        <v>616</v>
      </c>
      <c r="I137" s="114">
        <v>25.0</v>
      </c>
      <c r="J137" s="114">
        <v>20.2</v>
      </c>
      <c r="K137" s="114">
        <v>0.81</v>
      </c>
    </row>
    <row r="138">
      <c r="A138" s="18">
        <v>5.022394E7</v>
      </c>
      <c r="B138" s="18">
        <v>5.0223941E7</v>
      </c>
      <c r="C138" s="18" t="s">
        <v>664</v>
      </c>
      <c r="D138" s="18">
        <v>1.4240737E7</v>
      </c>
      <c r="E138" s="18" t="s">
        <v>809</v>
      </c>
      <c r="F138" s="18">
        <v>230700.0</v>
      </c>
      <c r="G138" s="18" t="s">
        <v>666</v>
      </c>
      <c r="H138" s="114" t="s">
        <v>625</v>
      </c>
      <c r="I138" s="114">
        <v>1.0</v>
      </c>
      <c r="J138" s="114">
        <v>19.35</v>
      </c>
      <c r="K138" s="114">
        <v>19.35</v>
      </c>
    </row>
    <row r="139">
      <c r="A139" s="18">
        <v>5.022394E7</v>
      </c>
      <c r="B139" s="18">
        <v>5.022394E7</v>
      </c>
      <c r="C139" s="18" t="s">
        <v>613</v>
      </c>
      <c r="D139" s="18">
        <v>1.2034758E7</v>
      </c>
      <c r="E139" s="18" t="s">
        <v>810</v>
      </c>
      <c r="F139" s="18">
        <v>121300.0</v>
      </c>
      <c r="G139" s="18" t="s">
        <v>677</v>
      </c>
      <c r="H139" s="114" t="s">
        <v>678</v>
      </c>
      <c r="I139" s="114">
        <v>1.0</v>
      </c>
      <c r="J139" s="114">
        <v>19.11</v>
      </c>
      <c r="K139" s="114">
        <v>19.11</v>
      </c>
    </row>
    <row r="140">
      <c r="A140" s="18">
        <v>5.022394E7</v>
      </c>
      <c r="B140" s="18">
        <v>5.0223941E7</v>
      </c>
      <c r="C140" s="18" t="s">
        <v>664</v>
      </c>
      <c r="D140" s="18">
        <v>2.0023096E7</v>
      </c>
      <c r="E140" s="18" t="s">
        <v>811</v>
      </c>
      <c r="F140" s="18">
        <v>240300.0</v>
      </c>
      <c r="G140" s="18" t="s">
        <v>712</v>
      </c>
      <c r="H140" s="114" t="s">
        <v>641</v>
      </c>
      <c r="I140" s="114">
        <v>12.0</v>
      </c>
      <c r="J140" s="114">
        <v>18.72</v>
      </c>
      <c r="K140" s="114">
        <v>1.56</v>
      </c>
    </row>
    <row r="141">
      <c r="A141" s="18">
        <v>5.022394E7</v>
      </c>
      <c r="B141" s="18">
        <v>5.022394E7</v>
      </c>
      <c r="C141" s="18" t="s">
        <v>613</v>
      </c>
      <c r="D141" s="18">
        <v>1.4761249E7</v>
      </c>
      <c r="E141" s="18" t="s">
        <v>812</v>
      </c>
      <c r="F141" s="18">
        <v>30403.0</v>
      </c>
      <c r="G141" s="18" t="s">
        <v>648</v>
      </c>
      <c r="H141" s="114" t="s">
        <v>673</v>
      </c>
      <c r="I141" s="114">
        <v>11.0</v>
      </c>
      <c r="J141" s="114">
        <v>18.72</v>
      </c>
      <c r="K141" s="114">
        <v>1.7</v>
      </c>
    </row>
    <row r="142">
      <c r="A142" s="18">
        <v>5.022394E7</v>
      </c>
      <c r="B142" s="18">
        <v>5.022394E7</v>
      </c>
      <c r="C142" s="18" t="s">
        <v>613</v>
      </c>
      <c r="D142" s="18">
        <v>1.678835E7</v>
      </c>
      <c r="E142" s="18" t="s">
        <v>813</v>
      </c>
      <c r="F142" s="18">
        <v>90600.0</v>
      </c>
      <c r="G142" s="18" t="s">
        <v>698</v>
      </c>
      <c r="H142" s="114" t="s">
        <v>634</v>
      </c>
      <c r="I142" s="114">
        <v>2.0</v>
      </c>
      <c r="J142" s="114">
        <v>18.56</v>
      </c>
      <c r="K142" s="114">
        <v>9.28</v>
      </c>
    </row>
    <row r="143">
      <c r="A143" s="18">
        <v>5.022394E7</v>
      </c>
      <c r="B143" s="18">
        <v>5.022394E7</v>
      </c>
      <c r="C143" s="18" t="s">
        <v>613</v>
      </c>
      <c r="D143" s="18">
        <v>1.4481444E7</v>
      </c>
      <c r="E143" s="18" t="s">
        <v>814</v>
      </c>
      <c r="F143" s="18">
        <v>200700.0</v>
      </c>
      <c r="G143" s="18" t="s">
        <v>815</v>
      </c>
      <c r="H143" s="114" t="s">
        <v>684</v>
      </c>
      <c r="I143" s="114">
        <v>6.0</v>
      </c>
      <c r="J143" s="114">
        <v>18.0</v>
      </c>
      <c r="K143" s="114">
        <v>3.0</v>
      </c>
    </row>
    <row r="144">
      <c r="A144" s="18">
        <v>5.022394E7</v>
      </c>
      <c r="B144" s="18">
        <v>5.022394E7</v>
      </c>
      <c r="C144" s="18" t="s">
        <v>613</v>
      </c>
      <c r="D144" s="18">
        <v>1.4757471E7</v>
      </c>
      <c r="E144" s="18" t="s">
        <v>816</v>
      </c>
      <c r="F144" s="18">
        <v>30403.0</v>
      </c>
      <c r="G144" s="18" t="s">
        <v>648</v>
      </c>
      <c r="H144" s="114" t="s">
        <v>616</v>
      </c>
      <c r="I144" s="114">
        <v>4.19</v>
      </c>
      <c r="J144" s="114">
        <v>17.95</v>
      </c>
      <c r="K144" s="114">
        <v>4.28</v>
      </c>
    </row>
    <row r="145">
      <c r="A145" s="18">
        <v>5.022394E7</v>
      </c>
      <c r="B145" s="18">
        <v>5.022394E7</v>
      </c>
      <c r="C145" s="18" t="s">
        <v>613</v>
      </c>
      <c r="D145" s="18">
        <v>1.2339792E7</v>
      </c>
      <c r="E145" s="18" t="s">
        <v>817</v>
      </c>
      <c r="F145" s="18">
        <v>80300.0</v>
      </c>
      <c r="G145" s="18" t="s">
        <v>624</v>
      </c>
      <c r="H145" s="114" t="s">
        <v>625</v>
      </c>
      <c r="I145" s="114">
        <v>7.0</v>
      </c>
      <c r="J145" s="114">
        <v>17.9</v>
      </c>
      <c r="K145" s="114">
        <v>2.56</v>
      </c>
    </row>
    <row r="146">
      <c r="A146" s="18">
        <v>5.022394E7</v>
      </c>
      <c r="B146" s="18">
        <v>5.0223941E7</v>
      </c>
      <c r="C146" s="18" t="s">
        <v>664</v>
      </c>
      <c r="D146" s="18">
        <v>1.7837224E7</v>
      </c>
      <c r="E146" s="18" t="s">
        <v>818</v>
      </c>
      <c r="F146" s="18">
        <v>240100.0</v>
      </c>
      <c r="G146" s="18" t="s">
        <v>709</v>
      </c>
      <c r="H146" s="114" t="s">
        <v>625</v>
      </c>
      <c r="I146" s="114">
        <v>10.0</v>
      </c>
      <c r="J146" s="114">
        <v>17.9</v>
      </c>
      <c r="K146" s="114">
        <v>1.79</v>
      </c>
    </row>
    <row r="147">
      <c r="A147" s="18">
        <v>5.022394E7</v>
      </c>
      <c r="B147" s="18">
        <v>5.022394E7</v>
      </c>
      <c r="C147" s="18" t="s">
        <v>613</v>
      </c>
      <c r="D147" s="18">
        <v>1.048447E7</v>
      </c>
      <c r="E147" s="18" t="s">
        <v>819</v>
      </c>
      <c r="F147" s="18">
        <v>10100.0</v>
      </c>
      <c r="G147" s="18" t="s">
        <v>615</v>
      </c>
      <c r="H147" s="114" t="s">
        <v>616</v>
      </c>
      <c r="I147" s="114">
        <v>2.04</v>
      </c>
      <c r="J147" s="114">
        <v>16.18</v>
      </c>
      <c r="K147" s="114">
        <v>7.93</v>
      </c>
    </row>
    <row r="148">
      <c r="A148" s="18">
        <v>5.022394E7</v>
      </c>
      <c r="B148" s="18">
        <v>5.022394E7</v>
      </c>
      <c r="C148" s="18" t="s">
        <v>613</v>
      </c>
      <c r="D148" s="18">
        <v>1.0189061E7</v>
      </c>
      <c r="E148" s="18" t="s">
        <v>820</v>
      </c>
      <c r="F148" s="18">
        <v>120900.0</v>
      </c>
      <c r="G148" s="18" t="s">
        <v>821</v>
      </c>
      <c r="H148" s="114" t="s">
        <v>671</v>
      </c>
      <c r="I148" s="114">
        <v>2.0</v>
      </c>
      <c r="J148" s="114">
        <v>13.66</v>
      </c>
      <c r="K148" s="114">
        <v>6.83</v>
      </c>
    </row>
    <row r="149">
      <c r="A149" s="18">
        <v>5.022394E7</v>
      </c>
      <c r="B149" s="18">
        <v>5.022394E7</v>
      </c>
      <c r="C149" s="18" t="s">
        <v>613</v>
      </c>
      <c r="D149" s="18">
        <v>1.1972808E7</v>
      </c>
      <c r="E149" s="18" t="s">
        <v>822</v>
      </c>
      <c r="F149" s="18">
        <v>60100.0</v>
      </c>
      <c r="G149" s="18" t="s">
        <v>823</v>
      </c>
      <c r="H149" s="114" t="s">
        <v>616</v>
      </c>
      <c r="I149" s="114">
        <v>10.0</v>
      </c>
      <c r="J149" s="114">
        <v>12.8</v>
      </c>
      <c r="K149" s="114">
        <v>1.28</v>
      </c>
    </row>
    <row r="150">
      <c r="A150" s="18">
        <v>5.022394E7</v>
      </c>
      <c r="B150" s="18">
        <v>5.022394E7</v>
      </c>
      <c r="C150" s="18" t="s">
        <v>613</v>
      </c>
      <c r="D150" s="18">
        <v>1.693078E7</v>
      </c>
      <c r="E150" s="18" t="s">
        <v>824</v>
      </c>
      <c r="F150" s="18">
        <v>30403.0</v>
      </c>
      <c r="G150" s="18" t="s">
        <v>648</v>
      </c>
      <c r="H150" s="114" t="s">
        <v>616</v>
      </c>
      <c r="I150" s="114">
        <v>3.0</v>
      </c>
      <c r="J150" s="114">
        <v>12.73</v>
      </c>
      <c r="K150" s="114">
        <v>4.24</v>
      </c>
    </row>
    <row r="151">
      <c r="A151" s="18">
        <v>5.022394E7</v>
      </c>
      <c r="B151" s="18">
        <v>5.022394E7</v>
      </c>
      <c r="C151" s="18" t="s">
        <v>613</v>
      </c>
      <c r="D151" s="18">
        <v>1.4796821E7</v>
      </c>
      <c r="E151" s="18" t="s">
        <v>825</v>
      </c>
      <c r="F151" s="18">
        <v>30700.0</v>
      </c>
      <c r="G151" s="18" t="s">
        <v>633</v>
      </c>
      <c r="H151" s="114" t="s">
        <v>634</v>
      </c>
      <c r="I151" s="114">
        <v>2.0</v>
      </c>
      <c r="J151" s="114">
        <v>10.7</v>
      </c>
      <c r="K151" s="114">
        <v>5.35</v>
      </c>
    </row>
    <row r="152">
      <c r="A152" s="18">
        <v>5.022394E7</v>
      </c>
      <c r="B152" s="18">
        <v>5.022394E7</v>
      </c>
      <c r="C152" s="18" t="s">
        <v>613</v>
      </c>
      <c r="D152" s="18">
        <v>1.500299E7</v>
      </c>
      <c r="E152" s="18" t="s">
        <v>826</v>
      </c>
      <c r="F152" s="18">
        <v>30403.0</v>
      </c>
      <c r="G152" s="18" t="s">
        <v>648</v>
      </c>
      <c r="H152" s="114" t="s">
        <v>827</v>
      </c>
      <c r="I152" s="114">
        <v>10.0</v>
      </c>
      <c r="J152" s="114">
        <v>10.12</v>
      </c>
      <c r="K152" s="114">
        <v>1.01</v>
      </c>
    </row>
    <row r="153">
      <c r="A153" s="18">
        <v>5.022394E7</v>
      </c>
      <c r="B153" s="18">
        <v>5.022394E7</v>
      </c>
      <c r="C153" s="18" t="s">
        <v>613</v>
      </c>
      <c r="D153" s="18">
        <v>1.4024825E7</v>
      </c>
      <c r="E153" s="18" t="s">
        <v>828</v>
      </c>
      <c r="F153" s="18">
        <v>90100.0</v>
      </c>
      <c r="G153" s="18" t="s">
        <v>705</v>
      </c>
      <c r="H153" s="114" t="s">
        <v>616</v>
      </c>
      <c r="I153" s="114">
        <v>25.0</v>
      </c>
      <c r="J153" s="114">
        <v>10.05</v>
      </c>
      <c r="K153" s="114">
        <v>0.4</v>
      </c>
    </row>
    <row r="154">
      <c r="A154" s="18">
        <v>5.022394E7</v>
      </c>
      <c r="B154" s="18">
        <v>5.022394E7</v>
      </c>
      <c r="C154" s="18" t="s">
        <v>613</v>
      </c>
      <c r="D154" s="18">
        <v>1.5542175E7</v>
      </c>
      <c r="E154" s="18" t="s">
        <v>829</v>
      </c>
      <c r="F154" s="18">
        <v>30403.0</v>
      </c>
      <c r="G154" s="18" t="s">
        <v>648</v>
      </c>
      <c r="H154" s="114" t="s">
        <v>779</v>
      </c>
      <c r="I154" s="114">
        <v>5.0</v>
      </c>
      <c r="J154" s="114">
        <v>9.95</v>
      </c>
      <c r="K154" s="114">
        <v>1.99</v>
      </c>
    </row>
    <row r="155">
      <c r="A155" s="18">
        <v>5.022394E7</v>
      </c>
      <c r="B155" s="18">
        <v>5.022394E7</v>
      </c>
      <c r="C155" s="18" t="s">
        <v>613</v>
      </c>
      <c r="D155" s="18">
        <v>1.6107977E7</v>
      </c>
      <c r="E155" s="18" t="s">
        <v>830</v>
      </c>
      <c r="F155" s="18">
        <v>121300.0</v>
      </c>
      <c r="G155" s="18" t="s">
        <v>677</v>
      </c>
      <c r="H155" s="114" t="s">
        <v>634</v>
      </c>
      <c r="I155" s="114">
        <v>1.0</v>
      </c>
      <c r="J155" s="114">
        <v>9.45</v>
      </c>
      <c r="K155" s="114">
        <v>9.45</v>
      </c>
    </row>
    <row r="156">
      <c r="A156" s="18">
        <v>5.022394E7</v>
      </c>
      <c r="B156" s="18">
        <v>5.022394E7</v>
      </c>
      <c r="C156" s="18" t="s">
        <v>613</v>
      </c>
      <c r="D156" s="18">
        <v>1.4761003E7</v>
      </c>
      <c r="E156" s="18" t="s">
        <v>831</v>
      </c>
      <c r="F156" s="18">
        <v>30403.0</v>
      </c>
      <c r="G156" s="18" t="s">
        <v>648</v>
      </c>
      <c r="H156" s="114" t="s">
        <v>673</v>
      </c>
      <c r="I156" s="114">
        <v>5.0</v>
      </c>
      <c r="J156" s="114">
        <v>9.44</v>
      </c>
      <c r="K156" s="114">
        <v>1.89</v>
      </c>
    </row>
    <row r="157">
      <c r="A157" s="18">
        <v>5.022394E7</v>
      </c>
      <c r="B157" s="18">
        <v>5.0223941E7</v>
      </c>
      <c r="C157" s="18" t="s">
        <v>664</v>
      </c>
      <c r="D157" s="18">
        <v>1.1217596E7</v>
      </c>
      <c r="E157" s="18" t="s">
        <v>832</v>
      </c>
      <c r="F157" s="18">
        <v>240300.0</v>
      </c>
      <c r="G157" s="18" t="s">
        <v>712</v>
      </c>
      <c r="H157" s="114" t="s">
        <v>684</v>
      </c>
      <c r="I157" s="114">
        <v>1.0</v>
      </c>
      <c r="J157" s="114">
        <v>9.09</v>
      </c>
      <c r="K157" s="114">
        <v>9.09</v>
      </c>
    </row>
    <row r="158">
      <c r="A158" s="18">
        <v>5.022394E7</v>
      </c>
      <c r="B158" s="18">
        <v>5.022394E7</v>
      </c>
      <c r="C158" s="18" t="s">
        <v>613</v>
      </c>
      <c r="D158" s="18">
        <v>1.4761034E7</v>
      </c>
      <c r="E158" s="18" t="s">
        <v>833</v>
      </c>
      <c r="F158" s="18">
        <v>30403.0</v>
      </c>
      <c r="G158" s="18" t="s">
        <v>648</v>
      </c>
      <c r="H158" s="114" t="s">
        <v>673</v>
      </c>
      <c r="I158" s="114">
        <v>5.0</v>
      </c>
      <c r="J158" s="114">
        <v>9.05</v>
      </c>
      <c r="K158" s="114">
        <v>1.81</v>
      </c>
    </row>
    <row r="159">
      <c r="A159" s="18">
        <v>5.022394E7</v>
      </c>
      <c r="B159" s="18">
        <v>5.022394E7</v>
      </c>
      <c r="C159" s="18" t="s">
        <v>613</v>
      </c>
      <c r="D159" s="18">
        <v>1.4759109E7</v>
      </c>
      <c r="E159" s="18" t="s">
        <v>834</v>
      </c>
      <c r="F159" s="18">
        <v>30403.0</v>
      </c>
      <c r="G159" s="18" t="s">
        <v>648</v>
      </c>
      <c r="H159" s="114" t="s">
        <v>616</v>
      </c>
      <c r="I159" s="114">
        <v>10.0</v>
      </c>
      <c r="J159" s="114">
        <v>8.42</v>
      </c>
      <c r="K159" s="114">
        <v>0.84</v>
      </c>
    </row>
    <row r="160">
      <c r="A160" s="18">
        <v>5.022394E7</v>
      </c>
      <c r="B160" s="18">
        <v>5.022394E7</v>
      </c>
      <c r="C160" s="18" t="s">
        <v>613</v>
      </c>
      <c r="D160" s="18">
        <v>1.7039375E7</v>
      </c>
      <c r="E160" s="18" t="s">
        <v>835</v>
      </c>
      <c r="F160" s="18">
        <v>121300.0</v>
      </c>
      <c r="G160" s="18" t="s">
        <v>677</v>
      </c>
      <c r="H160" s="114" t="s">
        <v>634</v>
      </c>
      <c r="I160" s="114">
        <v>1.0</v>
      </c>
      <c r="J160" s="114">
        <v>8.0</v>
      </c>
      <c r="K160" s="114">
        <v>8.0</v>
      </c>
    </row>
    <row r="161">
      <c r="A161" s="18">
        <v>5.022394E7</v>
      </c>
      <c r="B161" s="18">
        <v>5.022394E7</v>
      </c>
      <c r="C161" s="18" t="s">
        <v>613</v>
      </c>
      <c r="D161" s="18">
        <v>1.479593E7</v>
      </c>
      <c r="E161" s="18" t="s">
        <v>836</v>
      </c>
      <c r="F161" s="18">
        <v>90300.0</v>
      </c>
      <c r="G161" s="18" t="s">
        <v>837</v>
      </c>
      <c r="H161" s="114" t="s">
        <v>616</v>
      </c>
      <c r="I161" s="114">
        <v>5.0</v>
      </c>
      <c r="J161" s="114">
        <v>6.95</v>
      </c>
      <c r="K161" s="114">
        <v>1.39</v>
      </c>
    </row>
    <row r="162">
      <c r="A162" s="18">
        <v>5.022394E7</v>
      </c>
      <c r="B162" s="18">
        <v>5.022394E7</v>
      </c>
      <c r="C162" s="18" t="s">
        <v>613</v>
      </c>
      <c r="D162" s="18">
        <v>1.612341E7</v>
      </c>
      <c r="E162" s="18" t="s">
        <v>838</v>
      </c>
      <c r="F162" s="18">
        <v>80200.0</v>
      </c>
      <c r="G162" s="18" t="s">
        <v>654</v>
      </c>
      <c r="H162" s="114" t="s">
        <v>625</v>
      </c>
      <c r="I162" s="114">
        <v>3.0</v>
      </c>
      <c r="J162" s="114">
        <v>6.0</v>
      </c>
      <c r="K162" s="114">
        <v>2.0</v>
      </c>
    </row>
    <row r="163">
      <c r="A163" s="18">
        <v>5.022394E7</v>
      </c>
      <c r="B163" s="18">
        <v>5.022394E7</v>
      </c>
      <c r="C163" s="18" t="s">
        <v>613</v>
      </c>
      <c r="D163" s="18">
        <v>1.0334096E7</v>
      </c>
      <c r="E163" s="18" t="s">
        <v>839</v>
      </c>
      <c r="F163" s="18">
        <v>10100.0</v>
      </c>
      <c r="G163" s="18" t="s">
        <v>615</v>
      </c>
      <c r="H163" s="114" t="s">
        <v>616</v>
      </c>
      <c r="I163" s="114">
        <v>1.05</v>
      </c>
      <c r="J163" s="114">
        <v>5.76</v>
      </c>
      <c r="K163" s="114">
        <v>5.49</v>
      </c>
    </row>
    <row r="164">
      <c r="A164" s="18">
        <v>5.022394E7</v>
      </c>
      <c r="B164" s="18">
        <v>5.022394E7</v>
      </c>
      <c r="C164" s="18" t="s">
        <v>613</v>
      </c>
      <c r="D164" s="18">
        <v>1.4760198E7</v>
      </c>
      <c r="E164" s="18" t="s">
        <v>840</v>
      </c>
      <c r="F164" s="18">
        <v>30403.0</v>
      </c>
      <c r="G164" s="18" t="s">
        <v>648</v>
      </c>
      <c r="H164" s="114" t="s">
        <v>634</v>
      </c>
      <c r="I164" s="114">
        <v>7.0</v>
      </c>
      <c r="J164" s="114">
        <v>5.39</v>
      </c>
      <c r="K164" s="114">
        <v>0.77</v>
      </c>
    </row>
    <row r="165">
      <c r="A165" s="18">
        <v>5.022394E7</v>
      </c>
      <c r="B165" s="18">
        <v>5.022394E7</v>
      </c>
      <c r="C165" s="18" t="s">
        <v>613</v>
      </c>
      <c r="D165" s="18">
        <v>1.5327819E7</v>
      </c>
      <c r="E165" s="18" t="s">
        <v>841</v>
      </c>
      <c r="F165" s="18">
        <v>30403.0</v>
      </c>
      <c r="G165" s="18" t="s">
        <v>648</v>
      </c>
      <c r="H165" s="114" t="s">
        <v>634</v>
      </c>
      <c r="I165" s="114">
        <v>1.0</v>
      </c>
      <c r="J165" s="114">
        <v>5.09</v>
      </c>
      <c r="K165" s="114">
        <v>5.09</v>
      </c>
    </row>
    <row r="166">
      <c r="A166" s="18">
        <v>5.022394E7</v>
      </c>
      <c r="B166" s="18">
        <v>5.022394E7</v>
      </c>
      <c r="C166" s="18" t="s">
        <v>613</v>
      </c>
      <c r="D166" s="18">
        <v>1.531314E7</v>
      </c>
      <c r="E166" s="18" t="s">
        <v>842</v>
      </c>
      <c r="F166" s="18">
        <v>30403.0</v>
      </c>
      <c r="G166" s="18" t="s">
        <v>648</v>
      </c>
      <c r="H166" s="114" t="s">
        <v>779</v>
      </c>
      <c r="I166" s="114">
        <v>2.0</v>
      </c>
      <c r="J166" s="114">
        <v>4.85</v>
      </c>
      <c r="K166" s="114">
        <v>2.42</v>
      </c>
    </row>
    <row r="167">
      <c r="A167" s="18">
        <v>5.022394E7</v>
      </c>
      <c r="B167" s="18">
        <v>5.022394E7</v>
      </c>
      <c r="C167" s="18" t="s">
        <v>613</v>
      </c>
      <c r="D167" s="18">
        <v>1.7931212E7</v>
      </c>
      <c r="E167" s="18" t="s">
        <v>843</v>
      </c>
      <c r="F167" s="18">
        <v>90100.0</v>
      </c>
      <c r="G167" s="18" t="s">
        <v>705</v>
      </c>
      <c r="H167" s="114" t="s">
        <v>625</v>
      </c>
      <c r="I167" s="114">
        <v>24.0</v>
      </c>
      <c r="J167" s="114">
        <v>3.86</v>
      </c>
      <c r="K167" s="114">
        <v>0.16</v>
      </c>
    </row>
    <row r="168">
      <c r="A168" s="18">
        <v>5.022394E7</v>
      </c>
      <c r="B168" s="18">
        <v>5.022394E7</v>
      </c>
      <c r="C168" s="18" t="s">
        <v>613</v>
      </c>
      <c r="D168" s="18">
        <v>1.4759277E7</v>
      </c>
      <c r="E168" s="18" t="s">
        <v>844</v>
      </c>
      <c r="F168" s="18">
        <v>30401.0</v>
      </c>
      <c r="G168" s="18" t="s">
        <v>845</v>
      </c>
      <c r="H168" s="114" t="s">
        <v>641</v>
      </c>
      <c r="I168" s="114">
        <v>2.0</v>
      </c>
      <c r="J168" s="114">
        <v>3.57</v>
      </c>
      <c r="K168" s="114">
        <v>1.79</v>
      </c>
    </row>
    <row r="169">
      <c r="A169" s="18">
        <v>5.022394E7</v>
      </c>
      <c r="B169" s="18">
        <v>5.0223941E7</v>
      </c>
      <c r="C169" s="18" t="s">
        <v>664</v>
      </c>
      <c r="D169" s="18">
        <v>1.2833849E7</v>
      </c>
      <c r="E169" s="18" t="s">
        <v>846</v>
      </c>
      <c r="F169" s="18">
        <v>240300.0</v>
      </c>
      <c r="G169" s="18" t="s">
        <v>712</v>
      </c>
      <c r="H169" s="114" t="s">
        <v>684</v>
      </c>
      <c r="I169" s="114">
        <v>1.0</v>
      </c>
      <c r="J169" s="114">
        <v>3.55</v>
      </c>
      <c r="K169" s="114">
        <v>3.55</v>
      </c>
    </row>
    <row r="170">
      <c r="A170" s="18">
        <v>5.022394E7</v>
      </c>
      <c r="B170" s="18">
        <v>5.022394E7</v>
      </c>
      <c r="C170" s="18" t="s">
        <v>613</v>
      </c>
      <c r="D170" s="18">
        <v>1.4437199E7</v>
      </c>
      <c r="E170" s="18" t="s">
        <v>847</v>
      </c>
      <c r="F170" s="18">
        <v>60100.0</v>
      </c>
      <c r="G170" s="18" t="s">
        <v>823</v>
      </c>
      <c r="H170" s="114" t="s">
        <v>634</v>
      </c>
      <c r="I170" s="114">
        <v>1.0</v>
      </c>
      <c r="J170" s="114">
        <v>3.45</v>
      </c>
      <c r="K170" s="114">
        <v>3.45</v>
      </c>
    </row>
    <row r="171">
      <c r="A171" s="18">
        <v>5.022394E7</v>
      </c>
      <c r="B171" s="18">
        <v>5.022394E7</v>
      </c>
      <c r="C171" s="18" t="s">
        <v>613</v>
      </c>
      <c r="D171" s="18">
        <v>1.4844263E7</v>
      </c>
      <c r="E171" s="18" t="s">
        <v>848</v>
      </c>
      <c r="F171" s="18">
        <v>30403.0</v>
      </c>
      <c r="G171" s="18" t="s">
        <v>648</v>
      </c>
      <c r="H171" s="114" t="s">
        <v>625</v>
      </c>
      <c r="I171" s="114">
        <v>3.0</v>
      </c>
      <c r="J171" s="114">
        <v>3.29</v>
      </c>
      <c r="K171" s="114">
        <v>1.1</v>
      </c>
    </row>
    <row r="172">
      <c r="A172" s="18">
        <v>5.022394E7</v>
      </c>
      <c r="B172" s="18">
        <v>5.022394E7</v>
      </c>
      <c r="C172" s="18" t="s">
        <v>613</v>
      </c>
      <c r="D172" s="18">
        <v>1.7001587E7</v>
      </c>
      <c r="E172" s="18" t="s">
        <v>849</v>
      </c>
      <c r="F172" s="18">
        <v>30403.0</v>
      </c>
      <c r="G172" s="18" t="s">
        <v>648</v>
      </c>
      <c r="H172" s="114" t="s">
        <v>625</v>
      </c>
      <c r="I172" s="114">
        <v>1.0</v>
      </c>
      <c r="J172" s="114">
        <v>3.21</v>
      </c>
      <c r="K172" s="114">
        <v>3.21</v>
      </c>
    </row>
    <row r="173">
      <c r="A173" s="18">
        <v>5.022394E7</v>
      </c>
      <c r="B173" s="18">
        <v>5.022394E7</v>
      </c>
      <c r="C173" s="18" t="s">
        <v>613</v>
      </c>
      <c r="D173" s="18">
        <v>1.3491857E7</v>
      </c>
      <c r="E173" s="18" t="s">
        <v>850</v>
      </c>
      <c r="F173" s="18">
        <v>310200.0</v>
      </c>
      <c r="G173" s="18" t="s">
        <v>767</v>
      </c>
      <c r="H173" s="114" t="s">
        <v>641</v>
      </c>
      <c r="I173" s="114">
        <v>1.0</v>
      </c>
      <c r="J173" s="114">
        <v>3.0</v>
      </c>
      <c r="K173" s="114">
        <v>3.0</v>
      </c>
    </row>
    <row r="174">
      <c r="A174" s="18">
        <v>5.022394E7</v>
      </c>
      <c r="B174" s="18">
        <v>5.022394E7</v>
      </c>
      <c r="C174" s="18" t="s">
        <v>613</v>
      </c>
      <c r="D174" s="18">
        <v>1.3070977E7</v>
      </c>
      <c r="E174" s="18" t="s">
        <v>851</v>
      </c>
      <c r="F174" s="18">
        <v>90100.0</v>
      </c>
      <c r="G174" s="18" t="s">
        <v>705</v>
      </c>
      <c r="H174" s="114" t="s">
        <v>625</v>
      </c>
      <c r="I174" s="114">
        <v>1.0</v>
      </c>
      <c r="J174" s="114">
        <v>2.49</v>
      </c>
      <c r="K174" s="114">
        <v>2.49</v>
      </c>
    </row>
    <row r="175">
      <c r="A175" s="18">
        <v>5.022394E7</v>
      </c>
      <c r="B175" s="18">
        <v>5.022394E7</v>
      </c>
      <c r="C175" s="18" t="s">
        <v>613</v>
      </c>
      <c r="D175" s="18">
        <v>1.5313157E7</v>
      </c>
      <c r="E175" s="18" t="s">
        <v>852</v>
      </c>
      <c r="F175" s="18">
        <v>30403.0</v>
      </c>
      <c r="G175" s="18" t="s">
        <v>648</v>
      </c>
      <c r="H175" s="114" t="s">
        <v>779</v>
      </c>
      <c r="I175" s="114">
        <v>1.0</v>
      </c>
      <c r="J175" s="114">
        <v>2.29</v>
      </c>
      <c r="K175" s="114">
        <v>2.29</v>
      </c>
    </row>
    <row r="176">
      <c r="A176" s="18">
        <v>5.022394E7</v>
      </c>
      <c r="B176" s="18">
        <v>5.022394E7</v>
      </c>
      <c r="C176" s="18" t="s">
        <v>613</v>
      </c>
      <c r="D176" s="18">
        <v>1.4759475E7</v>
      </c>
      <c r="E176" s="18" t="s">
        <v>853</v>
      </c>
      <c r="F176" s="18">
        <v>30403.0</v>
      </c>
      <c r="G176" s="18" t="s">
        <v>648</v>
      </c>
      <c r="H176" s="114" t="s">
        <v>616</v>
      </c>
      <c r="I176" s="114">
        <v>2.34</v>
      </c>
      <c r="J176" s="114">
        <v>2.17</v>
      </c>
      <c r="K176" s="114">
        <v>0.93</v>
      </c>
    </row>
    <row r="177">
      <c r="A177" s="18">
        <v>5.022394E7</v>
      </c>
      <c r="B177" s="18">
        <v>5.022394E7</v>
      </c>
      <c r="C177" s="18" t="s">
        <v>613</v>
      </c>
      <c r="D177" s="18">
        <v>1.475913E7</v>
      </c>
      <c r="E177" s="18" t="s">
        <v>854</v>
      </c>
      <c r="F177" s="18">
        <v>30403.0</v>
      </c>
      <c r="G177" s="18" t="s">
        <v>648</v>
      </c>
      <c r="H177" s="114" t="s">
        <v>634</v>
      </c>
      <c r="I177" s="114">
        <v>1.0</v>
      </c>
      <c r="J177" s="114">
        <v>2.12</v>
      </c>
      <c r="K177" s="114">
        <v>2.12</v>
      </c>
    </row>
  </sheetData>
  <drawing r:id="rId1"/>
</worksheet>
</file>