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40" yWindow="0" windowWidth="50040" windowHeight="28340" tabRatio="746" activeTab="1"/>
  </bookViews>
  <sheets>
    <sheet name="License" sheetId="11" r:id="rId1"/>
    <sheet name="Revisions" sheetId="10" r:id="rId2"/>
    <sheet name="Sizing" sheetId="1" r:id="rId3"/>
    <sheet name="Quantities" sheetId="2" r:id="rId4"/>
    <sheet name="Costs" sheetId="3" r:id="rId5"/>
    <sheet name="Sizing Chart" sheetId="4" r:id="rId6"/>
    <sheet name="Materials Chart" sheetId="5" r:id="rId7"/>
    <sheet name="farmers pipe lengths" sheetId="8" r:id="rId8"/>
    <sheet name="JC notes" sheetId="7" r:id="rId9"/>
    <sheet name="Pressure losses" sheetId="6" r:id="rId10"/>
    <sheet name="Friction" sheetId="9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H7" i="1"/>
  <c r="H27" i="1"/>
  <c r="D61" i="1"/>
  <c r="G61" i="1"/>
  <c r="G77" i="1"/>
  <c r="I77" i="1"/>
  <c r="B83" i="1"/>
  <c r="D83" i="1"/>
  <c r="H61" i="1"/>
  <c r="L77" i="1"/>
  <c r="F83" i="1"/>
  <c r="K83" i="1"/>
  <c r="B23" i="1"/>
  <c r="C38" i="1"/>
  <c r="C40" i="1"/>
  <c r="E50" i="1"/>
  <c r="E52" i="1"/>
  <c r="D92" i="1"/>
  <c r="D93" i="1"/>
  <c r="B104" i="1"/>
  <c r="D94" i="1"/>
  <c r="B105" i="1"/>
  <c r="C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B120" i="1"/>
  <c r="B122" i="1"/>
  <c r="B123" i="1"/>
  <c r="J15" i="2"/>
  <c r="J17" i="2"/>
  <c r="J18" i="2"/>
  <c r="E53" i="1"/>
  <c r="H53" i="1"/>
  <c r="K53" i="1"/>
  <c r="D5" i="2"/>
  <c r="C3" i="5"/>
  <c r="C6" i="5"/>
  <c r="J16" i="2"/>
  <c r="D17" i="2"/>
  <c r="D18" i="2"/>
  <c r="C7" i="5"/>
  <c r="G3" i="5"/>
  <c r="I3" i="5"/>
  <c r="E49" i="1"/>
  <c r="H49" i="1"/>
  <c r="G1" i="5"/>
  <c r="G2" i="5"/>
  <c r="C11" i="4"/>
  <c r="B151" i="1"/>
  <c r="J19" i="2"/>
  <c r="J29" i="2"/>
  <c r="H21" i="9"/>
  <c r="H23" i="9"/>
  <c r="D69" i="2"/>
  <c r="D68" i="2"/>
  <c r="L19" i="2"/>
  <c r="L18" i="2"/>
  <c r="C25" i="4"/>
  <c r="Q37" i="3"/>
  <c r="D6" i="2"/>
  <c r="F11" i="3"/>
  <c r="O11" i="3"/>
  <c r="D8" i="2"/>
  <c r="D9" i="2"/>
  <c r="D13" i="2"/>
  <c r="C13" i="3"/>
  <c r="O13" i="3"/>
  <c r="B26" i="3"/>
  <c r="O26" i="3"/>
  <c r="B27" i="3"/>
  <c r="O27" i="3"/>
  <c r="B152" i="1"/>
  <c r="D20" i="2"/>
  <c r="D19" i="2"/>
  <c r="D21" i="2"/>
  <c r="D22" i="2"/>
  <c r="D27" i="2"/>
  <c r="J23" i="2"/>
  <c r="D44" i="2"/>
  <c r="B28" i="3"/>
  <c r="O28" i="3"/>
  <c r="D35" i="2"/>
  <c r="J24" i="2"/>
  <c r="D36" i="2"/>
  <c r="G36" i="2"/>
  <c r="N36" i="2"/>
  <c r="O36" i="2"/>
  <c r="D23" i="2"/>
  <c r="D28" i="2"/>
  <c r="D29" i="2"/>
  <c r="J31" i="2"/>
  <c r="D32" i="2"/>
  <c r="D33" i="2"/>
  <c r="D37" i="2"/>
  <c r="G37" i="2"/>
  <c r="N37" i="2"/>
  <c r="O37" i="2"/>
  <c r="B148" i="1"/>
  <c r="D38" i="2"/>
  <c r="G38" i="2"/>
  <c r="N38" i="2"/>
  <c r="O38" i="2"/>
  <c r="D42" i="2"/>
  <c r="B29" i="3"/>
  <c r="O29" i="3"/>
  <c r="M36" i="2"/>
  <c r="M37" i="2"/>
  <c r="M38" i="2"/>
  <c r="D41" i="2"/>
  <c r="F41" i="2"/>
  <c r="H30" i="3"/>
  <c r="O30" i="3"/>
  <c r="P36" i="2"/>
  <c r="P37" i="2"/>
  <c r="P38" i="2"/>
  <c r="D40" i="2"/>
  <c r="F40" i="2"/>
  <c r="H31" i="3"/>
  <c r="O31" i="3"/>
  <c r="E47" i="1"/>
  <c r="H47" i="1"/>
  <c r="B146" i="1"/>
  <c r="D45" i="2"/>
  <c r="F32" i="3"/>
  <c r="B32" i="3"/>
  <c r="O32" i="3"/>
  <c r="D47" i="2"/>
  <c r="C33" i="3"/>
  <c r="O33" i="3"/>
  <c r="O34" i="3"/>
  <c r="Q34" i="3"/>
  <c r="C24" i="4"/>
  <c r="C10" i="4"/>
  <c r="C53" i="2"/>
  <c r="C50" i="2"/>
  <c r="C56" i="2"/>
  <c r="C51" i="2"/>
  <c r="F61" i="1"/>
  <c r="F75" i="1"/>
  <c r="D62" i="2"/>
  <c r="D64" i="2"/>
  <c r="K43" i="9"/>
  <c r="K42" i="9"/>
  <c r="D32" i="9"/>
  <c r="C3" i="4"/>
  <c r="H28" i="9"/>
  <c r="Q26" i="3"/>
  <c r="M31" i="3"/>
  <c r="C7" i="4"/>
  <c r="M30" i="3"/>
  <c r="C25" i="5"/>
  <c r="C24" i="5"/>
  <c r="C23" i="5"/>
  <c r="C15" i="4"/>
  <c r="J14" i="2"/>
  <c r="J13" i="3"/>
  <c r="B14" i="3"/>
  <c r="O14" i="3"/>
  <c r="B17" i="3"/>
  <c r="O17" i="3"/>
  <c r="O16" i="3"/>
  <c r="O20" i="3"/>
  <c r="O15" i="3"/>
  <c r="O18" i="3"/>
  <c r="O19" i="3"/>
  <c r="O8" i="3"/>
  <c r="O9" i="3"/>
  <c r="O37" i="3"/>
  <c r="R2" i="3"/>
  <c r="Q2" i="3"/>
  <c r="C17" i="5"/>
  <c r="B17" i="5"/>
  <c r="O21" i="3"/>
  <c r="O24" i="3"/>
  <c r="Q20" i="3"/>
  <c r="S20" i="3"/>
  <c r="C30" i="5"/>
  <c r="C29" i="5"/>
  <c r="C28" i="5"/>
  <c r="C27" i="5"/>
  <c r="C20" i="4"/>
  <c r="N20" i="2"/>
  <c r="C19" i="4"/>
  <c r="C17" i="4"/>
  <c r="E10" i="8"/>
  <c r="H7" i="7"/>
  <c r="H8" i="7"/>
  <c r="B8" i="3"/>
  <c r="B9" i="3"/>
  <c r="Q33" i="3"/>
  <c r="Q8" i="3"/>
  <c r="S8" i="3"/>
  <c r="Q9" i="3"/>
  <c r="S9" i="3"/>
  <c r="S10" i="3"/>
  <c r="Q11" i="3"/>
  <c r="S11" i="3"/>
  <c r="S12" i="3"/>
  <c r="Q13" i="3"/>
  <c r="S13" i="3"/>
  <c r="Q14" i="3"/>
  <c r="S14" i="3"/>
  <c r="Q15" i="3"/>
  <c r="S15" i="3"/>
  <c r="Q16" i="3"/>
  <c r="S16" i="3"/>
  <c r="Q17" i="3"/>
  <c r="S17" i="3"/>
  <c r="Q18" i="3"/>
  <c r="S18" i="3"/>
  <c r="Q19" i="3"/>
  <c r="S19" i="3"/>
  <c r="Q21" i="3"/>
  <c r="S21" i="3"/>
  <c r="Q22" i="3"/>
  <c r="S22" i="3"/>
  <c r="Q23" i="3"/>
  <c r="S23" i="3"/>
  <c r="Q24" i="3"/>
  <c r="S24" i="3"/>
  <c r="Q25" i="3"/>
  <c r="S25" i="3"/>
  <c r="S26" i="3"/>
  <c r="Q27" i="3"/>
  <c r="S27" i="3"/>
  <c r="Q28" i="3"/>
  <c r="S28" i="3"/>
  <c r="Q29" i="3"/>
  <c r="S29" i="3"/>
  <c r="Q30" i="3"/>
  <c r="S30" i="3"/>
  <c r="Q31" i="3"/>
  <c r="S31" i="3"/>
  <c r="Q32" i="3"/>
  <c r="S32" i="3"/>
  <c r="S33" i="3"/>
  <c r="S34" i="3"/>
  <c r="M62" i="3"/>
  <c r="M61" i="3"/>
  <c r="H68" i="3"/>
  <c r="M67" i="3"/>
  <c r="J68" i="3"/>
  <c r="L68" i="3"/>
  <c r="M68" i="3"/>
  <c r="M69" i="3"/>
  <c r="H67" i="3"/>
  <c r="M60" i="3"/>
  <c r="Q16" i="5"/>
  <c r="P16" i="5"/>
  <c r="O16" i="5"/>
  <c r="N16" i="5"/>
  <c r="M16" i="5"/>
  <c r="M18" i="5"/>
  <c r="N18" i="5"/>
  <c r="O18" i="5"/>
  <c r="P18" i="5"/>
  <c r="Q18" i="5"/>
  <c r="P15" i="5"/>
  <c r="O15" i="5"/>
  <c r="N15" i="5"/>
  <c r="M15" i="5"/>
  <c r="M12" i="5"/>
  <c r="M11" i="5"/>
  <c r="O12" i="5"/>
  <c r="N12" i="5"/>
  <c r="M13" i="5"/>
  <c r="N13" i="5"/>
  <c r="O13" i="5"/>
  <c r="P12" i="5"/>
  <c r="P13" i="5"/>
  <c r="Q13" i="5"/>
  <c r="P11" i="5"/>
  <c r="O11" i="5"/>
  <c r="N11" i="5"/>
  <c r="O7" i="5"/>
  <c r="P7" i="5"/>
  <c r="K7" i="5"/>
  <c r="K6" i="5"/>
  <c r="R18" i="2"/>
  <c r="J44" i="3"/>
  <c r="J52" i="3"/>
  <c r="O22" i="3"/>
  <c r="O23" i="3"/>
  <c r="O25" i="3"/>
  <c r="R32" i="3"/>
  <c r="K32" i="3"/>
  <c r="J53" i="3"/>
  <c r="Q36" i="2"/>
  <c r="Q37" i="2"/>
  <c r="Q38" i="2"/>
  <c r="D43" i="2"/>
  <c r="J51" i="3"/>
  <c r="E11" i="8"/>
  <c r="G10" i="8"/>
  <c r="D4" i="7"/>
  <c r="E4" i="7"/>
  <c r="B6" i="6"/>
  <c r="B4" i="6"/>
  <c r="B7" i="6"/>
  <c r="B8" i="6"/>
  <c r="B10" i="6"/>
  <c r="B11" i="6"/>
  <c r="B12" i="6"/>
  <c r="B15" i="1"/>
  <c r="E7" i="1"/>
  <c r="H8" i="1"/>
  <c r="H9" i="1"/>
  <c r="E10" i="1"/>
  <c r="H10" i="1"/>
  <c r="H11" i="1"/>
  <c r="E12" i="1"/>
  <c r="H12" i="1"/>
  <c r="E13" i="1"/>
  <c r="H13" i="1"/>
  <c r="H14" i="1"/>
  <c r="E15" i="1"/>
  <c r="H15" i="1"/>
  <c r="E16" i="1"/>
  <c r="H16" i="1"/>
  <c r="H17" i="1"/>
  <c r="H18" i="1"/>
  <c r="H19" i="1"/>
  <c r="K28" i="5"/>
  <c r="K27" i="5"/>
  <c r="C26" i="5"/>
  <c r="K26" i="5"/>
  <c r="B26" i="5"/>
  <c r="B108" i="1"/>
  <c r="D108" i="1"/>
  <c r="K25" i="5"/>
  <c r="B25" i="5"/>
  <c r="K24" i="5"/>
  <c r="B24" i="5"/>
  <c r="K23" i="5"/>
  <c r="B23" i="5"/>
  <c r="C22" i="5"/>
  <c r="K22" i="5"/>
  <c r="B22" i="5"/>
  <c r="K21" i="5"/>
  <c r="B21" i="5"/>
  <c r="C20" i="5"/>
  <c r="K20" i="5"/>
  <c r="B20" i="5"/>
  <c r="C19" i="5"/>
  <c r="K19" i="5"/>
  <c r="B19" i="5"/>
  <c r="C18" i="5"/>
  <c r="K18" i="5"/>
  <c r="B18" i="5"/>
  <c r="C16" i="5"/>
  <c r="K16" i="5"/>
  <c r="B16" i="5"/>
  <c r="C15" i="5"/>
  <c r="K15" i="5"/>
  <c r="B15" i="5"/>
  <c r="C14" i="5"/>
  <c r="K14" i="5"/>
  <c r="B14" i="5"/>
  <c r="C13" i="5"/>
  <c r="K13" i="5"/>
  <c r="B13" i="5"/>
  <c r="C12" i="5"/>
  <c r="K12" i="5"/>
  <c r="B12" i="5"/>
  <c r="C11" i="5"/>
  <c r="K11" i="5"/>
  <c r="B11" i="5"/>
  <c r="C10" i="5"/>
  <c r="K10" i="5"/>
  <c r="B10" i="5"/>
  <c r="D10" i="2"/>
  <c r="D11" i="2"/>
  <c r="D12" i="2"/>
  <c r="C9" i="5"/>
  <c r="K9" i="5"/>
  <c r="B9" i="5"/>
  <c r="K8" i="5"/>
  <c r="C5" i="5"/>
  <c r="C1" i="5"/>
  <c r="C18" i="4"/>
  <c r="C16" i="4"/>
  <c r="C14" i="4"/>
  <c r="C13" i="4"/>
  <c r="C12" i="4"/>
  <c r="C9" i="4"/>
  <c r="C8" i="4"/>
  <c r="C6" i="4"/>
  <c r="C5" i="4"/>
  <c r="B33" i="3"/>
  <c r="E47" i="2"/>
  <c r="E33" i="3"/>
  <c r="R24" i="3"/>
  <c r="R11" i="3"/>
  <c r="V39" i="2"/>
  <c r="V40" i="2"/>
  <c r="H41" i="2"/>
  <c r="H40" i="2"/>
  <c r="J30" i="2"/>
  <c r="F133" i="1"/>
  <c r="D118" i="1"/>
  <c r="C118" i="1"/>
  <c r="G62" i="1"/>
  <c r="G63" i="1"/>
  <c r="C64" i="1"/>
  <c r="G64" i="1"/>
  <c r="G65" i="1"/>
  <c r="G66" i="1"/>
  <c r="G67" i="1"/>
  <c r="G68" i="1"/>
  <c r="G69" i="1"/>
  <c r="G70" i="1"/>
  <c r="G71" i="1"/>
  <c r="C86" i="1"/>
  <c r="C87" i="1"/>
  <c r="I83" i="1"/>
  <c r="Q75" i="1"/>
  <c r="Q76" i="1"/>
  <c r="Q77" i="1"/>
  <c r="F62" i="1"/>
  <c r="F63" i="1"/>
  <c r="F64" i="1"/>
  <c r="F65" i="1"/>
  <c r="F66" i="1"/>
  <c r="F67" i="1"/>
  <c r="F68" i="1"/>
  <c r="F69" i="1"/>
  <c r="F70" i="1"/>
  <c r="F71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0" i="1"/>
  <c r="K54" i="1"/>
  <c r="L51" i="1"/>
  <c r="K47" i="1"/>
  <c r="G7" i="1"/>
  <c r="G8" i="1"/>
  <c r="G9" i="1"/>
  <c r="G10" i="1"/>
  <c r="G11" i="1"/>
  <c r="G12" i="1"/>
  <c r="G13" i="1"/>
  <c r="G14" i="1"/>
  <c r="D15" i="1"/>
  <c r="G15" i="1"/>
  <c r="D16" i="1"/>
  <c r="G16" i="1"/>
  <c r="G17" i="1"/>
  <c r="G18" i="1"/>
  <c r="G19" i="1"/>
  <c r="G25" i="1"/>
  <c r="E38" i="1"/>
  <c r="C37" i="1"/>
  <c r="K7" i="1"/>
  <c r="K8" i="1"/>
  <c r="K9" i="1"/>
  <c r="K10" i="1"/>
  <c r="K11" i="1"/>
  <c r="K12" i="1"/>
  <c r="K13" i="1"/>
  <c r="K14" i="1"/>
  <c r="I15" i="1"/>
  <c r="K15" i="1"/>
  <c r="K16" i="1"/>
  <c r="K17" i="1"/>
  <c r="K18" i="1"/>
  <c r="K19" i="1"/>
  <c r="K29" i="1"/>
  <c r="L29" i="1"/>
</calcChain>
</file>

<file path=xl/comments1.xml><?xml version="1.0" encoding="utf-8"?>
<comments xmlns="http://schemas.openxmlformats.org/spreadsheetml/2006/main">
  <authors>
    <author/>
  </authors>
  <commentList>
    <comment ref="D6" authorId="0">
      <text>
        <r>
          <rPr>
            <sz val="10"/>
            <rFont val="Arial"/>
          </rPr>
          <t>High values assumed to ensure plant size adequate</t>
        </r>
      </text>
    </comment>
  </commentList>
</comments>
</file>

<file path=xl/comments2.xml><?xml version="1.0" encoding="utf-8"?>
<comments xmlns="http://schemas.openxmlformats.org/spreadsheetml/2006/main">
  <authors>
    <author>Gareth Selby</author>
    <author/>
  </authors>
  <commentList>
    <comment ref="K11" authorId="0">
      <text>
        <r>
          <rPr>
            <b/>
            <sz val="9"/>
            <color indexed="81"/>
            <rFont val="Arial"/>
          </rPr>
          <t>Gareth Selby:</t>
        </r>
        <r>
          <rPr>
            <sz val="9"/>
            <color indexed="81"/>
            <rFont val="Arial"/>
          </rPr>
          <t xml:space="preserve">
was 362</t>
        </r>
      </text>
    </comment>
    <comment ref="B18" authorId="1">
      <text>
        <r>
          <rPr>
            <sz val="10"/>
            <rFont val="Arial"/>
          </rPr>
          <t>was 8
	-Joel Chaney</t>
        </r>
      </text>
    </comment>
    <comment ref="B23" authorId="1">
      <text>
        <r>
          <rPr>
            <sz val="10"/>
            <rFont val="Arial"/>
          </rPr>
          <t>was previously 2
	-Joel Chaney</t>
        </r>
      </text>
    </comment>
  </commentList>
</comments>
</file>

<file path=xl/sharedStrings.xml><?xml version="1.0" encoding="utf-8"?>
<sst xmlns="http://schemas.openxmlformats.org/spreadsheetml/2006/main" count="635" uniqueCount="448">
  <si>
    <t>Custom Sizes</t>
  </si>
  <si>
    <t>Cost</t>
  </si>
  <si>
    <t>Total Cost Estimation</t>
  </si>
  <si>
    <t>Sizing Reference Charts</t>
  </si>
  <si>
    <t>Materials charts</t>
  </si>
  <si>
    <t>Gas production notes</t>
  </si>
  <si>
    <t>Kg of dung</t>
  </si>
  <si>
    <t>m3/Kg TS</t>
  </si>
  <si>
    <t>kg cow dung</t>
  </si>
  <si>
    <t>moisture content</t>
  </si>
  <si>
    <t>Total solids (TS)</t>
  </si>
  <si>
    <t>m3 gas per day</t>
  </si>
  <si>
    <t>Water</t>
  </si>
  <si>
    <t>m3 of gas per day</t>
  </si>
  <si>
    <t>Farmer</t>
  </si>
  <si>
    <t>Retention time</t>
  </si>
  <si>
    <t>1) Daily Plant Feed &amp; Gas Production Rate</t>
  </si>
  <si>
    <t>Vs</t>
  </si>
  <si>
    <t>cows</t>
  </si>
  <si>
    <t>m3</t>
  </si>
  <si>
    <t>Length digester to house</t>
  </si>
  <si>
    <t>Vg</t>
  </si>
  <si>
    <t>rose</t>
  </si>
  <si>
    <t>thomas</t>
  </si>
  <si>
    <t>Total volume</t>
  </si>
  <si>
    <t>kimboy</t>
  </si>
  <si>
    <t>elizabeth</t>
  </si>
  <si>
    <t>Paul</t>
  </si>
  <si>
    <t>Reuben</t>
  </si>
  <si>
    <t>Benjamin</t>
  </si>
  <si>
    <t>Width of plastic (C)</t>
  </si>
  <si>
    <t>Radius</t>
  </si>
  <si>
    <t>Area</t>
  </si>
  <si>
    <t>Feed type</t>
  </si>
  <si>
    <t>Length of digester (slurry part)</t>
  </si>
  <si>
    <t>Hs</t>
  </si>
  <si>
    <t>m</t>
  </si>
  <si>
    <t>Daily Feed Weight, kg/day</t>
  </si>
  <si>
    <t>Daily Feed Volume, l/day</t>
  </si>
  <si>
    <t>Gas Production per KG of feed, m3</t>
  </si>
  <si>
    <t>Average Gas Production per KG feed, m3</t>
  </si>
  <si>
    <t>Reference</t>
  </si>
  <si>
    <t>Width of plastic sheet =</t>
  </si>
  <si>
    <t>Max Daily Gas Production, m3/day</t>
  </si>
  <si>
    <t>Average Gas Production, m3/day</t>
  </si>
  <si>
    <t>kg dung per day</t>
  </si>
  <si>
    <t>Final Dimensions of the Plant and Sheet Materials</t>
  </si>
  <si>
    <t>Size of biogas plant, m3</t>
  </si>
  <si>
    <t>CN Ratio</t>
  </si>
  <si>
    <t>Normalised CN ratio</t>
  </si>
  <si>
    <t>Cow dung</t>
  </si>
  <si>
    <t>P 28 Biogas- A Renewable Source of Energy in Nepal, BSP Nepal</t>
  </si>
  <si>
    <t>Length of plastic sheet</t>
  </si>
  <si>
    <t>L - Length of digester</t>
  </si>
  <si>
    <t>D - Diameter of digester</t>
  </si>
  <si>
    <t>for 7 units</t>
  </si>
  <si>
    <t>Units</t>
  </si>
  <si>
    <t>Width of plastic sheet (1mm HDPE, LDPE, Rubber or PVC)</t>
  </si>
  <si>
    <t>Ho - Height of outlet</t>
  </si>
  <si>
    <t>Hi - Height of inlet</t>
  </si>
  <si>
    <t>P 4 Biogas- A Renewable Source of Energy in Nepal, BSP Nepal</t>
  </si>
  <si>
    <t>PL - Length  of pit</t>
  </si>
  <si>
    <t>Constants</t>
  </si>
  <si>
    <t>total length of bag= Lt = l + 2hs + 0.7 =</t>
  </si>
  <si>
    <t>AL - Arch length</t>
  </si>
  <si>
    <t>Goat droppings</t>
  </si>
  <si>
    <t>AD - Arch diameter</t>
  </si>
  <si>
    <t>brick inlet/outlet</t>
  </si>
  <si>
    <t>no.</t>
  </si>
  <si>
    <t>pipe water drain</t>
  </si>
  <si>
    <t>Item</t>
  </si>
  <si>
    <t>no</t>
  </si>
  <si>
    <t>l, m</t>
  </si>
  <si>
    <t>w, m</t>
  </si>
  <si>
    <t>d, m</t>
  </si>
  <si>
    <t>Area, m2</t>
  </si>
  <si>
    <t>Volume, m3</t>
  </si>
  <si>
    <t>Mass, kg</t>
  </si>
  <si>
    <t>Cost/unit</t>
  </si>
  <si>
    <t>Cost/m</t>
  </si>
  <si>
    <t>Cost/m2</t>
  </si>
  <si>
    <t>Cost/m3</t>
  </si>
  <si>
    <t>Cost/kg</t>
  </si>
  <si>
    <t>Total Cost</t>
  </si>
  <si>
    <t>Labour - Mason one day</t>
  </si>
  <si>
    <t>Sheep droppings</t>
  </si>
  <si>
    <t>Pig slurry</t>
  </si>
  <si>
    <t>length of bag connection to inlets and outlets at each end</t>
  </si>
  <si>
    <t>Elephant dung</t>
  </si>
  <si>
    <t>Total width of bag = Wt = C + 2 x overlap =</t>
  </si>
  <si>
    <t>Chicken droppings</t>
  </si>
  <si>
    <t>bag overlap length</t>
  </si>
  <si>
    <t>Bag area = Lt x Wt =</t>
  </si>
  <si>
    <t>Human excreta</t>
  </si>
  <si>
    <t>Vegetable waste</t>
  </si>
  <si>
    <t>m2</t>
  </si>
  <si>
    <t>pipe length above water, A = hs - R + pipe ht above hs &amp; overflow =</t>
  </si>
  <si>
    <t>height of pipe above overflow level</t>
  </si>
  <si>
    <t>Labour - one labourer one day</t>
  </si>
  <si>
    <t>pipe to main gas valve = R + 1/2 manhole + manhole setback =</t>
  </si>
  <si>
    <t>manhole length and depth</t>
  </si>
  <si>
    <t>pipe - main gas valve to drain tee= 1/2 manhole + tee setback =</t>
  </si>
  <si>
    <t>plastic sheet, HDPE 1mm pondliner made into tube</t>
  </si>
  <si>
    <t>manhole  setback</t>
  </si>
  <si>
    <t>pipe - drain tee</t>
  </si>
  <si>
    <t>Tee setback</t>
  </si>
  <si>
    <t>Pipe - drain tee to point of use = dist to house + length into house =</t>
  </si>
  <si>
    <t>drain tee pipe length</t>
  </si>
  <si>
    <t>Total =</t>
  </si>
  <si>
    <t>P 62-63 Biogas- A Renewable Source of Energy in Nepal, BSP Nepal</t>
  </si>
  <si>
    <t>kg</t>
  </si>
  <si>
    <t>distance to house</t>
  </si>
  <si>
    <t>note: be careful not to be too close as you do not want to undermine the foundations</t>
  </si>
  <si>
    <t>pipe length into house</t>
  </si>
  <si>
    <t>Assumed from, P 4 Biogas- A Renewable Source of Energy in Nepal, BSP Nepal</t>
  </si>
  <si>
    <t>change to joel's figures</t>
  </si>
  <si>
    <t>Rice straw</t>
  </si>
  <si>
    <t>Inlet and Outlet</t>
  </si>
  <si>
    <t>copied from 'vegetable waste'</t>
  </si>
  <si>
    <t>Paper</t>
  </si>
  <si>
    <t xml:space="preserve">    Mesh for ferrocement length</t>
  </si>
  <si>
    <t>outlet height, HS + outlet height above HS</t>
  </si>
  <si>
    <t>No. people served</t>
  </si>
  <si>
    <t>people</t>
  </si>
  <si>
    <t>Total Daily Feed</t>
  </si>
  <si>
    <t>inlet  height</t>
  </si>
  <si>
    <t>inlet height above outlet</t>
  </si>
  <si>
    <t>brick size</t>
  </si>
  <si>
    <t>kg/day</t>
  </si>
  <si>
    <t>h, m</t>
  </si>
  <si>
    <t xml:space="preserve">Total Max Daily Gas Production </t>
  </si>
  <si>
    <t>brick mortar joint</t>
  </si>
  <si>
    <t>oulet bick volume</t>
  </si>
  <si>
    <t>m3/day</t>
  </si>
  <si>
    <t>volume of brick with mortar</t>
  </si>
  <si>
    <t xml:space="preserve">    Mesh for ferrocement width</t>
  </si>
  <si>
    <t>Total Average Daily Gas Production, G</t>
  </si>
  <si>
    <t>inlet brick volume</t>
  </si>
  <si>
    <t>Resultant Carbon/Nitrogen Ratio</t>
  </si>
  <si>
    <t>volume of brick without mortar</t>
  </si>
  <si>
    <t>add in plastic inlet and outlet if used</t>
  </si>
  <si>
    <t>Note: CN ratio should be in the range 20-30</t>
  </si>
  <si>
    <t>2) Active Slurry Volume, Vs</t>
  </si>
  <si>
    <t>oultet base concrete</t>
  </si>
  <si>
    <t>days</t>
  </si>
  <si>
    <t>Note: For human waste retention time needs to be min. 95 days, for all other wastes retention time depends on temperature; 40 days in tropics to 50 days in cold climates</t>
  </si>
  <si>
    <t>Water volume to dung ratio</t>
  </si>
  <si>
    <t>:1</t>
  </si>
  <si>
    <t>Note: Typically 1:1 but can try less water e.g. 0.5:1 if happy dung will flow okay</t>
  </si>
  <si>
    <t>brick wastage</t>
  </si>
  <si>
    <t>concrete depth</t>
  </si>
  <si>
    <t>manhole lid depths</t>
  </si>
  <si>
    <t>Water drain manhole</t>
  </si>
  <si>
    <t>Volume of slurry per day</t>
  </si>
  <si>
    <t>arch height for bag entry into oultet and inlt</t>
  </si>
  <si>
    <t>manhole brick volume</t>
  </si>
  <si>
    <t>height of hydrostatic head</t>
  </si>
  <si>
    <t>note: should be 0.4m or greater ideally (min 0.3m)</t>
  </si>
  <si>
    <t>Active Slurry Volume,Vs =</t>
  </si>
  <si>
    <t>manhole base concrete volume</t>
  </si>
  <si>
    <t>max head</t>
  </si>
  <si>
    <t>manhole lid</t>
  </si>
  <si>
    <t>Vt = Vs + G =</t>
  </si>
  <si>
    <t>Gas valve manhole</t>
  </si>
  <si>
    <t>gas valve  base, concrete</t>
  </si>
  <si>
    <t>3) rough digester dims</t>
  </si>
  <si>
    <t>gas valve lid, concrete</t>
  </si>
  <si>
    <t>Determine by length or diameter?</t>
  </si>
  <si>
    <t>Total bricks without wastage</t>
  </si>
  <si>
    <t>diameter</t>
  </si>
  <si>
    <t>if by length; cylinder length,                        l =</t>
  </si>
  <si>
    <t>rubber gas hose (to fit nozzle)</t>
  </si>
  <si>
    <t>volume ratio</t>
  </si>
  <si>
    <t>dry volume, m3</t>
  </si>
  <si>
    <t>Cement Proportion</t>
  </si>
  <si>
    <t>:</t>
  </si>
  <si>
    <t>Sand Proportion</t>
  </si>
  <si>
    <t>Aggregate proportion</t>
  </si>
  <si>
    <t>PVC cement pot+brush</t>
  </si>
  <si>
    <t>Cylinder radius, R = ((Vsd + Vd + Vs) / l.PI)^0.5=</t>
  </si>
  <si>
    <t>Thread tape roll</t>
  </si>
  <si>
    <t>Sand Volume, m3</t>
  </si>
  <si>
    <t>Cement Volume, m3</t>
  </si>
  <si>
    <t>D =</t>
  </si>
  <si>
    <t>Cement Bags, no.</t>
  </si>
  <si>
    <t>Aggregate Volume, m3</t>
  </si>
  <si>
    <t>water, l</t>
  </si>
  <si>
    <t>Total mortar</t>
  </si>
  <si>
    <t>If by diameter; diameter                                     D =</t>
  </si>
  <si>
    <t>R =</t>
  </si>
  <si>
    <t>Cylinder length,                    l = (Vsd + G)/PI.R^2 =</t>
  </si>
  <si>
    <t>Cylinder length,                                    l =</t>
  </si>
  <si>
    <t>bricks</t>
  </si>
  <si>
    <t xml:space="preserve">C = </t>
  </si>
  <si>
    <t>1/2 C =</t>
  </si>
  <si>
    <t>cement, 50kg bags</t>
  </si>
  <si>
    <t>4) Volume of gas expansion</t>
  </si>
  <si>
    <t>This section is not used anymore &gt;&gt;&gt;&gt;&gt;&gt; if we start to use it again it could reduce the size and cost of the biogas plant by reducing the storage amount required.</t>
  </si>
  <si>
    <t>Gas Usage Pattern Estimator:</t>
  </si>
  <si>
    <t>No. appliances</t>
  </si>
  <si>
    <t>Usage rate, m3/h</t>
  </si>
  <si>
    <t>Hours of use per use, h</t>
  </si>
  <si>
    <t>No of times used per day</t>
  </si>
  <si>
    <t>Gas consumed Total, m3/day</t>
  </si>
  <si>
    <t>Gas consumed in one use, m3</t>
  </si>
  <si>
    <t>sand</t>
  </si>
  <si>
    <t>2” Dia stove</t>
  </si>
  <si>
    <t>aggregate</t>
  </si>
  <si>
    <t>4” dia stove</t>
  </si>
  <si>
    <t>1 metre</t>
  </si>
  <si>
    <t>mesh for ferrocement, 1/2"</t>
  </si>
  <si>
    <t>6” dia stove</t>
  </si>
  <si>
    <t>ft</t>
  </si>
  <si>
    <t>Total concrete</t>
  </si>
  <si>
    <t>Lamp, 1 mantle</t>
  </si>
  <si>
    <t>Lamp, 2 mantle</t>
  </si>
  <si>
    <t>Refrigerator</t>
  </si>
  <si>
    <t>Plastic pipe (if used) for inlet/outlet, 0.5m dia.</t>
  </si>
  <si>
    <t>Incubator</t>
  </si>
  <si>
    <t>Table fan, 12” dia</t>
  </si>
  <si>
    <t>Room heater, 12” dia</t>
  </si>
  <si>
    <t>1 cement bag</t>
  </si>
  <si>
    <t>1.25cft</t>
  </si>
  <si>
    <t>Total Ferro cement</t>
  </si>
  <si>
    <t>1HP Engine</t>
  </si>
  <si>
    <t>1kW generator</t>
  </si>
  <si>
    <t>Other</t>
  </si>
  <si>
    <t xml:space="preserve">Total daily consumption  </t>
  </si>
  <si>
    <t>=</t>
  </si>
  <si>
    <t>Costs not included</t>
  </si>
  <si>
    <t>gas stove</t>
  </si>
  <si>
    <t>Vs = constant</t>
  </si>
  <si>
    <t>Vg = constant</t>
  </si>
  <si>
    <t>m3/bag</t>
  </si>
  <si>
    <t>Total aggregate</t>
  </si>
  <si>
    <t>Max total consumption in one usage</t>
  </si>
  <si>
    <t>m3,               =</t>
  </si>
  <si>
    <t>Labour - for digging</t>
  </si>
  <si>
    <t>t</t>
  </si>
  <si>
    <t>proportion of daily gas production in:</t>
  </si>
  <si>
    <t>1m3 cement</t>
  </si>
  <si>
    <t>total</t>
  </si>
  <si>
    <t>bags/m3</t>
  </si>
  <si>
    <t>Note: for failsafe design ensure total consumption in one usage as a proportion of daily gas production is equal to 1.0, as should gas consumption for one usage increase supply gas pressure would be maintained</t>
  </si>
  <si>
    <t>Total sand</t>
  </si>
  <si>
    <t>Vsd = pdgp.G – h/24.G</t>
  </si>
  <si>
    <t>Therefore,             Vsd =</t>
  </si>
  <si>
    <t xml:space="preserve">         x</t>
  </si>
  <si>
    <t xml:space="preserve">              -                     (</t>
  </si>
  <si>
    <t>/24</t>
  </si>
  <si>
    <t xml:space="preserve">           x</t>
  </si>
  <si>
    <t>Water per cement bag</t>
  </si>
  <si>
    <t>l/bag</t>
  </si>
  <si>
    <t>Total cement bags (50kg bags)</t>
  </si>
  <si>
    <t>Max vol. Gas required in one usage</t>
  </si>
  <si>
    <t xml:space="preserve">              -                     </t>
  </si>
  <si>
    <t>Vol. of gas produced during usage</t>
  </si>
  <si>
    <t>And, Vd = G – Vsd =</t>
  </si>
  <si>
    <t>Sand density</t>
  </si>
  <si>
    <t>kg/m3</t>
  </si>
  <si>
    <t>Total Water</t>
  </si>
  <si>
    <t>Therefore  Vt = Vsd+Vs =</t>
  </si>
  <si>
    <t>l</t>
  </si>
  <si>
    <t>aggregate density</t>
  </si>
  <si>
    <t>Total bricks with wastage</t>
  </si>
  <si>
    <t>7) Calculation of outlet height and position in relation to dh and d:</t>
  </si>
  <si>
    <t>Mesh for ferro cement</t>
  </si>
  <si>
    <t>Cylinder radius, R = ((Vt) / l.PI)^0.5=</t>
  </si>
  <si>
    <t>End area of Vs            Avs = Vs / l =</t>
  </si>
  <si>
    <t>length</t>
  </si>
  <si>
    <t>dia</t>
  </si>
  <si>
    <t>Plastic pipe</t>
  </si>
  <si>
    <t>Calculation of height of Vs, hs</t>
  </si>
  <si>
    <t>General formula   AVs = R^2/2.(o – sin(o))</t>
  </si>
  <si>
    <t>Rearranges to     0 = o – sin.o – 2.AVd/R^2</t>
  </si>
  <si>
    <t>Therefore            f(o) = o – sin.o – 2.AVd/R^2</t>
  </si>
  <si>
    <t>And                     f'(o) = 1 – cos.o</t>
  </si>
  <si>
    <t>Avs =</t>
  </si>
  <si>
    <t>iteration</t>
  </si>
  <si>
    <t>o</t>
  </si>
  <si>
    <t>f(o)</t>
  </si>
  <si>
    <t>f'(o)</t>
  </si>
  <si>
    <t>therefore, o     =</t>
  </si>
  <si>
    <t>radians</t>
  </si>
  <si>
    <t>Adj = R.cos(o/2) =</t>
  </si>
  <si>
    <t>and hs = R – Adj =</t>
  </si>
  <si>
    <t>dim needs to be in the table</t>
  </si>
  <si>
    <t>Results: Reference Dimensions Of Custom Sized Digester</t>
  </si>
  <si>
    <t>Appliances assumption</t>
  </si>
  <si>
    <t>Enter no. lamps requ'd</t>
  </si>
  <si>
    <t>Note: Check figures entered in 'Gas Usage Pattern Estimator' above.</t>
  </si>
  <si>
    <t>Enter no. stoves requ'd</t>
  </si>
  <si>
    <t>Skilled labour estimation</t>
  </si>
  <si>
    <t>Labourer estimation</t>
  </si>
  <si>
    <t>Plant size, Vs+G =</t>
  </si>
  <si>
    <t xml:space="preserve">Manhole for water drain size </t>
  </si>
  <si>
    <t>Length/width</t>
  </si>
  <si>
    <t>depth</t>
  </si>
  <si>
    <t>Manhole for main gas valve</t>
  </si>
  <si>
    <t>length/width</t>
  </si>
  <si>
    <t>Ferro Cement Cover</t>
  </si>
  <si>
    <t>Arch/tunnel circumference</t>
  </si>
  <si>
    <t>oversized diameter</t>
  </si>
  <si>
    <t>Arch/tunnel volume, ferro cement</t>
  </si>
  <si>
    <t xml:space="preserve">size of bag </t>
  </si>
  <si>
    <t>cost</t>
  </si>
  <si>
    <t>HDPE sheet 32x7.5m2</t>
  </si>
  <si>
    <t>Travel Expenses for Sheet</t>
  </si>
  <si>
    <t>Transport of material from Nairobi to Eldoret</t>
  </si>
  <si>
    <t>Transport of sheet from Eldoret</t>
  </si>
  <si>
    <t>Total</t>
  </si>
  <si>
    <t>KSH</t>
  </si>
  <si>
    <t>KSH/m2</t>
  </si>
  <si>
    <t>cost cow</t>
  </si>
  <si>
    <t>£/m2</t>
  </si>
  <si>
    <t>length if rectangle inlet/outlet</t>
  </si>
  <si>
    <t>mid circumference if circular inlet &amp; outlet</t>
  </si>
  <si>
    <t>Rectangular inlet/outlet width</t>
  </si>
  <si>
    <t>Rectangular Intlet/outlet length</t>
  </si>
  <si>
    <t>Inlet outlet intenal dimensions</t>
  </si>
  <si>
    <t>HDPE Costs</t>
  </si>
  <si>
    <t>small</t>
  </si>
  <si>
    <t>large</t>
  </si>
  <si>
    <t>old equation</t>
  </si>
  <si>
    <t>circular - outlet height above Hs for outlet</t>
  </si>
  <si>
    <t>rectangular - outlet height above Hs or outlet</t>
  </si>
  <si>
    <t>Length of plastic sheet (1mm HDPE, LDPE, Rubber or PVC)</t>
  </si>
  <si>
    <t>bag pull out of inlet/outlet</t>
  </si>
  <si>
    <t>big length</t>
  </si>
  <si>
    <t>small length</t>
  </si>
  <si>
    <t>cutting diagram</t>
  </si>
  <si>
    <t>iron sheet cost</t>
  </si>
  <si>
    <t xml:space="preserve">Ferro cement ~ </t>
  </si>
  <si>
    <t>thatch roof</t>
  </si>
  <si>
    <t>6 times l=2m sheet, w=1m</t>
  </si>
  <si>
    <t>?</t>
  </si>
  <si>
    <t>grass</t>
  </si>
  <si>
    <t>Plain Sheet</t>
  </si>
  <si>
    <t>ksh/m2</t>
  </si>
  <si>
    <t>flat metal bar</t>
  </si>
  <si>
    <t>ksh/3m</t>
  </si>
  <si>
    <t>iron sheet roof</t>
  </si>
  <si>
    <t>ridge sheet, 2m</t>
  </si>
  <si>
    <t>iron ridge 2m long</t>
  </si>
  <si>
    <t>Iron sheet, 2m x 1m</t>
  </si>
  <si>
    <t>Roof Options</t>
  </si>
  <si>
    <t>Fill in the yellow cells, white cells are constants and blue cells are calculations</t>
  </si>
  <si>
    <r>
      <t>initial</t>
    </r>
    <r>
      <rPr>
        <i/>
        <sz val="10"/>
        <rFont val="Arial"/>
      </rPr>
      <t>, kg collected</t>
    </r>
  </si>
  <si>
    <t>certificates</t>
  </si>
  <si>
    <t>teaching notes</t>
  </si>
  <si>
    <t>transfer files</t>
  </si>
  <si>
    <t>app.</t>
  </si>
  <si>
    <t>O&amp;M training</t>
  </si>
  <si>
    <t>GS to do</t>
  </si>
  <si>
    <t>Design certificates</t>
  </si>
  <si>
    <t>at airport?</t>
  </si>
  <si>
    <t>JC to do</t>
  </si>
  <si>
    <t>HS - Depth of pit</t>
  </si>
  <si>
    <t>IOD - inlet and outlet depth</t>
  </si>
  <si>
    <t>&lt;&lt; check this equation, needs to change if rectangular and work out the height pushed down</t>
  </si>
  <si>
    <t>max height of throat</t>
  </si>
  <si>
    <t>Throat height max</t>
  </si>
  <si>
    <t>Head max</t>
  </si>
  <si>
    <t>Iron Sheets, 2x1m</t>
  </si>
  <si>
    <t>Ridge sheet, 2m long</t>
  </si>
  <si>
    <t>25mm internal dia. gas pipe</t>
  </si>
  <si>
    <t>25mm, 90 degrees elbow</t>
  </si>
  <si>
    <t>25mm, tank connector</t>
  </si>
  <si>
    <t>conversion to £</t>
  </si>
  <si>
    <t>with pipe out of side of bag</t>
  </si>
  <si>
    <t>cost just for snacks</t>
  </si>
  <si>
    <t>40kg based on 6 cows with partial grazing</t>
  </si>
  <si>
    <t>25mm, female main gas valve</t>
  </si>
  <si>
    <t>25mm, female drain valve (same as gas valve)</t>
  </si>
  <si>
    <t>25mm, sockets</t>
  </si>
  <si>
    <t>25mm, tee</t>
  </si>
  <si>
    <t>25mm, union</t>
  </si>
  <si>
    <t>25mm, female nozzle</t>
  </si>
  <si>
    <t>coeficition of friction</t>
  </si>
  <si>
    <t>Mass</t>
  </si>
  <si>
    <t>Frictoin force = t*M*g</t>
  </si>
  <si>
    <t>g</t>
  </si>
  <si>
    <t>N</t>
  </si>
  <si>
    <t>Max normal force before slip occurs</t>
  </si>
  <si>
    <t>Max force exerted</t>
  </si>
  <si>
    <t>head</t>
  </si>
  <si>
    <t>max head exerted</t>
  </si>
  <si>
    <t>(coefficient of friction based on metal against plastic)</t>
  </si>
  <si>
    <t>force on bag</t>
  </si>
  <si>
    <t>frictoin force</t>
  </si>
  <si>
    <t>A</t>
  </si>
  <si>
    <t>B</t>
  </si>
  <si>
    <t>rough calc of friction force on PVC sheet under water pressure</t>
  </si>
  <si>
    <t>scrap area</t>
  </si>
  <si>
    <t>Out let and inlet heights</t>
  </si>
  <si>
    <t>equation number</t>
  </si>
  <si>
    <t>)                       =</t>
  </si>
  <si>
    <t>height above ground level of outlet based on gaas being used twice a day.</t>
  </si>
  <si>
    <t>rectangular</t>
  </si>
  <si>
    <t>Circular</t>
  </si>
  <si>
    <t>Ho = G/(2.PI.Ro2) = G/(2.0.5.(D-2b))</t>
  </si>
  <si>
    <t>want to keep this about 0.3m</t>
  </si>
  <si>
    <t>can we reverse it to work out L - I think we can!</t>
  </si>
  <si>
    <t>Ho = G/(2.Lo.D0) = G/(2.Lo.(D-2b))</t>
  </si>
  <si>
    <t>L rectangular =</t>
  </si>
  <si>
    <t>Max height above ground for Ho</t>
  </si>
  <si>
    <t>D circular =</t>
  </si>
  <si>
    <t>Revisions</t>
  </si>
  <si>
    <t>GS 160701</t>
  </si>
  <si>
    <t>Sizing B151</t>
  </si>
  <si>
    <t>0.15m gap to edge of pit removed. Inlet/oulet now built right up to edge of pit.</t>
  </si>
  <si>
    <t>Rev 08</t>
  </si>
  <si>
    <t>Arch/tunnel thickness</t>
  </si>
  <si>
    <t>checks that outlet pipe is higher than outlet height</t>
  </si>
  <si>
    <t>Weight that can be applied to plastic bag to express stored gas:</t>
  </si>
  <si>
    <t>Pressure head</t>
  </si>
  <si>
    <t>Resultant pressure</t>
  </si>
  <si>
    <t>Pa</t>
  </si>
  <si>
    <t>assumes area of bags ~ 0.4x0.7=0.28m2</t>
  </si>
  <si>
    <t>Concrete bag area</t>
  </si>
  <si>
    <t>Concrete bag mass</t>
  </si>
  <si>
    <t>No. bags to be applied</t>
  </si>
  <si>
    <t>bags</t>
  </si>
  <si>
    <t>assumes bags are laid on their sides</t>
  </si>
  <si>
    <t>set to make sure pipe outlet is 0.15m higher than top of brick outlet</t>
  </si>
  <si>
    <t>design okay</t>
  </si>
  <si>
    <t>Rev 09</t>
  </si>
  <si>
    <t>GS 160708</t>
  </si>
  <si>
    <t>Quantities J15</t>
  </si>
  <si>
    <t>height of outlet set to always be 0.15m less than bag height. Sizing charts updated</t>
  </si>
  <si>
    <t>Quantities A49</t>
  </si>
  <si>
    <t>no. of bags to be added to create pressure to evacuate gas storage volume added</t>
  </si>
  <si>
    <t>circular inlet/outlet</t>
  </si>
  <si>
    <t>Inlet and oulet diameter (if curcular)</t>
  </si>
  <si>
    <t>Inlet and oulet depth, Lio (if rectangular)</t>
  </si>
  <si>
    <t>Dio - Oulet.inlet Dia if circular</t>
  </si>
  <si>
    <t>Lio - Outlet/inlet Length if rectangle</t>
  </si>
  <si>
    <t>Rev 10</t>
  </si>
  <si>
    <t>GS 161124</t>
  </si>
  <si>
    <t>Quantities J17</t>
  </si>
  <si>
    <t>circulat inlet and outlet corrected, rectangular was correct</t>
  </si>
  <si>
    <t>TZ</t>
  </si>
  <si>
    <t>$</t>
  </si>
  <si>
    <t>Rectangular</t>
  </si>
  <si>
    <t>CREATIVenergie</t>
  </si>
  <si>
    <t>This calculation has been designed by CREATIVenergie and is distributed under the CERN Open Hardware License V1.2</t>
  </si>
  <si>
    <t>This is 'copycleft' license which means that any copying of this information requires the results hardware product to also be 'copycleft'.</t>
  </si>
  <si>
    <t>A copy of the CERN Open Hardware License can be found at: http://www.ohwr.org/documents/294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</si>
</sst>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"/>
    <numFmt numFmtId="166" formatCode="[$Ksh]#,##0.00"/>
    <numFmt numFmtId="167" formatCode="[$£-809]#,##0.00"/>
    <numFmt numFmtId="168" formatCode="0.00000"/>
    <numFmt numFmtId="169" formatCode="[$PHP]\ #,##0.00"/>
    <numFmt numFmtId="170" formatCode="&quot;£&quot;#,##0.00"/>
  </numFmts>
  <fonts count="30" x14ac:knownFonts="1">
    <font>
      <sz val="10"/>
      <name val="Arial"/>
    </font>
    <font>
      <b/>
      <sz val="12"/>
      <name val="Arial"/>
    </font>
    <font>
      <sz val="12"/>
      <color rgb="FF000000"/>
      <name val="Calibri"/>
    </font>
    <font>
      <b/>
      <sz val="12"/>
      <color rgb="FF000000"/>
      <name val="Calibri"/>
    </font>
    <font>
      <b/>
      <sz val="10"/>
      <name val="Arial"/>
    </font>
    <font>
      <sz val="10"/>
      <name val="Arial"/>
    </font>
    <font>
      <i/>
      <sz val="10"/>
      <name val="Arial"/>
    </font>
    <font>
      <i/>
      <sz val="10"/>
      <name val="Arial"/>
    </font>
    <font>
      <b/>
      <sz val="10"/>
      <name val="Arial"/>
    </font>
    <font>
      <sz val="10"/>
      <color rgb="FFFFFFFF"/>
      <name val="Arial"/>
    </font>
    <font>
      <b/>
      <i/>
      <sz val="12"/>
      <color rgb="FF000000"/>
      <name val="Calibri"/>
    </font>
    <font>
      <b/>
      <i/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i/>
      <sz val="12"/>
      <color rgb="FF000000"/>
      <name val="Calibri"/>
    </font>
    <font>
      <b/>
      <sz val="10"/>
      <name val="Arial"/>
    </font>
    <font>
      <i/>
      <sz val="10"/>
      <color rgb="FF000000"/>
      <name val="Arial"/>
    </font>
    <font>
      <sz val="10"/>
      <name val="Arial"/>
    </font>
    <font>
      <sz val="10"/>
      <color rgb="FFFFFFFF"/>
      <name val="Arial"/>
    </font>
    <font>
      <b/>
      <i/>
      <sz val="10"/>
      <color rgb="FF000000"/>
      <name val="Arial"/>
    </font>
    <font>
      <b/>
      <i/>
      <sz val="10"/>
      <name val="Arial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u/>
      <sz val="10"/>
      <name val="Arial"/>
    </font>
    <font>
      <sz val="8"/>
      <name val="Arial"/>
    </font>
    <font>
      <sz val="12"/>
      <color rgb="FFFF0000"/>
      <name val="Calibri"/>
    </font>
    <font>
      <sz val="10"/>
      <color theme="9"/>
      <name val="Arial"/>
    </font>
    <font>
      <sz val="12"/>
      <color theme="9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969696"/>
        <bgColor rgb="FF969696"/>
      </patternFill>
    </fill>
    <fill>
      <patternFill patternType="solid">
        <fgColor rgb="FF99CCFF"/>
        <bgColor rgb="FF99CCFF"/>
      </patternFill>
    </fill>
    <fill>
      <patternFill patternType="solid">
        <fgColor rgb="FF999999"/>
        <bgColor rgb="FF999999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0" tint="-0.14999847407452621"/>
        <bgColor rgb="FF99CCFF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4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1"/>
  </cellStyleXfs>
  <cellXfs count="15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3" fillId="3" borderId="1" xfId="0" applyFont="1" applyFill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5" fillId="4" borderId="1" xfId="0" applyFont="1" applyFill="1" applyBorder="1" applyAlignment="1"/>
    <xf numFmtId="0" fontId="6" fillId="0" borderId="1" xfId="0" applyFont="1" applyBorder="1"/>
    <xf numFmtId="0" fontId="7" fillId="0" borderId="1" xfId="0" applyFont="1" applyBorder="1" applyAlignment="1"/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5" fillId="0" borderId="2" xfId="0" applyFont="1" applyBorder="1"/>
    <xf numFmtId="0" fontId="8" fillId="0" borderId="3" xfId="0" applyFont="1" applyBorder="1"/>
    <xf numFmtId="0" fontId="8" fillId="0" borderId="3" xfId="0" applyFont="1" applyBorder="1" applyAlignment="1">
      <alignment wrapText="1"/>
    </xf>
    <xf numFmtId="0" fontId="8" fillId="0" borderId="1" xfId="0" applyFont="1" applyBorder="1"/>
    <xf numFmtId="0" fontId="3" fillId="3" borderId="1" xfId="0" applyFont="1" applyFill="1" applyBorder="1"/>
    <xf numFmtId="164" fontId="5" fillId="6" borderId="1" xfId="0" applyNumberFormat="1" applyFont="1" applyFill="1" applyBorder="1"/>
    <xf numFmtId="0" fontId="9" fillId="7" borderId="4" xfId="0" applyFont="1" applyFill="1" applyBorder="1" applyAlignment="1"/>
    <xf numFmtId="0" fontId="2" fillId="3" borderId="1" xfId="0" applyFont="1" applyFill="1" applyBorder="1"/>
    <xf numFmtId="2" fontId="9" fillId="7" borderId="4" xfId="0" applyNumberFormat="1" applyFont="1" applyFill="1" applyBorder="1"/>
    <xf numFmtId="0" fontId="8" fillId="0" borderId="1" xfId="0" applyFont="1" applyBorder="1" applyAlignment="1">
      <alignment wrapText="1"/>
    </xf>
    <xf numFmtId="0" fontId="5" fillId="0" borderId="4" xfId="0" applyFont="1" applyBorder="1" applyAlignment="1"/>
    <xf numFmtId="2" fontId="2" fillId="8" borderId="1" xfId="0" applyNumberFormat="1" applyFont="1" applyFill="1" applyBorder="1" applyAlignment="1"/>
    <xf numFmtId="0" fontId="2" fillId="9" borderId="1" xfId="0" applyFont="1" applyFill="1" applyBorder="1"/>
    <xf numFmtId="164" fontId="5" fillId="6" borderId="4" xfId="0" applyNumberFormat="1" applyFont="1" applyFill="1" applyBorder="1"/>
    <xf numFmtId="0" fontId="6" fillId="0" borderId="1" xfId="0" applyFont="1" applyBorder="1"/>
    <xf numFmtId="4" fontId="5" fillId="0" borderId="4" xfId="0" applyNumberFormat="1" applyFont="1" applyBorder="1"/>
    <xf numFmtId="0" fontId="2" fillId="0" borderId="5" xfId="0" applyFont="1" applyBorder="1"/>
    <xf numFmtId="0" fontId="5" fillId="6" borderId="1" xfId="0" applyFont="1" applyFill="1" applyBorder="1"/>
    <xf numFmtId="2" fontId="2" fillId="6" borderId="1" xfId="0" applyNumberFormat="1" applyFont="1" applyFill="1" applyBorder="1"/>
    <xf numFmtId="0" fontId="5" fillId="0" borderId="4" xfId="0" applyFont="1" applyBorder="1" applyAlignment="1">
      <alignment wrapText="1"/>
    </xf>
    <xf numFmtId="2" fontId="2" fillId="6" borderId="5" xfId="0" applyNumberFormat="1" applyFont="1" applyFill="1" applyBorder="1"/>
    <xf numFmtId="0" fontId="10" fillId="0" borderId="1" xfId="0" applyFont="1" applyBorder="1" applyAlignment="1"/>
    <xf numFmtId="165" fontId="2" fillId="6" borderId="5" xfId="0" applyNumberFormat="1" applyFont="1" applyFill="1" applyBorder="1"/>
    <xf numFmtId="4" fontId="5" fillId="0" borderId="4" xfId="0" applyNumberFormat="1" applyFont="1" applyBorder="1" applyAlignment="1"/>
    <xf numFmtId="0" fontId="2" fillId="8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164" fontId="2" fillId="0" borderId="1" xfId="0" applyNumberFormat="1" applyFont="1" applyBorder="1"/>
    <xf numFmtId="2" fontId="2" fillId="8" borderId="1" xfId="0" applyNumberFormat="1" applyFont="1" applyFill="1" applyBorder="1"/>
    <xf numFmtId="4" fontId="5" fillId="0" borderId="1" xfId="0" applyNumberFormat="1" applyFont="1" applyBorder="1"/>
    <xf numFmtId="165" fontId="2" fillId="6" borderId="1" xfId="0" applyNumberFormat="1" applyFont="1" applyFill="1" applyBorder="1"/>
    <xf numFmtId="164" fontId="12" fillId="6" borderId="1" xfId="0" applyNumberFormat="1" applyFont="1" applyFill="1" applyBorder="1"/>
    <xf numFmtId="0" fontId="13" fillId="8" borderId="1" xfId="0" applyFont="1" applyFill="1" applyBorder="1" applyAlignment="1"/>
    <xf numFmtId="0" fontId="5" fillId="0" borderId="4" xfId="0" applyFont="1" applyBorder="1"/>
    <xf numFmtId="166" fontId="2" fillId="0" borderId="1" xfId="0" applyNumberFormat="1" applyFont="1" applyBorder="1"/>
    <xf numFmtId="164" fontId="12" fillId="10" borderId="1" xfId="0" applyNumberFormat="1" applyFont="1" applyFill="1" applyBorder="1"/>
    <xf numFmtId="167" fontId="2" fillId="0" borderId="1" xfId="0" applyNumberFormat="1" applyFont="1" applyBorder="1"/>
    <xf numFmtId="0" fontId="13" fillId="8" borderId="1" xfId="0" applyFont="1" applyFill="1" applyBorder="1"/>
    <xf numFmtId="10" fontId="5" fillId="0" borderId="1" xfId="0" applyNumberFormat="1" applyFont="1" applyBorder="1"/>
    <xf numFmtId="0" fontId="2" fillId="8" borderId="1" xfId="0" applyFont="1" applyFill="1" applyBorder="1"/>
    <xf numFmtId="164" fontId="6" fillId="0" borderId="1" xfId="0" applyNumberFormat="1" applyFont="1" applyBorder="1"/>
    <xf numFmtId="164" fontId="5" fillId="10" borderId="1" xfId="0" applyNumberFormat="1" applyFont="1" applyFill="1" applyBorder="1"/>
    <xf numFmtId="1" fontId="5" fillId="0" borderId="4" xfId="0" applyNumberFormat="1" applyFont="1" applyBorder="1"/>
    <xf numFmtId="0" fontId="14" fillId="0" borderId="1" xfId="0" applyFont="1" applyBorder="1" applyAlignment="1"/>
    <xf numFmtId="2" fontId="2" fillId="0" borderId="1" xfId="0" applyNumberFormat="1" applyFont="1" applyBorder="1"/>
    <xf numFmtId="0" fontId="11" fillId="0" borderId="1" xfId="0" applyFont="1" applyBorder="1" applyAlignment="1"/>
    <xf numFmtId="165" fontId="2" fillId="0" borderId="1" xfId="0" applyNumberFormat="1" applyFont="1" applyBorder="1"/>
    <xf numFmtId="0" fontId="5" fillId="0" borderId="4" xfId="0" applyFont="1" applyBorder="1" applyAlignment="1">
      <alignment vertical="center" wrapText="1"/>
    </xf>
    <xf numFmtId="0" fontId="8" fillId="9" borderId="1" xfId="0" applyFont="1" applyFill="1" applyBorder="1"/>
    <xf numFmtId="164" fontId="2" fillId="6" borderId="1" xfId="0" applyNumberFormat="1" applyFont="1" applyFill="1" applyBorder="1" applyAlignment="1"/>
    <xf numFmtId="164" fontId="13" fillId="8" borderId="1" xfId="0" applyNumberFormat="1" applyFont="1" applyFill="1" applyBorder="1" applyAlignment="1"/>
    <xf numFmtId="2" fontId="8" fillId="6" borderId="5" xfId="0" applyNumberFormat="1" applyFont="1" applyFill="1" applyBorder="1"/>
    <xf numFmtId="164" fontId="5" fillId="0" borderId="4" xfId="0" applyNumberFormat="1" applyFont="1" applyBorder="1"/>
    <xf numFmtId="2" fontId="8" fillId="0" borderId="1" xfId="0" applyNumberFormat="1" applyFont="1" applyBorder="1"/>
    <xf numFmtId="0" fontId="2" fillId="6" borderId="1" xfId="0" applyFont="1" applyFill="1" applyBorder="1" applyAlignment="1"/>
    <xf numFmtId="0" fontId="2" fillId="8" borderId="1" xfId="0" applyFont="1" applyFill="1" applyBorder="1" applyAlignment="1"/>
    <xf numFmtId="0" fontId="6" fillId="0" borderId="1" xfId="0" applyFont="1" applyBorder="1" applyAlignment="1"/>
    <xf numFmtId="164" fontId="8" fillId="6" borderId="1" xfId="0" applyNumberFormat="1" applyFont="1" applyFill="1" applyBorder="1"/>
    <xf numFmtId="164" fontId="8" fillId="6" borderId="1" xfId="0" applyNumberFormat="1" applyFont="1" applyFill="1" applyBorder="1"/>
    <xf numFmtId="0" fontId="2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/>
    <xf numFmtId="2" fontId="13" fillId="8" borderId="1" xfId="0" applyNumberFormat="1" applyFont="1" applyFill="1" applyBorder="1" applyAlignment="1"/>
    <xf numFmtId="164" fontId="13" fillId="6" borderId="1" xfId="0" applyNumberFormat="1" applyFont="1" applyFill="1" applyBorder="1"/>
    <xf numFmtId="0" fontId="15" fillId="0" borderId="1" xfId="0" applyFont="1" applyBorder="1" applyAlignment="1"/>
    <xf numFmtId="0" fontId="15" fillId="0" borderId="1" xfId="0" applyFont="1" applyBorder="1" applyAlignment="1">
      <alignment horizontal="center"/>
    </xf>
    <xf numFmtId="0" fontId="16" fillId="0" borderId="1" xfId="0" applyFont="1" applyBorder="1"/>
    <xf numFmtId="0" fontId="15" fillId="0" borderId="1" xfId="0" applyFont="1" applyBorder="1" applyAlignment="1"/>
    <xf numFmtId="9" fontId="2" fillId="8" borderId="1" xfId="0" applyNumberFormat="1" applyFont="1" applyFill="1" applyBorder="1" applyAlignment="1"/>
    <xf numFmtId="10" fontId="2" fillId="0" borderId="1" xfId="0" applyNumberFormat="1" applyFont="1" applyBorder="1"/>
    <xf numFmtId="4" fontId="5" fillId="6" borderId="1" xfId="0" applyNumberFormat="1" applyFont="1" applyFill="1" applyBorder="1"/>
    <xf numFmtId="0" fontId="17" fillId="8" borderId="1" xfId="0" applyFont="1" applyFill="1" applyBorder="1" applyAlignment="1">
      <alignment horizontal="right"/>
    </xf>
    <xf numFmtId="0" fontId="15" fillId="0" borderId="1" xfId="0" applyFont="1" applyBorder="1" applyAlignment="1">
      <alignment horizontal="center"/>
    </xf>
    <xf numFmtId="0" fontId="17" fillId="8" borderId="1" xfId="0" applyFont="1" applyFill="1" applyBorder="1" applyAlignment="1">
      <alignment horizontal="right"/>
    </xf>
    <xf numFmtId="164" fontId="17" fillId="6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164" fontId="0" fillId="6" borderId="1" xfId="0" applyNumberFormat="1" applyFont="1" applyFill="1" applyBorder="1"/>
    <xf numFmtId="164" fontId="2" fillId="6" borderId="1" xfId="0" applyNumberFormat="1" applyFont="1" applyFill="1" applyBorder="1"/>
    <xf numFmtId="164" fontId="17" fillId="0" borderId="1" xfId="0" applyNumberFormat="1" applyFont="1" applyBorder="1" applyAlignment="1"/>
    <xf numFmtId="0" fontId="18" fillId="0" borderId="1" xfId="0" applyFont="1" applyBorder="1"/>
    <xf numFmtId="0" fontId="17" fillId="0" borderId="1" xfId="0" applyFont="1" applyBorder="1" applyAlignment="1"/>
    <xf numFmtId="0" fontId="17" fillId="0" borderId="1" xfId="0" applyFont="1" applyBorder="1" applyAlignment="1"/>
    <xf numFmtId="0" fontId="17" fillId="0" borderId="1" xfId="0" applyFont="1" applyBorder="1" applyAlignment="1">
      <alignment horizontal="right"/>
    </xf>
    <xf numFmtId="0" fontId="17" fillId="8" borderId="1" xfId="0" applyFont="1" applyFill="1" applyBorder="1" applyAlignment="1">
      <alignment horizontal="right"/>
    </xf>
    <xf numFmtId="0" fontId="2" fillId="11" borderId="1" xfId="0" applyFont="1" applyFill="1" applyBorder="1" applyAlignment="1"/>
    <xf numFmtId="0" fontId="17" fillId="0" borderId="1" xfId="0" applyFont="1" applyBorder="1" applyAlignment="1">
      <alignment horizontal="right"/>
    </xf>
    <xf numFmtId="2" fontId="8" fillId="0" borderId="5" xfId="0" applyNumberFormat="1" applyFont="1" applyBorder="1"/>
    <xf numFmtId="164" fontId="17" fillId="0" borderId="1" xfId="0" applyNumberFormat="1" applyFont="1" applyBorder="1" applyAlignment="1">
      <alignment horizontal="right"/>
    </xf>
    <xf numFmtId="165" fontId="8" fillId="6" borderId="1" xfId="0" applyNumberFormat="1" applyFont="1" applyFill="1" applyBorder="1"/>
    <xf numFmtId="0" fontId="15" fillId="0" borderId="1" xfId="0" applyFont="1" applyBorder="1" applyAlignment="1">
      <alignment horizontal="left"/>
    </xf>
    <xf numFmtId="164" fontId="17" fillId="0" borderId="1" xfId="0" applyNumberFormat="1" applyFont="1" applyBorder="1" applyAlignment="1">
      <alignment horizontal="center"/>
    </xf>
    <xf numFmtId="168" fontId="12" fillId="0" borderId="1" xfId="0" applyNumberFormat="1" applyFont="1" applyBorder="1"/>
    <xf numFmtId="0" fontId="19" fillId="0" borderId="1" xfId="0" applyFont="1" applyBorder="1"/>
    <xf numFmtId="0" fontId="2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64" fontId="6" fillId="6" borderId="1" xfId="0" applyNumberFormat="1" applyFont="1" applyFill="1" applyBorder="1"/>
    <xf numFmtId="0" fontId="5" fillId="0" borderId="1" xfId="0" applyFont="1" applyBorder="1"/>
    <xf numFmtId="164" fontId="14" fillId="0" borderId="1" xfId="0" applyNumberFormat="1" applyFont="1" applyBorder="1" applyAlignment="1"/>
    <xf numFmtId="0" fontId="1" fillId="5" borderId="1" xfId="0" applyFont="1" applyFill="1" applyBorder="1"/>
    <xf numFmtId="0" fontId="20" fillId="0" borderId="1" xfId="0" applyFont="1" applyBorder="1"/>
    <xf numFmtId="165" fontId="12" fillId="6" borderId="1" xfId="0" applyNumberFormat="1" applyFont="1" applyFill="1" applyBorder="1"/>
    <xf numFmtId="2" fontId="12" fillId="6" borderId="1" xfId="0" applyNumberFormat="1" applyFont="1" applyFill="1" applyBorder="1"/>
    <xf numFmtId="4" fontId="13" fillId="6" borderId="1" xfId="0" applyNumberFormat="1" applyFont="1" applyFill="1" applyBorder="1"/>
    <xf numFmtId="4" fontId="13" fillId="8" borderId="1" xfId="0" applyNumberFormat="1" applyFont="1" applyFill="1" applyBorder="1" applyAlignment="1"/>
    <xf numFmtId="0" fontId="4" fillId="0" borderId="0" xfId="0" applyFont="1"/>
    <xf numFmtId="0" fontId="0" fillId="0" borderId="6" xfId="0" applyBorder="1"/>
    <xf numFmtId="164" fontId="0" fillId="0" borderId="0" xfId="0" applyNumberFormat="1"/>
    <xf numFmtId="0" fontId="11" fillId="0" borderId="0" xfId="0" applyFont="1"/>
    <xf numFmtId="0" fontId="2" fillId="0" borderId="1" xfId="0" applyFont="1" applyFill="1" applyBorder="1" applyAlignment="1"/>
    <xf numFmtId="9" fontId="0" fillId="0" borderId="0" xfId="0" applyNumberFormat="1"/>
    <xf numFmtId="0" fontId="0" fillId="0" borderId="4" xfId="0" applyFont="1" applyBorder="1" applyAlignment="1">
      <alignment wrapText="1"/>
    </xf>
    <xf numFmtId="0" fontId="0" fillId="0" borderId="7" xfId="0" applyBorder="1"/>
    <xf numFmtId="164" fontId="0" fillId="0" borderId="7" xfId="0" applyNumberFormat="1" applyBorder="1"/>
    <xf numFmtId="0" fontId="0" fillId="0" borderId="0" xfId="0" applyFont="1"/>
    <xf numFmtId="0" fontId="25" fillId="0" borderId="0" xfId="0" applyFont="1"/>
    <xf numFmtId="0" fontId="0" fillId="0" borderId="4" xfId="0" applyFont="1" applyBorder="1" applyAlignment="1"/>
    <xf numFmtId="0" fontId="0" fillId="0" borderId="4" xfId="0" applyFont="1" applyBorder="1" applyAlignment="1">
      <alignment vertical="center" wrapText="1"/>
    </xf>
    <xf numFmtId="4" fontId="0" fillId="0" borderId="4" xfId="0" applyNumberFormat="1" applyFont="1" applyBorder="1" applyAlignment="1"/>
    <xf numFmtId="0" fontId="0" fillId="0" borderId="1" xfId="0" applyBorder="1"/>
    <xf numFmtId="164" fontId="0" fillId="0" borderId="1" xfId="0" applyNumberFormat="1" applyBorder="1"/>
    <xf numFmtId="164" fontId="5" fillId="12" borderId="4" xfId="0" applyNumberFormat="1" applyFont="1" applyFill="1" applyBorder="1"/>
    <xf numFmtId="0" fontId="5" fillId="12" borderId="4" xfId="0" applyFont="1" applyFill="1" applyBorder="1"/>
    <xf numFmtId="4" fontId="5" fillId="12" borderId="4" xfId="0" applyNumberFormat="1" applyFont="1" applyFill="1" applyBorder="1"/>
    <xf numFmtId="1" fontId="5" fillId="12" borderId="4" xfId="0" applyNumberFormat="1" applyFont="1" applyFill="1" applyBorder="1"/>
    <xf numFmtId="164" fontId="2" fillId="13" borderId="1" xfId="0" applyNumberFormat="1" applyFont="1" applyFill="1" applyBorder="1"/>
    <xf numFmtId="164" fontId="5" fillId="13" borderId="1" xfId="0" applyNumberFormat="1" applyFont="1" applyFill="1" applyBorder="1"/>
    <xf numFmtId="0" fontId="2" fillId="13" borderId="1" xfId="0" applyFont="1" applyFill="1" applyBorder="1"/>
    <xf numFmtId="0" fontId="27" fillId="0" borderId="1" xfId="0" applyFont="1" applyBorder="1" applyAlignment="1"/>
    <xf numFmtId="0" fontId="27" fillId="0" borderId="1" xfId="0" applyFont="1" applyBorder="1"/>
    <xf numFmtId="0" fontId="3" fillId="0" borderId="6" xfId="0" applyFont="1" applyBorder="1" applyAlignment="1"/>
    <xf numFmtId="0" fontId="2" fillId="0" borderId="6" xfId="0" applyFont="1" applyBorder="1"/>
    <xf numFmtId="0" fontId="2" fillId="0" borderId="6" xfId="0" applyFont="1" applyBorder="1" applyAlignment="1"/>
    <xf numFmtId="167" fontId="2" fillId="0" borderId="6" xfId="0" applyNumberFormat="1" applyFont="1" applyBorder="1"/>
    <xf numFmtId="169" fontId="2" fillId="0" borderId="1" xfId="0" applyNumberFormat="1" applyFont="1" applyBorder="1"/>
    <xf numFmtId="169" fontId="2" fillId="0" borderId="6" xfId="0" applyNumberFormat="1" applyFont="1" applyBorder="1"/>
    <xf numFmtId="0" fontId="28" fillId="0" borderId="1" xfId="0" applyFont="1" applyBorder="1" applyAlignment="1"/>
    <xf numFmtId="0" fontId="29" fillId="0" borderId="1" xfId="0" applyFont="1" applyBorder="1" applyAlignment="1"/>
    <xf numFmtId="0" fontId="3" fillId="0" borderId="1" xfId="0" applyFont="1" applyBorder="1"/>
    <xf numFmtId="0" fontId="14" fillId="0" borderId="1" xfId="0" applyFont="1" applyBorder="1"/>
    <xf numFmtId="0" fontId="6" fillId="0" borderId="0" xfId="0" applyFont="1"/>
    <xf numFmtId="170" fontId="0" fillId="0" borderId="0" xfId="0" applyNumberFormat="1"/>
    <xf numFmtId="0" fontId="2" fillId="2" borderId="1" xfId="123" applyFont="1" applyFill="1" applyBorder="1"/>
    <xf numFmtId="0" fontId="5" fillId="0" borderId="1" xfId="123"/>
  </cellXfs>
  <cellStyles count="1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  <cellStyle name="Normal 2" xfId="123"/>
  </cellStyles>
  <dxfs count="12">
    <dxf>
      <font>
        <sz val="12"/>
        <color rgb="FF800000"/>
        <name val="Calibri"/>
      </font>
      <fill>
        <patternFill patternType="none"/>
      </fill>
      <border>
        <left/>
        <right/>
        <top/>
        <bottom/>
      </border>
    </dxf>
    <dxf>
      <font>
        <sz val="12"/>
        <color rgb="FF008000"/>
        <name val="Calibri"/>
      </font>
      <fill>
        <patternFill patternType="none"/>
      </fill>
      <border>
        <left/>
        <right/>
        <top/>
        <bottom/>
      </border>
    </dxf>
    <dxf>
      <font>
        <sz val="12"/>
        <color rgb="FF000000"/>
        <name val="Calibri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sz val="12"/>
        <color rgb="FF000000"/>
        <name val="Calibri"/>
      </font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sz val="12"/>
        <color rgb="FF800000"/>
        <name val="Calibri"/>
      </font>
      <fill>
        <patternFill patternType="none"/>
      </fill>
      <border>
        <left/>
        <right/>
        <top/>
        <bottom/>
      </border>
    </dxf>
    <dxf>
      <font>
        <sz val="12"/>
        <color rgb="FF008000"/>
        <name val="Calibri"/>
      </font>
      <fill>
        <patternFill patternType="none"/>
      </fill>
      <border>
        <left/>
        <right/>
        <top/>
        <bottom/>
      </border>
    </dxf>
    <dxf>
      <font>
        <sz val="12"/>
        <color rgb="FF800000"/>
        <name val="Calibri"/>
      </font>
      <fill>
        <patternFill patternType="none"/>
      </fill>
      <border>
        <left/>
        <right/>
        <top/>
        <bottom/>
      </border>
    </dxf>
    <dxf>
      <font>
        <sz val="12"/>
        <color rgb="FF000000"/>
        <name val="Calibri"/>
      </font>
      <fill>
        <patternFill patternType="solid">
          <fgColor rgb="FF33CCCC"/>
          <bgColor rgb="FF33CCCC"/>
        </patternFill>
      </fill>
      <border>
        <left/>
        <right/>
        <top/>
        <bottom/>
      </border>
    </dxf>
    <dxf>
      <font>
        <sz val="12"/>
        <color rgb="FF000000"/>
        <name val="Calibri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sz val="12"/>
        <color rgb="FF000000"/>
        <name val="Calibri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'Sizing Chart'!$I$5:$M$5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xVal>
          <c:yVal>
            <c:numRef>
              <c:f>'Sizing Chart'!$I$24:$M$24</c:f>
              <c:numCache>
                <c:formatCode>"£"#,##0.00</c:formatCode>
                <c:ptCount val="5"/>
                <c:pt idx="0">
                  <c:v>151.7043110315363</c:v>
                </c:pt>
                <c:pt idx="1">
                  <c:v>178.7519776184451</c:v>
                </c:pt>
                <c:pt idx="2">
                  <c:v>207.1938628457</c:v>
                </c:pt>
                <c:pt idx="3">
                  <c:v>233.8934198839915</c:v>
                </c:pt>
                <c:pt idx="4">
                  <c:v>257.4983458154043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573272"/>
        <c:axId val="-2113570152"/>
      </c:scatterChart>
      <c:valAx>
        <c:axId val="-211357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570152"/>
        <c:crosses val="autoZero"/>
        <c:crossBetween val="midCat"/>
      </c:valAx>
      <c:valAx>
        <c:axId val="-2113570152"/>
        <c:scaling>
          <c:orientation val="minMax"/>
        </c:scaling>
        <c:delete val="0"/>
        <c:axPos val="l"/>
        <c:majorGridlines/>
        <c:numFmt formatCode="&quot;£&quot;#,##0.00" sourceLinked="1"/>
        <c:majorTickMark val="out"/>
        <c:minorTickMark val="none"/>
        <c:tickLblPos val="nextTo"/>
        <c:crossAx val="-2113573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'Sizing Chart'!$D$5:$H$5</c:f>
              <c:numCache>
                <c:formatCode>General</c:formatCode>
                <c:ptCount val="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</c:numCache>
            </c:numRef>
          </c:xVal>
          <c:yVal>
            <c:numRef>
              <c:f>'Sizing Chart'!$D$24:$H$24</c:f>
              <c:numCache>
                <c:formatCode>"£"#,##0.00</c:formatCode>
                <c:ptCount val="5"/>
                <c:pt idx="0">
                  <c:v>180.4394921369698</c:v>
                </c:pt>
                <c:pt idx="1">
                  <c:v>209.7790231891097</c:v>
                </c:pt>
                <c:pt idx="2">
                  <c:v>241.9757294203984</c:v>
                </c:pt>
                <c:pt idx="3">
                  <c:v>260.5199124269279</c:v>
                </c:pt>
                <c:pt idx="4">
                  <c:v>289.0328062828491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43496"/>
        <c:axId val="2135846392"/>
      </c:scatterChart>
      <c:valAx>
        <c:axId val="213494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846392"/>
        <c:crosses val="autoZero"/>
        <c:crossBetween val="midCat"/>
      </c:valAx>
      <c:valAx>
        <c:axId val="2135846392"/>
        <c:scaling>
          <c:orientation val="minMax"/>
        </c:scaling>
        <c:delete val="0"/>
        <c:axPos val="l"/>
        <c:majorGridlines/>
        <c:numFmt formatCode="&quot;£&quot;#,##0.00" sourceLinked="1"/>
        <c:majorTickMark val="out"/>
        <c:minorTickMark val="none"/>
        <c:tickLblPos val="nextTo"/>
        <c:crossAx val="2134943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60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596900</xdr:colOff>
      <xdr:row>77</xdr:row>
      <xdr:rowOff>88900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26</xdr:row>
      <xdr:rowOff>127000</xdr:rowOff>
    </xdr:from>
    <xdr:to>
      <xdr:col>14</xdr:col>
      <xdr:colOff>215900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88900</xdr:colOff>
      <xdr:row>26</xdr:row>
      <xdr:rowOff>44450</xdr:rowOff>
    </xdr:from>
    <xdr:to>
      <xdr:col>7</xdr:col>
      <xdr:colOff>1244600</xdr:colOff>
      <xdr:row>41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15" sqref="E15"/>
    </sheetView>
  </sheetViews>
  <sheetFormatPr baseColWidth="10" defaultRowHeight="12" x14ac:dyDescent="0"/>
  <cols>
    <col min="1" max="16384" width="10.83203125" style="158"/>
  </cols>
  <sheetData>
    <row r="1" spans="1:10" ht="15">
      <c r="A1" s="157" t="s">
        <v>444</v>
      </c>
      <c r="B1" s="157"/>
      <c r="C1" s="157"/>
      <c r="D1" s="157"/>
      <c r="E1" s="157"/>
      <c r="F1" s="157"/>
      <c r="G1" s="157"/>
      <c r="H1" s="157"/>
      <c r="I1" s="157"/>
      <c r="J1" s="157"/>
    </row>
    <row r="3" spans="1:10">
      <c r="A3" s="158" t="s">
        <v>445</v>
      </c>
    </row>
    <row r="5" spans="1:10">
      <c r="A5" s="158" t="s">
        <v>446</v>
      </c>
    </row>
    <row r="7" spans="1:10">
      <c r="A7" s="158" t="s">
        <v>447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4" sqref="B14"/>
    </sheetView>
  </sheetViews>
  <sheetFormatPr baseColWidth="10" defaultColWidth="17.33203125" defaultRowHeight="15" customHeight="1" x14ac:dyDescent="0"/>
  <cols>
    <col min="1" max="1" width="32.1640625" customWidth="1"/>
    <col min="2" max="2" width="20.5" customWidth="1"/>
  </cols>
  <sheetData>
    <row r="1" spans="1:3" ht="15" customHeight="1">
      <c r="A1" s="5"/>
    </row>
    <row r="2" spans="1:3" ht="15" customHeight="1">
      <c r="A2" s="5" t="s">
        <v>6</v>
      </c>
      <c r="B2" s="7">
        <v>10</v>
      </c>
      <c r="C2" s="6"/>
    </row>
    <row r="3" spans="1:3" ht="15" customHeight="1">
      <c r="A3" s="5" t="s">
        <v>12</v>
      </c>
      <c r="B3" s="7">
        <v>5</v>
      </c>
    </row>
    <row r="4" spans="1:3" ht="15" customHeight="1">
      <c r="A4" s="5" t="s">
        <v>13</v>
      </c>
      <c r="B4" s="6">
        <f>0.0315*B2</f>
        <v>0.315</v>
      </c>
    </row>
    <row r="5" spans="1:3" ht="15" customHeight="1">
      <c r="A5" s="5" t="s">
        <v>15</v>
      </c>
      <c r="B5" s="7">
        <v>40</v>
      </c>
    </row>
    <row r="6" spans="1:3" ht="15" customHeight="1">
      <c r="A6" s="5" t="s">
        <v>17</v>
      </c>
      <c r="B6">
        <f>(B2+B3)*B5/1000</f>
        <v>0.6</v>
      </c>
      <c r="C6" s="6" t="s">
        <v>19</v>
      </c>
    </row>
    <row r="7" spans="1:3" ht="15" customHeight="1">
      <c r="A7" s="5" t="s">
        <v>21</v>
      </c>
      <c r="B7">
        <f>B4</f>
        <v>0.315</v>
      </c>
    </row>
    <row r="8" spans="1:3" ht="15" customHeight="1">
      <c r="A8" s="5" t="s">
        <v>24</v>
      </c>
      <c r="B8" s="6">
        <f>B6+B7</f>
        <v>0.91500000000000004</v>
      </c>
    </row>
    <row r="9" spans="1:3" ht="15" customHeight="1">
      <c r="A9" s="5" t="s">
        <v>30</v>
      </c>
      <c r="B9" s="7">
        <v>2</v>
      </c>
    </row>
    <row r="10" spans="1:3" ht="15" customHeight="1">
      <c r="A10" s="5" t="s">
        <v>31</v>
      </c>
      <c r="B10">
        <f>B9/(2*PI())</f>
        <v>0.31830988618379069</v>
      </c>
    </row>
    <row r="11" spans="1:3" ht="15" customHeight="1">
      <c r="A11" s="5" t="s">
        <v>32</v>
      </c>
      <c r="B11">
        <f>PI()*(B10^2)</f>
        <v>0.31830988618379069</v>
      </c>
    </row>
    <row r="12" spans="1:3" ht="15" customHeight="1">
      <c r="A12" s="5" t="s">
        <v>34</v>
      </c>
      <c r="B12">
        <f>B8/B11</f>
        <v>2.8745572780346609</v>
      </c>
    </row>
    <row r="13" spans="1:3" ht="15" customHeight="1">
      <c r="A13" s="5" t="s">
        <v>35</v>
      </c>
      <c r="B13" s="6">
        <v>0.39700000000000002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125" zoomScaleNormal="125" zoomScalePageLayoutView="125" workbookViewId="0">
      <selection activeCell="H26" sqref="H26"/>
    </sheetView>
  </sheetViews>
  <sheetFormatPr baseColWidth="10" defaultRowHeight="12" x14ac:dyDescent="0"/>
  <sheetData>
    <row r="1" spans="1:5">
      <c r="A1" t="s">
        <v>348</v>
      </c>
      <c r="C1" t="s">
        <v>354</v>
      </c>
      <c r="E1" t="s">
        <v>355</v>
      </c>
    </row>
    <row r="2" spans="1:5">
      <c r="A2" t="s">
        <v>349</v>
      </c>
      <c r="C2" t="s">
        <v>353</v>
      </c>
    </row>
    <row r="3" spans="1:5">
      <c r="A3" t="s">
        <v>350</v>
      </c>
      <c r="C3" t="s">
        <v>353</v>
      </c>
    </row>
    <row r="4" spans="1:5">
      <c r="A4" t="s">
        <v>351</v>
      </c>
      <c r="C4" t="s">
        <v>356</v>
      </c>
    </row>
    <row r="5" spans="1:5">
      <c r="A5" t="s">
        <v>352</v>
      </c>
      <c r="C5" t="s">
        <v>356</v>
      </c>
    </row>
    <row r="18" spans="3:10">
      <c r="C18" t="s">
        <v>392</v>
      </c>
    </row>
    <row r="20" spans="3:10">
      <c r="C20" t="s">
        <v>390</v>
      </c>
      <c r="D20" t="s">
        <v>389</v>
      </c>
      <c r="E20" t="s">
        <v>378</v>
      </c>
      <c r="H20">
        <v>0.4</v>
      </c>
      <c r="I20" t="s">
        <v>238</v>
      </c>
      <c r="J20" t="s">
        <v>387</v>
      </c>
    </row>
    <row r="21" spans="3:10">
      <c r="E21" t="s">
        <v>379</v>
      </c>
      <c r="H21">
        <f>2.5*1.1</f>
        <v>2.75</v>
      </c>
      <c r="I21" t="s">
        <v>110</v>
      </c>
    </row>
    <row r="22" spans="3:10">
      <c r="H22">
        <v>9.81</v>
      </c>
      <c r="I22" t="s">
        <v>381</v>
      </c>
    </row>
    <row r="23" spans="3:10">
      <c r="E23" t="s">
        <v>380</v>
      </c>
      <c r="H23" s="120">
        <f>H20*H21*H22</f>
        <v>10.791000000000002</v>
      </c>
      <c r="I23" t="s">
        <v>382</v>
      </c>
      <c r="J23" t="s">
        <v>383</v>
      </c>
    </row>
    <row r="25" spans="3:10">
      <c r="C25" t="s">
        <v>391</v>
      </c>
      <c r="D25" t="s">
        <v>388</v>
      </c>
      <c r="E25" t="s">
        <v>384</v>
      </c>
    </row>
    <row r="26" spans="3:10">
      <c r="E26" t="s">
        <v>385</v>
      </c>
      <c r="H26">
        <v>0.5</v>
      </c>
      <c r="I26" t="s">
        <v>36</v>
      </c>
    </row>
    <row r="27" spans="3:10">
      <c r="H27">
        <v>9.81</v>
      </c>
      <c r="I27" t="s">
        <v>381</v>
      </c>
    </row>
    <row r="28" spans="3:10">
      <c r="H28" s="120">
        <f>H26*H27</f>
        <v>4.9050000000000002</v>
      </c>
      <c r="I28" t="s">
        <v>382</v>
      </c>
      <c r="J28" t="s">
        <v>386</v>
      </c>
    </row>
    <row r="32" spans="3:10">
      <c r="D32">
        <f>3.75-0.1</f>
        <v>3.65</v>
      </c>
    </row>
    <row r="42" spans="11:11">
      <c r="K42">
        <f>56.56</f>
        <v>56.56</v>
      </c>
    </row>
    <row r="43" spans="11:11">
      <c r="K43">
        <f>300*K42</f>
        <v>16968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F16" sqref="F16"/>
    </sheetView>
  </sheetViews>
  <sheetFormatPr baseColWidth="10" defaultRowHeight="12" x14ac:dyDescent="0"/>
  <cols>
    <col min="3" max="3" width="15.5" customWidth="1"/>
  </cols>
  <sheetData>
    <row r="1" spans="1:4">
      <c r="A1" s="120" t="s">
        <v>407</v>
      </c>
    </row>
    <row r="2" spans="1:4">
      <c r="A2" t="s">
        <v>411</v>
      </c>
      <c r="B2" t="s">
        <v>408</v>
      </c>
      <c r="C2" t="s">
        <v>409</v>
      </c>
      <c r="D2" t="s">
        <v>410</v>
      </c>
    </row>
    <row r="3" spans="1:4">
      <c r="A3" t="s">
        <v>426</v>
      </c>
      <c r="B3" t="s">
        <v>427</v>
      </c>
      <c r="C3" t="s">
        <v>428</v>
      </c>
      <c r="D3" t="s">
        <v>429</v>
      </c>
    </row>
    <row r="4" spans="1:4">
      <c r="C4" t="s">
        <v>430</v>
      </c>
      <c r="D4" t="s">
        <v>431</v>
      </c>
    </row>
    <row r="5" spans="1:4">
      <c r="A5" t="s">
        <v>437</v>
      </c>
      <c r="B5" t="s">
        <v>438</v>
      </c>
      <c r="C5" t="s">
        <v>439</v>
      </c>
      <c r="D5" t="s">
        <v>440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6"/>
  <sheetViews>
    <sheetView topLeftCell="A25" workbookViewId="0">
      <selection activeCell="B8" sqref="B8"/>
    </sheetView>
  </sheetViews>
  <sheetFormatPr baseColWidth="10" defaultColWidth="17.33203125" defaultRowHeight="15" customHeight="1" x14ac:dyDescent="0"/>
  <cols>
    <col min="1" max="1" width="31.33203125" customWidth="1"/>
    <col min="2" max="2" width="13.5" customWidth="1"/>
    <col min="3" max="3" width="23.83203125" customWidth="1"/>
    <col min="4" max="19" width="13.5" customWidth="1"/>
  </cols>
  <sheetData>
    <row r="1" spans="1:1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395</v>
      </c>
      <c r="N1" s="3"/>
      <c r="O1" s="3"/>
      <c r="P1" s="3"/>
      <c r="Q1" s="3"/>
      <c r="R1" s="3"/>
      <c r="S1" s="3"/>
    </row>
    <row r="2" spans="1:19">
      <c r="A2" s="8" t="s">
        <v>346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>
      <c r="A3" s="8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>
      <c r="A4" s="10" t="s">
        <v>16</v>
      </c>
      <c r="B4" s="11"/>
      <c r="C4" s="11"/>
      <c r="D4" s="10"/>
      <c r="E4" s="10"/>
      <c r="F4" s="10"/>
      <c r="G4" s="10"/>
      <c r="H4" s="10"/>
      <c r="I4" s="10"/>
      <c r="J4" s="10"/>
      <c r="K4" s="10"/>
      <c r="L4" s="10"/>
      <c r="M4" s="3"/>
      <c r="N4" s="3"/>
      <c r="O4" s="3"/>
      <c r="P4" s="3"/>
      <c r="Q4" s="3"/>
      <c r="R4" s="3"/>
      <c r="S4" s="3"/>
    </row>
    <row r="5" spans="1:1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60.75" customHeight="1">
      <c r="A6" s="13" t="s">
        <v>33</v>
      </c>
      <c r="B6" s="14" t="s">
        <v>37</v>
      </c>
      <c r="C6" s="14" t="s">
        <v>38</v>
      </c>
      <c r="D6" s="14" t="s">
        <v>39</v>
      </c>
      <c r="E6" s="14" t="s">
        <v>40</v>
      </c>
      <c r="F6" s="15" t="s">
        <v>41</v>
      </c>
      <c r="G6" s="14" t="s">
        <v>43</v>
      </c>
      <c r="H6" s="21" t="s">
        <v>44</v>
      </c>
      <c r="I6" s="15" t="s">
        <v>48</v>
      </c>
      <c r="J6" s="15" t="s">
        <v>41</v>
      </c>
      <c r="K6" s="21" t="s">
        <v>49</v>
      </c>
      <c r="L6" s="3"/>
      <c r="M6" s="3"/>
      <c r="N6" s="3"/>
      <c r="O6" s="3"/>
      <c r="P6" s="3"/>
      <c r="Q6" s="3"/>
      <c r="R6" s="3"/>
      <c r="S6" s="3"/>
    </row>
    <row r="7" spans="1:19">
      <c r="A7" s="3" t="s">
        <v>50</v>
      </c>
      <c r="B7" s="23">
        <v>40</v>
      </c>
      <c r="C7" s="24"/>
      <c r="D7" s="3">
        <v>0.04</v>
      </c>
      <c r="E7" s="26">
        <f>(0.023+0.04)/2</f>
        <v>3.15E-2</v>
      </c>
      <c r="F7" s="28" t="s">
        <v>51</v>
      </c>
      <c r="G7" s="30">
        <f t="shared" ref="G7:G19" si="0">B7*D7</f>
        <v>1.6</v>
      </c>
      <c r="H7" s="32">
        <f t="shared" ref="H7:H19" si="1">B7*E7</f>
        <v>1.26</v>
      </c>
      <c r="I7" s="28">
        <v>24</v>
      </c>
      <c r="J7" s="28" t="s">
        <v>60</v>
      </c>
      <c r="K7" s="34">
        <f t="shared" ref="K7:K19" si="2">B7/$B$23*I7</f>
        <v>24</v>
      </c>
      <c r="L7" s="38" t="s">
        <v>371</v>
      </c>
      <c r="M7" s="3"/>
      <c r="N7" s="3"/>
      <c r="O7" s="3"/>
      <c r="P7" s="3"/>
      <c r="Q7" s="3"/>
      <c r="R7" s="3"/>
      <c r="S7" s="3"/>
    </row>
    <row r="8" spans="1:19">
      <c r="A8" s="3" t="s">
        <v>65</v>
      </c>
      <c r="B8" s="43">
        <v>0</v>
      </c>
      <c r="C8" s="24"/>
      <c r="D8" s="3"/>
      <c r="E8" s="8"/>
      <c r="F8" s="3"/>
      <c r="G8" s="30">
        <f t="shared" si="0"/>
        <v>0</v>
      </c>
      <c r="H8" s="30">
        <f t="shared" si="1"/>
        <v>0</v>
      </c>
      <c r="I8" s="3">
        <v>12</v>
      </c>
      <c r="J8" s="38" t="s">
        <v>60</v>
      </c>
      <c r="K8" s="45">
        <f t="shared" si="2"/>
        <v>0</v>
      </c>
      <c r="L8" s="3"/>
      <c r="M8" s="3"/>
      <c r="N8" s="3"/>
      <c r="O8" s="3"/>
      <c r="P8" s="3"/>
      <c r="Q8" s="3"/>
      <c r="R8" s="3"/>
      <c r="S8" s="3"/>
    </row>
    <row r="9" spans="1:19">
      <c r="A9" s="3" t="s">
        <v>85</v>
      </c>
      <c r="B9" s="43"/>
      <c r="C9" s="24"/>
      <c r="D9" s="3"/>
      <c r="E9" s="8"/>
      <c r="F9" s="3"/>
      <c r="G9" s="30">
        <f t="shared" si="0"/>
        <v>0</v>
      </c>
      <c r="H9" s="30">
        <f t="shared" si="1"/>
        <v>0</v>
      </c>
      <c r="I9" s="3">
        <v>19</v>
      </c>
      <c r="J9" s="38" t="s">
        <v>60</v>
      </c>
      <c r="K9" s="45">
        <f t="shared" si="2"/>
        <v>0</v>
      </c>
      <c r="L9" s="3"/>
      <c r="M9" s="3"/>
      <c r="N9" s="3"/>
      <c r="O9" s="3"/>
      <c r="P9" s="3"/>
      <c r="Q9" s="3"/>
      <c r="R9" s="3"/>
      <c r="S9" s="3"/>
    </row>
    <row r="10" spans="1:19">
      <c r="A10" s="3" t="s">
        <v>86</v>
      </c>
      <c r="B10" s="43">
        <v>0</v>
      </c>
      <c r="C10" s="24"/>
      <c r="D10" s="3">
        <v>5.8999999999999997E-2</v>
      </c>
      <c r="E10" s="26">
        <f>(0.04+0.059)/2</f>
        <v>4.9500000000000002E-2</v>
      </c>
      <c r="F10" s="38" t="s">
        <v>51</v>
      </c>
      <c r="G10" s="30">
        <f t="shared" si="0"/>
        <v>0</v>
      </c>
      <c r="H10" s="30">
        <f t="shared" si="1"/>
        <v>0</v>
      </c>
      <c r="I10" s="3">
        <v>18</v>
      </c>
      <c r="J10" s="38" t="s">
        <v>60</v>
      </c>
      <c r="K10" s="45">
        <f t="shared" si="2"/>
        <v>0</v>
      </c>
      <c r="L10" s="3"/>
      <c r="M10" s="3"/>
      <c r="N10" s="3"/>
      <c r="O10" s="3"/>
      <c r="P10" s="3"/>
      <c r="Q10" s="3"/>
      <c r="R10" s="3"/>
      <c r="S10" s="3"/>
    </row>
    <row r="11" spans="1:19">
      <c r="A11" s="3" t="s">
        <v>88</v>
      </c>
      <c r="B11" s="43"/>
      <c r="C11" s="24"/>
      <c r="D11" s="3"/>
      <c r="E11" s="8"/>
      <c r="F11" s="3"/>
      <c r="G11" s="30">
        <f t="shared" si="0"/>
        <v>0</v>
      </c>
      <c r="H11" s="30">
        <f t="shared" si="1"/>
        <v>0</v>
      </c>
      <c r="I11" s="3">
        <v>43</v>
      </c>
      <c r="J11" s="38" t="s">
        <v>60</v>
      </c>
      <c r="K11" s="45">
        <f t="shared" si="2"/>
        <v>0</v>
      </c>
      <c r="L11" s="3"/>
      <c r="M11" s="3"/>
      <c r="N11" s="3"/>
      <c r="O11" s="3"/>
      <c r="P11" s="3"/>
      <c r="Q11" s="3"/>
      <c r="R11" s="3"/>
      <c r="S11" s="3"/>
    </row>
    <row r="12" spans="1:19">
      <c r="A12" s="3" t="s">
        <v>90</v>
      </c>
      <c r="B12" s="43">
        <v>0</v>
      </c>
      <c r="C12" s="24"/>
      <c r="D12" s="3">
        <v>0.11600000000000001</v>
      </c>
      <c r="E12" s="26">
        <f>(0.065+0.116)/2</f>
        <v>9.0499999999999997E-2</v>
      </c>
      <c r="F12" s="38" t="s">
        <v>51</v>
      </c>
      <c r="G12" s="30">
        <f t="shared" si="0"/>
        <v>0</v>
      </c>
      <c r="H12" s="30">
        <f t="shared" si="1"/>
        <v>0</v>
      </c>
      <c r="I12" s="3">
        <v>10</v>
      </c>
      <c r="J12" s="38" t="s">
        <v>60</v>
      </c>
      <c r="K12" s="45">
        <f t="shared" si="2"/>
        <v>0</v>
      </c>
      <c r="L12" s="3"/>
      <c r="M12" s="3"/>
      <c r="N12" s="3"/>
      <c r="O12" s="3"/>
      <c r="P12" s="3"/>
      <c r="Q12" s="3"/>
      <c r="R12" s="3"/>
      <c r="S12" s="3"/>
    </row>
    <row r="13" spans="1:19">
      <c r="A13" s="3" t="s">
        <v>93</v>
      </c>
      <c r="B13" s="23">
        <v>0</v>
      </c>
      <c r="C13" s="24"/>
      <c r="D13" s="3">
        <v>2.8000000000000001E-2</v>
      </c>
      <c r="E13" s="26">
        <f>(0.02+0.028)/2</f>
        <v>2.4E-2</v>
      </c>
      <c r="F13" s="38" t="s">
        <v>51</v>
      </c>
      <c r="G13" s="30">
        <f t="shared" si="0"/>
        <v>0</v>
      </c>
      <c r="H13" s="30">
        <f t="shared" si="1"/>
        <v>0</v>
      </c>
      <c r="I13" s="3">
        <v>8</v>
      </c>
      <c r="J13" s="38" t="s">
        <v>60</v>
      </c>
      <c r="K13" s="45">
        <f t="shared" si="2"/>
        <v>0</v>
      </c>
      <c r="L13" s="3"/>
      <c r="M13" s="3"/>
      <c r="N13" s="3"/>
      <c r="O13" s="3"/>
      <c r="P13" s="3"/>
      <c r="Q13" s="3"/>
      <c r="R13" s="3"/>
      <c r="S13" s="3"/>
    </row>
    <row r="14" spans="1:19">
      <c r="A14" s="3"/>
      <c r="B14" s="43"/>
      <c r="C14" s="24"/>
      <c r="D14" s="3"/>
      <c r="E14" s="8"/>
      <c r="F14" s="3"/>
      <c r="G14" s="30">
        <f t="shared" si="0"/>
        <v>0</v>
      </c>
      <c r="H14" s="30">
        <f t="shared" si="1"/>
        <v>0</v>
      </c>
      <c r="I14" s="3"/>
      <c r="J14" s="3"/>
      <c r="K14" s="45">
        <f t="shared" si="2"/>
        <v>0</v>
      </c>
      <c r="L14" s="3"/>
      <c r="M14" s="3"/>
      <c r="N14" s="3"/>
      <c r="O14" s="3"/>
      <c r="P14" s="3"/>
      <c r="Q14" s="3"/>
      <c r="R14" s="3"/>
      <c r="S14" s="3"/>
    </row>
    <row r="15" spans="1:19">
      <c r="A15" s="3" t="s">
        <v>94</v>
      </c>
      <c r="B15" s="30">
        <f>1000*(0.001*C15)</f>
        <v>0</v>
      </c>
      <c r="C15" s="54">
        <v>0</v>
      </c>
      <c r="D15" s="42">
        <f t="shared" ref="D15:D16" si="3">(40*0.001)/(1000*(0.001*1.5))</f>
        <v>2.6666666666666668E-2</v>
      </c>
      <c r="E15" s="55">
        <f t="shared" ref="E15:E16" si="4">(((40+35)/2)*0.001)/(1000*(0.001*1.5))</f>
        <v>2.4999999999999998E-2</v>
      </c>
      <c r="F15" s="38" t="s">
        <v>109</v>
      </c>
      <c r="G15" s="30">
        <f t="shared" si="0"/>
        <v>0</v>
      </c>
      <c r="H15" s="30">
        <f t="shared" si="1"/>
        <v>0</v>
      </c>
      <c r="I15" s="59">
        <f>(60+70+90)/3</f>
        <v>73.333333333333329</v>
      </c>
      <c r="J15" s="38" t="s">
        <v>114</v>
      </c>
      <c r="K15" s="45">
        <f t="shared" si="2"/>
        <v>0</v>
      </c>
      <c r="L15" s="37" t="s">
        <v>115</v>
      </c>
      <c r="M15" s="3"/>
      <c r="N15" s="3"/>
      <c r="O15" s="3"/>
      <c r="P15" s="3"/>
      <c r="Q15" s="3"/>
      <c r="R15" s="3"/>
      <c r="S15" s="3"/>
    </row>
    <row r="16" spans="1:19">
      <c r="A16" s="3" t="s">
        <v>116</v>
      </c>
      <c r="B16" s="23">
        <v>0</v>
      </c>
      <c r="C16" s="24">
        <v>9</v>
      </c>
      <c r="D16" s="42">
        <f t="shared" si="3"/>
        <v>2.6666666666666668E-2</v>
      </c>
      <c r="E16" s="55">
        <f t="shared" si="4"/>
        <v>2.4999999999999998E-2</v>
      </c>
      <c r="F16" s="3" t="s">
        <v>118</v>
      </c>
      <c r="G16" s="30">
        <f t="shared" si="0"/>
        <v>0</v>
      </c>
      <c r="H16" s="30">
        <f t="shared" si="1"/>
        <v>0</v>
      </c>
      <c r="I16" s="3">
        <v>73</v>
      </c>
      <c r="J16" s="38" t="s">
        <v>60</v>
      </c>
      <c r="K16" s="45">
        <f t="shared" si="2"/>
        <v>0</v>
      </c>
      <c r="L16" s="3"/>
      <c r="M16" s="3"/>
      <c r="N16" s="3"/>
      <c r="O16" s="3"/>
      <c r="P16" s="3"/>
      <c r="Q16" s="3"/>
      <c r="R16" s="3"/>
      <c r="S16" s="3"/>
    </row>
    <row r="17" spans="1:19">
      <c r="A17" s="3"/>
      <c r="B17" s="43"/>
      <c r="C17" s="24"/>
      <c r="D17" s="3"/>
      <c r="E17" s="8"/>
      <c r="F17" s="3"/>
      <c r="G17" s="30">
        <f t="shared" si="0"/>
        <v>0</v>
      </c>
      <c r="H17" s="30">
        <f t="shared" si="1"/>
        <v>0</v>
      </c>
      <c r="I17" s="3"/>
      <c r="J17" s="3"/>
      <c r="K17" s="45">
        <f t="shared" si="2"/>
        <v>0</v>
      </c>
      <c r="L17" s="3"/>
      <c r="M17" s="3"/>
      <c r="N17" s="3"/>
      <c r="O17" s="3"/>
      <c r="P17" s="3"/>
      <c r="Q17" s="3"/>
      <c r="R17" s="3"/>
      <c r="S17" s="3"/>
    </row>
    <row r="18" spans="1:19">
      <c r="A18" s="3" t="s">
        <v>119</v>
      </c>
      <c r="B18" s="43"/>
      <c r="C18" s="24"/>
      <c r="D18" s="3"/>
      <c r="E18" s="8"/>
      <c r="F18" s="3"/>
      <c r="G18" s="30">
        <f t="shared" si="0"/>
        <v>0</v>
      </c>
      <c r="H18" s="30">
        <f t="shared" si="1"/>
        <v>0</v>
      </c>
      <c r="I18" s="3"/>
      <c r="J18" s="3"/>
      <c r="K18" s="45">
        <f t="shared" si="2"/>
        <v>0</v>
      </c>
      <c r="L18" s="3"/>
      <c r="M18" s="3"/>
      <c r="N18" s="3"/>
      <c r="O18" s="3"/>
      <c r="P18" s="3"/>
      <c r="Q18" s="3"/>
      <c r="R18" s="3"/>
      <c r="S18" s="3"/>
    </row>
    <row r="19" spans="1:19">
      <c r="A19" s="3"/>
      <c r="B19" s="43"/>
      <c r="C19" s="24"/>
      <c r="D19" s="3"/>
      <c r="E19" s="8"/>
      <c r="F19" s="3"/>
      <c r="G19" s="30">
        <f t="shared" si="0"/>
        <v>0</v>
      </c>
      <c r="H19" s="30">
        <f t="shared" si="1"/>
        <v>0</v>
      </c>
      <c r="I19" s="3"/>
      <c r="J19" s="3"/>
      <c r="K19" s="45">
        <f t="shared" si="2"/>
        <v>0</v>
      </c>
      <c r="L19" s="3"/>
      <c r="M19" s="3"/>
      <c r="N19" s="3"/>
      <c r="O19" s="3"/>
      <c r="P19" s="3"/>
      <c r="Q19" s="3"/>
      <c r="R19" s="3"/>
      <c r="S19" s="3"/>
    </row>
    <row r="20" spans="1:19">
      <c r="A20" s="3"/>
      <c r="B20" s="3"/>
      <c r="C20" s="3"/>
      <c r="D20" s="3"/>
      <c r="E20" s="3"/>
      <c r="F20" s="3"/>
      <c r="G20" s="3"/>
      <c r="H20" s="59"/>
      <c r="I20" s="3"/>
      <c r="J20" s="3"/>
      <c r="K20" s="61"/>
      <c r="L20" s="3"/>
      <c r="M20" s="3"/>
      <c r="N20" s="3"/>
      <c r="O20" s="3"/>
      <c r="P20" s="3"/>
      <c r="Q20" s="3"/>
      <c r="R20" s="3"/>
      <c r="S20" s="3"/>
    </row>
    <row r="21" spans="1:19">
      <c r="A21" s="3" t="s">
        <v>122</v>
      </c>
      <c r="B21" s="54">
        <v>2</v>
      </c>
      <c r="C21" s="3" t="s">
        <v>123</v>
      </c>
      <c r="D21" s="3"/>
      <c r="E21" s="3"/>
      <c r="F21" s="3"/>
      <c r="G21" s="3"/>
      <c r="H21" s="59"/>
      <c r="I21" s="3"/>
      <c r="J21" s="3"/>
      <c r="K21" s="61"/>
      <c r="L21" s="3"/>
      <c r="M21" s="3"/>
      <c r="N21" s="3"/>
      <c r="O21" s="3"/>
      <c r="P21" s="3"/>
      <c r="Q21" s="3"/>
      <c r="R21" s="3"/>
      <c r="S21" s="3"/>
    </row>
    <row r="22" spans="1:19">
      <c r="A22" s="3"/>
      <c r="B22" s="3"/>
      <c r="C22" s="3"/>
      <c r="D22" s="3"/>
      <c r="E22" s="3"/>
      <c r="F22" s="3"/>
      <c r="G22" s="3"/>
      <c r="H22" s="59"/>
      <c r="I22" s="3"/>
      <c r="J22" s="3"/>
      <c r="K22" s="61"/>
      <c r="L22" s="3"/>
      <c r="M22" s="3"/>
      <c r="N22" s="3"/>
      <c r="O22" s="3"/>
      <c r="P22" s="3"/>
      <c r="Q22" s="3"/>
      <c r="R22" s="3"/>
      <c r="S22" s="3"/>
    </row>
    <row r="23" spans="1:19">
      <c r="A23" s="63" t="s">
        <v>124</v>
      </c>
      <c r="B23" s="66">
        <f>SUM(B7:B20)</f>
        <v>40</v>
      </c>
      <c r="C23" s="15" t="s">
        <v>128</v>
      </c>
      <c r="D23" s="3"/>
      <c r="E23" s="3"/>
      <c r="F23" s="3"/>
      <c r="G23" s="3"/>
      <c r="H23" s="59"/>
      <c r="I23" s="3"/>
      <c r="J23" s="3"/>
      <c r="K23" s="61"/>
      <c r="L23" s="3"/>
      <c r="M23" s="3"/>
      <c r="N23" s="3"/>
      <c r="O23" s="3"/>
      <c r="P23" s="3"/>
      <c r="Q23" s="3"/>
      <c r="R23" s="3"/>
      <c r="S23" s="3"/>
    </row>
    <row r="24" spans="1:19">
      <c r="A24" s="3"/>
      <c r="B24" s="3"/>
      <c r="C24" s="3"/>
      <c r="D24" s="3"/>
      <c r="E24" s="3"/>
      <c r="F24" s="3"/>
      <c r="G24" s="3"/>
      <c r="H24" s="59"/>
      <c r="I24" s="3"/>
      <c r="J24" s="3"/>
      <c r="K24" s="61"/>
      <c r="L24" s="3"/>
      <c r="M24" s="3"/>
      <c r="N24" s="3"/>
      <c r="O24" s="3"/>
      <c r="P24" s="3"/>
      <c r="Q24" s="3"/>
      <c r="R24" s="3"/>
      <c r="S24" s="3"/>
    </row>
    <row r="25" spans="1:19">
      <c r="A25" s="24" t="s">
        <v>130</v>
      </c>
      <c r="B25" s="24"/>
      <c r="C25" s="24"/>
      <c r="D25" s="24"/>
      <c r="E25" s="24"/>
      <c r="F25" s="24"/>
      <c r="G25" s="32">
        <f>SUM(G7:G20)</f>
        <v>1.6</v>
      </c>
      <c r="H25" s="68" t="s">
        <v>133</v>
      </c>
      <c r="I25" s="3"/>
      <c r="J25" s="3"/>
      <c r="K25" s="61"/>
      <c r="L25" s="3"/>
      <c r="M25" s="3">
        <v>1</v>
      </c>
      <c r="N25" s="3"/>
      <c r="O25" s="3"/>
      <c r="P25" s="3"/>
      <c r="Q25" s="3"/>
      <c r="R25" s="3"/>
      <c r="S25" s="3"/>
    </row>
    <row r="26" spans="1:19">
      <c r="A26" s="3"/>
      <c r="B26" s="3"/>
      <c r="C26" s="3"/>
      <c r="D26" s="3"/>
      <c r="E26" s="3"/>
      <c r="F26" s="3"/>
      <c r="G26" s="3"/>
      <c r="H26" s="59"/>
      <c r="I26" s="3"/>
      <c r="J26" s="3"/>
      <c r="K26" s="61"/>
      <c r="L26" s="3"/>
      <c r="M26" s="3"/>
      <c r="N26" s="3"/>
      <c r="O26" s="3"/>
      <c r="P26" s="3"/>
      <c r="Q26" s="3"/>
      <c r="R26" s="3"/>
      <c r="S26" s="3"/>
    </row>
    <row r="27" spans="1:19">
      <c r="A27" s="63" t="s">
        <v>136</v>
      </c>
      <c r="B27" s="24"/>
      <c r="C27" s="24"/>
      <c r="D27" s="24"/>
      <c r="E27" s="24"/>
      <c r="F27" s="24"/>
      <c r="G27" s="24"/>
      <c r="H27" s="66">
        <f>SUM(H7:H26)</f>
        <v>1.26</v>
      </c>
      <c r="I27" s="68" t="s">
        <v>133</v>
      </c>
      <c r="J27" s="3"/>
      <c r="K27" s="3"/>
      <c r="L27" s="3"/>
      <c r="M27" s="3">
        <v>2</v>
      </c>
      <c r="N27" s="3"/>
      <c r="O27" s="3"/>
      <c r="P27" s="3"/>
      <c r="Q27" s="3"/>
      <c r="R27" s="3"/>
      <c r="S27" s="3"/>
    </row>
    <row r="28" spans="1:1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>
      <c r="A29" s="63" t="s">
        <v>138</v>
      </c>
      <c r="B29" s="24"/>
      <c r="C29" s="24"/>
      <c r="D29" s="24"/>
      <c r="E29" s="24"/>
      <c r="F29" s="24"/>
      <c r="G29" s="24"/>
      <c r="H29" s="24"/>
      <c r="I29" s="24"/>
      <c r="J29" s="24"/>
      <c r="K29" s="66">
        <f>SUM(K7:K24)</f>
        <v>24</v>
      </c>
      <c r="L29" s="68" t="str">
        <f>IF(K29&gt;30,"CN too high",IF(K29&lt;20,"cn ratio too low","CN ratio acceptable"))</f>
        <v>CN ratio acceptable</v>
      </c>
      <c r="M29" s="3"/>
      <c r="N29" s="3"/>
      <c r="O29" s="3"/>
      <c r="P29" s="3"/>
      <c r="Q29" s="3"/>
      <c r="R29" s="3"/>
      <c r="S29" s="3"/>
    </row>
    <row r="30" spans="1:19">
      <c r="A30" s="3"/>
      <c r="B30" s="3"/>
      <c r="C30" s="3"/>
      <c r="D30" s="3"/>
      <c r="E30" s="3"/>
      <c r="F30" s="3"/>
      <c r="G30" s="3"/>
      <c r="H30" s="3"/>
      <c r="I30" s="3" t="s">
        <v>141</v>
      </c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>
      <c r="A32" s="10" t="s">
        <v>142</v>
      </c>
      <c r="B32" s="11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3"/>
      <c r="N32" s="3"/>
      <c r="O32" s="3"/>
      <c r="P32" s="3"/>
      <c r="Q32" s="3"/>
      <c r="R32" s="3"/>
      <c r="S32" s="3"/>
    </row>
    <row r="33" spans="1:1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>
      <c r="A34" s="3" t="s">
        <v>15</v>
      </c>
      <c r="B34" s="43">
        <v>40</v>
      </c>
      <c r="C34" s="3" t="s">
        <v>144</v>
      </c>
      <c r="D34" s="8" t="s">
        <v>145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>
      <c r="A35" s="37" t="s">
        <v>146</v>
      </c>
      <c r="B35" s="70">
        <v>0.5</v>
      </c>
      <c r="C35" s="37" t="s">
        <v>147</v>
      </c>
      <c r="D35" s="71" t="s">
        <v>148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>
      <c r="A37" s="37" t="s">
        <v>153</v>
      </c>
      <c r="B37" s="38"/>
      <c r="C37" s="72">
        <f>(B23+B23*B35)/1000</f>
        <v>0.06</v>
      </c>
      <c r="D37" s="37" t="s">
        <v>133</v>
      </c>
      <c r="E37" s="42"/>
      <c r="F37" s="3"/>
      <c r="G37" s="3"/>
      <c r="H37" s="3"/>
      <c r="I37" s="3"/>
      <c r="J37" s="3"/>
      <c r="K37" s="3"/>
      <c r="L37" s="3"/>
      <c r="M37" s="3">
        <v>3</v>
      </c>
      <c r="N37" s="3"/>
      <c r="O37" s="3"/>
      <c r="P37" s="3"/>
      <c r="Q37" s="3"/>
      <c r="R37" s="3"/>
      <c r="S37" s="3"/>
    </row>
    <row r="38" spans="1:19">
      <c r="A38" s="3" t="s">
        <v>158</v>
      </c>
      <c r="B38" s="38"/>
      <c r="C38" s="73">
        <f>B34*(B23+B23*B35)/1000</f>
        <v>2.4</v>
      </c>
      <c r="D38" s="3" t="s">
        <v>19</v>
      </c>
      <c r="E38" s="42">
        <f>C38+G25</f>
        <v>4</v>
      </c>
      <c r="F38" s="3"/>
      <c r="G38" s="3"/>
      <c r="H38" s="3"/>
      <c r="I38" s="3"/>
      <c r="J38" s="3"/>
      <c r="K38" s="3"/>
      <c r="L38" s="3"/>
      <c r="M38" s="3">
        <v>4</v>
      </c>
      <c r="N38" s="3"/>
      <c r="O38" s="3"/>
      <c r="P38" s="3"/>
      <c r="Q38" s="3"/>
      <c r="R38" s="3"/>
      <c r="S38" s="3"/>
    </row>
    <row r="39" spans="1:1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>
      <c r="A40" s="3" t="s">
        <v>162</v>
      </c>
      <c r="B40" s="3"/>
      <c r="C40" s="73">
        <f>C38+H27</f>
        <v>3.66</v>
      </c>
      <c r="D40" s="3" t="s">
        <v>19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>
      <c r="A42" s="74" t="s">
        <v>165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3"/>
      <c r="N42" s="3"/>
      <c r="O42" s="3"/>
      <c r="P42" s="3"/>
      <c r="Q42" s="3"/>
      <c r="R42" s="3"/>
      <c r="S42" s="3"/>
    </row>
    <row r="43" spans="1:19">
      <c r="A43" s="75"/>
      <c r="B43" s="75"/>
      <c r="C43" s="75"/>
      <c r="D43" s="75"/>
      <c r="E43" s="7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>
      <c r="A44" s="76" t="s">
        <v>167</v>
      </c>
      <c r="B44" s="75"/>
      <c r="C44" s="77" t="s">
        <v>169</v>
      </c>
      <c r="D44" s="75"/>
      <c r="E44" s="7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>
      <c r="A45" s="75"/>
      <c r="B45" s="75"/>
      <c r="C45" s="75"/>
      <c r="D45" s="75"/>
      <c r="E45" s="7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>
      <c r="A46" s="76" t="s">
        <v>170</v>
      </c>
      <c r="B46" s="75"/>
      <c r="C46" s="81"/>
      <c r="D46" s="3"/>
      <c r="E46" s="77">
        <v>2</v>
      </c>
      <c r="F46" s="75" t="s">
        <v>36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>
      <c r="A47" s="75" t="s">
        <v>179</v>
      </c>
      <c r="B47" s="75"/>
      <c r="C47" s="75"/>
      <c r="D47" s="3"/>
      <c r="E47" s="46">
        <f>(C40/(E46*PI()))^0.5</f>
        <v>0.76322152204739158</v>
      </c>
      <c r="F47" s="75" t="s">
        <v>36</v>
      </c>
      <c r="G47" s="3" t="s">
        <v>183</v>
      </c>
      <c r="H47" s="46">
        <f>E47*2</f>
        <v>1.5264430440947832</v>
      </c>
      <c r="I47" s="75" t="s">
        <v>36</v>
      </c>
      <c r="J47" s="3"/>
      <c r="K47" s="39">
        <f>7.5/2-0.2*2</f>
        <v>3.35</v>
      </c>
      <c r="L47" s="3"/>
      <c r="M47" s="3"/>
      <c r="N47" s="3"/>
      <c r="O47" s="3"/>
      <c r="P47" s="3"/>
      <c r="Q47" s="3"/>
      <c r="R47" s="3"/>
      <c r="S47" s="3"/>
    </row>
    <row r="48" spans="1:19">
      <c r="A48" s="75"/>
      <c r="B48" s="75"/>
      <c r="C48" s="75"/>
      <c r="D48" s="75"/>
      <c r="E48" s="7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>
      <c r="A49" s="76" t="s">
        <v>188</v>
      </c>
      <c r="B49" s="75"/>
      <c r="C49" s="75"/>
      <c r="D49" s="75"/>
      <c r="E49" s="77">
        <f>(4-0.2)/PI()</f>
        <v>1.2095775674984046</v>
      </c>
      <c r="F49" s="75" t="s">
        <v>36</v>
      </c>
      <c r="G49" s="37" t="s">
        <v>189</v>
      </c>
      <c r="H49" s="46">
        <f>E49/2</f>
        <v>0.60478878374920231</v>
      </c>
      <c r="I49" s="37" t="s">
        <v>36</v>
      </c>
      <c r="J49" s="3"/>
      <c r="K49" s="3"/>
      <c r="L49" s="3"/>
      <c r="M49" s="3">
        <v>5</v>
      </c>
      <c r="N49" s="3"/>
      <c r="O49" s="3"/>
      <c r="P49" s="3"/>
      <c r="Q49" s="3"/>
      <c r="R49" s="3"/>
      <c r="S49" s="3"/>
    </row>
    <row r="50" spans="1:19">
      <c r="A50" s="76" t="s">
        <v>190</v>
      </c>
      <c r="B50" s="75"/>
      <c r="C50" s="75"/>
      <c r="D50" s="75"/>
      <c r="E50" s="46">
        <f>C40/(PI()*H49^2)</f>
        <v>3.1851050172129205</v>
      </c>
      <c r="F50" s="37" t="s">
        <v>36</v>
      </c>
      <c r="G50" s="3"/>
      <c r="H50" s="3"/>
      <c r="I50" s="3"/>
      <c r="J50" s="3"/>
      <c r="K50" s="3"/>
      <c r="L50" s="3"/>
      <c r="M50" s="3">
        <v>6</v>
      </c>
      <c r="N50" s="3"/>
      <c r="O50" s="3"/>
      <c r="P50" s="3"/>
      <c r="Q50" s="3"/>
      <c r="R50" s="3"/>
      <c r="S50" s="3"/>
    </row>
    <row r="51" spans="1:19">
      <c r="A51" s="75"/>
      <c r="B51" s="75"/>
      <c r="C51" s="75"/>
      <c r="D51" s="75"/>
      <c r="E51" s="75"/>
      <c r="F51" s="3"/>
      <c r="G51" s="3"/>
      <c r="H51" s="3"/>
      <c r="I51" s="3"/>
      <c r="J51" s="3"/>
      <c r="K51" s="3"/>
      <c r="L51" s="39">
        <f>5.8/2</f>
        <v>2.9</v>
      </c>
      <c r="M51" s="3"/>
      <c r="N51" s="3"/>
      <c r="O51" s="3"/>
      <c r="P51" s="3"/>
      <c r="Q51" s="3"/>
      <c r="R51" s="3"/>
      <c r="S51" s="3"/>
    </row>
    <row r="52" spans="1:19" ht="15.75" customHeight="1">
      <c r="A52" s="3" t="s">
        <v>191</v>
      </c>
      <c r="B52" s="75"/>
      <c r="C52" s="81"/>
      <c r="D52" s="3"/>
      <c r="E52" s="46">
        <f>IF(C44="length",E46,E50)</f>
        <v>3.1851050172129205</v>
      </c>
      <c r="F52" s="75" t="s">
        <v>36</v>
      </c>
      <c r="G52" s="3"/>
      <c r="H52" s="3"/>
      <c r="I52" s="3"/>
      <c r="J52" s="3"/>
      <c r="K52" s="3"/>
      <c r="L52" s="3"/>
      <c r="M52" s="3">
        <v>7</v>
      </c>
      <c r="N52" s="3"/>
      <c r="O52" s="3"/>
      <c r="P52" s="3"/>
      <c r="Q52" s="3"/>
      <c r="R52" s="3"/>
      <c r="S52" s="3"/>
    </row>
    <row r="53" spans="1:19">
      <c r="A53" s="75" t="s">
        <v>179</v>
      </c>
      <c r="B53" s="75"/>
      <c r="C53" s="75"/>
      <c r="D53" s="3"/>
      <c r="E53" s="46">
        <f>IF(C44="length",E47,H49)</f>
        <v>0.60478878374920231</v>
      </c>
      <c r="F53" s="75" t="s">
        <v>36</v>
      </c>
      <c r="G53" s="3" t="s">
        <v>183</v>
      </c>
      <c r="H53" s="46">
        <f>E53*2</f>
        <v>1.2095775674984046</v>
      </c>
      <c r="I53" s="75" t="s">
        <v>36</v>
      </c>
      <c r="J53" s="3" t="s">
        <v>193</v>
      </c>
      <c r="K53" s="46">
        <f>PI()*H53</f>
        <v>3.8000000000000003</v>
      </c>
      <c r="L53" s="3"/>
      <c r="M53" s="3">
        <v>8</v>
      </c>
      <c r="N53" s="3">
        <v>9</v>
      </c>
      <c r="O53" s="3">
        <v>10</v>
      </c>
      <c r="P53" s="3"/>
      <c r="Q53" s="3"/>
      <c r="R53" s="3"/>
      <c r="S53" s="3"/>
    </row>
    <row r="54" spans="1:19">
      <c r="A54" s="3"/>
      <c r="B54" s="3"/>
      <c r="C54" s="3"/>
      <c r="D54" s="3"/>
      <c r="E54" s="3"/>
      <c r="F54" s="3"/>
      <c r="G54" s="3"/>
      <c r="H54" s="3"/>
      <c r="I54" s="3"/>
      <c r="J54" s="3" t="s">
        <v>194</v>
      </c>
      <c r="K54" s="46">
        <f>K53/2</f>
        <v>1.9000000000000001</v>
      </c>
      <c r="L54" s="3"/>
      <c r="M54" s="3">
        <v>11</v>
      </c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74" t="s">
        <v>196</v>
      </c>
      <c r="B56" s="11"/>
      <c r="C56" s="11"/>
      <c r="D56" s="10"/>
      <c r="E56" s="10"/>
      <c r="F56" s="10"/>
      <c r="G56" s="10"/>
      <c r="H56" s="10"/>
      <c r="I56" s="10"/>
      <c r="J56" s="10"/>
      <c r="K56" s="10"/>
      <c r="L56" s="10"/>
      <c r="M56" s="3"/>
      <c r="N56" s="3"/>
      <c r="O56" s="3"/>
      <c r="P56" s="3"/>
      <c r="Q56" s="3"/>
      <c r="R56" s="3"/>
      <c r="S56" s="3"/>
    </row>
    <row r="57" spans="1:19">
      <c r="A57" s="37" t="s">
        <v>197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 t="s">
        <v>198</v>
      </c>
      <c r="B58" s="3"/>
      <c r="C58" s="3"/>
      <c r="D58" s="3" t="s">
        <v>41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ht="60" customHeight="1">
      <c r="A60" s="3"/>
      <c r="B60" s="90" t="s">
        <v>199</v>
      </c>
      <c r="C60" s="90" t="s">
        <v>200</v>
      </c>
      <c r="D60" s="90" t="s">
        <v>201</v>
      </c>
      <c r="E60" s="90" t="s">
        <v>202</v>
      </c>
      <c r="F60" s="90" t="s">
        <v>203</v>
      </c>
      <c r="G60" s="90" t="s">
        <v>204</v>
      </c>
      <c r="H60" s="91" t="str">
        <f t="shared" ref="H60:H73" si="5">D60</f>
        <v>Hours of use per use, h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 t="s">
        <v>206</v>
      </c>
      <c r="B61" s="70">
        <v>1</v>
      </c>
      <c r="C61" s="42">
        <v>0.33</v>
      </c>
      <c r="D61" s="93">
        <f>H27/C61/E61</f>
        <v>1.9090909090909089</v>
      </c>
      <c r="E61" s="54">
        <v>2</v>
      </c>
      <c r="F61" s="93">
        <f t="shared" ref="F61:F71" si="6">B61*C61*D61*E61</f>
        <v>1.26</v>
      </c>
      <c r="G61" s="93">
        <f>B61*C61*D61</f>
        <v>0.63</v>
      </c>
      <c r="H61" s="95">
        <f t="shared" si="5"/>
        <v>1.9090909090909089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 t="s">
        <v>208</v>
      </c>
      <c r="B62" s="54"/>
      <c r="C62" s="42">
        <v>0.44</v>
      </c>
      <c r="D62" s="54"/>
      <c r="E62" s="54"/>
      <c r="F62" s="93">
        <f t="shared" si="6"/>
        <v>0</v>
      </c>
      <c r="G62" s="93">
        <f t="shared" ref="G62:G71" si="7">B62*C62*D62</f>
        <v>0</v>
      </c>
      <c r="H62" s="95">
        <f t="shared" si="5"/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 t="s">
        <v>211</v>
      </c>
      <c r="B63" s="54"/>
      <c r="C63" s="42">
        <v>0.56999999999999995</v>
      </c>
      <c r="D63" s="54"/>
      <c r="E63" s="54"/>
      <c r="F63" s="93">
        <f t="shared" si="6"/>
        <v>0</v>
      </c>
      <c r="G63" s="93">
        <f t="shared" si="7"/>
        <v>0</v>
      </c>
      <c r="H63" s="95">
        <f t="shared" si="5"/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 t="s">
        <v>214</v>
      </c>
      <c r="B64" s="54"/>
      <c r="C64" s="42">
        <f>(0.07+0.08)/2</f>
        <v>7.5000000000000011E-2</v>
      </c>
      <c r="D64" s="54"/>
      <c r="E64" s="54"/>
      <c r="F64" s="93">
        <f t="shared" si="6"/>
        <v>0</v>
      </c>
      <c r="G64" s="93">
        <f t="shared" si="7"/>
        <v>0</v>
      </c>
      <c r="H64" s="95">
        <f t="shared" si="5"/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 t="s">
        <v>215</v>
      </c>
      <c r="B65" s="54"/>
      <c r="C65" s="42">
        <v>0.14000000000000001</v>
      </c>
      <c r="D65" s="54"/>
      <c r="E65" s="54"/>
      <c r="F65" s="93">
        <f t="shared" si="6"/>
        <v>0</v>
      </c>
      <c r="G65" s="93">
        <f t="shared" si="7"/>
        <v>0</v>
      </c>
      <c r="H65" s="95">
        <f t="shared" si="5"/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>
      <c r="A66" s="3" t="s">
        <v>216</v>
      </c>
      <c r="B66" s="54"/>
      <c r="C66" s="42">
        <v>7.0000000000000007E-2</v>
      </c>
      <c r="D66" s="54"/>
      <c r="E66" s="54"/>
      <c r="F66" s="93">
        <f t="shared" si="6"/>
        <v>0</v>
      </c>
      <c r="G66" s="93">
        <f t="shared" si="7"/>
        <v>0</v>
      </c>
      <c r="H66" s="95">
        <f t="shared" si="5"/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>
      <c r="A67" s="3" t="s">
        <v>218</v>
      </c>
      <c r="B67" s="54"/>
      <c r="C67" s="42">
        <v>0.06</v>
      </c>
      <c r="D67" s="54"/>
      <c r="E67" s="54"/>
      <c r="F67" s="93">
        <f t="shared" si="6"/>
        <v>0</v>
      </c>
      <c r="G67" s="93">
        <f t="shared" si="7"/>
        <v>0</v>
      </c>
      <c r="H67" s="95">
        <f t="shared" si="5"/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 t="s">
        <v>219</v>
      </c>
      <c r="B68" s="54"/>
      <c r="C68" s="42">
        <v>0.17</v>
      </c>
      <c r="D68" s="54"/>
      <c r="E68" s="54"/>
      <c r="F68" s="93">
        <f t="shared" si="6"/>
        <v>0</v>
      </c>
      <c r="G68" s="93">
        <f t="shared" si="7"/>
        <v>0</v>
      </c>
      <c r="H68" s="95">
        <f t="shared" si="5"/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 t="s">
        <v>220</v>
      </c>
      <c r="B69" s="54"/>
      <c r="C69" s="42">
        <v>0.15</v>
      </c>
      <c r="D69" s="54"/>
      <c r="E69" s="54"/>
      <c r="F69" s="93">
        <f t="shared" si="6"/>
        <v>0</v>
      </c>
      <c r="G69" s="93">
        <f t="shared" si="7"/>
        <v>0</v>
      </c>
      <c r="H69" s="95">
        <f t="shared" si="5"/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 t="s">
        <v>224</v>
      </c>
      <c r="B70" s="54"/>
      <c r="C70" s="42">
        <v>0.4</v>
      </c>
      <c r="D70" s="54"/>
      <c r="E70" s="54"/>
      <c r="F70" s="93">
        <f t="shared" si="6"/>
        <v>0</v>
      </c>
      <c r="G70" s="93">
        <f t="shared" si="7"/>
        <v>0</v>
      </c>
      <c r="H70" s="95">
        <f t="shared" si="5"/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 t="s">
        <v>225</v>
      </c>
      <c r="B71" s="54"/>
      <c r="C71" s="42">
        <v>0.56000000000000005</v>
      </c>
      <c r="D71" s="54"/>
      <c r="E71" s="54"/>
      <c r="F71" s="93">
        <f t="shared" si="6"/>
        <v>0</v>
      </c>
      <c r="G71" s="93">
        <f t="shared" si="7"/>
        <v>0</v>
      </c>
      <c r="H71" s="95">
        <f t="shared" si="5"/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54" t="s">
        <v>226</v>
      </c>
      <c r="B72" s="54"/>
      <c r="C72" s="54"/>
      <c r="D72" s="54"/>
      <c r="E72" s="54"/>
      <c r="F72" s="93"/>
      <c r="G72" s="93"/>
      <c r="H72" s="95">
        <f t="shared" si="5"/>
        <v>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54" t="s">
        <v>226</v>
      </c>
      <c r="B73" s="54"/>
      <c r="C73" s="54"/>
      <c r="D73" s="54"/>
      <c r="E73" s="54"/>
      <c r="F73" s="93"/>
      <c r="G73" s="93"/>
      <c r="H73" s="95">
        <f t="shared" si="5"/>
        <v>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ht="15.75" customHeight="1">
      <c r="A75" s="63" t="s">
        <v>227</v>
      </c>
      <c r="B75" s="63"/>
      <c r="C75" s="63"/>
      <c r="D75" s="63"/>
      <c r="E75" s="63"/>
      <c r="F75" s="102">
        <f>SUM(F61:F74)</f>
        <v>1.26</v>
      </c>
      <c r="G75" s="3" t="s">
        <v>133</v>
      </c>
      <c r="H75" s="59" t="str">
        <f>IF(F75&gt;H34,"Total gas consumption higher than total gas production",IF(F75&lt;=H34,"satisfactory, as total gas consumption is less than or equal to total gas production","error"))</f>
        <v>Total gas consumption higher than total gas production</v>
      </c>
      <c r="I75" s="3"/>
      <c r="J75" s="3"/>
      <c r="K75" s="3"/>
      <c r="L75" s="3"/>
      <c r="M75" s="3"/>
      <c r="N75" s="3"/>
      <c r="O75" s="3" t="s">
        <v>231</v>
      </c>
      <c r="P75" s="3"/>
      <c r="Q75" s="42">
        <f>C38</f>
        <v>2.4</v>
      </c>
      <c r="R75" s="3" t="s">
        <v>19</v>
      </c>
      <c r="S75" s="3" t="s">
        <v>35</v>
      </c>
    </row>
    <row r="76" spans="1:1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 t="s">
        <v>232</v>
      </c>
      <c r="P76" s="3"/>
      <c r="Q76" s="59">
        <f>H27</f>
        <v>1.26</v>
      </c>
      <c r="R76" s="3" t="s">
        <v>19</v>
      </c>
      <c r="S76" s="3"/>
    </row>
    <row r="77" spans="1:19">
      <c r="A77" s="63" t="s">
        <v>235</v>
      </c>
      <c r="B77" s="63"/>
      <c r="C77" s="63"/>
      <c r="D77" s="63"/>
      <c r="E77" s="63"/>
      <c r="F77" s="63"/>
      <c r="G77" s="73">
        <f>MAX(G61:G74)</f>
        <v>0.63</v>
      </c>
      <c r="H77" s="3" t="s">
        <v>236</v>
      </c>
      <c r="I77" s="104">
        <f>G77/H27</f>
        <v>0.5</v>
      </c>
      <c r="J77" s="3" t="s">
        <v>239</v>
      </c>
      <c r="K77" s="3"/>
      <c r="L77" s="39">
        <f>VLOOKUP(G77,G61:H74,2,0)</f>
        <v>1.9090909090909089</v>
      </c>
      <c r="M77" s="3"/>
      <c r="N77" s="3"/>
      <c r="O77" s="3" t="s">
        <v>241</v>
      </c>
      <c r="P77" s="3"/>
      <c r="Q77" s="42">
        <f>Q75+Q76</f>
        <v>3.66</v>
      </c>
      <c r="R77" s="3" t="s">
        <v>19</v>
      </c>
      <c r="S77" s="3"/>
    </row>
    <row r="78" spans="1:1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>
      <c r="A79" s="8" t="s">
        <v>243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>
      <c r="A81" s="3" t="s">
        <v>245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" t="s">
        <v>246</v>
      </c>
      <c r="B83" s="45">
        <f>I77</f>
        <v>0.5</v>
      </c>
      <c r="C83" s="3" t="s">
        <v>247</v>
      </c>
      <c r="D83" s="30">
        <f>H27</f>
        <v>1.26</v>
      </c>
      <c r="E83" s="3" t="s">
        <v>248</v>
      </c>
      <c r="F83" s="30">
        <f>L77</f>
        <v>1.9090909090909089</v>
      </c>
      <c r="G83" s="3" t="s">
        <v>249</v>
      </c>
      <c r="H83" s="3" t="s">
        <v>250</v>
      </c>
      <c r="I83" s="30">
        <f>D83</f>
        <v>1.26</v>
      </c>
      <c r="J83" s="3" t="s">
        <v>396</v>
      </c>
      <c r="K83" s="73">
        <f>(B83*D83)-(F83/24*D83)</f>
        <v>0.52977272727272728</v>
      </c>
      <c r="L83" s="3" t="s">
        <v>19</v>
      </c>
      <c r="M83" s="3"/>
      <c r="N83" s="3"/>
      <c r="O83" s="3"/>
      <c r="P83" s="3"/>
      <c r="Q83" s="3"/>
      <c r="R83" s="3"/>
      <c r="S83" s="3"/>
    </row>
    <row r="84" spans="1:19">
      <c r="A84" s="3"/>
      <c r="B84" s="8" t="s">
        <v>254</v>
      </c>
      <c r="C84" s="3"/>
      <c r="D84" s="3"/>
      <c r="E84" s="3" t="s">
        <v>255</v>
      </c>
      <c r="F84" s="3" t="s">
        <v>256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>
      <c r="A85" s="3"/>
      <c r="B85" s="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ht="15.75" customHeight="1">
      <c r="A86" s="3" t="s">
        <v>257</v>
      </c>
      <c r="B86" s="3"/>
      <c r="C86" s="73">
        <f>H27-K83</f>
        <v>0.73022727272727272</v>
      </c>
      <c r="D86" s="3" t="s">
        <v>19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ht="15.75" customHeight="1">
      <c r="A87" s="37" t="s">
        <v>261</v>
      </c>
      <c r="B87" s="8"/>
      <c r="C87" s="73">
        <f>C86+K83+C38</f>
        <v>3.66</v>
      </c>
      <c r="D87" s="3" t="s">
        <v>19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3"/>
      <c r="N88" s="3"/>
      <c r="O88" s="3"/>
      <c r="P88" s="3"/>
      <c r="Q88" s="3"/>
      <c r="R88" s="3"/>
      <c r="S88" s="3"/>
    </row>
    <row r="89" spans="1:19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3"/>
      <c r="N89" s="3"/>
      <c r="O89" s="3"/>
      <c r="P89" s="3"/>
      <c r="Q89" s="3"/>
      <c r="R89" s="3"/>
      <c r="S89" s="3"/>
    </row>
    <row r="90" spans="1:19">
      <c r="A90" s="10" t="s">
        <v>265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3"/>
      <c r="N90" s="3"/>
      <c r="O90" s="3"/>
      <c r="P90" s="3"/>
      <c r="Q90" s="3"/>
      <c r="R90" s="3"/>
      <c r="S90" s="3"/>
    </row>
    <row r="91" spans="1:19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3"/>
      <c r="N91" s="3"/>
      <c r="O91" s="3"/>
      <c r="P91" s="3"/>
      <c r="Q91" s="3"/>
      <c r="R91" s="3"/>
      <c r="S91" s="3"/>
    </row>
    <row r="92" spans="1:19" ht="15.75" customHeight="1">
      <c r="A92" s="40" t="s">
        <v>191</v>
      </c>
      <c r="B92" s="75"/>
      <c r="C92" s="81"/>
      <c r="D92" s="46">
        <f>E52</f>
        <v>3.1851050172129205</v>
      </c>
      <c r="E92" s="75" t="s">
        <v>36</v>
      </c>
      <c r="N92" s="3"/>
      <c r="O92" s="3"/>
      <c r="P92" s="3"/>
      <c r="Q92" s="3"/>
      <c r="R92" s="3"/>
      <c r="S92" s="3"/>
    </row>
    <row r="93" spans="1:19">
      <c r="A93" s="75" t="s">
        <v>267</v>
      </c>
      <c r="B93" s="75"/>
      <c r="C93" s="75"/>
      <c r="D93" s="46">
        <f>(C40/(D92*PI()))^0.5</f>
        <v>0.60478878374920231</v>
      </c>
      <c r="E93" s="75" t="s">
        <v>36</v>
      </c>
      <c r="N93" s="3"/>
      <c r="O93" s="3"/>
      <c r="P93" s="3"/>
      <c r="Q93" s="3"/>
      <c r="R93" s="3"/>
      <c r="S93" s="3"/>
    </row>
    <row r="94" spans="1:19">
      <c r="A94" s="75" t="s">
        <v>268</v>
      </c>
      <c r="B94" s="107"/>
      <c r="C94" s="75"/>
      <c r="D94" s="46">
        <f>C38/D92</f>
        <v>0.75350733713015361</v>
      </c>
      <c r="E94" s="75" t="s">
        <v>95</v>
      </c>
      <c r="N94" s="3"/>
      <c r="O94" s="3"/>
      <c r="P94" s="3"/>
      <c r="Q94" s="3"/>
      <c r="R94" s="3"/>
      <c r="S94" s="3"/>
    </row>
    <row r="95" spans="1:19">
      <c r="A95" s="75"/>
      <c r="B95" s="75"/>
      <c r="C95" s="75"/>
      <c r="D95" s="75"/>
      <c r="E95" s="75"/>
      <c r="N95" s="3"/>
      <c r="O95" s="3"/>
      <c r="P95" s="3"/>
      <c r="Q95" s="3"/>
      <c r="R95" s="3"/>
      <c r="S95" s="3"/>
    </row>
    <row r="96" spans="1:19">
      <c r="A96" s="75"/>
      <c r="B96" s="75"/>
      <c r="C96" s="75"/>
      <c r="D96" s="75"/>
      <c r="E96" s="75"/>
      <c r="N96" s="3"/>
      <c r="O96" s="3"/>
      <c r="P96" s="3"/>
      <c r="Q96" s="3"/>
      <c r="R96" s="3"/>
      <c r="S96" s="3"/>
    </row>
    <row r="97" spans="1:19">
      <c r="A97" s="108" t="s">
        <v>272</v>
      </c>
      <c r="B97" s="75"/>
      <c r="C97" s="75"/>
      <c r="D97" s="75"/>
      <c r="E97" s="8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75"/>
      <c r="B98" s="75"/>
      <c r="C98" s="75"/>
      <c r="D98" s="75"/>
      <c r="E98" s="7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75" t="s">
        <v>273</v>
      </c>
      <c r="B99" s="75"/>
      <c r="C99" s="75"/>
      <c r="D99" s="75"/>
      <c r="E99" s="7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75" t="s">
        <v>274</v>
      </c>
      <c r="B100" s="75"/>
      <c r="C100" s="75"/>
      <c r="D100" s="75"/>
      <c r="E100" s="7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75" t="s">
        <v>275</v>
      </c>
      <c r="B101" s="75"/>
      <c r="C101" s="75"/>
      <c r="D101" s="75"/>
      <c r="E101" s="7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75" t="s">
        <v>276</v>
      </c>
      <c r="B102" s="75"/>
      <c r="C102" s="75"/>
      <c r="D102" s="75"/>
      <c r="E102" s="7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75"/>
      <c r="B103" s="75"/>
      <c r="C103" s="75"/>
      <c r="D103" s="75"/>
      <c r="E103" s="7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 t="s">
        <v>189</v>
      </c>
      <c r="B104" s="42">
        <f t="shared" ref="B104:B105" si="8">D93</f>
        <v>0.60478878374920231</v>
      </c>
      <c r="C104" s="3" t="s">
        <v>36</v>
      </c>
      <c r="D104" s="3"/>
      <c r="E104" s="7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>
      <c r="A105" s="3" t="s">
        <v>277</v>
      </c>
      <c r="B105" s="42">
        <f t="shared" si="8"/>
        <v>0.75350733713015361</v>
      </c>
      <c r="C105" s="3" t="s">
        <v>95</v>
      </c>
      <c r="D105" s="3"/>
      <c r="E105" s="7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>
      <c r="A106" s="3"/>
      <c r="B106" s="3"/>
      <c r="C106" s="3"/>
      <c r="D106" s="3"/>
      <c r="E106" s="7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>
      <c r="A107" s="109" t="s">
        <v>278</v>
      </c>
      <c r="B107" s="110" t="s">
        <v>279</v>
      </c>
      <c r="C107" s="109" t="s">
        <v>280</v>
      </c>
      <c r="D107" s="109" t="s">
        <v>281</v>
      </c>
      <c r="E107" s="7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>
      <c r="A108" s="3">
        <v>0</v>
      </c>
      <c r="B108" s="111">
        <f>PI()</f>
        <v>3.1415926535897931</v>
      </c>
      <c r="C108" s="93">
        <f t="shared" ref="C108:C118" si="9">B108-SIN(B108)-(2*$B$105/($B$104^2))</f>
        <v>-0.97852885931485289</v>
      </c>
      <c r="D108" s="93">
        <f t="shared" ref="D108:D118" si="10">1-COS(B108)</f>
        <v>2</v>
      </c>
      <c r="E108" s="7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>
      <c r="A109" s="3">
        <v>1</v>
      </c>
      <c r="B109" s="111">
        <f t="shared" ref="B109:B118" si="11">B108-C108/D108</f>
        <v>3.6308570832472196</v>
      </c>
      <c r="C109" s="93">
        <f t="shared" si="9"/>
        <v>-1.9287686630106826E-2</v>
      </c>
      <c r="D109" s="93">
        <f t="shared" si="10"/>
        <v>1.8826787983255477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>
      <c r="A110" s="3">
        <v>2</v>
      </c>
      <c r="B110" s="111">
        <f t="shared" si="11"/>
        <v>3.6411018932739014</v>
      </c>
      <c r="C110" s="93">
        <f t="shared" si="9"/>
        <v>-2.4821438334043933E-5</v>
      </c>
      <c r="D110" s="93">
        <f t="shared" si="10"/>
        <v>1.8778177392287145</v>
      </c>
      <c r="E110" s="8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>
      <c r="A111" s="3">
        <v>3</v>
      </c>
      <c r="B111" s="111">
        <f t="shared" si="11"/>
        <v>3.6411151115100568</v>
      </c>
      <c r="C111" s="93">
        <f t="shared" si="9"/>
        <v>-4.18456380657517E-11</v>
      </c>
      <c r="D111" s="93">
        <f t="shared" si="10"/>
        <v>1.8778114076856682</v>
      </c>
      <c r="E111" s="7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>
      <c r="A112" s="3">
        <v>4</v>
      </c>
      <c r="B112" s="111">
        <f t="shared" si="11"/>
        <v>3.6411151115323412</v>
      </c>
      <c r="C112" s="93">
        <f t="shared" si="9"/>
        <v>0</v>
      </c>
      <c r="D112" s="93">
        <f t="shared" si="10"/>
        <v>1.8778114076749937</v>
      </c>
      <c r="E112" s="7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>
      <c r="A113" s="3">
        <v>5</v>
      </c>
      <c r="B113" s="111">
        <f t="shared" si="11"/>
        <v>3.6411151115323412</v>
      </c>
      <c r="C113" s="93">
        <f t="shared" si="9"/>
        <v>0</v>
      </c>
      <c r="D113" s="93">
        <f t="shared" si="10"/>
        <v>1.8778114076749937</v>
      </c>
      <c r="E113" s="7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>
      <c r="A114" s="3">
        <v>6</v>
      </c>
      <c r="B114" s="111">
        <f t="shared" si="11"/>
        <v>3.6411151115323412</v>
      </c>
      <c r="C114" s="93">
        <f t="shared" si="9"/>
        <v>0</v>
      </c>
      <c r="D114" s="93">
        <f t="shared" si="10"/>
        <v>1.8778114076749937</v>
      </c>
      <c r="E114" s="7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>
      <c r="A115" s="3">
        <v>7</v>
      </c>
      <c r="B115" s="111">
        <f t="shared" si="11"/>
        <v>3.6411151115323412</v>
      </c>
      <c r="C115" s="93">
        <f t="shared" si="9"/>
        <v>0</v>
      </c>
      <c r="D115" s="93">
        <f t="shared" si="10"/>
        <v>1.8778114076749937</v>
      </c>
      <c r="E115" s="7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>
      <c r="A116" s="3">
        <v>8</v>
      </c>
      <c r="B116" s="111">
        <f t="shared" si="11"/>
        <v>3.6411151115323412</v>
      </c>
      <c r="C116" s="93">
        <f t="shared" si="9"/>
        <v>0</v>
      </c>
      <c r="D116" s="93">
        <f t="shared" si="10"/>
        <v>1.8778114076749937</v>
      </c>
      <c r="E116" s="7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>
      <c r="A117" s="3">
        <v>9</v>
      </c>
      <c r="B117" s="111">
        <f t="shared" si="11"/>
        <v>3.6411151115323412</v>
      </c>
      <c r="C117" s="93">
        <f t="shared" si="9"/>
        <v>0</v>
      </c>
      <c r="D117" s="93">
        <f t="shared" si="10"/>
        <v>1.8778114076749937</v>
      </c>
      <c r="E117" s="7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>
      <c r="A118" s="3">
        <v>10</v>
      </c>
      <c r="B118" s="111">
        <f t="shared" si="11"/>
        <v>3.6411151115323412</v>
      </c>
      <c r="C118" s="93">
        <f t="shared" si="9"/>
        <v>0</v>
      </c>
      <c r="D118" s="93">
        <f t="shared" si="10"/>
        <v>1.8778114076749937</v>
      </c>
      <c r="E118" s="75"/>
      <c r="F118" s="3"/>
      <c r="G118" s="11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>
      <c r="A119" s="3"/>
      <c r="B119" s="55"/>
      <c r="C119" s="42"/>
      <c r="D119" s="42"/>
      <c r="E119" s="7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>
      <c r="A120" s="75" t="s">
        <v>282</v>
      </c>
      <c r="B120" s="78">
        <f>B118</f>
        <v>3.6411151115323412</v>
      </c>
      <c r="C120" s="75" t="s">
        <v>283</v>
      </c>
      <c r="D120" s="42"/>
      <c r="E120" s="7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>
      <c r="A121" s="3"/>
      <c r="B121" s="55"/>
      <c r="C121" s="42"/>
      <c r="D121" s="42"/>
      <c r="E121" s="7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>
      <c r="A122" s="3" t="s">
        <v>284</v>
      </c>
      <c r="B122" s="78">
        <f>B104*COS(B120/2)</f>
        <v>-0.149487218542386</v>
      </c>
      <c r="C122" s="42" t="s">
        <v>36</v>
      </c>
      <c r="D122" s="42"/>
      <c r="E122" s="7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>
      <c r="A123" s="3" t="s">
        <v>285</v>
      </c>
      <c r="B123" s="46">
        <f>B104-B122</f>
        <v>0.75427600229158831</v>
      </c>
      <c r="C123" s="42" t="s">
        <v>36</v>
      </c>
      <c r="D123" s="113" t="s">
        <v>286</v>
      </c>
      <c r="E123" s="7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>
      <c r="A124" s="3"/>
      <c r="B124" s="55"/>
      <c r="C124" s="42"/>
      <c r="D124" s="42"/>
      <c r="E124" s="7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>
      <c r="A125" s="3"/>
      <c r="B125" s="3"/>
      <c r="C125" s="3"/>
      <c r="D125" s="3"/>
      <c r="E125" s="3"/>
      <c r="F125" s="75"/>
      <c r="G125" s="75"/>
      <c r="H125" s="75"/>
      <c r="I125" s="75"/>
      <c r="J125" s="75"/>
      <c r="K125" s="75"/>
      <c r="L125" s="75"/>
      <c r="M125" s="3"/>
      <c r="N125" s="3"/>
      <c r="O125" s="3"/>
      <c r="P125" s="3"/>
      <c r="Q125" s="3"/>
      <c r="R125" s="3"/>
      <c r="S125" s="3"/>
    </row>
    <row r="126" spans="1:19">
      <c r="A126" s="114" t="s">
        <v>287</v>
      </c>
      <c r="B126" s="11"/>
      <c r="C126" s="11"/>
      <c r="D126" s="10"/>
      <c r="E126" s="10"/>
      <c r="F126" s="10"/>
      <c r="G126" s="10"/>
      <c r="H126" s="10"/>
      <c r="I126" s="10"/>
      <c r="J126" s="10"/>
      <c r="K126" s="10"/>
      <c r="L126" s="10"/>
      <c r="M126" s="3"/>
      <c r="N126" s="3"/>
      <c r="O126" s="3"/>
      <c r="P126" s="3"/>
      <c r="Q126" s="3"/>
      <c r="R126" s="3"/>
      <c r="S126" s="3"/>
    </row>
    <row r="127" spans="1:1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>
      <c r="A128" s="115" t="s">
        <v>288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>
      <c r="A129" s="3" t="s">
        <v>289</v>
      </c>
      <c r="B129" s="52">
        <v>0</v>
      </c>
      <c r="C129" s="3" t="s">
        <v>68</v>
      </c>
      <c r="D129" s="8" t="s">
        <v>290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>
      <c r="A130" s="3" t="s">
        <v>291</v>
      </c>
      <c r="B130" s="52">
        <v>1</v>
      </c>
      <c r="C130" s="3" t="s">
        <v>68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>
      <c r="A131" s="3"/>
      <c r="B131" s="75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>
      <c r="A132" s="3" t="s">
        <v>292</v>
      </c>
      <c r="B132" s="116">
        <v>1</v>
      </c>
      <c r="C132" s="3" t="s">
        <v>144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>
      <c r="A133" s="3" t="s">
        <v>293</v>
      </c>
      <c r="B133" s="116">
        <v>1</v>
      </c>
      <c r="C133" s="3" t="s">
        <v>144</v>
      </c>
      <c r="D133" s="3"/>
      <c r="E133" s="3" t="s">
        <v>294</v>
      </c>
      <c r="F133" s="117">
        <f>C40</f>
        <v>3.66</v>
      </c>
      <c r="G133" s="3" t="s">
        <v>19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>
      <c r="A137" s="33" t="s">
        <v>295</v>
      </c>
      <c r="B137" s="96"/>
      <c r="C137" s="96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>
      <c r="A138" s="37" t="s">
        <v>296</v>
      </c>
      <c r="B138" s="52">
        <v>0.47</v>
      </c>
      <c r="C138" s="37" t="s">
        <v>36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>
      <c r="A139" s="37" t="s">
        <v>297</v>
      </c>
      <c r="B139" s="52">
        <v>0.36</v>
      </c>
      <c r="C139" s="37" t="s">
        <v>36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>
      <c r="A141" s="33" t="s">
        <v>298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>
      <c r="A142" s="37" t="s">
        <v>299</v>
      </c>
      <c r="B142" s="52">
        <v>0.47</v>
      </c>
      <c r="C142" s="37" t="s">
        <v>36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>
      <c r="A143" s="37" t="s">
        <v>297</v>
      </c>
      <c r="B143" s="52">
        <v>0.2</v>
      </c>
      <c r="C143" s="37" t="s">
        <v>36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>
      <c r="A145" s="33" t="s">
        <v>300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>
      <c r="A146" s="37" t="s">
        <v>301</v>
      </c>
      <c r="B146" s="118">
        <f>PI()*(F146+H47)*0.5</f>
        <v>2.5548107594051954</v>
      </c>
      <c r="C146" s="37" t="s">
        <v>36</v>
      </c>
      <c r="D146" s="37" t="s">
        <v>302</v>
      </c>
      <c r="E146" s="3"/>
      <c r="F146" s="36">
        <v>0.1</v>
      </c>
      <c r="G146" s="37" t="s">
        <v>36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>
      <c r="A147" s="37" t="s">
        <v>412</v>
      </c>
      <c r="B147" s="119">
        <v>2.5000000000000001E-2</v>
      </c>
      <c r="C147" s="37" t="s">
        <v>36</v>
      </c>
      <c r="D147" s="3"/>
      <c r="E147" s="3"/>
      <c r="F147" s="3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>
      <c r="A148" s="6" t="s">
        <v>303</v>
      </c>
      <c r="B148" s="118">
        <f>IF(Costs!A6="iron sheet roof",0,B146*B147*E52)</f>
        <v>0</v>
      </c>
      <c r="C148" s="6" t="s">
        <v>19</v>
      </c>
      <c r="L148" s="3"/>
      <c r="M148" s="3"/>
      <c r="N148" s="3"/>
      <c r="O148" s="3"/>
      <c r="P148" s="3"/>
      <c r="Q148" s="3"/>
      <c r="R148" s="3"/>
      <c r="S148" s="3"/>
    </row>
    <row r="149" spans="1:19"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>
      <c r="A150" s="33" t="s">
        <v>319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>
      <c r="A151" t="s">
        <v>317</v>
      </c>
      <c r="B151" s="118">
        <f>H53-Quantities!H21*2</f>
        <v>1.0095775674984047</v>
      </c>
      <c r="C151" t="s">
        <v>36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>
      <c r="A152" t="s">
        <v>318</v>
      </c>
      <c r="B152" s="118">
        <f>Quantities!J16</f>
        <v>0.85939115279892109</v>
      </c>
      <c r="C152" t="s">
        <v>36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</sheetData>
  <conditionalFormatting sqref="A49:I50">
    <cfRule type="expression" dxfId="11" priority="1">
      <formula>$C$44="length"</formula>
    </cfRule>
  </conditionalFormatting>
  <conditionalFormatting sqref="A46:I47">
    <cfRule type="expression" dxfId="10" priority="2">
      <formula>$C$44="diameter"</formula>
    </cfRule>
  </conditionalFormatting>
  <conditionalFormatting sqref="K29">
    <cfRule type="cellIs" dxfId="9" priority="3" operator="lessThan">
      <formula>20</formula>
    </cfRule>
  </conditionalFormatting>
  <conditionalFormatting sqref="K29">
    <cfRule type="cellIs" dxfId="8" priority="4" operator="greaterThan">
      <formula>30</formula>
    </cfRule>
  </conditionalFormatting>
  <conditionalFormatting sqref="K29">
    <cfRule type="cellIs" dxfId="7" priority="5" operator="between">
      <formula>20</formula>
      <formula>30</formula>
    </cfRule>
  </conditionalFormatting>
  <conditionalFormatting sqref="L29">
    <cfRule type="expression" dxfId="6" priority="6">
      <formula>$K$29&lt;20</formula>
    </cfRule>
  </conditionalFormatting>
  <conditionalFormatting sqref="L29">
    <cfRule type="expression" dxfId="5" priority="7">
      <formula>$K$29&gt;=20&lt;=30</formula>
    </cfRule>
  </conditionalFormatting>
  <conditionalFormatting sqref="L29">
    <cfRule type="expression" dxfId="4" priority="8">
      <formula>$K$29&gt;30</formula>
    </cfRule>
  </conditionalFormatting>
  <conditionalFormatting sqref="F75">
    <cfRule type="cellIs" dxfId="3" priority="9" operator="lessThanOrEqual">
      <formula>$H$27</formula>
    </cfRule>
  </conditionalFormatting>
  <conditionalFormatting sqref="F75">
    <cfRule type="cellIs" dxfId="2" priority="10" operator="greaterThan">
      <formula>$H$27</formula>
    </cfRule>
  </conditionalFormatting>
  <conditionalFormatting sqref="H75">
    <cfRule type="expression" dxfId="1" priority="11">
      <formula>$F$68&lt;=$H$27</formula>
    </cfRule>
  </conditionalFormatting>
  <conditionalFormatting sqref="H75">
    <cfRule type="expression" dxfId="0" priority="12">
      <formula>$F$68&gt;$H$27</formula>
    </cfRule>
  </conditionalFormatting>
  <dataValidations disablePrompts="1" count="1">
    <dataValidation type="list" sqref="C44">
      <formula1>"length,diameter"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4"/>
  <sheetViews>
    <sheetView workbookViewId="0">
      <selection activeCell="D5" sqref="D5"/>
    </sheetView>
  </sheetViews>
  <sheetFormatPr baseColWidth="10" defaultColWidth="17.33203125" defaultRowHeight="15" customHeight="1" x14ac:dyDescent="0"/>
  <cols>
    <col min="1" max="4" width="13.5" customWidth="1"/>
    <col min="5" max="5" width="8.5" customWidth="1"/>
    <col min="6" max="8" width="13.5" customWidth="1"/>
    <col min="9" max="9" width="8.5" customWidth="1"/>
    <col min="10" max="10" width="13.5" customWidth="1"/>
    <col min="11" max="11" width="8.6640625" customWidth="1"/>
    <col min="12" max="12" width="37.83203125" customWidth="1"/>
    <col min="13" max="24" width="13.5" customWidth="1"/>
  </cols>
  <sheetData>
    <row r="1" spans="1:24">
      <c r="A1" s="16" t="s">
        <v>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3"/>
      <c r="W1" s="3"/>
      <c r="X1" s="3"/>
    </row>
    <row r="2" spans="1:2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>
      <c r="A3" s="33" t="s">
        <v>46</v>
      </c>
      <c r="B3" s="3"/>
      <c r="C3" s="3"/>
      <c r="D3" s="3"/>
      <c r="E3" s="3"/>
      <c r="F3" s="33" t="s">
        <v>62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>
      <c r="A4" s="37" t="s">
        <v>63</v>
      </c>
      <c r="B4" s="3"/>
      <c r="C4" s="3"/>
      <c r="D4" s="46">
        <f>Sizing!E52+D17+D18+J4*4+J6*2</f>
        <v>7.4542601522097289</v>
      </c>
      <c r="E4" s="3" t="s">
        <v>36</v>
      </c>
      <c r="F4" s="37" t="s">
        <v>87</v>
      </c>
      <c r="G4" s="3"/>
      <c r="H4" s="3"/>
      <c r="I4" s="3"/>
      <c r="J4" s="47">
        <v>0.5</v>
      </c>
      <c r="K4" s="37" t="s">
        <v>36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>
      <c r="A5" s="37" t="s">
        <v>89</v>
      </c>
      <c r="B5" s="3"/>
      <c r="C5" s="3"/>
      <c r="D5" s="46">
        <f>Sizing!K53+(2*J5)</f>
        <v>4</v>
      </c>
      <c r="E5" s="3" t="s">
        <v>36</v>
      </c>
      <c r="F5" s="37" t="s">
        <v>91</v>
      </c>
      <c r="G5" s="3"/>
      <c r="H5" s="3"/>
      <c r="I5" s="3"/>
      <c r="J5" s="47">
        <v>0.1</v>
      </c>
      <c r="K5" s="37" t="s">
        <v>36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>
      <c r="A6" s="37" t="s">
        <v>92</v>
      </c>
      <c r="B6" s="3"/>
      <c r="C6" s="3"/>
      <c r="D6" s="50">
        <f>D4*D5</f>
        <v>29.817040608838916</v>
      </c>
      <c r="E6" s="37" t="s">
        <v>95</v>
      </c>
      <c r="F6" s="37" t="s">
        <v>327</v>
      </c>
      <c r="G6" s="37"/>
      <c r="H6" s="37"/>
      <c r="I6" s="37"/>
      <c r="J6" s="47">
        <v>0</v>
      </c>
      <c r="K6" s="37" t="s">
        <v>36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>
      <c r="A7" s="37"/>
      <c r="B7" s="3"/>
      <c r="C7" s="3"/>
      <c r="D7" s="3"/>
      <c r="E7" s="3"/>
      <c r="F7" s="37"/>
      <c r="G7" s="37"/>
      <c r="H7" s="37"/>
      <c r="I7" s="37"/>
      <c r="J7" s="37"/>
      <c r="K7" s="37"/>
      <c r="L7" s="39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>
      <c r="A8" s="37" t="s">
        <v>96</v>
      </c>
      <c r="B8" s="3"/>
      <c r="C8" s="3"/>
      <c r="D8" s="46">
        <f>Sizing!B123-Sizing!E53+J8+J18</f>
        <v>0.60478878374920231</v>
      </c>
      <c r="E8" s="3" t="s">
        <v>36</v>
      </c>
      <c r="F8" s="37" t="s">
        <v>97</v>
      </c>
      <c r="G8" s="3"/>
      <c r="H8" s="3"/>
      <c r="I8" s="3"/>
      <c r="J8" s="52">
        <v>0.15</v>
      </c>
      <c r="K8" s="37" t="s">
        <v>36</v>
      </c>
      <c r="L8" s="39"/>
      <c r="M8" s="3"/>
      <c r="N8" s="39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>
      <c r="A9" s="37" t="s">
        <v>99</v>
      </c>
      <c r="B9" s="3"/>
      <c r="C9" s="3"/>
      <c r="D9" s="46">
        <f>Sizing!E53+0.5*J9+J10</f>
        <v>1.4047887837492024</v>
      </c>
      <c r="E9" s="3" t="s">
        <v>36</v>
      </c>
      <c r="F9" s="37" t="s">
        <v>100</v>
      </c>
      <c r="G9" s="3"/>
      <c r="H9" s="3"/>
      <c r="I9" s="3"/>
      <c r="J9" s="52">
        <v>0.6</v>
      </c>
      <c r="K9" s="37" t="s">
        <v>36</v>
      </c>
      <c r="L9" s="39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>
      <c r="A10" s="6" t="s">
        <v>101</v>
      </c>
      <c r="D10" s="46">
        <f>J9/2+J11</f>
        <v>0.8</v>
      </c>
      <c r="E10" s="3" t="s">
        <v>36</v>
      </c>
      <c r="F10" s="6" t="s">
        <v>103</v>
      </c>
      <c r="J10" s="47">
        <v>0.5</v>
      </c>
      <c r="K10" s="37" t="s">
        <v>36</v>
      </c>
      <c r="L10" s="39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>
      <c r="A11" s="37" t="s">
        <v>104</v>
      </c>
      <c r="B11" s="3"/>
      <c r="C11" s="3"/>
      <c r="D11" s="46">
        <f>J12</f>
        <v>0.15</v>
      </c>
      <c r="E11" s="3" t="s">
        <v>36</v>
      </c>
      <c r="F11" s="6" t="s">
        <v>105</v>
      </c>
      <c r="J11" s="47">
        <v>0.5</v>
      </c>
      <c r="K11" s="37" t="s">
        <v>36</v>
      </c>
      <c r="L11" s="39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>
      <c r="A12" s="6" t="s">
        <v>106</v>
      </c>
      <c r="D12" s="46">
        <f>J13+J14</f>
        <v>13</v>
      </c>
      <c r="E12" s="3" t="s">
        <v>36</v>
      </c>
      <c r="F12" s="6" t="s">
        <v>107</v>
      </c>
      <c r="J12" s="47">
        <v>0.15</v>
      </c>
      <c r="K12" s="37" t="s">
        <v>36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>
      <c r="C13" s="6" t="s">
        <v>108</v>
      </c>
      <c r="D13" s="56">
        <f>SUM(D8:D12)</f>
        <v>15.959577567498405</v>
      </c>
      <c r="E13" s="6" t="s">
        <v>36</v>
      </c>
      <c r="F13" s="6" t="s">
        <v>111</v>
      </c>
      <c r="J13" s="47">
        <v>10</v>
      </c>
      <c r="K13" s="37" t="s">
        <v>36</v>
      </c>
      <c r="L13" s="58" t="s">
        <v>112</v>
      </c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</row>
    <row r="14" spans="1:24">
      <c r="F14" s="6" t="s">
        <v>113</v>
      </c>
      <c r="J14" s="47">
        <f>2+1</f>
        <v>3</v>
      </c>
      <c r="K14" s="6" t="s">
        <v>36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>
      <c r="F15" s="6" t="s">
        <v>405</v>
      </c>
      <c r="J15" s="46">
        <f>Sizing!E49-Sizing!B123-0.15</f>
        <v>0.30530156520681628</v>
      </c>
      <c r="K15" s="6" t="s">
        <v>36</v>
      </c>
      <c r="L15" s="154" t="s">
        <v>424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>
      <c r="A16" s="60" t="s">
        <v>117</v>
      </c>
      <c r="F16" s="37" t="s">
        <v>434</v>
      </c>
      <c r="G16" s="3"/>
      <c r="H16" s="3"/>
      <c r="J16" s="46">
        <f>Sizing!K83/(J15*2*(Sizing!H53-2*Quantities!H21))</f>
        <v>0.85939115279892109</v>
      </c>
      <c r="K16" s="37" t="s">
        <v>36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>
      <c r="A17" s="37" t="s">
        <v>121</v>
      </c>
      <c r="B17" s="3"/>
      <c r="C17" s="3"/>
      <c r="D17" s="46">
        <f>IF(Costs!A5="rectangle inlet/outlet",Sizing!B123+Quantities!J19,J18+Sizing!B123)</f>
        <v>1.0595775674984045</v>
      </c>
      <c r="E17" s="37" t="s">
        <v>36</v>
      </c>
      <c r="F17" s="37" t="s">
        <v>433</v>
      </c>
      <c r="J17" s="46">
        <f>(Sizing!K83/(2*(J15)*PI()))^0.5*2</f>
        <v>1.0510426622810993</v>
      </c>
      <c r="K17" s="124" t="s">
        <v>36</v>
      </c>
      <c r="T17" s="3"/>
      <c r="U17" s="3"/>
      <c r="V17" s="3"/>
      <c r="W17" s="3"/>
      <c r="X17" s="3"/>
    </row>
    <row r="18" spans="1:24">
      <c r="A18" s="37" t="s">
        <v>125</v>
      </c>
      <c r="B18" s="3"/>
      <c r="C18" s="3"/>
      <c r="D18" s="46">
        <f>D17+J20</f>
        <v>1.2095775674984044</v>
      </c>
      <c r="E18" s="37" t="s">
        <v>36</v>
      </c>
      <c r="F18" s="37" t="s">
        <v>324</v>
      </c>
      <c r="G18" s="3"/>
      <c r="H18" s="3"/>
      <c r="I18" s="3"/>
      <c r="J18" s="50">
        <f>Sizing!K83/(2*PI()*(Quantities!J17/2)^2)</f>
        <v>0.30530156520681623</v>
      </c>
      <c r="K18" s="37" t="s">
        <v>36</v>
      </c>
      <c r="L18" t="str">
        <f>IF(J18+Sizing!B123&gt;Sizing!H53,"error - increase bag diamter and reduce length","design okay")</f>
        <v>design okay</v>
      </c>
      <c r="M18" s="155" t="s">
        <v>413</v>
      </c>
      <c r="Q18" s="3"/>
      <c r="R18">
        <f>J15/(1/(PI()*(J16/2)^2)+1/(Sizing!E52*Sizing!H53))*1/(PI()*(J16/2)^2)</f>
        <v>0.2653500438566942</v>
      </c>
      <c r="S18" t="s">
        <v>323</v>
      </c>
      <c r="T18" s="3"/>
      <c r="U18" s="3"/>
      <c r="V18" s="3"/>
      <c r="W18" s="3"/>
      <c r="X18" s="3"/>
    </row>
    <row r="19" spans="1:24">
      <c r="A19" s="37" t="s">
        <v>316</v>
      </c>
      <c r="B19" s="3"/>
      <c r="C19" s="3"/>
      <c r="D19" s="46">
        <f>PI()*(J16+H21/2)</f>
        <v>2.8569365648726435</v>
      </c>
      <c r="E19" s="37" t="s">
        <v>36</v>
      </c>
      <c r="F19" s="37" t="s">
        <v>325</v>
      </c>
      <c r="J19" s="50">
        <f>Sizing!K83/(2*Quantities!J16*(Sizing!H53-2*Quantities!H21))</f>
        <v>0.30530156520681628</v>
      </c>
      <c r="L19" t="str">
        <f>IF(J19+Sizing!B123&gt;Sizing!H53,"error - increase bag diamter and reduce length","design okay")</f>
        <v>design okay</v>
      </c>
      <c r="M19" s="155" t="s">
        <v>413</v>
      </c>
      <c r="R19" s="3"/>
      <c r="S19" s="3"/>
      <c r="T19" s="3"/>
      <c r="U19" s="3"/>
      <c r="V19" s="3"/>
      <c r="W19" s="3"/>
      <c r="X19" s="3"/>
    </row>
    <row r="20" spans="1:24">
      <c r="A20" s="3" t="s">
        <v>315</v>
      </c>
      <c r="B20" s="3"/>
      <c r="C20" s="3"/>
      <c r="D20" s="46">
        <f>(Sizing!B151+Quantities!H21)*2+(Sizing!B152+Quantities!H21)*2</f>
        <v>4.1379374405946514</v>
      </c>
      <c r="E20" s="3" t="s">
        <v>36</v>
      </c>
      <c r="F20" s="37" t="s">
        <v>126</v>
      </c>
      <c r="G20" s="3"/>
      <c r="H20" s="3"/>
      <c r="I20" s="3"/>
      <c r="J20" s="47">
        <v>0.15</v>
      </c>
      <c r="K20" s="37" t="s">
        <v>36</v>
      </c>
      <c r="L20" s="37" t="s">
        <v>360</v>
      </c>
      <c r="M20" s="3"/>
      <c r="N20" s="65">
        <f>IF(Costs!A5="rectangle inlet/outlet",Sizing!B123-(J19*J16*Sizing!B151)/(Sizing!E52*Sizing!H53)-0.15,Sizing!B123-(Quantities!J18^2*PI())/(Sizing!E52*Sizing!H53)-0.15)</f>
        <v>0.52826955130492315</v>
      </c>
      <c r="O20" s="37" t="s">
        <v>36</v>
      </c>
      <c r="P20" s="37" t="s">
        <v>359</v>
      </c>
      <c r="Q20" s="3"/>
      <c r="R20" s="3"/>
      <c r="S20" s="3"/>
      <c r="T20" s="3"/>
      <c r="U20" s="3"/>
      <c r="V20" s="3"/>
      <c r="W20" s="3"/>
      <c r="X20" s="3"/>
    </row>
    <row r="21" spans="1:24">
      <c r="A21" s="37" t="s">
        <v>132</v>
      </c>
      <c r="B21" s="3"/>
      <c r="C21" s="3"/>
      <c r="D21" s="46">
        <f>IF(Costs!A3="brick inlet/outlet",IF(Costs!A5="rectangle inlet/outlet",Quantities!D17*Quantities!D20*H21,D17*D19*H21),0)</f>
        <v>0.30271458959050035</v>
      </c>
      <c r="E21" s="37" t="s">
        <v>19</v>
      </c>
      <c r="F21" s="37" t="s">
        <v>127</v>
      </c>
      <c r="G21" s="37" t="s">
        <v>73</v>
      </c>
      <c r="H21" s="47">
        <v>0.1</v>
      </c>
      <c r="I21" s="37" t="s">
        <v>72</v>
      </c>
      <c r="J21" s="47">
        <v>0.44</v>
      </c>
      <c r="K21" s="37" t="s">
        <v>129</v>
      </c>
      <c r="L21" s="47">
        <v>0.14000000000000001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>
      <c r="A22" s="37" t="s">
        <v>137</v>
      </c>
      <c r="B22" s="3"/>
      <c r="C22" s="3"/>
      <c r="D22" s="46">
        <f>IF(Costs!A3="brick inlet/outlet",IF(Costs!A5="rectangle inlet/outlet",Quantities!D18*Quantities!D20*H21,D18*D19*H21),0)</f>
        <v>0.34556863806358995</v>
      </c>
      <c r="E22" s="37" t="s">
        <v>19</v>
      </c>
      <c r="F22" s="37" t="s">
        <v>131</v>
      </c>
      <c r="G22" s="3"/>
      <c r="H22" s="3"/>
      <c r="I22" s="3"/>
      <c r="J22" s="47">
        <v>0.01</v>
      </c>
      <c r="K22" s="37" t="s">
        <v>36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>
      <c r="A23" s="37" t="s">
        <v>143</v>
      </c>
      <c r="B23" s="3"/>
      <c r="C23" s="3"/>
      <c r="D23" s="46">
        <f>IF(Costs!A3="brick inlet/outlet",IF(Costs!A5="rectangle inlet/outlet",(J16*2+(Sizing!B151+H21*2)*2)*J26*H21*2,(2*PI()*(J16/2+H21+0.15)^2*J26)),0)</f>
        <v>0.14513720642350589</v>
      </c>
      <c r="E23" s="37" t="s">
        <v>19</v>
      </c>
      <c r="F23" s="37" t="s">
        <v>134</v>
      </c>
      <c r="G23" s="3"/>
      <c r="H23" s="3"/>
      <c r="I23" s="3"/>
      <c r="J23" s="46">
        <f>H21*(J21+J22)*(L21+J22)</f>
        <v>6.7500000000000017E-3</v>
      </c>
      <c r="K23" s="37" t="s">
        <v>19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>
      <c r="A24" s="3"/>
      <c r="B24" s="3"/>
      <c r="C24" s="3"/>
      <c r="D24" s="3"/>
      <c r="E24" s="3"/>
      <c r="F24" s="37" t="s">
        <v>139</v>
      </c>
      <c r="G24" s="3"/>
      <c r="H24" s="3"/>
      <c r="I24" s="3"/>
      <c r="J24" s="47">
        <f>H21*J21*L21</f>
        <v>6.1600000000000014E-3</v>
      </c>
      <c r="K24" s="37" t="s">
        <v>19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>
      <c r="F25" s="37" t="s">
        <v>149</v>
      </c>
      <c r="G25" s="3"/>
      <c r="H25" s="3"/>
      <c r="I25" s="3"/>
      <c r="J25" s="47">
        <v>0.05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>
      <c r="A26" s="33" t="s">
        <v>152</v>
      </c>
      <c r="B26" s="3"/>
      <c r="C26" s="3"/>
      <c r="D26" s="3"/>
      <c r="E26" s="3"/>
      <c r="F26" s="6" t="s">
        <v>150</v>
      </c>
      <c r="I26" s="3"/>
      <c r="J26" s="47">
        <v>0.05</v>
      </c>
      <c r="K26" s="37" t="s">
        <v>36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>
      <c r="A27" s="37" t="s">
        <v>155</v>
      </c>
      <c r="B27" s="3"/>
      <c r="C27" s="3"/>
      <c r="D27" s="46">
        <f>IF(Costs!A4="pipe water drain",0,(((Sizing!B138-H21)*4*H21*Sizing!B139)))</f>
        <v>0</v>
      </c>
      <c r="E27" s="37" t="s">
        <v>19</v>
      </c>
      <c r="F27" s="37" t="s">
        <v>151</v>
      </c>
      <c r="G27" s="3"/>
      <c r="H27" s="3"/>
      <c r="I27" s="3"/>
      <c r="J27" s="47">
        <v>6.5000000000000002E-2</v>
      </c>
      <c r="K27" s="37" t="s">
        <v>36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>
      <c r="A28" s="37" t="s">
        <v>159</v>
      </c>
      <c r="B28" s="3"/>
      <c r="C28" s="3"/>
      <c r="D28" s="46">
        <f>IF(Costs!A4="pipe water drain",0,(Sizing!B142+0.15)*2*J26)</f>
        <v>0</v>
      </c>
      <c r="E28" s="37" t="s">
        <v>19</v>
      </c>
      <c r="F28" s="37" t="s">
        <v>154</v>
      </c>
      <c r="G28" s="3"/>
      <c r="H28" s="3"/>
      <c r="I28" s="3"/>
      <c r="J28" s="47">
        <v>0.4</v>
      </c>
      <c r="K28" s="37" t="s">
        <v>36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>
      <c r="A29" s="37" t="s">
        <v>161</v>
      </c>
      <c r="B29" s="3"/>
      <c r="C29" s="3"/>
      <c r="D29" s="46">
        <f>IF(Costs!A4="pipe water drain",0,(Sizing!B138+H21)^2*J27)</f>
        <v>0</v>
      </c>
      <c r="E29" s="37" t="s">
        <v>19</v>
      </c>
      <c r="F29" s="37" t="s">
        <v>156</v>
      </c>
      <c r="G29" s="3"/>
      <c r="J29" s="50">
        <f>D17-J28</f>
        <v>0.65957756749840446</v>
      </c>
      <c r="K29" s="37" t="s">
        <v>36</v>
      </c>
      <c r="L29" s="58" t="s">
        <v>157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>
      <c r="A30" s="3"/>
      <c r="B30" s="3"/>
      <c r="C30" s="3"/>
      <c r="D30" s="3"/>
      <c r="E30" s="3"/>
      <c r="J30">
        <f>0.8*J29</f>
        <v>0.52766205399872357</v>
      </c>
      <c r="K30" s="6" t="s">
        <v>36</v>
      </c>
      <c r="L30" s="6" t="s">
        <v>160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>
      <c r="A31" s="33" t="s">
        <v>163</v>
      </c>
      <c r="B31" s="3"/>
      <c r="C31" s="3"/>
      <c r="D31" s="3"/>
      <c r="E31" s="3"/>
      <c r="J31" t="str">
        <f>Costs!A2</f>
        <v>with pipe out of side of bag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>
      <c r="A32" s="37" t="s">
        <v>164</v>
      </c>
      <c r="B32" s="3"/>
      <c r="C32" s="3"/>
      <c r="D32" s="46">
        <f>IF(J31="with pipe out of top of bag",0,Sizing!B142^2*Sizing!B143)</f>
        <v>4.4179999999999997E-2</v>
      </c>
      <c r="E32" s="37" t="s">
        <v>19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>
      <c r="A33" s="37" t="s">
        <v>166</v>
      </c>
      <c r="B33" s="3"/>
      <c r="C33" s="3"/>
      <c r="D33" s="46">
        <f>IF(J31="with pipe out of top of bag",0,Sizing!B142^2*J27)</f>
        <v>1.43585E-2</v>
      </c>
      <c r="E33" s="37" t="s">
        <v>19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" customHeight="1">
      <c r="A35" s="6" t="s">
        <v>168</v>
      </c>
      <c r="D35" s="78">
        <f>(SUM(D21:D22)+D27)/J23</f>
        <v>96.041959652457805</v>
      </c>
      <c r="E35" s="6" t="s">
        <v>68</v>
      </c>
      <c r="F35" s="6" t="s">
        <v>172</v>
      </c>
      <c r="G35" s="6" t="s">
        <v>173</v>
      </c>
      <c r="H35" s="79" t="s">
        <v>174</v>
      </c>
      <c r="I35" s="80" t="s">
        <v>175</v>
      </c>
      <c r="J35" s="79" t="s">
        <v>176</v>
      </c>
      <c r="K35" s="80" t="s">
        <v>175</v>
      </c>
      <c r="L35" s="82" t="s">
        <v>177</v>
      </c>
      <c r="M35" s="82" t="s">
        <v>181</v>
      </c>
      <c r="N35" s="82" t="s">
        <v>182</v>
      </c>
      <c r="O35" s="82" t="s">
        <v>184</v>
      </c>
      <c r="P35" s="82" t="s">
        <v>185</v>
      </c>
      <c r="Q35" s="82" t="s">
        <v>186</v>
      </c>
      <c r="R35" s="82"/>
      <c r="S35" s="82"/>
      <c r="T35" s="82" t="s">
        <v>62</v>
      </c>
      <c r="U35" s="82"/>
      <c r="V35" s="82"/>
      <c r="W35" s="82"/>
      <c r="X35" s="82"/>
    </row>
    <row r="36" spans="1:24">
      <c r="A36" s="37" t="s">
        <v>187</v>
      </c>
      <c r="B36" s="3"/>
      <c r="C36" s="3"/>
      <c r="D36" s="78">
        <f>(SUM(D21:D22)+D27)-(D35*J24)</f>
        <v>5.6664756194950039E-2</v>
      </c>
      <c r="E36" s="37" t="s">
        <v>19</v>
      </c>
      <c r="F36" s="83">
        <v>0.3</v>
      </c>
      <c r="G36" s="85">
        <f t="shared" ref="G36:G38" si="0">(1+F36)*D36</f>
        <v>7.3664183053435056E-2</v>
      </c>
      <c r="H36" s="86">
        <v>1</v>
      </c>
      <c r="I36" s="87" t="s">
        <v>175</v>
      </c>
      <c r="J36" s="88">
        <v>4</v>
      </c>
      <c r="K36" s="87" t="s">
        <v>175</v>
      </c>
      <c r="L36" s="88">
        <v>0</v>
      </c>
      <c r="M36" s="89">
        <f t="shared" ref="M36:M38" si="1">(G36*J36)/(H36+J36)</f>
        <v>5.8931346442748042E-2</v>
      </c>
      <c r="N36" s="89">
        <f t="shared" ref="N36:N38" si="2">(G36*H36)/(H36+J36)</f>
        <v>1.4732836610687011E-2</v>
      </c>
      <c r="O36" s="89">
        <f t="shared" ref="O36:O38" si="3">N36*$V$40</f>
        <v>0.4390385309984729</v>
      </c>
      <c r="P36" s="92">
        <f t="shared" ref="P36:P38" si="4">(G36*L36)/(H36+J36+L36)</f>
        <v>0</v>
      </c>
      <c r="Q36" s="89">
        <f t="shared" ref="Q36:Q38" si="5">O36*$V$41</f>
        <v>12.073559602458005</v>
      </c>
      <c r="R36" s="94"/>
      <c r="S36" s="96"/>
      <c r="T36" s="97" t="s">
        <v>209</v>
      </c>
      <c r="U36" s="96"/>
      <c r="V36" s="98">
        <v>3.28</v>
      </c>
      <c r="W36" s="97" t="s">
        <v>212</v>
      </c>
      <c r="X36" s="96"/>
    </row>
    <row r="37" spans="1:24">
      <c r="A37" s="37" t="s">
        <v>213</v>
      </c>
      <c r="B37" s="3"/>
      <c r="C37" s="3"/>
      <c r="D37" s="78">
        <f>D23*2+D28+D29+D32+D33</f>
        <v>0.34881291284701177</v>
      </c>
      <c r="E37" s="37" t="s">
        <v>19</v>
      </c>
      <c r="F37" s="83">
        <v>0.55000000000000004</v>
      </c>
      <c r="G37" s="85">
        <f t="shared" si="0"/>
        <v>0.5406600149128683</v>
      </c>
      <c r="H37" s="99">
        <v>1</v>
      </c>
      <c r="I37" s="87" t="s">
        <v>175</v>
      </c>
      <c r="J37" s="99">
        <v>3</v>
      </c>
      <c r="K37" s="87" t="s">
        <v>175</v>
      </c>
      <c r="L37" s="99">
        <v>3</v>
      </c>
      <c r="M37" s="89">
        <f t="shared" si="1"/>
        <v>0.40549501118465126</v>
      </c>
      <c r="N37" s="89">
        <f t="shared" si="2"/>
        <v>0.13516500372821708</v>
      </c>
      <c r="O37" s="89">
        <f t="shared" si="3"/>
        <v>4.0279171111008694</v>
      </c>
      <c r="P37" s="92">
        <f t="shared" si="4"/>
        <v>0.23171143496265786</v>
      </c>
      <c r="Q37" s="89">
        <f t="shared" si="5"/>
        <v>110.76772055527391</v>
      </c>
      <c r="R37" s="96"/>
      <c r="S37" s="96"/>
      <c r="T37" s="97" t="s">
        <v>221</v>
      </c>
      <c r="U37" s="97" t="s">
        <v>222</v>
      </c>
      <c r="V37" s="98">
        <v>3.5400000000000001E-2</v>
      </c>
      <c r="W37" s="97" t="s">
        <v>19</v>
      </c>
      <c r="X37" s="96"/>
    </row>
    <row r="38" spans="1:24">
      <c r="A38" s="37" t="s">
        <v>223</v>
      </c>
      <c r="B38" s="3"/>
      <c r="C38" s="3"/>
      <c r="D38" s="78">
        <f>Sizing!B148</f>
        <v>0</v>
      </c>
      <c r="E38" s="37" t="s">
        <v>19</v>
      </c>
      <c r="F38" s="83">
        <v>0.55000000000000004</v>
      </c>
      <c r="G38" s="85">
        <f t="shared" si="0"/>
        <v>0</v>
      </c>
      <c r="H38" s="99">
        <v>1</v>
      </c>
      <c r="I38" s="87" t="s">
        <v>175</v>
      </c>
      <c r="J38" s="88">
        <v>4</v>
      </c>
      <c r="K38" s="87" t="s">
        <v>175</v>
      </c>
      <c r="L38" s="88">
        <v>0</v>
      </c>
      <c r="M38" s="89">
        <f t="shared" si="1"/>
        <v>0</v>
      </c>
      <c r="N38" s="89">
        <f t="shared" si="2"/>
        <v>0</v>
      </c>
      <c r="O38" s="89">
        <f t="shared" si="3"/>
        <v>0</v>
      </c>
      <c r="P38" s="92">
        <f t="shared" si="4"/>
        <v>0</v>
      </c>
      <c r="Q38" s="89">
        <f t="shared" si="5"/>
        <v>0</v>
      </c>
      <c r="R38" s="94"/>
      <c r="S38" s="96"/>
      <c r="T38" s="97"/>
      <c r="U38" s="96"/>
      <c r="V38" s="101"/>
      <c r="W38" s="97"/>
      <c r="X38" s="96"/>
    </row>
    <row r="39" spans="1:24">
      <c r="D39" s="6"/>
      <c r="F39" s="3"/>
      <c r="G39" s="3"/>
      <c r="H39" s="97"/>
      <c r="I39" s="87"/>
      <c r="J39" s="98"/>
      <c r="K39" s="87"/>
      <c r="L39" s="98"/>
      <c r="M39" s="103"/>
      <c r="N39" s="94"/>
      <c r="O39" s="94"/>
      <c r="P39" s="94"/>
      <c r="Q39" s="94"/>
      <c r="R39" s="94"/>
      <c r="S39" s="96"/>
      <c r="T39" s="97" t="s">
        <v>221</v>
      </c>
      <c r="U39" s="96"/>
      <c r="V39" s="101">
        <f>1/29.8</f>
        <v>3.3557046979865772E-2</v>
      </c>
      <c r="W39" s="97" t="s">
        <v>233</v>
      </c>
      <c r="X39" s="96"/>
    </row>
    <row r="40" spans="1:24">
      <c r="A40" s="6" t="s">
        <v>234</v>
      </c>
      <c r="D40" s="50">
        <f>SUM(P36:P38)</f>
        <v>0.23171143496265786</v>
      </c>
      <c r="E40" s="6" t="s">
        <v>19</v>
      </c>
      <c r="F40" s="50">
        <f>D40*V43</f>
        <v>295.43207957738878</v>
      </c>
      <c r="G40" s="37" t="s">
        <v>110</v>
      </c>
      <c r="H40" s="50">
        <f t="shared" ref="H40:H41" si="6">F40/1000</f>
        <v>0.29543207957738876</v>
      </c>
      <c r="I40" s="105" t="s">
        <v>238</v>
      </c>
      <c r="J40" s="96"/>
      <c r="K40" s="96"/>
      <c r="L40" s="96"/>
      <c r="M40" s="94"/>
      <c r="N40" s="94"/>
      <c r="O40" s="94"/>
      <c r="P40" s="94"/>
      <c r="Q40" s="94"/>
      <c r="R40" s="94"/>
      <c r="S40" s="96"/>
      <c r="T40" s="97" t="s">
        <v>240</v>
      </c>
      <c r="U40" s="96"/>
      <c r="V40" s="101">
        <f>1/V39</f>
        <v>29.8</v>
      </c>
      <c r="W40" s="97" t="s">
        <v>242</v>
      </c>
      <c r="X40" s="96"/>
    </row>
    <row r="41" spans="1:24">
      <c r="A41" s="6" t="s">
        <v>244</v>
      </c>
      <c r="D41" s="50">
        <f>SUM(M36:M38)</f>
        <v>0.46442635762739931</v>
      </c>
      <c r="E41" s="6" t="s">
        <v>19</v>
      </c>
      <c r="F41" s="50">
        <f>D41*V42</f>
        <v>696.63953644109893</v>
      </c>
      <c r="G41" s="37" t="s">
        <v>110</v>
      </c>
      <c r="H41" s="50">
        <f t="shared" si="6"/>
        <v>0.69663953644109888</v>
      </c>
      <c r="I41" s="105" t="s">
        <v>238</v>
      </c>
      <c r="J41" s="98"/>
      <c r="K41" s="87"/>
      <c r="L41" s="98"/>
      <c r="M41" s="106"/>
      <c r="N41" s="106"/>
      <c r="O41" s="106"/>
      <c r="P41" s="106"/>
      <c r="Q41" s="106"/>
      <c r="R41" s="94"/>
      <c r="S41" s="96"/>
      <c r="T41" s="97" t="s">
        <v>251</v>
      </c>
      <c r="U41" s="96"/>
      <c r="V41" s="98">
        <v>27.5</v>
      </c>
      <c r="W41" s="97" t="s">
        <v>252</v>
      </c>
      <c r="X41" s="96"/>
    </row>
    <row r="42" spans="1:24">
      <c r="A42" s="37" t="s">
        <v>253</v>
      </c>
      <c r="B42" s="3"/>
      <c r="C42" s="3"/>
      <c r="D42" s="50">
        <f>SUM(O36:O38)</f>
        <v>4.4669556420993421</v>
      </c>
      <c r="E42" s="37" t="s">
        <v>68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7" t="s">
        <v>258</v>
      </c>
      <c r="U42" s="3"/>
      <c r="V42" s="37">
        <v>1500</v>
      </c>
      <c r="W42" s="37" t="s">
        <v>259</v>
      </c>
      <c r="X42" s="3"/>
    </row>
    <row r="43" spans="1:24">
      <c r="A43" s="37" t="s">
        <v>260</v>
      </c>
      <c r="B43" s="3"/>
      <c r="C43" s="3"/>
      <c r="D43" s="50">
        <f>SUM(Q36:Q38)</f>
        <v>122.84128015773192</v>
      </c>
      <c r="E43" s="37" t="s">
        <v>262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7" t="s">
        <v>263</v>
      </c>
      <c r="U43" s="3"/>
      <c r="V43" s="37">
        <v>1275</v>
      </c>
      <c r="W43" s="37" t="s">
        <v>259</v>
      </c>
      <c r="X43" s="3"/>
    </row>
    <row r="44" spans="1:24">
      <c r="A44" s="58" t="s">
        <v>264</v>
      </c>
      <c r="B44" s="3"/>
      <c r="C44" s="3"/>
      <c r="D44" s="50">
        <f>(SUM(D21:D22)+D27)/J23*(1+J25)</f>
        <v>100.8440576350807</v>
      </c>
      <c r="E44" s="37" t="s">
        <v>68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>
      <c r="A45" s="37" t="s">
        <v>266</v>
      </c>
      <c r="B45" s="3"/>
      <c r="C45" s="3"/>
      <c r="D45" s="50">
        <f>Sizing!B146*Sizing!E52*2</f>
        <v>16.274681135622078</v>
      </c>
      <c r="E45" s="37" t="s">
        <v>95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>
      <c r="A46" s="33"/>
      <c r="B46" s="3"/>
      <c r="C46" s="3"/>
      <c r="D46" s="37" t="s">
        <v>269</v>
      </c>
      <c r="E46" s="37" t="s">
        <v>270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>
      <c r="A47" s="37" t="s">
        <v>271</v>
      </c>
      <c r="B47" s="3"/>
      <c r="C47" s="3"/>
      <c r="D47" s="50">
        <f>D17+D18+J26</f>
        <v>2.3191551349968087</v>
      </c>
      <c r="E47" s="50">
        <f>J16</f>
        <v>0.85939115279892109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>
      <c r="A49" s="153" t="s">
        <v>414</v>
      </c>
      <c r="B49" s="3"/>
      <c r="C49" s="3"/>
      <c r="D49" s="3"/>
      <c r="E49" s="3"/>
      <c r="F49" s="3"/>
      <c r="G49" s="3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</row>
    <row r="50" spans="1:24">
      <c r="A50" s="3" t="s">
        <v>415</v>
      </c>
      <c r="C50" s="46">
        <f>D17-J28</f>
        <v>0.65957756749840446</v>
      </c>
      <c r="D50" s="3" t="s">
        <v>36</v>
      </c>
      <c r="E50" s="3"/>
      <c r="F50" s="3"/>
      <c r="G50" s="3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</row>
    <row r="51" spans="1:24">
      <c r="A51" s="3" t="s">
        <v>416</v>
      </c>
      <c r="C51" s="46">
        <f>C50*1000*9.81</f>
        <v>6470.4559371593487</v>
      </c>
      <c r="D51" s="3" t="s">
        <v>417</v>
      </c>
      <c r="E51" s="3"/>
      <c r="F51" s="3"/>
      <c r="G51" s="3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</row>
    <row r="52" spans="1:24">
      <c r="A52" s="3"/>
      <c r="B52" s="3"/>
      <c r="C52" s="3"/>
      <c r="D52" s="3"/>
      <c r="E52" s="3"/>
      <c r="F52" s="3"/>
      <c r="G52" s="3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</row>
    <row r="53" spans="1:24">
      <c r="A53" s="3" t="s">
        <v>419</v>
      </c>
      <c r="B53" s="3"/>
      <c r="C53" s="46">
        <f>0.4*0.7</f>
        <v>0.27999999999999997</v>
      </c>
      <c r="D53" s="3" t="s">
        <v>95</v>
      </c>
      <c r="E53" s="3" t="s">
        <v>418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>
      <c r="A54" s="3" t="s">
        <v>420</v>
      </c>
      <c r="B54" s="3"/>
      <c r="C54" s="46">
        <v>50</v>
      </c>
      <c r="D54" s="3" t="s">
        <v>110</v>
      </c>
      <c r="E54" s="3" t="s">
        <v>423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>
      <c r="A56" s="3" t="s">
        <v>421</v>
      </c>
      <c r="B56" s="3"/>
      <c r="C56" s="50">
        <f>(1000*C50*C53)/C54</f>
        <v>3.6936343779910645</v>
      </c>
      <c r="D56" s="3" t="s">
        <v>422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</row>
    <row r="58" spans="1:24">
      <c r="A58" s="153" t="s">
        <v>393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>
      <c r="A60" s="3" t="s">
        <v>394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>
      <c r="A61" s="154" t="s">
        <v>398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>
      <c r="A62" s="3" t="s">
        <v>403</v>
      </c>
      <c r="B62" s="3"/>
      <c r="C62" s="3"/>
      <c r="D62" s="3">
        <f>Sizing!K83/(2*Quantities!J16*(Sizing!H53-2*Quantities!H21))</f>
        <v>0.30530156520681628</v>
      </c>
      <c r="E62" s="3" t="s">
        <v>36</v>
      </c>
      <c r="F62" s="3" t="s">
        <v>397</v>
      </c>
      <c r="G62" s="3"/>
      <c r="H62" s="3"/>
      <c r="I62" s="3"/>
      <c r="J62" s="3"/>
      <c r="K62" s="3" t="s">
        <v>401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>
      <c r="A63" s="3" t="s">
        <v>399</v>
      </c>
      <c r="B63" s="3"/>
      <c r="C63" s="3"/>
      <c r="D63" s="3"/>
      <c r="E63" s="3"/>
      <c r="F63" s="3"/>
      <c r="G63" s="3"/>
      <c r="H63" s="3"/>
      <c r="I63" s="3"/>
      <c r="J63" s="3"/>
      <c r="K63" s="3" t="s">
        <v>402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>
      <c r="A64" s="39" t="s">
        <v>400</v>
      </c>
      <c r="B64" s="3"/>
      <c r="C64" s="3"/>
      <c r="D64" s="3">
        <f>Sizing!K83/(2*PI()*(Quantities!J16/2)^2)</f>
        <v>0.4566547328929384</v>
      </c>
      <c r="E64" s="3" t="s">
        <v>36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>
      <c r="A68" s="3"/>
      <c r="B68" s="3"/>
      <c r="C68" s="3" t="s">
        <v>404</v>
      </c>
      <c r="D68" s="3">
        <f>IF(Costs!A5="rectangle inlet/outlet",Sizing!K83/(J15*2*(Sizing!H53-2*Quantities!H21)),2*(2/(J15*2*PI())^0.5))</f>
        <v>2.8880555457859209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>
      <c r="A69" s="3"/>
      <c r="B69" s="3"/>
      <c r="C69" s="3" t="s">
        <v>406</v>
      </c>
      <c r="D69" s="3">
        <f>2*(2/(J15*2*PI())^0.5)</f>
        <v>2.8880555457859209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9"/>
  <sheetViews>
    <sheetView workbookViewId="0">
      <pane xSplit="1" topLeftCell="B1" activePane="topRight" state="frozen"/>
      <selection pane="topRight" activeCell="A5" sqref="A5"/>
    </sheetView>
  </sheetViews>
  <sheetFormatPr baseColWidth="10" defaultColWidth="17.33203125" defaultRowHeight="15" customHeight="1" x14ac:dyDescent="0"/>
  <cols>
    <col min="1" max="1" width="55.6640625" customWidth="1"/>
    <col min="2" max="2" width="13.5" customWidth="1"/>
    <col min="3" max="3" width="8" customWidth="1"/>
    <col min="4" max="4" width="7.5" customWidth="1"/>
    <col min="5" max="5" width="6.33203125" customWidth="1"/>
    <col min="6" max="6" width="10.33203125" customWidth="1"/>
    <col min="7" max="7" width="13.6640625" customWidth="1"/>
    <col min="8" max="8" width="10" customWidth="1"/>
    <col min="9" max="9" width="9.6640625" customWidth="1"/>
    <col min="10" max="10" width="7.33203125" customWidth="1"/>
    <col min="11" max="11" width="11.33203125" customWidth="1"/>
    <col min="12" max="12" width="9.33203125" customWidth="1"/>
    <col min="13" max="13" width="8.33203125" customWidth="1"/>
    <col min="14" max="14" width="3" customWidth="1"/>
    <col min="15" max="18" width="13.5" customWidth="1"/>
  </cols>
  <sheetData>
    <row r="1" spans="1:20" ht="12.75" customHeight="1">
      <c r="A1" s="4" t="s">
        <v>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20" ht="12.75" customHeight="1">
      <c r="A2" s="36" t="s">
        <v>369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7" t="s">
        <v>368</v>
      </c>
      <c r="Q2" s="37">
        <f>1/68</f>
        <v>1.4705882352941176E-2</v>
      </c>
      <c r="R2" s="39">
        <f>1/Q2</f>
        <v>68</v>
      </c>
    </row>
    <row r="3" spans="1:20" ht="12.75" customHeight="1">
      <c r="A3" s="36" t="s">
        <v>67</v>
      </c>
      <c r="B3" s="40"/>
      <c r="C3" s="33"/>
      <c r="D3" s="33"/>
      <c r="E3" s="33"/>
      <c r="F3" s="40"/>
      <c r="G3" s="33"/>
      <c r="H3" s="33"/>
      <c r="I3" s="40"/>
      <c r="J3" s="33"/>
      <c r="K3" s="33"/>
      <c r="L3" s="33"/>
      <c r="M3" s="33"/>
      <c r="N3" s="40"/>
      <c r="O3" s="33"/>
      <c r="P3" s="40"/>
      <c r="Q3" s="41"/>
      <c r="R3" s="41"/>
    </row>
    <row r="4" spans="1:20" ht="12.75" customHeight="1">
      <c r="A4" s="36" t="s">
        <v>69</v>
      </c>
      <c r="B4" s="40"/>
      <c r="C4" s="33"/>
      <c r="D4" s="33"/>
      <c r="E4" s="33"/>
      <c r="F4" s="40"/>
      <c r="G4" s="33"/>
      <c r="H4" s="33"/>
      <c r="I4" s="40"/>
      <c r="J4" s="33"/>
      <c r="K4" s="33"/>
      <c r="L4" s="33"/>
      <c r="M4" s="33"/>
      <c r="N4" s="40"/>
      <c r="O4" s="33"/>
      <c r="P4" s="40"/>
      <c r="Q4" s="41"/>
      <c r="R4" s="41"/>
    </row>
    <row r="5" spans="1:20" ht="12.75" customHeight="1">
      <c r="A5" s="36" t="s">
        <v>432</v>
      </c>
      <c r="B5" s="40"/>
      <c r="C5" s="33"/>
      <c r="D5" s="33"/>
      <c r="E5" s="33"/>
      <c r="F5" s="40"/>
      <c r="G5" s="33"/>
      <c r="H5" s="33"/>
      <c r="I5" s="40"/>
      <c r="J5" s="33"/>
      <c r="K5" s="33"/>
      <c r="L5" s="33"/>
      <c r="M5" s="33"/>
      <c r="N5" s="40"/>
      <c r="O5" s="33"/>
      <c r="P5" s="40"/>
      <c r="Q5" s="41"/>
      <c r="R5" s="41"/>
    </row>
    <row r="6" spans="1:20" ht="12.75" customHeight="1">
      <c r="A6" s="70" t="s">
        <v>341</v>
      </c>
      <c r="B6" s="40"/>
      <c r="C6" s="33"/>
      <c r="D6" s="33"/>
      <c r="E6" s="33"/>
      <c r="F6" s="40"/>
      <c r="G6" s="33"/>
      <c r="H6" s="33"/>
      <c r="I6" s="40"/>
      <c r="J6" s="33"/>
      <c r="K6" s="33"/>
      <c r="L6" s="33"/>
      <c r="M6" s="33"/>
      <c r="N6" s="40"/>
      <c r="O6" s="33"/>
      <c r="P6" s="40"/>
      <c r="Q6" s="41"/>
      <c r="R6" s="41"/>
    </row>
    <row r="7" spans="1:20" ht="12.75" customHeight="1">
      <c r="A7" s="33" t="s">
        <v>70</v>
      </c>
      <c r="B7" s="40" t="s">
        <v>71</v>
      </c>
      <c r="C7" s="33" t="s">
        <v>72</v>
      </c>
      <c r="D7" s="33" t="s">
        <v>73</v>
      </c>
      <c r="E7" s="33" t="s">
        <v>74</v>
      </c>
      <c r="F7" s="40" t="s">
        <v>75</v>
      </c>
      <c r="G7" s="33" t="s">
        <v>76</v>
      </c>
      <c r="H7" s="33" t="s">
        <v>77</v>
      </c>
      <c r="I7" s="40" t="s">
        <v>78</v>
      </c>
      <c r="J7" s="33" t="s">
        <v>79</v>
      </c>
      <c r="K7" s="33" t="s">
        <v>80</v>
      </c>
      <c r="L7" s="33" t="s">
        <v>81</v>
      </c>
      <c r="M7" s="33" t="s">
        <v>82</v>
      </c>
      <c r="N7" s="40"/>
      <c r="O7" s="33" t="s">
        <v>83</v>
      </c>
      <c r="P7" s="40"/>
      <c r="Q7" s="41"/>
      <c r="R7" s="41"/>
    </row>
    <row r="8" spans="1:20" ht="12.75" customHeight="1">
      <c r="A8" s="37" t="s">
        <v>84</v>
      </c>
      <c r="B8" s="37">
        <f>Sizing!B132</f>
        <v>1</v>
      </c>
      <c r="C8" s="42"/>
      <c r="D8" s="3"/>
      <c r="E8" s="3"/>
      <c r="F8" s="3"/>
      <c r="G8" s="3"/>
      <c r="H8" s="3"/>
      <c r="I8" s="37">
        <v>500</v>
      </c>
      <c r="J8" s="3"/>
      <c r="K8" s="37"/>
      <c r="L8" s="3"/>
      <c r="M8" s="3"/>
      <c r="N8" s="3"/>
      <c r="O8" s="149">
        <f t="shared" ref="O8:O9" si="0">(B8*I8)+((C8*J8)+(K8*F8)+(L8*G8)+(M8*H8))*B8</f>
        <v>500</v>
      </c>
      <c r="P8" s="3"/>
      <c r="Q8" s="51">
        <f t="shared" ref="Q8:Q9" si="1">O8*$Q$2</f>
        <v>7.3529411764705879</v>
      </c>
      <c r="R8" s="53"/>
      <c r="S8" s="125">
        <f t="shared" ref="S8:S10" si="2">Q8/$Q$34</f>
        <v>3.0387102020863827E-2</v>
      </c>
      <c r="T8" t="s">
        <v>370</v>
      </c>
    </row>
    <row r="9" spans="1:20" ht="12.75" customHeight="1">
      <c r="A9" s="37" t="s">
        <v>98</v>
      </c>
      <c r="B9" s="37">
        <f>Sizing!B133</f>
        <v>1</v>
      </c>
      <c r="C9" s="42"/>
      <c r="D9" s="3"/>
      <c r="E9" s="3"/>
      <c r="F9" s="3"/>
      <c r="G9" s="3"/>
      <c r="H9" s="3"/>
      <c r="I9" s="37">
        <v>500</v>
      </c>
      <c r="J9" s="3"/>
      <c r="K9" s="37"/>
      <c r="L9" s="3"/>
      <c r="M9" s="3"/>
      <c r="N9" s="3"/>
      <c r="O9" s="149">
        <f t="shared" si="0"/>
        <v>500</v>
      </c>
      <c r="P9" s="3"/>
      <c r="Q9" s="51">
        <f t="shared" si="1"/>
        <v>7.3529411764705879</v>
      </c>
      <c r="R9" s="53"/>
      <c r="S9" s="125">
        <f t="shared" si="2"/>
        <v>3.0387102020863827E-2</v>
      </c>
      <c r="T9" t="s">
        <v>370</v>
      </c>
    </row>
    <row r="10" spans="1:20" ht="12.75" customHeight="1">
      <c r="A10" s="37"/>
      <c r="B10" s="3"/>
      <c r="C10" s="42"/>
      <c r="D10" s="3"/>
      <c r="E10" s="3"/>
      <c r="F10" s="3"/>
      <c r="G10" s="3"/>
      <c r="H10" s="3"/>
      <c r="I10" s="37"/>
      <c r="J10" s="3"/>
      <c r="K10" s="37"/>
      <c r="L10" s="3"/>
      <c r="M10" s="3"/>
      <c r="N10" s="3"/>
      <c r="O10" s="149"/>
      <c r="P10" s="3"/>
      <c r="Q10" s="51"/>
      <c r="R10" s="53"/>
      <c r="S10" s="125">
        <f t="shared" si="2"/>
        <v>0</v>
      </c>
    </row>
    <row r="11" spans="1:20" ht="12.75" customHeight="1">
      <c r="A11" s="37" t="s">
        <v>102</v>
      </c>
      <c r="B11" s="3">
        <v>1</v>
      </c>
      <c r="C11" s="42"/>
      <c r="D11" s="3"/>
      <c r="E11" s="3"/>
      <c r="F11" s="140">
        <f>Quantities!D6</f>
        <v>29.817040608838916</v>
      </c>
      <c r="G11" s="3"/>
      <c r="H11" s="3"/>
      <c r="I11" s="37"/>
      <c r="J11" s="3"/>
      <c r="K11" s="37">
        <v>225</v>
      </c>
      <c r="L11" s="3"/>
      <c r="M11" s="3"/>
      <c r="N11" s="3"/>
      <c r="O11" s="149">
        <f>(B11*I11)+((C11*J11)+(K11*F11)+(L11*G11)+(M11*H11))*B11</f>
        <v>6708.8341369887557</v>
      </c>
      <c r="P11" s="3"/>
      <c r="Q11" s="51">
        <f>O11*$Q$2</f>
        <v>98.659325543952292</v>
      </c>
      <c r="R11" s="53">
        <f>Q11/$Q$34</f>
        <v>0.40772405472346251</v>
      </c>
      <c r="S11" s="125">
        <f>Q11/$Q$34</f>
        <v>0.40772405472346251</v>
      </c>
    </row>
    <row r="12" spans="1:20" ht="12.75" customHeight="1">
      <c r="A12" s="37"/>
      <c r="B12" s="37"/>
      <c r="C12" s="3"/>
      <c r="D12" s="3"/>
      <c r="E12" s="3"/>
      <c r="F12" s="3"/>
      <c r="G12" s="3"/>
      <c r="H12" s="3"/>
      <c r="I12" s="3"/>
      <c r="J12" s="37"/>
      <c r="K12" s="3"/>
      <c r="L12" s="3"/>
      <c r="M12" s="3"/>
      <c r="N12" s="3"/>
      <c r="O12" s="149"/>
      <c r="P12" s="3"/>
      <c r="Q12" s="51"/>
      <c r="R12" s="3"/>
      <c r="S12" s="125">
        <f t="shared" ref="S12:S33" si="3">Q12/$Q$34</f>
        <v>0</v>
      </c>
    </row>
    <row r="13" spans="1:20" ht="12.75" customHeight="1">
      <c r="A13" s="37" t="s">
        <v>365</v>
      </c>
      <c r="B13" s="37">
        <v>1</v>
      </c>
      <c r="C13" s="64">
        <f>Quantities!D13+IF(A4="pipe water drain",0.5,0)</f>
        <v>16.459577567498407</v>
      </c>
      <c r="D13" s="3"/>
      <c r="E13" s="3"/>
      <c r="F13" s="3"/>
      <c r="G13" s="3"/>
      <c r="H13" s="3"/>
      <c r="I13" s="3"/>
      <c r="J13" s="37">
        <f>65/3.6</f>
        <v>18.055555555555554</v>
      </c>
      <c r="K13" s="3"/>
      <c r="L13" s="3"/>
      <c r="M13" s="3"/>
      <c r="N13" s="3"/>
      <c r="O13" s="149">
        <f>(B13*I13)+((C13*J13)+(K13*F13)+(L13*G13)+(M13*H13))*B13</f>
        <v>297.18681719094343</v>
      </c>
      <c r="P13" s="3"/>
      <c r="Q13" s="51">
        <f t="shared" ref="Q13:Q32" si="4">O13*$Q$2</f>
        <v>4.3703943704550507</v>
      </c>
      <c r="R13" s="3"/>
      <c r="S13" s="125">
        <f t="shared" si="3"/>
        <v>1.8061292266474013E-2</v>
      </c>
    </row>
    <row r="14" spans="1:20" ht="12.75" customHeight="1">
      <c r="A14" s="37" t="s">
        <v>366</v>
      </c>
      <c r="B14" s="69">
        <f>IF(A2="with pipe out of side of bag",5,3)+IF(A4="pipe water drain",2,0)</f>
        <v>7</v>
      </c>
      <c r="C14" s="3"/>
      <c r="D14" s="3"/>
      <c r="E14" s="3"/>
      <c r="F14" s="3"/>
      <c r="G14" s="3"/>
      <c r="H14" s="3"/>
      <c r="I14" s="6">
        <v>16</v>
      </c>
      <c r="J14" s="3"/>
      <c r="K14" s="3"/>
      <c r="L14" s="3"/>
      <c r="M14" s="3"/>
      <c r="N14" s="3"/>
      <c r="O14" s="149">
        <f t="shared" ref="O14:O31" si="5">(B14*I14)+((C14*J14)+(K14*F14)+(L14*G14)+(M14*H14))*B14</f>
        <v>112</v>
      </c>
      <c r="P14" s="3"/>
      <c r="Q14" s="51">
        <f t="shared" si="4"/>
        <v>1.6470588235294117</v>
      </c>
      <c r="R14" s="3"/>
      <c r="S14" s="125">
        <f t="shared" si="3"/>
        <v>6.8067108526734975E-3</v>
      </c>
    </row>
    <row r="15" spans="1:20" ht="12.75" customHeight="1">
      <c r="A15" s="37" t="s">
        <v>367</v>
      </c>
      <c r="B15" s="6">
        <v>3</v>
      </c>
      <c r="E15" s="3"/>
      <c r="I15" s="6">
        <v>35</v>
      </c>
      <c r="O15" s="149">
        <f t="shared" si="5"/>
        <v>105</v>
      </c>
      <c r="Q15" s="51">
        <f t="shared" si="4"/>
        <v>1.5441176470588236</v>
      </c>
      <c r="S15" s="125">
        <f t="shared" si="3"/>
        <v>6.381291424381404E-3</v>
      </c>
    </row>
    <row r="16" spans="1:20" ht="12.75" customHeight="1">
      <c r="A16" s="37" t="s">
        <v>372</v>
      </c>
      <c r="B16" s="37">
        <v>1</v>
      </c>
      <c r="C16" s="3"/>
      <c r="E16" s="3"/>
      <c r="I16" s="151">
        <v>650</v>
      </c>
      <c r="O16" s="149">
        <f t="shared" si="5"/>
        <v>650</v>
      </c>
      <c r="Q16" s="51">
        <f t="shared" si="4"/>
        <v>9.5588235294117645</v>
      </c>
      <c r="S16" s="125">
        <f t="shared" si="3"/>
        <v>3.9503232627122978E-2</v>
      </c>
    </row>
    <row r="17" spans="1:19" ht="12.75" customHeight="1">
      <c r="A17" s="37" t="s">
        <v>373</v>
      </c>
      <c r="B17" s="69">
        <f>IF(A4="pipe water drain",0,1)</f>
        <v>0</v>
      </c>
      <c r="C17" s="3"/>
      <c r="E17" s="3"/>
      <c r="I17" s="151">
        <v>650</v>
      </c>
      <c r="N17" s="3"/>
      <c r="O17" s="149">
        <f t="shared" si="5"/>
        <v>0</v>
      </c>
      <c r="P17" s="3"/>
      <c r="Q17" s="51">
        <f t="shared" si="4"/>
        <v>0</v>
      </c>
      <c r="R17" s="3"/>
      <c r="S17" s="125">
        <f t="shared" si="3"/>
        <v>0</v>
      </c>
    </row>
    <row r="18" spans="1:19" ht="12.75" customHeight="1">
      <c r="A18" s="37" t="s">
        <v>374</v>
      </c>
      <c r="B18" s="37">
        <v>3</v>
      </c>
      <c r="C18" s="3"/>
      <c r="E18" s="3"/>
      <c r="F18" s="3"/>
      <c r="G18" s="3"/>
      <c r="H18" s="3"/>
      <c r="I18" s="143">
        <v>16</v>
      </c>
      <c r="J18" s="3"/>
      <c r="K18" s="3"/>
      <c r="L18" s="3"/>
      <c r="M18" s="3"/>
      <c r="N18" s="3"/>
      <c r="O18" s="149">
        <f t="shared" si="5"/>
        <v>48</v>
      </c>
      <c r="P18" s="3"/>
      <c r="Q18" s="51">
        <f t="shared" si="4"/>
        <v>0.70588235294117641</v>
      </c>
      <c r="R18" s="3"/>
      <c r="S18" s="125">
        <f t="shared" si="3"/>
        <v>2.9171617940029274E-3</v>
      </c>
    </row>
    <row r="19" spans="1:19" ht="12.75" customHeight="1">
      <c r="A19" s="37" t="s">
        <v>375</v>
      </c>
      <c r="B19" s="37">
        <v>1</v>
      </c>
      <c r="C19" s="3"/>
      <c r="E19" s="3"/>
      <c r="F19" s="3"/>
      <c r="G19" s="3"/>
      <c r="H19" s="3"/>
      <c r="I19" s="37">
        <v>16</v>
      </c>
      <c r="J19" s="3"/>
      <c r="K19" s="3"/>
      <c r="L19" s="3"/>
      <c r="M19" s="3"/>
      <c r="N19" s="3"/>
      <c r="O19" s="149">
        <f t="shared" si="5"/>
        <v>16</v>
      </c>
      <c r="P19" s="3"/>
      <c r="Q19" s="51">
        <f t="shared" si="4"/>
        <v>0.23529411764705882</v>
      </c>
      <c r="R19" s="3"/>
      <c r="S19" s="125">
        <f t="shared" si="3"/>
        <v>9.7238726466764252E-4</v>
      </c>
    </row>
    <row r="20" spans="1:19" ht="12.75" customHeight="1">
      <c r="A20" s="37" t="s">
        <v>376</v>
      </c>
      <c r="B20" s="37">
        <v>1</v>
      </c>
      <c r="C20" s="39"/>
      <c r="E20" s="39"/>
      <c r="F20" s="39"/>
      <c r="G20" s="39"/>
      <c r="H20" s="39"/>
      <c r="I20" s="152">
        <v>16</v>
      </c>
      <c r="J20" s="39"/>
      <c r="K20" s="39"/>
      <c r="L20" s="39"/>
      <c r="M20" s="39"/>
      <c r="N20" s="39"/>
      <c r="O20" s="149">
        <f t="shared" si="5"/>
        <v>16</v>
      </c>
      <c r="P20" s="39"/>
      <c r="Q20" s="51">
        <f t="shared" si="4"/>
        <v>0.23529411764705882</v>
      </c>
      <c r="R20" s="39"/>
      <c r="S20" s="125">
        <f t="shared" si="3"/>
        <v>9.7238726466764252E-4</v>
      </c>
    </row>
    <row r="21" spans="1:19" ht="12.75" customHeight="1">
      <c r="A21" s="37" t="s">
        <v>377</v>
      </c>
      <c r="B21" s="37">
        <v>1</v>
      </c>
      <c r="C21" s="3"/>
      <c r="E21" s="3"/>
      <c r="F21" s="3"/>
      <c r="G21" s="3"/>
      <c r="H21" s="3"/>
      <c r="I21" s="124">
        <v>55</v>
      </c>
      <c r="J21" s="3"/>
      <c r="K21" s="3"/>
      <c r="L21" s="3"/>
      <c r="M21" s="3"/>
      <c r="N21" s="3"/>
      <c r="O21" s="149">
        <f t="shared" si="5"/>
        <v>55</v>
      </c>
      <c r="P21" s="3"/>
      <c r="Q21" s="51">
        <f t="shared" si="4"/>
        <v>0.80882352941176472</v>
      </c>
      <c r="R21" s="3"/>
      <c r="S21" s="125">
        <f t="shared" si="3"/>
        <v>3.3425812222950212E-3</v>
      </c>
    </row>
    <row r="22" spans="1:19" ht="12.75" customHeight="1">
      <c r="A22" s="37" t="s">
        <v>171</v>
      </c>
      <c r="B22" s="37">
        <v>1</v>
      </c>
      <c r="C22" s="37">
        <v>1.5</v>
      </c>
      <c r="E22" s="3"/>
      <c r="F22" s="3"/>
      <c r="G22" s="3"/>
      <c r="H22" s="3"/>
      <c r="I22" s="3"/>
      <c r="J22" s="124">
        <v>300</v>
      </c>
      <c r="K22" s="3"/>
      <c r="L22" s="3"/>
      <c r="M22" s="3"/>
      <c r="N22" s="3"/>
      <c r="O22" s="149">
        <f t="shared" si="5"/>
        <v>450</v>
      </c>
      <c r="P22" s="3"/>
      <c r="Q22" s="51">
        <f t="shared" si="4"/>
        <v>6.617647058823529</v>
      </c>
      <c r="R22" s="3"/>
      <c r="S22" s="125">
        <f t="shared" si="3"/>
        <v>2.7348391818777445E-2</v>
      </c>
    </row>
    <row r="23" spans="1:19" ht="12.75" customHeight="1">
      <c r="A23" s="37" t="s">
        <v>178</v>
      </c>
      <c r="B23" s="37">
        <v>0</v>
      </c>
      <c r="C23" s="3"/>
      <c r="E23" s="3"/>
      <c r="F23" s="3"/>
      <c r="G23" s="3"/>
      <c r="H23" s="3"/>
      <c r="I23" s="37">
        <v>200</v>
      </c>
      <c r="J23" s="3"/>
      <c r="K23" s="3"/>
      <c r="L23" s="3"/>
      <c r="M23" s="3"/>
      <c r="N23" s="3"/>
      <c r="O23" s="149">
        <f t="shared" si="5"/>
        <v>0</v>
      </c>
      <c r="P23" s="3"/>
      <c r="Q23" s="51">
        <f t="shared" si="4"/>
        <v>0</v>
      </c>
      <c r="R23" s="3"/>
      <c r="S23" s="125">
        <f t="shared" si="3"/>
        <v>0</v>
      </c>
    </row>
    <row r="24" spans="1:19" ht="12.75" customHeight="1">
      <c r="A24" s="37" t="s">
        <v>180</v>
      </c>
      <c r="B24" s="37">
        <v>2</v>
      </c>
      <c r="C24" s="3"/>
      <c r="E24" s="3"/>
      <c r="F24" s="3"/>
      <c r="G24" s="3"/>
      <c r="H24" s="3"/>
      <c r="I24" s="37">
        <v>45</v>
      </c>
      <c r="J24" s="3"/>
      <c r="K24" s="3"/>
      <c r="L24" s="3"/>
      <c r="M24" s="3"/>
      <c r="N24" s="3"/>
      <c r="O24" s="149">
        <f t="shared" si="5"/>
        <v>90</v>
      </c>
      <c r="P24" s="3"/>
      <c r="Q24" s="51">
        <f t="shared" si="4"/>
        <v>1.3235294117647058</v>
      </c>
      <c r="R24" s="84">
        <f>SUM(Q13:Q24)/Q34</f>
        <v>0.11177511489881806</v>
      </c>
      <c r="S24" s="125">
        <f t="shared" si="3"/>
        <v>5.4696783637554888E-3</v>
      </c>
    </row>
    <row r="25" spans="1:19" ht="12.75" customHeight="1">
      <c r="A25" s="3"/>
      <c r="B25" s="3"/>
      <c r="C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49">
        <f t="shared" si="5"/>
        <v>0</v>
      </c>
      <c r="P25" s="3"/>
      <c r="Q25" s="51">
        <f t="shared" si="4"/>
        <v>0</v>
      </c>
      <c r="R25" s="3"/>
      <c r="S25" s="125">
        <f t="shared" si="3"/>
        <v>0</v>
      </c>
    </row>
    <row r="26" spans="1:19" ht="12.75" customHeight="1">
      <c r="A26" s="39" t="s">
        <v>344</v>
      </c>
      <c r="B26" s="69">
        <f>IF(A6="iron sheet roof",ROUNDUP((Sizing!E52+1)/1,0),0)</f>
        <v>5</v>
      </c>
      <c r="C26" s="39"/>
      <c r="E26" s="39"/>
      <c r="F26" s="39"/>
      <c r="G26" s="39"/>
      <c r="H26" s="39"/>
      <c r="I26" s="144">
        <v>700</v>
      </c>
      <c r="J26" s="39"/>
      <c r="K26" s="39"/>
      <c r="L26" s="39"/>
      <c r="M26" s="39"/>
      <c r="N26" s="39"/>
      <c r="O26" s="149">
        <f>(B26*I26)+((C26*J26)+(K26*F26)+(L26*G26)+(M26*H26))*B26</f>
        <v>3500</v>
      </c>
      <c r="P26" s="39"/>
      <c r="Q26" s="51">
        <f>O26*$Q$2</f>
        <v>51.470588235294116</v>
      </c>
      <c r="R26" s="39"/>
      <c r="S26" s="125">
        <f t="shared" ref="S26:S27" si="6">Q26/$Q$34</f>
        <v>0.21270971414604678</v>
      </c>
    </row>
    <row r="27" spans="1:19" ht="12.75" customHeight="1">
      <c r="A27" s="39" t="s">
        <v>343</v>
      </c>
      <c r="B27" s="69">
        <f>IF(A6="iron sheet roof",ROUNDUP((Sizing!E52+1)/2,0),0)</f>
        <v>3</v>
      </c>
      <c r="C27" s="39"/>
      <c r="E27" s="39"/>
      <c r="F27" s="39"/>
      <c r="G27" s="39"/>
      <c r="H27" s="39"/>
      <c r="I27" s="144">
        <v>200</v>
      </c>
      <c r="J27" s="39"/>
      <c r="K27" s="39"/>
      <c r="L27" s="39"/>
      <c r="M27" s="39"/>
      <c r="N27" s="39"/>
      <c r="O27" s="149">
        <f t="shared" ref="O27" si="7">(B27*I27)+((C27*J27)+(K27*F27)+(L27*G27)+(M27*H27))*B27</f>
        <v>600</v>
      </c>
      <c r="P27" s="39"/>
      <c r="Q27" s="51">
        <f t="shared" ref="Q27" si="8">O27*$Q$2</f>
        <v>8.8235294117647065</v>
      </c>
      <c r="R27" s="39"/>
      <c r="S27" s="125">
        <f t="shared" si="6"/>
        <v>3.6464522425036595E-2</v>
      </c>
    </row>
    <row r="28" spans="1:19" ht="12.75" customHeight="1">
      <c r="A28" s="6" t="s">
        <v>192</v>
      </c>
      <c r="B28" s="69">
        <f>ROUND(Quantities!D44,0)</f>
        <v>101</v>
      </c>
      <c r="D28" s="3"/>
      <c r="E28" s="3"/>
      <c r="F28" s="3"/>
      <c r="G28" s="3"/>
      <c r="H28" s="3"/>
      <c r="I28" s="37">
        <v>9.5</v>
      </c>
      <c r="J28" s="3"/>
      <c r="K28" s="3"/>
      <c r="L28" s="3"/>
      <c r="M28" s="3"/>
      <c r="N28" s="3"/>
      <c r="O28" s="149">
        <f t="shared" si="5"/>
        <v>959.5</v>
      </c>
      <c r="P28" s="3"/>
      <c r="Q28" s="51">
        <f t="shared" si="4"/>
        <v>14.110294117647058</v>
      </c>
      <c r="R28" s="3"/>
      <c r="S28" s="125">
        <f t="shared" si="3"/>
        <v>5.8312848778037683E-2</v>
      </c>
    </row>
    <row r="29" spans="1:19" ht="12.75" customHeight="1">
      <c r="A29" s="6" t="s">
        <v>195</v>
      </c>
      <c r="B29" s="69">
        <f>ROUNDUP(Quantities!D42,0)</f>
        <v>5</v>
      </c>
      <c r="D29" s="3"/>
      <c r="E29" s="3"/>
      <c r="F29" s="3"/>
      <c r="G29" s="3"/>
      <c r="H29" s="3"/>
      <c r="I29" s="37">
        <v>290</v>
      </c>
      <c r="J29" s="3"/>
      <c r="K29" s="3"/>
      <c r="L29" s="3"/>
      <c r="M29" s="3"/>
      <c r="N29" s="3"/>
      <c r="O29" s="149">
        <f>(B29*I29)+((C29*J29)+(K29*F29)+(L29*G29)+(M29*H29))*B29</f>
        <v>1450</v>
      </c>
      <c r="P29" s="3"/>
      <c r="Q29" s="51">
        <f t="shared" si="4"/>
        <v>21.323529411764707</v>
      </c>
      <c r="R29" s="3"/>
      <c r="S29" s="125">
        <f t="shared" si="3"/>
        <v>8.812259586050511E-2</v>
      </c>
    </row>
    <row r="30" spans="1:19" ht="12.75" customHeight="1">
      <c r="A30" s="37" t="s">
        <v>205</v>
      </c>
      <c r="B30" s="37">
        <v>1</v>
      </c>
      <c r="C30" s="3"/>
      <c r="D30" s="3"/>
      <c r="E30" s="3"/>
      <c r="F30" s="3"/>
      <c r="G30" s="3"/>
      <c r="H30" s="142">
        <f>Quantities!F41</f>
        <v>696.63953644109893</v>
      </c>
      <c r="I30" s="3"/>
      <c r="J30" s="3"/>
      <c r="K30" s="3"/>
      <c r="L30" s="3"/>
      <c r="M30" s="39">
        <f>1200/3000</f>
        <v>0.4</v>
      </c>
      <c r="N30" s="3"/>
      <c r="O30" s="149">
        <f>(B30*I30)+((C30*J30)+(K30*F30)+(L30*G30)+(M30*H30))*B30</f>
        <v>278.65581457643958</v>
      </c>
      <c r="P30" s="3"/>
      <c r="Q30" s="51">
        <f t="shared" si="4"/>
        <v>4.0978796261241115</v>
      </c>
      <c r="R30" s="3"/>
      <c r="S30" s="125">
        <f t="shared" si="3"/>
        <v>1.6935085332482367E-2</v>
      </c>
    </row>
    <row r="31" spans="1:19" ht="12.75" customHeight="1">
      <c r="A31" s="37" t="s">
        <v>207</v>
      </c>
      <c r="B31" s="37">
        <v>1</v>
      </c>
      <c r="C31" s="3"/>
      <c r="D31" s="3"/>
      <c r="E31" s="3"/>
      <c r="F31" s="3"/>
      <c r="G31" s="3"/>
      <c r="H31" s="142">
        <f>Quantities!F40</f>
        <v>295.43207957738878</v>
      </c>
      <c r="I31" s="3"/>
      <c r="J31" s="3"/>
      <c r="K31" s="3"/>
      <c r="L31" s="3"/>
      <c r="M31" s="39">
        <f>1200/3000</f>
        <v>0.4</v>
      </c>
      <c r="N31" s="3"/>
      <c r="O31" s="149">
        <f t="shared" si="5"/>
        <v>118.17283183095552</v>
      </c>
      <c r="P31" s="3"/>
      <c r="Q31" s="51">
        <f t="shared" si="4"/>
        <v>1.7378357622199341</v>
      </c>
      <c r="S31" s="125">
        <f t="shared" si="3"/>
        <v>7.1818597938832591E-3</v>
      </c>
    </row>
    <row r="32" spans="1:19" ht="12.75" customHeight="1">
      <c r="A32" s="6" t="s">
        <v>210</v>
      </c>
      <c r="B32" s="69">
        <f>IF(A6="iron sheet roof",0,1)</f>
        <v>0</v>
      </c>
      <c r="E32" s="3"/>
      <c r="F32" s="142">
        <f>Quantities!D45</f>
        <v>16.274681135622078</v>
      </c>
      <c r="G32" s="3"/>
      <c r="H32" s="3"/>
      <c r="I32" s="3"/>
      <c r="J32" s="3"/>
      <c r="K32" s="124">
        <f>4870/(0.9*30)</f>
        <v>180.37037037037038</v>
      </c>
      <c r="L32" s="3"/>
      <c r="M32" s="37"/>
      <c r="N32" s="3"/>
      <c r="O32" s="149">
        <f>(B32*I32)+((C32*J32)+(K32*F32)+(L32*G32)+(M32*H32))*B32</f>
        <v>0</v>
      </c>
      <c r="P32" s="37"/>
      <c r="Q32" s="51">
        <f t="shared" si="4"/>
        <v>0</v>
      </c>
      <c r="R32" s="84">
        <f>SUM(Q28:Q32)/Q34</f>
        <v>0.17055238976490844</v>
      </c>
      <c r="S32" s="125">
        <f t="shared" si="3"/>
        <v>0</v>
      </c>
    </row>
    <row r="33" spans="1:19" ht="12.75" customHeight="1">
      <c r="A33" s="6" t="s">
        <v>217</v>
      </c>
      <c r="B33" s="69">
        <f>IF(A3="plastic inlet/outlet",1,0)</f>
        <v>0</v>
      </c>
      <c r="C33" s="141">
        <f>Quantities!D47</f>
        <v>2.3191551349968087</v>
      </c>
      <c r="E33" s="140">
        <f>Quantities!E47</f>
        <v>0.85939115279892109</v>
      </c>
      <c r="F33" s="3"/>
      <c r="G33" s="3"/>
      <c r="H33" s="3"/>
      <c r="I33" s="3"/>
      <c r="J33" s="100">
        <v>1000</v>
      </c>
      <c r="K33" s="3"/>
      <c r="L33" s="3"/>
      <c r="M33" s="37"/>
      <c r="N33" s="3"/>
      <c r="O33" s="149">
        <f>(B33*I33)+((C33*J33)+(K33*F33)+(L33*G33)+(M33*H33))*B33</f>
        <v>0</v>
      </c>
      <c r="P33" s="37"/>
      <c r="Q33" s="51">
        <f>O33*$Q$2</f>
        <v>0</v>
      </c>
      <c r="R33" s="3"/>
      <c r="S33" s="125">
        <f t="shared" si="3"/>
        <v>0</v>
      </c>
    </row>
    <row r="34" spans="1:19" ht="12.75" customHeight="1">
      <c r="K34" s="3"/>
      <c r="L34" s="3"/>
      <c r="M34" s="145" t="s">
        <v>83</v>
      </c>
      <c r="N34" s="146"/>
      <c r="O34" s="150">
        <f>SUM(O8:O33)</f>
        <v>16454.349600587095</v>
      </c>
      <c r="P34" s="147" t="s">
        <v>228</v>
      </c>
      <c r="Q34" s="148">
        <f>O34*$Q$2</f>
        <v>241.97572942039844</v>
      </c>
      <c r="R34" s="3"/>
      <c r="S34" s="125">
        <f>SUM(S8:S33)</f>
        <v>1</v>
      </c>
    </row>
    <row r="35" spans="1:19" ht="12.75" customHeight="1">
      <c r="E35" s="3"/>
      <c r="F35" s="3"/>
      <c r="G35" s="3"/>
      <c r="H35" s="3"/>
      <c r="I35" s="3"/>
      <c r="J35" s="3"/>
      <c r="K35" s="3"/>
      <c r="L35" s="3"/>
      <c r="M35" s="37"/>
      <c r="N35" s="3"/>
      <c r="O35" s="149"/>
      <c r="P35" s="37"/>
      <c r="Q35" s="51"/>
      <c r="R35" s="3"/>
    </row>
    <row r="36" spans="1:19" ht="12.75" customHeight="1">
      <c r="A36" s="60" t="s">
        <v>229</v>
      </c>
      <c r="E36" s="3"/>
      <c r="F36" s="3"/>
      <c r="G36" s="3"/>
      <c r="H36" s="3"/>
      <c r="I36" s="3"/>
      <c r="J36" s="3"/>
      <c r="K36" s="3"/>
      <c r="L36" s="3"/>
      <c r="M36" s="37"/>
      <c r="N36" s="3"/>
      <c r="O36" s="149"/>
      <c r="P36" s="37"/>
      <c r="Q36" s="51"/>
      <c r="R36" s="3"/>
    </row>
    <row r="37" spans="1:19" ht="12.75" customHeight="1">
      <c r="A37" s="37" t="s">
        <v>230</v>
      </c>
      <c r="B37" s="37">
        <v>1</v>
      </c>
      <c r="C37" s="3"/>
      <c r="E37" s="3"/>
      <c r="F37" s="3"/>
      <c r="G37" s="3"/>
      <c r="H37" s="3"/>
      <c r="I37" s="37">
        <v>1500</v>
      </c>
      <c r="J37" s="3"/>
      <c r="K37" s="3"/>
      <c r="L37" s="3"/>
      <c r="M37" s="3"/>
      <c r="N37" s="3"/>
      <c r="O37" s="149">
        <f>(B37*I37)+((C37*J37)+(K37*F37)+(L37*G37)+(M37*H37))*B37</f>
        <v>1500</v>
      </c>
      <c r="P37" s="3"/>
      <c r="Q37" s="51">
        <f>O37*$Q$2</f>
        <v>22.058823529411764</v>
      </c>
      <c r="R37" s="3"/>
    </row>
    <row r="38" spans="1:19" ht="12.75" customHeight="1">
      <c r="A38" s="6" t="s">
        <v>237</v>
      </c>
      <c r="E38" s="3"/>
      <c r="F38" s="3"/>
      <c r="G38" s="3"/>
      <c r="H38" s="3"/>
      <c r="I38" s="3"/>
      <c r="J38" s="3"/>
      <c r="K38" s="3"/>
      <c r="L38" s="3"/>
      <c r="M38" s="37"/>
      <c r="N38" s="3"/>
      <c r="O38" s="49"/>
      <c r="P38" s="37"/>
      <c r="Q38" s="51"/>
      <c r="R38" s="3"/>
    </row>
    <row r="42" spans="1:19" ht="15" customHeight="1">
      <c r="E42" s="123" t="s">
        <v>320</v>
      </c>
      <c r="R42">
        <v>34</v>
      </c>
    </row>
    <row r="43" spans="1:19" ht="15" customHeight="1">
      <c r="E43" s="120" t="s">
        <v>304</v>
      </c>
    </row>
    <row r="44" spans="1:19" ht="15" customHeight="1">
      <c r="E44">
        <v>34</v>
      </c>
      <c r="F44">
        <v>7.5</v>
      </c>
      <c r="H44" t="s">
        <v>95</v>
      </c>
      <c r="J44">
        <f>E44*F44</f>
        <v>255</v>
      </c>
    </row>
    <row r="45" spans="1:19" ht="15" customHeight="1">
      <c r="M45" t="s">
        <v>321</v>
      </c>
      <c r="O45">
        <v>20461</v>
      </c>
    </row>
    <row r="46" spans="1:19" ht="15" customHeight="1">
      <c r="E46" s="120" t="s">
        <v>305</v>
      </c>
      <c r="M46" t="s">
        <v>322</v>
      </c>
      <c r="O46">
        <v>30679</v>
      </c>
      <c r="Q46">
        <v>5000</v>
      </c>
    </row>
    <row r="47" spans="1:19" ht="15" customHeight="1">
      <c r="E47" t="s">
        <v>306</v>
      </c>
      <c r="J47">
        <v>87260</v>
      </c>
      <c r="Q47">
        <v>2250</v>
      </c>
    </row>
    <row r="48" spans="1:19" ht="15" customHeight="1">
      <c r="E48" t="s">
        <v>307</v>
      </c>
      <c r="J48">
        <v>6500</v>
      </c>
    </row>
    <row r="49" spans="5:13" ht="15" customHeight="1">
      <c r="E49" t="s">
        <v>308</v>
      </c>
      <c r="J49">
        <v>3500</v>
      </c>
    </row>
    <row r="50" spans="5:13" ht="15" customHeight="1">
      <c r="E50" t="s">
        <v>309</v>
      </c>
      <c r="J50">
        <v>2000</v>
      </c>
    </row>
    <row r="51" spans="5:13" ht="15" customHeight="1">
      <c r="I51" t="s">
        <v>310</v>
      </c>
      <c r="J51" s="121">
        <f>SUM(J47:J50)</f>
        <v>99260</v>
      </c>
      <c r="K51" t="s">
        <v>311</v>
      </c>
    </row>
    <row r="52" spans="5:13" ht="15" customHeight="1">
      <c r="J52">
        <f>J51/J44</f>
        <v>389.25490196078431</v>
      </c>
      <c r="K52" t="s">
        <v>312</v>
      </c>
    </row>
    <row r="53" spans="5:13" ht="15" customHeight="1">
      <c r="J53">
        <f>J52/136</f>
        <v>2.862168396770473</v>
      </c>
      <c r="K53" t="s">
        <v>314</v>
      </c>
    </row>
    <row r="56" spans="5:13" ht="15" customHeight="1">
      <c r="E56" s="130" t="s">
        <v>345</v>
      </c>
    </row>
    <row r="57" spans="5:13" ht="15" customHeight="1">
      <c r="E57" s="120" t="s">
        <v>332</v>
      </c>
      <c r="M57">
        <v>6500</v>
      </c>
    </row>
    <row r="59" spans="5:13" ht="15" customHeight="1">
      <c r="E59" s="120" t="s">
        <v>331</v>
      </c>
      <c r="G59" t="s">
        <v>305</v>
      </c>
      <c r="H59" t="s">
        <v>71</v>
      </c>
    </row>
    <row r="60" spans="5:13" ht="15" customHeight="1">
      <c r="E60" t="s">
        <v>334</v>
      </c>
      <c r="G60">
        <v>700</v>
      </c>
      <c r="H60">
        <v>5.5</v>
      </c>
      <c r="M60">
        <f>G60*H60</f>
        <v>3850</v>
      </c>
    </row>
    <row r="61" spans="5:13" ht="15" customHeight="1">
      <c r="E61" s="129" t="s">
        <v>342</v>
      </c>
      <c r="G61">
        <v>200</v>
      </c>
      <c r="H61">
        <v>3</v>
      </c>
      <c r="I61" t="s">
        <v>335</v>
      </c>
      <c r="M61">
        <f>G61*H61</f>
        <v>600</v>
      </c>
    </row>
    <row r="62" spans="5:13" ht="15" customHeight="1">
      <c r="M62">
        <f>SUM(M60:M61)</f>
        <v>4450</v>
      </c>
    </row>
    <row r="63" spans="5:13" ht="15" customHeight="1">
      <c r="E63" s="120" t="s">
        <v>333</v>
      </c>
    </row>
    <row r="64" spans="5:13" ht="15" customHeight="1">
      <c r="E64" s="129" t="s">
        <v>336</v>
      </c>
      <c r="M64">
        <v>3000</v>
      </c>
    </row>
    <row r="66" spans="5:13" ht="15" customHeight="1">
      <c r="E66" s="120" t="s">
        <v>337</v>
      </c>
    </row>
    <row r="67" spans="5:13" ht="15" customHeight="1">
      <c r="E67" s="129" t="s">
        <v>305</v>
      </c>
      <c r="F67">
        <v>300</v>
      </c>
      <c r="G67" t="s">
        <v>338</v>
      </c>
      <c r="H67">
        <f>PI()*1.3/2*5.5</f>
        <v>11.23119373658351</v>
      </c>
      <c r="M67">
        <f>F67*H67</f>
        <v>3369.3581209750528</v>
      </c>
    </row>
    <row r="68" spans="5:13" ht="15" customHeight="1">
      <c r="E68" s="129" t="s">
        <v>339</v>
      </c>
      <c r="F68">
        <v>500</v>
      </c>
      <c r="G68" t="s">
        <v>340</v>
      </c>
      <c r="H68">
        <f>PI()*1.5/2</f>
        <v>2.3561944901923448</v>
      </c>
      <c r="I68">
        <v>6</v>
      </c>
      <c r="J68">
        <f>H68*I68</f>
        <v>14.137166941154069</v>
      </c>
      <c r="K68">
        <v>12</v>
      </c>
      <c r="L68">
        <f>(J68+K68)/3</f>
        <v>8.7123889803846897</v>
      </c>
      <c r="M68">
        <f>L68*F68</f>
        <v>4356.1944901923453</v>
      </c>
    </row>
    <row r="69" spans="5:13" ht="15" customHeight="1">
      <c r="M69" s="121">
        <f>M67+M68</f>
        <v>7725.552611167398</v>
      </c>
    </row>
  </sheetData>
  <dataValidations count="5">
    <dataValidation type="list" sqref="A4">
      <formula1>"pipe water drain,valve water drain"</formula1>
    </dataValidation>
    <dataValidation type="list" sqref="A3">
      <formula1>"brick inlet/outlet,plastic inlet/outlet"</formula1>
    </dataValidation>
    <dataValidation type="list" sqref="A2">
      <formula1>"with pipe out of top of bag,with pipe out of side of bag"</formula1>
    </dataValidation>
    <dataValidation type="list" sqref="A5">
      <formula1>"rectangle inlet/outlet, circular inlet/outlet"</formula1>
    </dataValidation>
    <dataValidation type="list" sqref="A6">
      <formula1>"iron sheet roof, ferro cement roof"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O25"/>
  <sheetViews>
    <sheetView workbookViewId="0">
      <selection activeCell="B38" sqref="B38"/>
    </sheetView>
  </sheetViews>
  <sheetFormatPr baseColWidth="10" defaultColWidth="17.33203125" defaultRowHeight="15" customHeight="1" x14ac:dyDescent="0"/>
  <cols>
    <col min="1" max="1" width="3.1640625" customWidth="1"/>
    <col min="2" max="2" width="27.83203125" customWidth="1"/>
    <col min="3" max="3" width="17.6640625" customWidth="1"/>
  </cols>
  <sheetData>
    <row r="1" spans="2:15" ht="12">
      <c r="B1" s="6" t="s">
        <v>3</v>
      </c>
    </row>
    <row r="3" spans="2:15" ht="12">
      <c r="B3" s="6" t="s">
        <v>42</v>
      </c>
      <c r="C3" s="17">
        <f>Quantities!D5</f>
        <v>4</v>
      </c>
      <c r="D3" s="6">
        <v>4</v>
      </c>
      <c r="E3" s="6" t="s">
        <v>36</v>
      </c>
      <c r="I3" s="6">
        <v>3.75</v>
      </c>
      <c r="J3" s="6" t="s">
        <v>36</v>
      </c>
    </row>
    <row r="5" spans="2:15" ht="21.75" customHeight="1">
      <c r="B5" s="18" t="s">
        <v>45</v>
      </c>
      <c r="C5" s="20">
        <f>Sizing!B7</f>
        <v>40</v>
      </c>
      <c r="D5" s="18">
        <v>20</v>
      </c>
      <c r="E5" s="18">
        <v>30</v>
      </c>
      <c r="F5" s="18">
        <v>40</v>
      </c>
      <c r="G5" s="18">
        <v>50</v>
      </c>
      <c r="H5" s="18">
        <v>60</v>
      </c>
      <c r="I5" s="18">
        <v>10</v>
      </c>
      <c r="J5" s="18">
        <v>20</v>
      </c>
      <c r="K5" s="18">
        <v>30</v>
      </c>
      <c r="L5" s="18">
        <v>40</v>
      </c>
      <c r="M5" s="18">
        <v>50</v>
      </c>
      <c r="N5" s="18">
        <v>40</v>
      </c>
      <c r="O5" s="18">
        <v>50</v>
      </c>
    </row>
    <row r="6" spans="2:15" ht="21.75" customHeight="1">
      <c r="B6" s="22" t="s">
        <v>47</v>
      </c>
      <c r="C6" s="25">
        <f>Sizing!C40</f>
        <v>3.66</v>
      </c>
      <c r="D6" s="67">
        <v>1.83</v>
      </c>
      <c r="E6" s="67">
        <v>2.7450000000000001</v>
      </c>
      <c r="F6" s="67">
        <v>3.66</v>
      </c>
      <c r="G6" s="67">
        <v>4.5750000000000002</v>
      </c>
      <c r="H6" s="67">
        <v>5.49</v>
      </c>
      <c r="I6" s="67">
        <v>0.91500000000000004</v>
      </c>
      <c r="J6" s="67">
        <v>1.83</v>
      </c>
      <c r="K6" s="67">
        <v>2.7450000000000001</v>
      </c>
      <c r="L6" s="67">
        <v>3.66</v>
      </c>
      <c r="M6" s="67">
        <v>4.5750000000000002</v>
      </c>
      <c r="N6" s="27"/>
      <c r="O6" s="27"/>
    </row>
    <row r="7" spans="2:15" ht="21.75" customHeight="1">
      <c r="B7" s="22" t="s">
        <v>52</v>
      </c>
      <c r="C7" s="25">
        <f>Quantities!D4</f>
        <v>7.4542601522097289</v>
      </c>
      <c r="D7" s="67">
        <v>5.8617076436032693</v>
      </c>
      <c r="E7" s="67">
        <v>6.6579838979064991</v>
      </c>
      <c r="F7" s="67">
        <v>7.4542601522097289</v>
      </c>
      <c r="G7" s="67">
        <v>8.2505364065129587</v>
      </c>
      <c r="H7" s="67">
        <v>9.0468126608161903</v>
      </c>
      <c r="I7" s="67">
        <v>5.0223769938387299</v>
      </c>
      <c r="J7" s="67">
        <v>5.9347539876774604</v>
      </c>
      <c r="K7" s="67">
        <v>6.84713098151619</v>
      </c>
      <c r="L7" s="67">
        <v>7.7595079753549197</v>
      </c>
      <c r="M7" s="67">
        <v>8.6718849691936484</v>
      </c>
      <c r="N7" s="27"/>
      <c r="O7" s="27"/>
    </row>
    <row r="8" spans="2:15" ht="21.75" customHeight="1">
      <c r="B8" s="22" t="s">
        <v>53</v>
      </c>
      <c r="C8" s="25">
        <f>Sizing!E52</f>
        <v>3.1851050172129205</v>
      </c>
      <c r="D8" s="67">
        <v>1.5925525086064602</v>
      </c>
      <c r="E8" s="67">
        <v>2.3888287629096903</v>
      </c>
      <c r="F8" s="67">
        <v>3.1851050172129205</v>
      </c>
      <c r="G8" s="67">
        <v>3.9813812715161503</v>
      </c>
      <c r="H8" s="67">
        <v>4.7776575258193805</v>
      </c>
      <c r="I8" s="67">
        <v>0.91237699383873005</v>
      </c>
      <c r="J8" s="67">
        <v>1.8247539876774601</v>
      </c>
      <c r="K8" s="67">
        <v>2.7371309815161902</v>
      </c>
      <c r="L8" s="67">
        <v>3.6495079753549202</v>
      </c>
      <c r="M8" s="67">
        <v>4.5618849691936498</v>
      </c>
      <c r="N8" s="27"/>
      <c r="O8" s="27"/>
    </row>
    <row r="9" spans="2:15" ht="21.75" customHeight="1">
      <c r="B9" s="22" t="s">
        <v>54</v>
      </c>
      <c r="C9" s="25">
        <f>Sizing!H53</f>
        <v>1.2095775674984046</v>
      </c>
      <c r="D9" s="67">
        <v>1.2095775674984046</v>
      </c>
      <c r="E9" s="67">
        <v>1.2095775674984046</v>
      </c>
      <c r="F9" s="67">
        <v>1.2095775674984046</v>
      </c>
      <c r="G9" s="67">
        <v>1.2095775674984046</v>
      </c>
      <c r="H9" s="67">
        <v>1.2095775674984046</v>
      </c>
      <c r="I9" s="67">
        <v>1.1299999999999999</v>
      </c>
      <c r="J9" s="67">
        <v>1.1299999999999999</v>
      </c>
      <c r="K9" s="67">
        <v>1.1299999999999999</v>
      </c>
      <c r="L9" s="67">
        <v>1.1299999999999999</v>
      </c>
      <c r="M9" s="67">
        <v>1.1299999999999999</v>
      </c>
      <c r="N9" s="27"/>
      <c r="O9" s="27"/>
    </row>
    <row r="10" spans="2:15" ht="21.75" customHeight="1">
      <c r="B10" s="131" t="s">
        <v>436</v>
      </c>
      <c r="C10" s="25">
        <f>Quantities!J16</f>
        <v>0.85939115279892109</v>
      </c>
      <c r="D10" s="67">
        <v>0.47034245524805812</v>
      </c>
      <c r="E10" s="67">
        <v>0.67502852373563926</v>
      </c>
      <c r="F10" s="67">
        <v>0.85939115279892109</v>
      </c>
      <c r="G10" s="67">
        <v>1.0234303424379045</v>
      </c>
      <c r="H10" s="67">
        <v>1.1671460926525892</v>
      </c>
      <c r="I10" s="67">
        <v>0.29529802785503306</v>
      </c>
      <c r="J10" s="67">
        <v>0.56613349718953077</v>
      </c>
      <c r="K10" s="67">
        <v>0.81250640800349372</v>
      </c>
      <c r="L10" s="67">
        <v>1.0344167602969205</v>
      </c>
      <c r="M10" s="67">
        <v>1.2318645540698128</v>
      </c>
      <c r="N10" s="27"/>
      <c r="O10" s="27"/>
    </row>
    <row r="11" spans="2:15" ht="21.75" customHeight="1">
      <c r="B11" s="131" t="s">
        <v>435</v>
      </c>
      <c r="C11" s="25">
        <f>Quantities!J17</f>
        <v>1.0510426622810993</v>
      </c>
      <c r="D11" s="67">
        <v>0.77755657182182703</v>
      </c>
      <c r="E11" s="67">
        <v>0.93150666718660002</v>
      </c>
      <c r="F11" s="67">
        <v>1.0510426622810993</v>
      </c>
      <c r="G11" s="67">
        <v>1.146975258298484</v>
      </c>
      <c r="H11" s="67">
        <v>1.2248629991369999</v>
      </c>
      <c r="I11" s="67"/>
      <c r="J11" s="67"/>
      <c r="K11" s="67"/>
      <c r="L11" s="67"/>
      <c r="M11" s="67"/>
      <c r="N11" s="27"/>
      <c r="O11" s="27"/>
    </row>
    <row r="12" spans="2:15" ht="21.75" customHeight="1">
      <c r="B12" s="22" t="s">
        <v>58</v>
      </c>
      <c r="C12" s="25">
        <f>Quantities!D17</f>
        <v>1.0595775674984045</v>
      </c>
      <c r="D12" s="67">
        <v>1.0595775674984047</v>
      </c>
      <c r="E12" s="67">
        <v>1.0595775674984047</v>
      </c>
      <c r="F12" s="67">
        <v>1.0595775674984045</v>
      </c>
      <c r="G12" s="67">
        <v>1.0595775674984045</v>
      </c>
      <c r="H12" s="67">
        <v>1.0595775674984047</v>
      </c>
      <c r="I12" s="67">
        <v>0.97999999999999987</v>
      </c>
      <c r="J12" s="67">
        <v>0.97999999999999987</v>
      </c>
      <c r="K12" s="67">
        <v>0.97999999999999987</v>
      </c>
      <c r="L12" s="67">
        <v>0.97999999999999987</v>
      </c>
      <c r="M12" s="67">
        <v>0.98</v>
      </c>
      <c r="N12" s="27"/>
      <c r="O12" s="27"/>
    </row>
    <row r="13" spans="2:15" ht="21.75" customHeight="1">
      <c r="B13" s="22" t="s">
        <v>59</v>
      </c>
      <c r="C13" s="25">
        <f>Quantities!D18</f>
        <v>1.2095775674984044</v>
      </c>
      <c r="D13" s="67">
        <v>1.2095775674984046</v>
      </c>
      <c r="E13" s="67">
        <v>1.2095775674984046</v>
      </c>
      <c r="F13" s="67">
        <v>1.2095775674984044</v>
      </c>
      <c r="G13" s="67">
        <v>1.2095775674984044</v>
      </c>
      <c r="H13" s="67">
        <v>1.2095775674984046</v>
      </c>
      <c r="I13" s="67">
        <v>1.1299999999999999</v>
      </c>
      <c r="J13" s="67">
        <v>1.1299999999999999</v>
      </c>
      <c r="K13" s="67">
        <v>1.1299999999999999</v>
      </c>
      <c r="L13" s="67">
        <v>1.1299999999999999</v>
      </c>
      <c r="M13" s="67">
        <v>1.1299999999999999</v>
      </c>
      <c r="N13" s="27"/>
      <c r="O13" s="27"/>
    </row>
    <row r="14" spans="2:15" ht="21.75" customHeight="1">
      <c r="B14" s="131" t="s">
        <v>357</v>
      </c>
      <c r="C14" s="25">
        <f>Sizing!B123</f>
        <v>0.75427600229158831</v>
      </c>
      <c r="D14" s="67">
        <v>0.75427600229158831</v>
      </c>
      <c r="E14" s="67">
        <v>0.75427600229158842</v>
      </c>
      <c r="F14" s="67">
        <v>0.75427600229158831</v>
      </c>
      <c r="G14" s="67">
        <v>0.75427600229158842</v>
      </c>
      <c r="H14" s="67">
        <v>0.75427600229158842</v>
      </c>
      <c r="I14" s="67">
        <v>0.70465252125355649</v>
      </c>
      <c r="J14" s="67">
        <v>0.70465252125355649</v>
      </c>
      <c r="K14" s="67">
        <v>0.7046525212535566</v>
      </c>
      <c r="L14" s="67">
        <v>0.70465252125355649</v>
      </c>
      <c r="M14" s="67">
        <v>0.7046525212535566</v>
      </c>
      <c r="N14" s="27"/>
      <c r="O14" s="27"/>
    </row>
    <row r="15" spans="2:15" ht="21.75" customHeight="1">
      <c r="B15" s="22" t="s">
        <v>61</v>
      </c>
      <c r="C15" s="25">
        <f>Sizing!E52+2*(Quantities!J16+Quantities!H21+Quantities!H21+0.15+Quantities!J4)</f>
        <v>6.6038873228107624</v>
      </c>
      <c r="D15" s="67">
        <v>4.2332374191025766</v>
      </c>
      <c r="E15" s="67">
        <v>5.4388858103809685</v>
      </c>
      <c r="F15" s="67">
        <v>6.6038873228107624</v>
      </c>
      <c r="G15" s="67">
        <v>7.72824195639196</v>
      </c>
      <c r="H15" s="67">
        <v>8.8119497111245586</v>
      </c>
      <c r="I15" s="67">
        <v>3.2029730495487962</v>
      </c>
      <c r="J15" s="67">
        <v>4.6570209820565216</v>
      </c>
      <c r="K15" s="67">
        <v>6.0621437975231771</v>
      </c>
      <c r="L15" s="67">
        <v>7.418341495948761</v>
      </c>
      <c r="M15" s="67">
        <v>8.725614077333276</v>
      </c>
      <c r="N15" s="27"/>
      <c r="O15" s="27"/>
    </row>
    <row r="16" spans="2:15" ht="21.75" customHeight="1">
      <c r="B16" s="22" t="s">
        <v>64</v>
      </c>
      <c r="C16" s="25">
        <f>Sizing!E52+2*(Quantities!J4-Quantities!H21)</f>
        <v>3.9851050172129208</v>
      </c>
      <c r="D16" s="67">
        <v>2.3925525086064603</v>
      </c>
      <c r="E16" s="67">
        <v>3.1888287629096901</v>
      </c>
      <c r="F16" s="67">
        <v>3.9851050172129208</v>
      </c>
      <c r="G16" s="67">
        <v>4.7813812715161506</v>
      </c>
      <c r="H16" s="67">
        <v>5.5776575258193803</v>
      </c>
      <c r="I16" s="67">
        <v>1.7123769938387301</v>
      </c>
      <c r="J16" s="67">
        <v>2.6247539876774599</v>
      </c>
      <c r="K16" s="67">
        <v>3.5371309815161904</v>
      </c>
      <c r="L16" s="67">
        <v>4.44950797535492</v>
      </c>
      <c r="M16" s="67">
        <v>5.3618849691936497</v>
      </c>
      <c r="N16" s="27"/>
      <c r="O16" s="27"/>
    </row>
    <row r="17" spans="2:15" ht="21.75" customHeight="1">
      <c r="B17" s="131" t="s">
        <v>358</v>
      </c>
      <c r="C17" s="25">
        <f>Sizing!B151</f>
        <v>1.0095775674984047</v>
      </c>
      <c r="D17" s="67">
        <v>1.0095775674984047</v>
      </c>
      <c r="E17" s="67">
        <v>1.0095775674984047</v>
      </c>
      <c r="F17" s="67">
        <v>1.0095775674984047</v>
      </c>
      <c r="G17" s="67">
        <v>1.0095775674984047</v>
      </c>
      <c r="H17" s="67">
        <v>1.0095775674984047</v>
      </c>
      <c r="I17" s="67">
        <v>0.92999999999999994</v>
      </c>
      <c r="J17" s="67">
        <v>0.92999999999999994</v>
      </c>
      <c r="K17" s="67">
        <v>0.92999999999999994</v>
      </c>
      <c r="L17" s="67">
        <v>0.92999999999999994</v>
      </c>
      <c r="M17" s="67">
        <v>0.92999999999999994</v>
      </c>
      <c r="N17" s="27"/>
      <c r="O17" s="27"/>
    </row>
    <row r="18" spans="2:15" ht="21.75" customHeight="1">
      <c r="B18" s="22" t="s">
        <v>66</v>
      </c>
      <c r="C18" s="25">
        <f>Sizing!H53+Sizing!F146</f>
        <v>1.3095775674984047</v>
      </c>
      <c r="D18" s="67">
        <v>1.3095775674984047</v>
      </c>
      <c r="E18" s="67">
        <v>1.3095775674984047</v>
      </c>
      <c r="F18" s="67">
        <v>1.3095775674984047</v>
      </c>
      <c r="G18" s="67">
        <v>1.3095775674984047</v>
      </c>
      <c r="H18" s="67">
        <v>1.3095775674984047</v>
      </c>
      <c r="I18" s="67">
        <v>1.23</v>
      </c>
      <c r="J18" s="67">
        <v>1.23</v>
      </c>
      <c r="K18" s="67">
        <v>1.23</v>
      </c>
      <c r="L18" s="67">
        <v>1.23</v>
      </c>
      <c r="M18" s="67">
        <v>1.23</v>
      </c>
      <c r="N18" s="27"/>
      <c r="O18" s="27"/>
    </row>
    <row r="19" spans="2:15" ht="21.75" hidden="1" customHeight="1">
      <c r="B19" s="131" t="s">
        <v>361</v>
      </c>
      <c r="C19" s="25">
        <f>Quantities!N20</f>
        <v>0.52826955130492315</v>
      </c>
      <c r="D19" s="67">
        <v>0.45226310031825789</v>
      </c>
      <c r="E19" s="67">
        <v>0.50293406764270154</v>
      </c>
      <c r="F19" s="67">
        <v>0.52826955130492315</v>
      </c>
      <c r="G19" s="67">
        <v>0.54347084150225633</v>
      </c>
      <c r="H19" s="67">
        <v>0.55360503496714497</v>
      </c>
      <c r="I19" s="27">
        <v>0.51556805691885865</v>
      </c>
      <c r="J19" s="27">
        <v>0.52348006710885009</v>
      </c>
      <c r="K19" s="27">
        <v>0.52872805171480985</v>
      </c>
      <c r="L19" s="27">
        <v>0.53246362497323285</v>
      </c>
      <c r="M19" s="27">
        <v>0.53525823481737667</v>
      </c>
      <c r="N19" s="27">
        <v>0.53916054870043018</v>
      </c>
      <c r="O19" s="27">
        <v>0.54175554276572491</v>
      </c>
    </row>
    <row r="20" spans="2:15" ht="21.75" hidden="1" customHeight="1">
      <c r="B20" s="131" t="s">
        <v>362</v>
      </c>
      <c r="C20" s="25">
        <f>Quantities!J15</f>
        <v>0.30530156520681628</v>
      </c>
      <c r="D20" s="67">
        <v>0.30530156520681628</v>
      </c>
      <c r="E20" s="67">
        <v>0.30530156520681617</v>
      </c>
      <c r="F20" s="67">
        <v>0.30530156520681628</v>
      </c>
      <c r="G20" s="67">
        <v>0.30530156520681617</v>
      </c>
      <c r="H20" s="67">
        <v>0.30530156520681617</v>
      </c>
      <c r="I20" s="27">
        <v>0.4</v>
      </c>
      <c r="J20" s="27">
        <v>0.4</v>
      </c>
      <c r="K20" s="27">
        <v>0.4</v>
      </c>
      <c r="L20" s="27">
        <v>0.4</v>
      </c>
      <c r="M20" s="27">
        <v>0.4</v>
      </c>
      <c r="N20" s="27">
        <v>0.4</v>
      </c>
      <c r="O20" s="27">
        <v>0.4</v>
      </c>
    </row>
    <row r="21" spans="2:15" ht="12"/>
    <row r="22" spans="2:15" ht="12">
      <c r="O22" s="44"/>
    </row>
    <row r="23" spans="2:15" ht="15" customHeight="1">
      <c r="D23" t="s">
        <v>399</v>
      </c>
      <c r="I23" t="s">
        <v>443</v>
      </c>
    </row>
    <row r="24" spans="2:15" ht="15" customHeight="1">
      <c r="B24" t="s">
        <v>1</v>
      </c>
      <c r="C24" s="156">
        <f>Costs!Q34</f>
        <v>241.97572942039844</v>
      </c>
      <c r="D24" s="156">
        <v>180.43949213696982</v>
      </c>
      <c r="E24" s="156">
        <v>209.77902318910969</v>
      </c>
      <c r="F24" s="156">
        <v>241.97572942039844</v>
      </c>
      <c r="G24" s="156">
        <v>260.51991242692787</v>
      </c>
      <c r="H24" s="156">
        <v>289.03280628284909</v>
      </c>
      <c r="I24" s="156">
        <v>151.70431103153635</v>
      </c>
      <c r="J24" s="156">
        <v>178.75197761844512</v>
      </c>
      <c r="K24" s="156">
        <v>207.19386284570001</v>
      </c>
      <c r="L24" s="156">
        <v>233.89341988399156</v>
      </c>
      <c r="M24" s="156">
        <v>257.49834581540426</v>
      </c>
    </row>
    <row r="25" spans="2:15" ht="15" customHeight="1">
      <c r="C25" s="29" t="str">
        <f>IF(Costs!A5="rectangle inlet/outlet",Quantities!L19,Quantities!L18)</f>
        <v>design okay</v>
      </c>
      <c r="D25" t="s">
        <v>425</v>
      </c>
      <c r="E25" t="s">
        <v>425</v>
      </c>
      <c r="F25" t="s">
        <v>425</v>
      </c>
      <c r="G25" t="s">
        <v>425</v>
      </c>
      <c r="H25" t="s">
        <v>425</v>
      </c>
      <c r="I25" t="s">
        <v>425</v>
      </c>
      <c r="J25" t="s">
        <v>425</v>
      </c>
      <c r="K25" t="s">
        <v>425</v>
      </c>
      <c r="L25" t="s">
        <v>425</v>
      </c>
      <c r="M25" t="s">
        <v>425</v>
      </c>
    </row>
  </sheetData>
  <phoneticPr fontId="26" type="noConversion"/>
  <pageMargins left="0.75000000000000011" right="0.75000000000000011" top="1" bottom="1" header="0.5" footer="0.5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Q31"/>
  <sheetViews>
    <sheetView workbookViewId="0">
      <selection activeCell="G2" sqref="G2"/>
    </sheetView>
  </sheetViews>
  <sheetFormatPr baseColWidth="10" defaultColWidth="17.33203125" defaultRowHeight="15" customHeight="1" x14ac:dyDescent="0"/>
  <cols>
    <col min="1" max="1" width="5.83203125" customWidth="1"/>
    <col min="2" max="2" width="35.5" customWidth="1"/>
    <col min="3" max="3" width="17.33203125" customWidth="1"/>
  </cols>
  <sheetData>
    <row r="1" spans="2:17" ht="12">
      <c r="B1" s="6" t="s">
        <v>4</v>
      </c>
      <c r="C1" s="29" t="str">
        <f>Costs!A2</f>
        <v>with pipe out of side of bag</v>
      </c>
      <c r="G1">
        <f>C6*C7</f>
        <v>29.817040608838916</v>
      </c>
    </row>
    <row r="2" spans="2:17" ht="15" customHeight="1">
      <c r="G2">
        <f>G3/2200</f>
        <v>121.97880249070467</v>
      </c>
      <c r="H2" t="s">
        <v>442</v>
      </c>
    </row>
    <row r="3" spans="2:17" ht="12">
      <c r="B3" s="6" t="s">
        <v>42</v>
      </c>
      <c r="C3" s="29">
        <f>Quantities!D5</f>
        <v>4</v>
      </c>
      <c r="D3" s="6"/>
      <c r="E3" s="6">
        <v>3.75</v>
      </c>
      <c r="F3" t="s">
        <v>36</v>
      </c>
      <c r="G3">
        <f>9000*C6*C7</f>
        <v>268353.36547955027</v>
      </c>
      <c r="H3" t="s">
        <v>441</v>
      </c>
      <c r="I3">
        <f>G3/2600</f>
        <v>103.2128328767501</v>
      </c>
      <c r="M3" s="6"/>
      <c r="N3" s="6"/>
    </row>
    <row r="4" spans="2:17" ht="12">
      <c r="K4" s="6" t="s">
        <v>55</v>
      </c>
    </row>
    <row r="5" spans="2:17" ht="39" customHeight="1">
      <c r="B5" s="18" t="s">
        <v>45</v>
      </c>
      <c r="C5" s="20">
        <f>Sizing!B7</f>
        <v>40</v>
      </c>
      <c r="D5" s="18" t="s">
        <v>56</v>
      </c>
      <c r="E5" s="18">
        <v>10</v>
      </c>
      <c r="F5" s="18">
        <v>20</v>
      </c>
      <c r="G5" s="18">
        <v>30</v>
      </c>
      <c r="H5" s="18">
        <v>40</v>
      </c>
      <c r="I5" s="18">
        <v>50</v>
      </c>
    </row>
    <row r="6" spans="2:17" ht="39" customHeight="1">
      <c r="B6" s="31" t="s">
        <v>57</v>
      </c>
      <c r="C6" s="136">
        <f>C3</f>
        <v>4</v>
      </c>
      <c r="D6" s="35" t="s">
        <v>36</v>
      </c>
      <c r="E6" s="67">
        <v>3.7499996985564659</v>
      </c>
      <c r="F6" s="67">
        <v>3.7499996985564659</v>
      </c>
      <c r="G6" s="67">
        <v>3.7499996985564659</v>
      </c>
      <c r="H6" s="67">
        <v>3.7499996985564659</v>
      </c>
      <c r="I6" s="67">
        <v>3.7499996985564659</v>
      </c>
      <c r="K6">
        <f t="shared" ref="K6:K16" si="0">C6*7</f>
        <v>28</v>
      </c>
      <c r="M6" t="s">
        <v>328</v>
      </c>
      <c r="N6" t="s">
        <v>329</v>
      </c>
      <c r="P6" t="s">
        <v>241</v>
      </c>
    </row>
    <row r="7" spans="2:17" ht="39" customHeight="1">
      <c r="B7" s="126" t="s">
        <v>326</v>
      </c>
      <c r="C7" s="136">
        <f>Quantities!D4</f>
        <v>7.4542601522097289</v>
      </c>
      <c r="D7" s="35" t="s">
        <v>36</v>
      </c>
      <c r="E7" s="67">
        <v>5.0223769938387299</v>
      </c>
      <c r="F7" s="67">
        <v>5.9347539876774604</v>
      </c>
      <c r="G7" s="67">
        <v>6.84713098151619</v>
      </c>
      <c r="H7" s="67">
        <v>7.7595079753549197</v>
      </c>
      <c r="I7" s="67">
        <v>8.6718849691936484</v>
      </c>
      <c r="K7">
        <f t="shared" si="0"/>
        <v>52.179821065468104</v>
      </c>
      <c r="M7">
        <v>8.8000000000000007</v>
      </c>
      <c r="N7" s="122">
        <v>6.1</v>
      </c>
      <c r="O7">
        <f>N7*4</f>
        <v>24.4</v>
      </c>
      <c r="P7">
        <f>O7+M7</f>
        <v>33.200000000000003</v>
      </c>
    </row>
    <row r="8" spans="2:17" ht="16.5" customHeight="1">
      <c r="B8" s="31"/>
      <c r="C8" s="137"/>
      <c r="D8" s="27"/>
      <c r="E8" s="48"/>
      <c r="F8" s="48"/>
      <c r="G8" s="48"/>
      <c r="H8" s="48"/>
      <c r="I8" s="48"/>
      <c r="K8">
        <f t="shared" si="0"/>
        <v>0</v>
      </c>
    </row>
    <row r="9" spans="2:17" ht="39" customHeight="1">
      <c r="B9" s="31" t="str">
        <f>Costs!A13</f>
        <v>25mm internal dia. gas pipe</v>
      </c>
      <c r="C9" s="138">
        <f>Costs!C13</f>
        <v>16.459577567498407</v>
      </c>
      <c r="D9" s="35" t="s">
        <v>36</v>
      </c>
      <c r="E9" s="27">
        <v>17.208765779163087</v>
      </c>
      <c r="F9" s="27">
        <v>16.680563448990316</v>
      </c>
      <c r="G9" s="27">
        <v>16.50593239348304</v>
      </c>
      <c r="H9" s="27">
        <v>16.419847015487864</v>
      </c>
      <c r="I9" s="27">
        <v>16.369326479532578</v>
      </c>
      <c r="K9">
        <f t="shared" si="0"/>
        <v>115.21704297248885</v>
      </c>
    </row>
    <row r="10" spans="2:17" ht="39" customHeight="1">
      <c r="B10" s="31" t="str">
        <f>Costs!A14</f>
        <v>25mm, 90 degrees elbow</v>
      </c>
      <c r="C10" s="137">
        <f>Costs!B14</f>
        <v>7</v>
      </c>
      <c r="D10" s="35" t="s">
        <v>68</v>
      </c>
      <c r="E10" s="48">
        <v>7</v>
      </c>
      <c r="F10" s="48">
        <v>7</v>
      </c>
      <c r="G10" s="48">
        <v>7</v>
      </c>
      <c r="H10" s="48">
        <v>7</v>
      </c>
      <c r="I10" s="48">
        <v>7</v>
      </c>
      <c r="K10">
        <f t="shared" si="0"/>
        <v>49</v>
      </c>
      <c r="M10" t="s">
        <v>330</v>
      </c>
    </row>
    <row r="11" spans="2:17" ht="39" customHeight="1">
      <c r="B11" s="31" t="str">
        <f>Costs!A15</f>
        <v>25mm, tank connector</v>
      </c>
      <c r="C11" s="137">
        <f>Costs!B15</f>
        <v>3</v>
      </c>
      <c r="D11" s="35" t="s">
        <v>68</v>
      </c>
      <c r="E11" s="48">
        <v>3</v>
      </c>
      <c r="F11" s="48">
        <v>3</v>
      </c>
      <c r="G11" s="48">
        <v>3</v>
      </c>
      <c r="H11" s="48">
        <v>3</v>
      </c>
      <c r="I11" s="48">
        <v>3</v>
      </c>
      <c r="K11">
        <f t="shared" si="0"/>
        <v>21</v>
      </c>
      <c r="M11" s="127">
        <f>$M$7</f>
        <v>8.8000000000000007</v>
      </c>
      <c r="N11" s="127">
        <f t="shared" ref="N11:P12" si="1">$N$7</f>
        <v>6.1</v>
      </c>
      <c r="O11" s="127">
        <f t="shared" si="1"/>
        <v>6.1</v>
      </c>
      <c r="P11" s="127">
        <f t="shared" si="1"/>
        <v>6.1</v>
      </c>
      <c r="Q11" s="127">
        <v>5.9</v>
      </c>
    </row>
    <row r="12" spans="2:17" ht="39" customHeight="1">
      <c r="B12" s="31" t="str">
        <f>Costs!A16</f>
        <v>25mm, female main gas valve</v>
      </c>
      <c r="C12" s="137">
        <f>Costs!B16</f>
        <v>1</v>
      </c>
      <c r="D12" s="35" t="s">
        <v>68</v>
      </c>
      <c r="E12" s="48">
        <v>1</v>
      </c>
      <c r="F12" s="48">
        <v>1</v>
      </c>
      <c r="G12" s="48">
        <v>1</v>
      </c>
      <c r="H12" s="48">
        <v>1</v>
      </c>
      <c r="I12" s="48">
        <v>1</v>
      </c>
      <c r="K12">
        <f t="shared" si="0"/>
        <v>7</v>
      </c>
      <c r="M12" s="127">
        <f>$M$7</f>
        <v>8.8000000000000007</v>
      </c>
      <c r="N12" s="127">
        <f t="shared" si="1"/>
        <v>6.1</v>
      </c>
      <c r="O12" s="127">
        <f t="shared" si="1"/>
        <v>6.1</v>
      </c>
      <c r="P12" s="127">
        <f t="shared" si="1"/>
        <v>6.1</v>
      </c>
      <c r="Q12" s="127">
        <v>5.9</v>
      </c>
    </row>
    <row r="13" spans="2:17" ht="39" customHeight="1">
      <c r="B13" s="31" t="str">
        <f>Costs!A17</f>
        <v>25mm, female drain valve (same as gas valve)</v>
      </c>
      <c r="C13" s="137">
        <f>Costs!B17</f>
        <v>0</v>
      </c>
      <c r="D13" s="35" t="s">
        <v>68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K13">
        <f t="shared" si="0"/>
        <v>0</v>
      </c>
      <c r="M13">
        <f>M12</f>
        <v>8.8000000000000007</v>
      </c>
      <c r="N13">
        <f>N12+M13</f>
        <v>14.9</v>
      </c>
      <c r="O13">
        <f t="shared" ref="O13:Q13" si="2">O12+N13</f>
        <v>21</v>
      </c>
      <c r="P13">
        <f t="shared" si="2"/>
        <v>27.1</v>
      </c>
      <c r="Q13">
        <f t="shared" si="2"/>
        <v>33</v>
      </c>
    </row>
    <row r="14" spans="2:17" ht="39" customHeight="1">
      <c r="B14" s="31" t="str">
        <f>Costs!A18</f>
        <v>25mm, sockets</v>
      </c>
      <c r="C14" s="137">
        <f>Costs!B18</f>
        <v>3</v>
      </c>
      <c r="D14" s="35" t="s">
        <v>68</v>
      </c>
      <c r="E14" s="48">
        <v>3</v>
      </c>
      <c r="F14" s="48">
        <v>3</v>
      </c>
      <c r="G14" s="48">
        <v>3</v>
      </c>
      <c r="H14" s="48">
        <v>3</v>
      </c>
      <c r="I14" s="48">
        <v>3</v>
      </c>
      <c r="K14">
        <f t="shared" si="0"/>
        <v>21</v>
      </c>
    </row>
    <row r="15" spans="2:17" ht="39" customHeight="1">
      <c r="B15" s="31" t="str">
        <f>Costs!A19</f>
        <v>25mm, tee</v>
      </c>
      <c r="C15" s="137">
        <f>Costs!B19</f>
        <v>1</v>
      </c>
      <c r="D15" s="35" t="s">
        <v>68</v>
      </c>
      <c r="E15" s="48">
        <v>1</v>
      </c>
      <c r="F15" s="48">
        <v>1</v>
      </c>
      <c r="G15" s="48">
        <v>1</v>
      </c>
      <c r="H15" s="48">
        <v>1</v>
      </c>
      <c r="I15" s="48">
        <v>1</v>
      </c>
      <c r="K15">
        <f t="shared" si="0"/>
        <v>7</v>
      </c>
      <c r="M15" s="127">
        <f>$M$7</f>
        <v>8.8000000000000007</v>
      </c>
      <c r="N15" s="127">
        <f t="shared" ref="N15:P16" si="3">$N$7</f>
        <v>6.1</v>
      </c>
      <c r="O15" s="127">
        <f t="shared" si="3"/>
        <v>6.1</v>
      </c>
      <c r="P15" s="127">
        <f t="shared" si="3"/>
        <v>6.1</v>
      </c>
      <c r="Q15" s="127">
        <v>5.9</v>
      </c>
    </row>
    <row r="16" spans="2:17" ht="39" customHeight="1">
      <c r="B16" s="31" t="str">
        <f>Costs!A21</f>
        <v>25mm, female nozzle</v>
      </c>
      <c r="C16" s="137">
        <f>Costs!B21</f>
        <v>1</v>
      </c>
      <c r="D16" s="35" t="s">
        <v>68</v>
      </c>
      <c r="E16" s="48">
        <v>1</v>
      </c>
      <c r="F16" s="48">
        <v>1</v>
      </c>
      <c r="G16" s="48">
        <v>1</v>
      </c>
      <c r="H16" s="48">
        <v>1</v>
      </c>
      <c r="I16" s="48">
        <v>1</v>
      </c>
      <c r="K16">
        <f t="shared" si="0"/>
        <v>7</v>
      </c>
      <c r="M16" s="127">
        <f>$M$7</f>
        <v>8.8000000000000007</v>
      </c>
      <c r="N16" s="127">
        <f t="shared" si="3"/>
        <v>6.1</v>
      </c>
      <c r="O16" s="127">
        <f t="shared" si="3"/>
        <v>6.1</v>
      </c>
      <c r="P16" s="127">
        <f t="shared" si="3"/>
        <v>6.1</v>
      </c>
      <c r="Q16" s="128">
        <f>N7</f>
        <v>6.1</v>
      </c>
    </row>
    <row r="17" spans="2:17" ht="39" customHeight="1">
      <c r="B17" s="31" t="str">
        <f>Costs!A20</f>
        <v>25mm, union</v>
      </c>
      <c r="C17" s="137">
        <f>Costs!B20</f>
        <v>1</v>
      </c>
      <c r="D17" s="35"/>
      <c r="E17" s="48">
        <v>1</v>
      </c>
      <c r="F17" s="48">
        <v>1</v>
      </c>
      <c r="G17" s="48">
        <v>1</v>
      </c>
      <c r="H17" s="48">
        <v>1</v>
      </c>
      <c r="I17" s="48">
        <v>1</v>
      </c>
      <c r="M17" s="134"/>
      <c r="N17" s="134"/>
      <c r="O17" s="134"/>
      <c r="P17" s="134"/>
      <c r="Q17" s="135"/>
    </row>
    <row r="18" spans="2:17" ht="39" customHeight="1">
      <c r="B18" s="31" t="str">
        <f>Costs!A22</f>
        <v>rubber gas hose (to fit nozzle)</v>
      </c>
      <c r="C18" s="137">
        <f>Costs!C22</f>
        <v>1.5</v>
      </c>
      <c r="D18" s="35" t="s">
        <v>36</v>
      </c>
      <c r="E18" s="48">
        <v>1.5</v>
      </c>
      <c r="F18" s="48">
        <v>1.5</v>
      </c>
      <c r="G18" s="48">
        <v>1.5</v>
      </c>
      <c r="H18" s="48">
        <v>1.5</v>
      </c>
      <c r="I18" s="48">
        <v>1.5</v>
      </c>
      <c r="K18">
        <f t="shared" ref="K18:K28" si="4">C18*7</f>
        <v>10.5</v>
      </c>
      <c r="M18">
        <f>M16</f>
        <v>8.8000000000000007</v>
      </c>
      <c r="N18">
        <f>N16+M18</f>
        <v>14.9</v>
      </c>
      <c r="O18">
        <f t="shared" ref="O18" si="5">O16+N18</f>
        <v>21</v>
      </c>
      <c r="P18">
        <f t="shared" ref="P18" si="6">P16+O18</f>
        <v>27.1</v>
      </c>
      <c r="Q18">
        <f t="shared" ref="Q18" si="7">Q16+P18</f>
        <v>33.200000000000003</v>
      </c>
    </row>
    <row r="19" spans="2:17" ht="39" hidden="1" customHeight="1">
      <c r="B19" s="31" t="str">
        <f>Costs!A23</f>
        <v>PVC cement pot+brush</v>
      </c>
      <c r="C19" s="137">
        <f>Costs!B23</f>
        <v>0</v>
      </c>
      <c r="D19" s="35" t="s">
        <v>68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K19">
        <f t="shared" si="4"/>
        <v>0</v>
      </c>
    </row>
    <row r="20" spans="2:17" ht="39" customHeight="1">
      <c r="B20" s="31" t="str">
        <f>Costs!A24</f>
        <v>Thread tape roll</v>
      </c>
      <c r="C20" s="137">
        <f>Costs!B24</f>
        <v>2</v>
      </c>
      <c r="D20" s="35" t="s">
        <v>68</v>
      </c>
      <c r="E20" s="48">
        <v>2</v>
      </c>
      <c r="F20" s="48">
        <v>2</v>
      </c>
      <c r="G20" s="48">
        <v>2</v>
      </c>
      <c r="H20" s="48">
        <v>2</v>
      </c>
      <c r="I20" s="48">
        <v>2</v>
      </c>
      <c r="K20">
        <f t="shared" si="4"/>
        <v>14</v>
      </c>
    </row>
    <row r="21" spans="2:17" ht="18.75" customHeight="1">
      <c r="B21" s="31">
        <f>Costs!A25</f>
        <v>0</v>
      </c>
      <c r="C21" s="137"/>
      <c r="D21" s="35"/>
      <c r="E21" s="48"/>
      <c r="F21" s="48"/>
      <c r="G21" s="48"/>
      <c r="H21" s="48"/>
      <c r="I21" s="48"/>
      <c r="K21">
        <f t="shared" si="4"/>
        <v>0</v>
      </c>
    </row>
    <row r="22" spans="2:17" ht="39" customHeight="1">
      <c r="B22" s="31" t="str">
        <f>Costs!A28</f>
        <v>bricks</v>
      </c>
      <c r="C22" s="139">
        <f>Costs!B28</f>
        <v>101</v>
      </c>
      <c r="D22" s="35" t="s">
        <v>68</v>
      </c>
      <c r="E22" s="57">
        <v>94</v>
      </c>
      <c r="F22" s="57">
        <v>111</v>
      </c>
      <c r="G22" s="57">
        <v>128</v>
      </c>
      <c r="H22" s="57">
        <v>142</v>
      </c>
      <c r="I22" s="57">
        <v>155</v>
      </c>
      <c r="K22">
        <f t="shared" si="4"/>
        <v>707</v>
      </c>
    </row>
    <row r="23" spans="2:17" ht="39" customHeight="1">
      <c r="B23" s="31" t="str">
        <f>Costs!A29</f>
        <v>cement, 50kg bags</v>
      </c>
      <c r="C23" s="139">
        <f>Costs!B29</f>
        <v>5</v>
      </c>
      <c r="D23" s="35" t="s">
        <v>68</v>
      </c>
      <c r="E23" s="57">
        <v>2</v>
      </c>
      <c r="F23" s="57">
        <v>2</v>
      </c>
      <c r="G23" s="57">
        <v>3</v>
      </c>
      <c r="H23" s="57">
        <v>3</v>
      </c>
      <c r="I23" s="57">
        <v>3</v>
      </c>
      <c r="K23">
        <f t="shared" si="4"/>
        <v>35</v>
      </c>
    </row>
    <row r="24" spans="2:17" ht="39" customHeight="1">
      <c r="B24" s="31" t="str">
        <f>Costs!A30</f>
        <v>sand</v>
      </c>
      <c r="C24" s="139">
        <f>Costs!H30</f>
        <v>696.63953644109893</v>
      </c>
      <c r="D24" s="35" t="s">
        <v>110</v>
      </c>
      <c r="E24" s="57">
        <v>283.50560928330185</v>
      </c>
      <c r="F24" s="57">
        <v>317.98080988296067</v>
      </c>
      <c r="G24" s="57">
        <v>349.34212139619899</v>
      </c>
      <c r="H24" s="57">
        <v>377.58954382301613</v>
      </c>
      <c r="I24" s="57">
        <v>402.72307716341277</v>
      </c>
      <c r="K24">
        <f t="shared" si="4"/>
        <v>4876.4767550876923</v>
      </c>
    </row>
    <row r="25" spans="2:17" ht="39" customHeight="1">
      <c r="B25" s="31" t="str">
        <f>Costs!A31</f>
        <v>aggregate</v>
      </c>
      <c r="C25" s="139">
        <f>Costs!H31</f>
        <v>295.43207957738878</v>
      </c>
      <c r="D25" s="35" t="s">
        <v>110</v>
      </c>
      <c r="E25" s="57">
        <v>97.867079882974423</v>
      </c>
      <c r="F25" s="57">
        <v>107.04259867621391</v>
      </c>
      <c r="G25" s="57">
        <v>115.38936093328982</v>
      </c>
      <c r="H25" s="57">
        <v>122.90736665420211</v>
      </c>
      <c r="I25" s="57">
        <v>129.5966158389509</v>
      </c>
      <c r="K25">
        <f t="shared" si="4"/>
        <v>2068.0245570417214</v>
      </c>
    </row>
    <row r="26" spans="2:17" ht="39" hidden="1" customHeight="1">
      <c r="B26" s="31" t="str">
        <f>Costs!A32</f>
        <v>mesh for ferrocement, 1/2"</v>
      </c>
      <c r="C26" s="137">
        <f>Costs!F32</f>
        <v>16.274681135622078</v>
      </c>
      <c r="D26" s="35" t="s">
        <v>95</v>
      </c>
      <c r="E26" s="48">
        <v>2.4742664035503599</v>
      </c>
      <c r="F26" s="48">
        <v>6.7608287460607972</v>
      </c>
      <c r="G26" s="48">
        <v>12.227178495344303</v>
      </c>
      <c r="H26" s="48">
        <v>18.647604483943642</v>
      </c>
      <c r="I26" s="48">
        <v>25.891658121196222</v>
      </c>
      <c r="K26">
        <f t="shared" si="4"/>
        <v>113.92276794935455</v>
      </c>
    </row>
    <row r="27" spans="2:17" ht="39" hidden="1" customHeight="1">
      <c r="B27" s="62" t="s">
        <v>120</v>
      </c>
      <c r="C27" s="136">
        <f>Sizing!E52</f>
        <v>3.1851050172129205</v>
      </c>
      <c r="D27" s="35" t="s">
        <v>36</v>
      </c>
      <c r="E27" s="67">
        <v>0.91237699383873005</v>
      </c>
      <c r="F27" s="67">
        <v>1.8247539876774601</v>
      </c>
      <c r="G27" s="67">
        <v>2.7371309815161902</v>
      </c>
      <c r="H27" s="67">
        <v>3.6495079753549202</v>
      </c>
      <c r="I27" s="67">
        <v>4.5618849691936498</v>
      </c>
      <c r="K27">
        <f t="shared" si="4"/>
        <v>22.295735120490445</v>
      </c>
    </row>
    <row r="28" spans="2:17" ht="39" hidden="1" customHeight="1">
      <c r="B28" s="62" t="s">
        <v>135</v>
      </c>
      <c r="C28" s="136">
        <f>Sizing!B146*2</f>
        <v>5.1096215188103908</v>
      </c>
      <c r="D28" s="35" t="s">
        <v>36</v>
      </c>
      <c r="E28" s="67">
        <v>2.7118903920846851</v>
      </c>
      <c r="F28" s="67">
        <v>3.7050631436985948</v>
      </c>
      <c r="G28" s="67">
        <v>4.467151399737272</v>
      </c>
      <c r="H28" s="67">
        <v>5.1096215188103908</v>
      </c>
      <c r="I28" s="67">
        <v>5.6756490564848203</v>
      </c>
      <c r="K28">
        <f t="shared" si="4"/>
        <v>35.767350631672734</v>
      </c>
    </row>
    <row r="29" spans="2:17" ht="39" customHeight="1">
      <c r="B29" s="132" t="s">
        <v>363</v>
      </c>
      <c r="C29" s="136">
        <f>Costs!B26</f>
        <v>5</v>
      </c>
      <c r="D29" s="133" t="s">
        <v>68</v>
      </c>
      <c r="E29" s="67">
        <v>2</v>
      </c>
      <c r="F29" s="67">
        <v>3</v>
      </c>
      <c r="G29" s="67">
        <v>4</v>
      </c>
      <c r="H29" s="67">
        <v>5</v>
      </c>
      <c r="I29" s="67">
        <v>6</v>
      </c>
    </row>
    <row r="30" spans="2:17" ht="39" customHeight="1">
      <c r="B30" s="132" t="s">
        <v>364</v>
      </c>
      <c r="C30" s="136">
        <f>Costs!B27</f>
        <v>3</v>
      </c>
      <c r="D30" s="133" t="s">
        <v>68</v>
      </c>
      <c r="E30" s="67">
        <v>1</v>
      </c>
      <c r="F30" s="67">
        <v>2</v>
      </c>
      <c r="G30" s="67">
        <v>2</v>
      </c>
      <c r="H30" s="67">
        <v>3</v>
      </c>
      <c r="I30" s="67">
        <v>3</v>
      </c>
    </row>
    <row r="31" spans="2:17" ht="39" customHeight="1">
      <c r="B31" s="6" t="s">
        <v>140</v>
      </c>
    </row>
  </sheetData>
  <phoneticPr fontId="26" type="noConversion"/>
  <pageMargins left="0.75" right="0.75" top="1" bottom="1" header="0.5" footer="0.5"/>
  <pageSetup paperSize="9" scale="5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>
      <selection activeCell="E11" sqref="E11"/>
    </sheetView>
  </sheetViews>
  <sheetFormatPr baseColWidth="10" defaultColWidth="17.33203125" defaultRowHeight="15" customHeight="1" x14ac:dyDescent="0"/>
  <cols>
    <col min="1" max="1" width="5.33203125" customWidth="1"/>
  </cols>
  <sheetData>
    <row r="2" spans="2:7" ht="15" customHeight="1">
      <c r="B2" s="5" t="s">
        <v>14</v>
      </c>
      <c r="C2" s="71" t="s">
        <v>347</v>
      </c>
      <c r="D2" s="9" t="s">
        <v>18</v>
      </c>
      <c r="E2" s="6" t="s">
        <v>20</v>
      </c>
    </row>
    <row r="3" spans="2:7" ht="15" customHeight="1">
      <c r="B3" s="6" t="s">
        <v>22</v>
      </c>
      <c r="C3" s="6">
        <v>500</v>
      </c>
      <c r="E3" s="6">
        <v>25</v>
      </c>
    </row>
    <row r="4" spans="2:7" ht="15" customHeight="1">
      <c r="B4" s="6" t="s">
        <v>23</v>
      </c>
      <c r="C4" s="6">
        <v>400</v>
      </c>
      <c r="E4" s="6">
        <v>25</v>
      </c>
    </row>
    <row r="5" spans="2:7" ht="15" customHeight="1">
      <c r="B5" s="6" t="s">
        <v>25</v>
      </c>
      <c r="C5" s="6">
        <v>400</v>
      </c>
      <c r="E5" s="6">
        <v>15</v>
      </c>
    </row>
    <row r="6" spans="2:7" ht="15" customHeight="1">
      <c r="B6" s="6" t="s">
        <v>26</v>
      </c>
      <c r="E6" s="6">
        <v>25</v>
      </c>
    </row>
    <row r="7" spans="2:7" ht="15" customHeight="1">
      <c r="B7" s="6" t="s">
        <v>27</v>
      </c>
      <c r="E7" s="6">
        <v>25</v>
      </c>
    </row>
    <row r="8" spans="2:7" ht="15" customHeight="1">
      <c r="B8" s="6" t="s">
        <v>28</v>
      </c>
      <c r="E8" s="6">
        <v>25</v>
      </c>
    </row>
    <row r="9" spans="2:7" ht="15" customHeight="1">
      <c r="B9" s="6" t="s">
        <v>29</v>
      </c>
      <c r="E9" s="6">
        <v>25</v>
      </c>
    </row>
    <row r="10" spans="2:7" ht="15" customHeight="1">
      <c r="E10" s="12">
        <f>SUM(E3:E9)</f>
        <v>165</v>
      </c>
      <c r="F10" s="6" t="s">
        <v>36</v>
      </c>
      <c r="G10" s="6">
        <f>100+4*5</f>
        <v>120</v>
      </c>
    </row>
    <row r="11" spans="2:7" ht="15" customHeight="1">
      <c r="E11">
        <f>E10-E9</f>
        <v>140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workbookViewId="0">
      <selection activeCell="H7" sqref="H7"/>
    </sheetView>
  </sheetViews>
  <sheetFormatPr baseColWidth="10" defaultColWidth="17.33203125" defaultRowHeight="15" customHeight="1" x14ac:dyDescent="0"/>
  <sheetData>
    <row r="2" spans="1:8" ht="15" customHeight="1">
      <c r="A2" s="6" t="s">
        <v>5</v>
      </c>
    </row>
    <row r="3" spans="1:8" ht="15" customHeight="1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</row>
    <row r="4" spans="1:8" ht="15" customHeight="1">
      <c r="A4" s="6">
        <v>0.3</v>
      </c>
      <c r="B4" s="6">
        <v>1</v>
      </c>
      <c r="C4" s="6">
        <v>0.85</v>
      </c>
      <c r="D4">
        <f>B4*(1-C4)</f>
        <v>0.15000000000000002</v>
      </c>
      <c r="E4">
        <f>A4*D4</f>
        <v>4.5000000000000005E-2</v>
      </c>
    </row>
    <row r="7" spans="1:8" ht="15" customHeight="1">
      <c r="G7" t="s">
        <v>313</v>
      </c>
      <c r="H7">
        <f>30000/136</f>
        <v>220.58823529411765</v>
      </c>
    </row>
    <row r="8" spans="1:8" ht="15" customHeight="1">
      <c r="H8">
        <f>H7/2</f>
        <v>110.29411764705883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License</vt:lpstr>
      <vt:lpstr>Revisions</vt:lpstr>
      <vt:lpstr>Sizing</vt:lpstr>
      <vt:lpstr>Quantities</vt:lpstr>
      <vt:lpstr>Costs</vt:lpstr>
      <vt:lpstr>Sizing Chart</vt:lpstr>
      <vt:lpstr>Materials Chart</vt:lpstr>
      <vt:lpstr>farmers pipe lengths</vt:lpstr>
      <vt:lpstr>JC notes</vt:lpstr>
      <vt:lpstr>Pressure losses</vt:lpstr>
      <vt:lpstr>Friction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Gareth Selby</cp:lastModifiedBy>
  <cp:lastPrinted>2016-10-18T19:45:12Z</cp:lastPrinted>
  <dcterms:created xsi:type="dcterms:W3CDTF">2015-03-21T15:00:21Z</dcterms:created>
  <dcterms:modified xsi:type="dcterms:W3CDTF">2016-12-09T15:03:26Z</dcterms:modified>
</cp:coreProperties>
</file>