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\Documents\Estadistica\Apuntes de clases\"/>
    </mc:Choice>
  </mc:AlternateContent>
  <bookViews>
    <workbookView xWindow="0" yWindow="0" windowWidth="20490" windowHeight="7755" activeTab="1"/>
  </bookViews>
  <sheets>
    <sheet name="ANOVA BIFACT 3X4" sheetId="1" r:id="rId1"/>
    <sheet name="ANOVA TRIFACT 3X2X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2" l="1"/>
  <c r="F38" i="2"/>
  <c r="H65" i="2" l="1"/>
  <c r="I65" i="2"/>
  <c r="I64" i="2"/>
  <c r="H64" i="2"/>
  <c r="E65" i="2"/>
  <c r="E64" i="2"/>
  <c r="D65" i="2"/>
  <c r="D64" i="2"/>
  <c r="C65" i="2"/>
  <c r="C64" i="2"/>
  <c r="O52" i="2"/>
  <c r="O48" i="2"/>
  <c r="O49" i="2"/>
  <c r="O47" i="2"/>
  <c r="N54" i="2"/>
  <c r="N52" i="2"/>
  <c r="M52" i="2"/>
  <c r="M48" i="2"/>
  <c r="N48" i="2"/>
  <c r="M49" i="2"/>
  <c r="N49" i="2"/>
  <c r="N50" i="2"/>
  <c r="M47" i="2"/>
  <c r="N47" i="2"/>
  <c r="E48" i="2"/>
  <c r="E49" i="2"/>
  <c r="E51" i="2"/>
  <c r="E52" i="2"/>
  <c r="E47" i="2"/>
  <c r="D55" i="2"/>
  <c r="D54" i="2"/>
  <c r="D53" i="2"/>
  <c r="D52" i="2"/>
  <c r="D51" i="2"/>
  <c r="D50" i="2"/>
  <c r="D49" i="2"/>
  <c r="D48" i="2"/>
  <c r="D47" i="2"/>
  <c r="C55" i="2"/>
  <c r="C52" i="2"/>
  <c r="C51" i="2"/>
  <c r="C49" i="2"/>
  <c r="C48" i="2"/>
  <c r="C47" i="2"/>
  <c r="N42" i="2" l="1"/>
  <c r="L42" i="2"/>
  <c r="H42" i="2"/>
  <c r="F42" i="2"/>
  <c r="D42" i="2"/>
  <c r="B42" i="2"/>
  <c r="B41" i="2"/>
  <c r="R33" i="2"/>
  <c r="N32" i="2"/>
  <c r="O32" i="2"/>
  <c r="P32" i="2"/>
  <c r="Q32" i="2"/>
  <c r="R32" i="2"/>
  <c r="N33" i="2"/>
  <c r="O33" i="2"/>
  <c r="P33" i="2"/>
  <c r="Q33" i="2"/>
  <c r="M33" i="2"/>
  <c r="M32" i="2"/>
  <c r="D41" i="2" l="1"/>
  <c r="P41" i="2"/>
  <c r="L41" i="2"/>
  <c r="J41" i="2"/>
  <c r="H41" i="2"/>
  <c r="N41" i="2"/>
  <c r="J40" i="2"/>
  <c r="H40" i="2"/>
  <c r="F40" i="2"/>
  <c r="D40" i="2"/>
  <c r="B40" i="2"/>
  <c r="N28" i="2"/>
  <c r="O28" i="2"/>
  <c r="P28" i="2"/>
  <c r="M28" i="2"/>
  <c r="P27" i="2"/>
  <c r="O27" i="2"/>
  <c r="N27" i="2"/>
  <c r="M27" i="2"/>
  <c r="F39" i="2"/>
  <c r="B39" i="2"/>
  <c r="R23" i="2"/>
  <c r="Q23" i="2"/>
  <c r="N23" i="2"/>
  <c r="O23" i="2"/>
  <c r="P23" i="2"/>
  <c r="M23" i="2"/>
  <c r="R22" i="2"/>
  <c r="Q22" i="2"/>
  <c r="P22" i="2"/>
  <c r="O22" i="2"/>
  <c r="N22" i="2"/>
  <c r="M22" i="2"/>
  <c r="J39" i="2"/>
  <c r="H39" i="2"/>
  <c r="D39" i="2"/>
  <c r="J38" i="2"/>
  <c r="H38" i="2"/>
  <c r="D38" i="2"/>
  <c r="G29" i="2"/>
  <c r="D29" i="2"/>
  <c r="E29" i="2"/>
  <c r="F29" i="2"/>
  <c r="H29" i="2"/>
  <c r="C29" i="2"/>
  <c r="D28" i="2"/>
  <c r="E28" i="2"/>
  <c r="F28" i="2"/>
  <c r="G28" i="2"/>
  <c r="H28" i="2"/>
  <c r="C28" i="2"/>
  <c r="F37" i="2"/>
  <c r="D37" i="2"/>
  <c r="B37" i="2"/>
  <c r="N18" i="2"/>
  <c r="M18" i="2"/>
  <c r="B36" i="2"/>
  <c r="N17" i="2"/>
  <c r="M17" i="2"/>
  <c r="N16" i="2"/>
  <c r="M16" i="2"/>
  <c r="B35" i="2"/>
  <c r="D36" i="2"/>
  <c r="D35" i="2"/>
  <c r="D34" i="2"/>
  <c r="F35" i="2"/>
  <c r="E32" i="2"/>
  <c r="G32" i="2"/>
  <c r="G31" i="2"/>
  <c r="C31" i="2"/>
  <c r="E31" i="2"/>
  <c r="C32" i="2"/>
  <c r="F34" i="2"/>
  <c r="B34" i="2"/>
  <c r="C50" i="2" l="1"/>
  <c r="J42" i="2"/>
  <c r="F41" i="2"/>
  <c r="R41" i="2" s="1"/>
  <c r="I31" i="2"/>
  <c r="I30" i="2"/>
  <c r="I29" i="2"/>
  <c r="I28" i="2"/>
  <c r="F36" i="2"/>
  <c r="K22" i="2"/>
  <c r="J22" i="2"/>
  <c r="I22" i="2"/>
  <c r="K16" i="2"/>
  <c r="J16" i="2"/>
  <c r="I16" i="2"/>
  <c r="C53" i="2" l="1"/>
  <c r="E53" i="2" s="1"/>
  <c r="P42" i="2"/>
  <c r="R42" i="2" s="1"/>
  <c r="C54" i="2" s="1"/>
  <c r="M50" i="2"/>
  <c r="O50" i="2" s="1"/>
  <c r="E50" i="2"/>
  <c r="N48" i="1"/>
  <c r="N47" i="1"/>
  <c r="E54" i="2" l="1"/>
  <c r="M54" i="2"/>
  <c r="O54" i="2" s="1"/>
  <c r="F53" i="2"/>
  <c r="G53" i="2" s="1"/>
  <c r="F50" i="2"/>
  <c r="G50" i="2" s="1"/>
  <c r="O42" i="1"/>
  <c r="O41" i="1"/>
  <c r="N41" i="1"/>
  <c r="O40" i="1"/>
  <c r="N40" i="1"/>
  <c r="M40" i="1"/>
  <c r="P7" i="1"/>
  <c r="Q7" i="1"/>
  <c r="O7" i="1"/>
  <c r="Q6" i="1"/>
  <c r="P6" i="1"/>
  <c r="O6" i="1"/>
  <c r="Q5" i="1"/>
  <c r="Q4" i="1"/>
  <c r="P5" i="1"/>
  <c r="O5" i="1"/>
  <c r="P4" i="1"/>
  <c r="O4" i="1"/>
  <c r="Q24" i="1"/>
  <c r="Q23" i="1"/>
  <c r="Q22" i="1"/>
  <c r="P23" i="1"/>
  <c r="P24" i="1"/>
  <c r="P22" i="1"/>
  <c r="O23" i="1"/>
  <c r="O24" i="1"/>
  <c r="O25" i="1"/>
  <c r="O22" i="1"/>
  <c r="N26" i="1"/>
  <c r="N25" i="1"/>
  <c r="N24" i="1"/>
  <c r="N23" i="1"/>
  <c r="N22" i="1"/>
  <c r="M26" i="1"/>
  <c r="M25" i="1"/>
  <c r="M24" i="1"/>
  <c r="M23" i="1"/>
  <c r="M22" i="1"/>
  <c r="J25" i="1"/>
  <c r="H25" i="1"/>
  <c r="F25" i="1"/>
  <c r="D25" i="1"/>
  <c r="B25" i="1"/>
  <c r="D24" i="1"/>
  <c r="F21" i="1"/>
  <c r="D21" i="1"/>
  <c r="B21" i="1"/>
  <c r="J24" i="1"/>
  <c r="H24" i="1"/>
  <c r="F24" i="1"/>
  <c r="B24" i="1"/>
  <c r="F23" i="1"/>
  <c r="D23" i="1"/>
  <c r="D22" i="1"/>
  <c r="B23" i="1"/>
  <c r="F22" i="1"/>
  <c r="F18" i="1"/>
  <c r="B22" i="1"/>
  <c r="G13" i="1"/>
  <c r="H18" i="1"/>
  <c r="G17" i="1"/>
  <c r="F16" i="1"/>
  <c r="E17" i="1"/>
  <c r="E18" i="1"/>
  <c r="D16" i="1"/>
  <c r="E16" i="1"/>
  <c r="D17" i="1"/>
  <c r="D18" i="1"/>
  <c r="C18" i="1"/>
  <c r="C17" i="1"/>
  <c r="C16" i="1"/>
  <c r="H13" i="1"/>
  <c r="H10" i="1"/>
  <c r="H7" i="1"/>
  <c r="G10" i="1"/>
  <c r="G7" i="1"/>
  <c r="F7" i="1"/>
  <c r="F10" i="1"/>
  <c r="F13" i="1"/>
  <c r="P49" i="2" l="1"/>
  <c r="Q49" i="2" s="1"/>
  <c r="P52" i="2"/>
  <c r="Q52" i="2" s="1"/>
  <c r="P48" i="2"/>
  <c r="Q48" i="2" s="1"/>
  <c r="P47" i="2"/>
  <c r="Q47" i="2" s="1"/>
  <c r="P50" i="2"/>
  <c r="Q50" i="2" s="1"/>
  <c r="F49" i="2"/>
  <c r="G49" i="2" s="1"/>
  <c r="F51" i="2"/>
  <c r="G51" i="2" s="1"/>
  <c r="F48" i="2"/>
  <c r="G48" i="2" s="1"/>
  <c r="F52" i="2"/>
  <c r="G52" i="2" s="1"/>
  <c r="F47" i="2"/>
  <c r="G47" i="2" s="1"/>
  <c r="H4" i="1"/>
  <c r="G4" i="1"/>
  <c r="F4" i="1"/>
  <c r="L7" i="1"/>
  <c r="M7" i="1"/>
  <c r="L10" i="1"/>
  <c r="M10" i="1"/>
  <c r="L13" i="1"/>
  <c r="M13" i="1"/>
  <c r="K7" i="1"/>
  <c r="K10" i="1"/>
  <c r="K13" i="1"/>
  <c r="M4" i="1"/>
  <c r="L4" i="1"/>
  <c r="K4" i="1"/>
</calcChain>
</file>

<file path=xl/sharedStrings.xml><?xml version="1.0" encoding="utf-8"?>
<sst xmlns="http://schemas.openxmlformats.org/spreadsheetml/2006/main" count="306" uniqueCount="122">
  <si>
    <t>B:Velocidad</t>
  </si>
  <si>
    <t>A: Profundidad</t>
  </si>
  <si>
    <t>SUMAS DE TRATAMIENTOS</t>
  </si>
  <si>
    <t>Total</t>
  </si>
  <si>
    <t>Promedio</t>
  </si>
  <si>
    <t>Total^2</t>
  </si>
  <si>
    <t>Total ^2</t>
  </si>
  <si>
    <t>Gran total</t>
  </si>
  <si>
    <t>Gran Media</t>
  </si>
  <si>
    <t>Suma cuadrados</t>
  </si>
  <si>
    <t>Diseño bifactorial (3x4)</t>
  </si>
  <si>
    <t>Suma de Cuadrados</t>
  </si>
  <si>
    <t>SCA</t>
  </si>
  <si>
    <t>-</t>
  </si>
  <si>
    <t>N</t>
  </si>
  <si>
    <t>=</t>
  </si>
  <si>
    <t>SCB</t>
  </si>
  <si>
    <t>SC(AB)</t>
  </si>
  <si>
    <t>SCT</t>
  </si>
  <si>
    <t>SCT=SCA+SCB+SC(AB)+SCE</t>
  </si>
  <si>
    <t>SCE</t>
  </si>
  <si>
    <t>Fuente</t>
  </si>
  <si>
    <t>SC</t>
  </si>
  <si>
    <t>Grad de lib</t>
  </si>
  <si>
    <t>CM</t>
  </si>
  <si>
    <t>F</t>
  </si>
  <si>
    <t>p</t>
  </si>
  <si>
    <t>A:Profundidad</t>
  </si>
  <si>
    <t>AB</t>
  </si>
  <si>
    <t>Error</t>
  </si>
  <si>
    <t>***</t>
  </si>
  <si>
    <t>*</t>
  </si>
  <si>
    <t>Gráfico de interacciones</t>
  </si>
  <si>
    <t>Estudio del efecto de la Velocidad de alimentación y Profundidad de corte sobre Acabado del metal</t>
  </si>
  <si>
    <t>Comparación de medias por LSD</t>
  </si>
  <si>
    <t>Cuando el factor de interacción AB no es significativo, se puede proceder con el análisis de forma ordinaria. Cuando la interacción es significativa, esta subordina a los factores por separado.</t>
  </si>
  <si>
    <t>LSD se calcula entonces para cada nivel de un factor dentro del otro.</t>
  </si>
  <si>
    <t>Velocidad</t>
  </si>
  <si>
    <t>Profundidad</t>
  </si>
  <si>
    <t>Acabado</t>
  </si>
  <si>
    <t>Por ejemplo, deseamos comparar las medias del factor profundidad dentro del nivel de velocidad (0.25).</t>
  </si>
  <si>
    <t>B1:0.2</t>
  </si>
  <si>
    <t>B2:0.25</t>
  </si>
  <si>
    <t>B3:0.3</t>
  </si>
  <si>
    <t>A1:0.15</t>
  </si>
  <si>
    <t>A2:0.18</t>
  </si>
  <si>
    <t>A3:0.21</t>
  </si>
  <si>
    <t>A4:0.24</t>
  </si>
  <si>
    <t>B2(A1)</t>
  </si>
  <si>
    <t>B2(A2)</t>
  </si>
  <si>
    <t>B2(A3)</t>
  </si>
  <si>
    <t>B2(A4)</t>
  </si>
  <si>
    <t>Tratamiento</t>
  </si>
  <si>
    <t>La fórmula para LSD con este arreglo es:</t>
  </si>
  <si>
    <t>LSDB2(A)= LSD para el factor A en el nivel B2 del factor B</t>
  </si>
  <si>
    <t>CME= Cuadrados medios del error</t>
  </si>
  <si>
    <t>n= número de repeticiones por tratamiento</t>
  </si>
  <si>
    <t>t(0.05,24)</t>
  </si>
  <si>
    <t>LSDB2(A)</t>
  </si>
  <si>
    <t>EL DISEÑO EXPERIMENTAL ANTERIOR SE PUEDE REPRESENTAR DE ESTA MANERA</t>
  </si>
  <si>
    <t>ANOVA 3X2X2</t>
  </si>
  <si>
    <t>Los diseños experimentales más comunes pueden clasificarse en función del número</t>
  </si>
  <si>
    <t>de factores que involucran. Un diseño (A x A) se denomina bifactorial</t>
  </si>
  <si>
    <t xml:space="preserve">Diseños con tres niveles por factor se denominan 3^k. Estos dos son los tipos más comunes de </t>
  </si>
  <si>
    <t>diseños y en general cumplen para gran cantidad de usos generales.</t>
  </si>
  <si>
    <t>Una manera de representar un diseño de niveles y factores es por medio de un diagrama como</t>
  </si>
  <si>
    <t>Un diseño A x A x A se denomina trifactorial, etc. Los diseños de experimentos más comunes son:</t>
  </si>
  <si>
    <t>A= Número de niveles de cada factor.</t>
  </si>
  <si>
    <t>Diseños donde se tienen dos niveles por factor se denotan 2^k, donde k= número de factores.</t>
  </si>
  <si>
    <t>el de la derecha, donde cada vértice representa una combinación de factores.</t>
  </si>
  <si>
    <t>DISEÑOS EXPERIMENTALES FACTORIALES</t>
  </si>
  <si>
    <t>B1</t>
  </si>
  <si>
    <t>C1</t>
  </si>
  <si>
    <t>C2</t>
  </si>
  <si>
    <t>B2</t>
  </si>
  <si>
    <t>A1</t>
  </si>
  <si>
    <t>A2</t>
  </si>
  <si>
    <t>A3</t>
  </si>
  <si>
    <t>A:TIPO DE SUSPENSIÓN</t>
  </si>
  <si>
    <t>B: ABERTURA DE MALLA</t>
  </si>
  <si>
    <t>C: TEMPERATURA</t>
  </si>
  <si>
    <t>Gran promedio</t>
  </si>
  <si>
    <t>Suma de cuadrados</t>
  </si>
  <si>
    <t>SCT=SCA+SCB+SCC+SC(AB)+SC(AC)+SC(BC)+SC(ABC)</t>
  </si>
  <si>
    <t>TotalA</t>
  </si>
  <si>
    <t>Total A^2</t>
  </si>
  <si>
    <t>SCC</t>
  </si>
  <si>
    <t>SC(AC)</t>
  </si>
  <si>
    <t>SC(CB)</t>
  </si>
  <si>
    <t>SC(ABC)</t>
  </si>
  <si>
    <t>Totales</t>
  </si>
  <si>
    <t xml:space="preserve">Fuente </t>
  </si>
  <si>
    <t>Grad de  lib</t>
  </si>
  <si>
    <t>A:Tipo</t>
  </si>
  <si>
    <t>B:Abertura</t>
  </si>
  <si>
    <t>C:Temper</t>
  </si>
  <si>
    <t>AC</t>
  </si>
  <si>
    <t>BC</t>
  </si>
  <si>
    <t>ABC</t>
  </si>
  <si>
    <t>ns</t>
  </si>
  <si>
    <t>Alto efecto de la abertura</t>
  </si>
  <si>
    <t>Alto efecto de la temperatura</t>
  </si>
  <si>
    <t>Alto efecto de interaccion</t>
  </si>
  <si>
    <t>NO SIGNIFICATIVO</t>
  </si>
  <si>
    <t>SE PUEDEN MANDAR LOS TERMINOS NO SIGNIFICATIVOS (RESPETANDO LA JERARQUIA) AL TÉRMINO DE ERROR:</t>
  </si>
  <si>
    <t>POR MEDIO DE ESTE TIPO DE GRÁFICOS (QUE UTILIZANDO UN MÉTODO LSD), Y GENERALMENTE ES EFECTIVO EN ESTE TIPO DE DISEÑOS</t>
  </si>
  <si>
    <r>
      <t>COMO SIEMPRE, DAMOS PRIORIDAD A LAS INTERACCIONES EN ESTE DISEÑO. PARA TODO DISEÑO FACTORIAL, LAS INTERACCIONES GENERALMENTE TIENEN PRIORIDAD SOBRE LOS FACTORES INDIVIDUALES,</t>
    </r>
    <r>
      <rPr>
        <b/>
        <sz val="11"/>
        <color theme="1"/>
        <rFont val="Calibri"/>
        <family val="2"/>
        <scheme val="minor"/>
      </rPr>
      <t xml:space="preserve"> ES MÁS FACIL HACER UN CONTRASTE</t>
    </r>
  </si>
  <si>
    <t>GRÁFICO DE INTERACCIÓN AB Y BC (LOS DE MÁS ALTA SIGNIFICANCIA)</t>
  </si>
  <si>
    <t>Se observa que la variable de respuesta se minimiza en las combinaciones (a2:b1)</t>
  </si>
  <si>
    <t>Si el objetivo del ensayo fuera minimizarlas, esta sería la opción lógica..</t>
  </si>
  <si>
    <t>Se ve que la interacción de la variables C Y B es nula o casi nula, por lo que solamente se</t>
  </si>
  <si>
    <t>observa el efecto de la C. Así, se eligiría un tratamiento C2 para minimizar la variable</t>
  </si>
  <si>
    <t>El tratamiento de elección si se pretende minimizar la variables sería A2:B1:C2</t>
  </si>
  <si>
    <t>De la gran cantidad de efectos de los niveles de los factores, o de la</t>
  </si>
  <si>
    <t>interacción entre ellos, en realidad para la gran mayoría de los casos solo</t>
  </si>
  <si>
    <t xml:space="preserve">unos cuantos tendrán efecto significativo sobre la variable de </t>
  </si>
  <si>
    <t xml:space="preserve">interes (PRINCIPIO DE PARETO). El objetivo del diseño y análisis de </t>
  </si>
  <si>
    <t>experimentos tiene como principal objetivo encontrar estos, de tal</t>
  </si>
  <si>
    <t>forma que se entienda la dinámica del procesos, y en el caso de que</t>
  </si>
  <si>
    <t>proceso.</t>
  </si>
  <si>
    <t>Principio de Pareto:</t>
  </si>
  <si>
    <t>ese sea lo planteado, minimizar o maximizar la variable de respuesta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</si>
</sst>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9" borderId="0" applyNumberFormat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3" fillId="0" borderId="0" xfId="0" applyFon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3" fillId="0" borderId="1" xfId="0" applyFont="1" applyBorder="1"/>
    <xf numFmtId="0" fontId="2" fillId="0" borderId="9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0" xfId="0" applyFont="1" applyFill="1" applyBorder="1"/>
    <xf numFmtId="0" fontId="0" fillId="5" borderId="1" xfId="0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3" borderId="1" xfId="0" applyFont="1" applyFill="1" applyBorder="1"/>
    <xf numFmtId="0" fontId="1" fillId="2" borderId="1" xfId="1" applyBorder="1"/>
    <xf numFmtId="0" fontId="0" fillId="0" borderId="0" xfId="0" applyBorder="1" applyAlignment="1"/>
    <xf numFmtId="0" fontId="3" fillId="0" borderId="9" xfId="0" applyFont="1" applyFill="1" applyBorder="1"/>
    <xf numFmtId="0" fontId="0" fillId="0" borderId="12" xfId="0" applyFont="1" applyFill="1" applyBorder="1"/>
    <xf numFmtId="0" fontId="0" fillId="0" borderId="13" xfId="0" applyBorder="1" applyAlignment="1"/>
    <xf numFmtId="0" fontId="2" fillId="3" borderId="0" xfId="0" applyFont="1" applyFill="1" applyBorder="1"/>
    <xf numFmtId="0" fontId="2" fillId="6" borderId="0" xfId="0" applyFont="1" applyFill="1" applyBorder="1"/>
    <xf numFmtId="0" fontId="2" fillId="5" borderId="0" xfId="0" applyFont="1" applyFill="1" applyBorder="1"/>
    <xf numFmtId="0" fontId="2" fillId="0" borderId="0" xfId="0" applyFont="1" applyBorder="1"/>
    <xf numFmtId="0" fontId="0" fillId="3" borderId="0" xfId="0" applyFill="1" applyBorder="1"/>
    <xf numFmtId="0" fontId="0" fillId="5" borderId="0" xfId="0" applyFill="1" applyBorder="1"/>
    <xf numFmtId="0" fontId="0" fillId="0" borderId="1" xfId="0" applyFill="1" applyBorder="1"/>
    <xf numFmtId="0" fontId="0" fillId="0" borderId="5" xfId="0" applyBorder="1"/>
    <xf numFmtId="0" fontId="3" fillId="3" borderId="1" xfId="0" applyFont="1" applyFill="1" applyBorder="1"/>
    <xf numFmtId="0" fontId="3" fillId="7" borderId="1" xfId="0" applyFont="1" applyFill="1" applyBorder="1"/>
    <xf numFmtId="0" fontId="2" fillId="0" borderId="1" xfId="0" applyFont="1" applyFill="1" applyBorder="1"/>
    <xf numFmtId="0" fontId="0" fillId="0" borderId="17" xfId="0" applyBorder="1"/>
    <xf numFmtId="0" fontId="3" fillId="8" borderId="1" xfId="0" applyFont="1" applyFill="1" applyBorder="1"/>
    <xf numFmtId="0" fontId="0" fillId="0" borderId="0" xfId="0" applyAlignment="1">
      <alignment horizontal="center"/>
    </xf>
    <xf numFmtId="0" fontId="3" fillId="8" borderId="2" xfId="0" applyFont="1" applyFill="1" applyBorder="1"/>
    <xf numFmtId="0" fontId="2" fillId="0" borderId="10" xfId="0" applyFont="1" applyBorder="1"/>
    <xf numFmtId="0" fontId="4" fillId="0" borderId="0" xfId="0" applyFont="1"/>
    <xf numFmtId="0" fontId="3" fillId="0" borderId="5" xfId="0" applyFont="1" applyBorder="1"/>
    <xf numFmtId="0" fontId="5" fillId="9" borderId="1" xfId="2" applyBorder="1"/>
    <xf numFmtId="0" fontId="6" fillId="7" borderId="1" xfId="0" applyFont="1" applyFill="1" applyBorder="1"/>
    <xf numFmtId="0" fontId="0" fillId="10" borderId="0" xfId="0" applyFill="1"/>
    <xf numFmtId="0" fontId="2" fillId="10" borderId="0" xfId="0" applyFon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textRotation="90"/>
    </xf>
    <xf numFmtId="0" fontId="2" fillId="6" borderId="1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textRotation="90"/>
    </xf>
    <xf numFmtId="0" fontId="3" fillId="8" borderId="1" xfId="0" applyFont="1" applyFill="1" applyBorder="1" applyAlignment="1">
      <alignment horizontal="center"/>
    </xf>
  </cellXfs>
  <cellStyles count="3">
    <cellStyle name="Buena" xfId="2" builtinId="26"/>
    <cellStyle name="Incorrecto" xfId="1" builtinId="27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Velocidad*Profundidad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'ANOVA BIFACT 3X4'!$O$3</c:f>
              <c:strCache>
                <c:ptCount val="1"/>
                <c:pt idx="0">
                  <c:v>B1:0.2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'ANOVA BIFACT 3X4'!$N$4:$N$7</c:f>
              <c:strCache>
                <c:ptCount val="4"/>
                <c:pt idx="0">
                  <c:v>A1:0.15</c:v>
                </c:pt>
                <c:pt idx="1">
                  <c:v>A2:0.18</c:v>
                </c:pt>
                <c:pt idx="2">
                  <c:v>A3:0.21</c:v>
                </c:pt>
                <c:pt idx="3">
                  <c:v>A4:0.24</c:v>
                </c:pt>
              </c:strCache>
            </c:strRef>
          </c:cat>
          <c:val>
            <c:numRef>
              <c:f>'ANOVA BIFACT 3X4'!$O$4:$O$7</c:f>
              <c:numCache>
                <c:formatCode>General</c:formatCode>
                <c:ptCount val="4"/>
                <c:pt idx="0">
                  <c:v>66</c:v>
                </c:pt>
                <c:pt idx="1">
                  <c:v>73.333333333333329</c:v>
                </c:pt>
                <c:pt idx="2">
                  <c:v>87.333333333333329</c:v>
                </c:pt>
                <c:pt idx="3">
                  <c:v>99.666666666666671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'ANOVA BIFACT 3X4'!$P$3</c:f>
              <c:strCache>
                <c:ptCount val="1"/>
                <c:pt idx="0">
                  <c:v>B2:0.25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'ANOVA BIFACT 3X4'!$N$4:$N$7</c:f>
              <c:strCache>
                <c:ptCount val="4"/>
                <c:pt idx="0">
                  <c:v>A1:0.15</c:v>
                </c:pt>
                <c:pt idx="1">
                  <c:v>A2:0.18</c:v>
                </c:pt>
                <c:pt idx="2">
                  <c:v>A3:0.21</c:v>
                </c:pt>
                <c:pt idx="3">
                  <c:v>A4:0.24</c:v>
                </c:pt>
              </c:strCache>
            </c:strRef>
          </c:cat>
          <c:val>
            <c:numRef>
              <c:f>'ANOVA BIFACT 3X4'!$P$4:$P$7</c:f>
              <c:numCache>
                <c:formatCode>General</c:formatCode>
                <c:ptCount val="4"/>
                <c:pt idx="0">
                  <c:v>88.666666666666671</c:v>
                </c:pt>
                <c:pt idx="1">
                  <c:v>96.666666666666671</c:v>
                </c:pt>
                <c:pt idx="2">
                  <c:v>100.66666666666667</c:v>
                </c:pt>
                <c:pt idx="3">
                  <c:v>104.33333333333333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'ANOVA BIFACT 3X4'!$Q$3</c:f>
              <c:strCache>
                <c:ptCount val="1"/>
                <c:pt idx="0">
                  <c:v>B3:0.3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'ANOVA BIFACT 3X4'!$N$4:$N$7</c:f>
              <c:strCache>
                <c:ptCount val="4"/>
                <c:pt idx="0">
                  <c:v>A1:0.15</c:v>
                </c:pt>
                <c:pt idx="1">
                  <c:v>A2:0.18</c:v>
                </c:pt>
                <c:pt idx="2">
                  <c:v>A3:0.21</c:v>
                </c:pt>
                <c:pt idx="3">
                  <c:v>A4:0.24</c:v>
                </c:pt>
              </c:strCache>
            </c:strRef>
          </c:cat>
          <c:val>
            <c:numRef>
              <c:f>'ANOVA BIFACT 3X4'!$Q$4:$Q$7</c:f>
              <c:numCache>
                <c:formatCode>General</c:formatCode>
                <c:ptCount val="4"/>
                <c:pt idx="0">
                  <c:v>99.666666666666671</c:v>
                </c:pt>
                <c:pt idx="1">
                  <c:v>99.333333333333329</c:v>
                </c:pt>
                <c:pt idx="2">
                  <c:v>105.66666666666667</c:v>
                </c:pt>
                <c:pt idx="3">
                  <c:v>110.66666666666667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502344"/>
        <c:axId val="409498816"/>
      </c:lineChart>
      <c:catAx>
        <c:axId val="409502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Profundidad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9498816"/>
        <c:crosses val="autoZero"/>
        <c:auto val="1"/>
        <c:lblAlgn val="ctr"/>
        <c:lblOffset val="100"/>
        <c:noMultiLvlLbl val="0"/>
      </c:catAx>
      <c:valAx>
        <c:axId val="409498816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Acabado</a:t>
                </a:r>
              </a:p>
            </c:rich>
          </c:tx>
          <c:layout>
            <c:manualLayout>
              <c:xMode val="edge"/>
              <c:yMode val="edge"/>
              <c:x val="2.8668938897751857E-2"/>
              <c:y val="0.28155332407755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950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Profundidad*Velocidad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'ANOVA BIFACT 3X4'!$N$4</c:f>
              <c:strCache>
                <c:ptCount val="1"/>
                <c:pt idx="0">
                  <c:v>A1:0.15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'ANOVA BIFACT 3X4'!$O$3:$Q$3</c:f>
              <c:strCache>
                <c:ptCount val="3"/>
                <c:pt idx="0">
                  <c:v>B1:0.2</c:v>
                </c:pt>
                <c:pt idx="1">
                  <c:v>B2:0.25</c:v>
                </c:pt>
                <c:pt idx="2">
                  <c:v>B3:0.3</c:v>
                </c:pt>
              </c:strCache>
            </c:strRef>
          </c:cat>
          <c:val>
            <c:numRef>
              <c:f>'ANOVA BIFACT 3X4'!$O$4:$Q$4</c:f>
              <c:numCache>
                <c:formatCode>General</c:formatCode>
                <c:ptCount val="3"/>
                <c:pt idx="0">
                  <c:v>66</c:v>
                </c:pt>
                <c:pt idx="1">
                  <c:v>88.666666666666671</c:v>
                </c:pt>
                <c:pt idx="2">
                  <c:v>99.666666666666671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'ANOVA BIFACT 3X4'!$N$5</c:f>
              <c:strCache>
                <c:ptCount val="1"/>
                <c:pt idx="0">
                  <c:v>A2:0.18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'ANOVA BIFACT 3X4'!$O$3:$Q$3</c:f>
              <c:strCache>
                <c:ptCount val="3"/>
                <c:pt idx="0">
                  <c:v>B1:0.2</c:v>
                </c:pt>
                <c:pt idx="1">
                  <c:v>B2:0.25</c:v>
                </c:pt>
                <c:pt idx="2">
                  <c:v>B3:0.3</c:v>
                </c:pt>
              </c:strCache>
            </c:strRef>
          </c:cat>
          <c:val>
            <c:numRef>
              <c:f>'ANOVA BIFACT 3X4'!$O$5:$Q$5</c:f>
              <c:numCache>
                <c:formatCode>General</c:formatCode>
                <c:ptCount val="3"/>
                <c:pt idx="0">
                  <c:v>73.333333333333329</c:v>
                </c:pt>
                <c:pt idx="1">
                  <c:v>96.666666666666671</c:v>
                </c:pt>
                <c:pt idx="2">
                  <c:v>99.333333333333329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'ANOVA BIFACT 3X4'!$N$6</c:f>
              <c:strCache>
                <c:ptCount val="1"/>
                <c:pt idx="0">
                  <c:v>A3:0.21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'ANOVA BIFACT 3X4'!$O$3:$Q$3</c:f>
              <c:strCache>
                <c:ptCount val="3"/>
                <c:pt idx="0">
                  <c:v>B1:0.2</c:v>
                </c:pt>
                <c:pt idx="1">
                  <c:v>B2:0.25</c:v>
                </c:pt>
                <c:pt idx="2">
                  <c:v>B3:0.3</c:v>
                </c:pt>
              </c:strCache>
            </c:strRef>
          </c:cat>
          <c:val>
            <c:numRef>
              <c:f>'ANOVA BIFACT 3X4'!$O$6:$Q$6</c:f>
              <c:numCache>
                <c:formatCode>General</c:formatCode>
                <c:ptCount val="3"/>
                <c:pt idx="0">
                  <c:v>87.333333333333329</c:v>
                </c:pt>
                <c:pt idx="1">
                  <c:v>100.66666666666667</c:v>
                </c:pt>
                <c:pt idx="2">
                  <c:v>105.66666666666667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'ANOVA BIFACT 3X4'!$N$7</c:f>
              <c:strCache>
                <c:ptCount val="1"/>
                <c:pt idx="0">
                  <c:v>A4:0.24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'ANOVA BIFACT 3X4'!$O$3:$Q$3</c:f>
              <c:strCache>
                <c:ptCount val="3"/>
                <c:pt idx="0">
                  <c:v>B1:0.2</c:v>
                </c:pt>
                <c:pt idx="1">
                  <c:v>B2:0.25</c:v>
                </c:pt>
                <c:pt idx="2">
                  <c:v>B3:0.3</c:v>
                </c:pt>
              </c:strCache>
            </c:strRef>
          </c:cat>
          <c:val>
            <c:numRef>
              <c:f>'ANOVA BIFACT 3X4'!$O$7:$Q$7</c:f>
              <c:numCache>
                <c:formatCode>General</c:formatCode>
                <c:ptCount val="3"/>
                <c:pt idx="0">
                  <c:v>99.666666666666671</c:v>
                </c:pt>
                <c:pt idx="1">
                  <c:v>104.33333333333333</c:v>
                </c:pt>
                <c:pt idx="2">
                  <c:v>110.66666666666667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509792"/>
        <c:axId val="409506656"/>
      </c:lineChart>
      <c:catAx>
        <c:axId val="40950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Profundidad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9506656"/>
        <c:crosses val="autoZero"/>
        <c:auto val="1"/>
        <c:lblAlgn val="ctr"/>
        <c:lblOffset val="100"/>
        <c:noMultiLvlLbl val="0"/>
      </c:catAx>
      <c:valAx>
        <c:axId val="409506656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Acabado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950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Acabado</a:t>
            </a:r>
            <a:r>
              <a:rPr lang="es-MX" baseline="0"/>
              <a:t> vs Velocidad*Profundidad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BIFACT 3X4'!$B$33</c:f>
              <c:strCache>
                <c:ptCount val="1"/>
                <c:pt idx="0">
                  <c:v>A1:0.15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'ANOVA BIFACT 3X4'!$C$31:$E$32</c:f>
              <c:multiLvlStrCache>
                <c:ptCount val="3"/>
                <c:lvl>
                  <c:pt idx="0">
                    <c:v>B1:0.2</c:v>
                  </c:pt>
                  <c:pt idx="1">
                    <c:v>B2:0.25</c:v>
                  </c:pt>
                  <c:pt idx="2">
                    <c:v>B3:0.3</c:v>
                  </c:pt>
                </c:lvl>
                <c:lvl>
                  <c:pt idx="0">
                    <c:v>Velocidad</c:v>
                  </c:pt>
                </c:lvl>
              </c:multiLvlStrCache>
            </c:multiLvlStrRef>
          </c:cat>
          <c:val>
            <c:numRef>
              <c:f>'ANOVA BIFACT 3X4'!$C$33:$E$33</c:f>
              <c:numCache>
                <c:formatCode>General</c:formatCode>
                <c:ptCount val="3"/>
                <c:pt idx="0">
                  <c:v>66</c:v>
                </c:pt>
                <c:pt idx="1">
                  <c:v>88.666666666666671</c:v>
                </c:pt>
                <c:pt idx="2">
                  <c:v>99.666666666666671</c:v>
                </c:pt>
              </c:numCache>
            </c:numRef>
          </c:val>
        </c:ser>
        <c:ser>
          <c:idx val="1"/>
          <c:order val="1"/>
          <c:tx>
            <c:strRef>
              <c:f>'ANOVA BIFACT 3X4'!$B$34</c:f>
              <c:strCache>
                <c:ptCount val="1"/>
                <c:pt idx="0">
                  <c:v>A2:0.18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'ANOVA BIFACT 3X4'!$C$31:$E$32</c:f>
              <c:multiLvlStrCache>
                <c:ptCount val="3"/>
                <c:lvl>
                  <c:pt idx="0">
                    <c:v>B1:0.2</c:v>
                  </c:pt>
                  <c:pt idx="1">
                    <c:v>B2:0.25</c:v>
                  </c:pt>
                  <c:pt idx="2">
                    <c:v>B3:0.3</c:v>
                  </c:pt>
                </c:lvl>
                <c:lvl>
                  <c:pt idx="0">
                    <c:v>Velocidad</c:v>
                  </c:pt>
                </c:lvl>
              </c:multiLvlStrCache>
            </c:multiLvlStrRef>
          </c:cat>
          <c:val>
            <c:numRef>
              <c:f>'ANOVA BIFACT 3X4'!$C$34:$E$34</c:f>
              <c:numCache>
                <c:formatCode>General</c:formatCode>
                <c:ptCount val="3"/>
                <c:pt idx="0">
                  <c:v>73.333333333333329</c:v>
                </c:pt>
                <c:pt idx="1">
                  <c:v>96.666666666666671</c:v>
                </c:pt>
                <c:pt idx="2">
                  <c:v>99.333333333333329</c:v>
                </c:pt>
              </c:numCache>
            </c:numRef>
          </c:val>
        </c:ser>
        <c:ser>
          <c:idx val="2"/>
          <c:order val="2"/>
          <c:tx>
            <c:strRef>
              <c:f>'ANOVA BIFACT 3X4'!$B$35</c:f>
              <c:strCache>
                <c:ptCount val="1"/>
                <c:pt idx="0">
                  <c:v>A3:0.21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'ANOVA BIFACT 3X4'!$C$31:$E$32</c:f>
              <c:multiLvlStrCache>
                <c:ptCount val="3"/>
                <c:lvl>
                  <c:pt idx="0">
                    <c:v>B1:0.2</c:v>
                  </c:pt>
                  <c:pt idx="1">
                    <c:v>B2:0.25</c:v>
                  </c:pt>
                  <c:pt idx="2">
                    <c:v>B3:0.3</c:v>
                  </c:pt>
                </c:lvl>
                <c:lvl>
                  <c:pt idx="0">
                    <c:v>Velocidad</c:v>
                  </c:pt>
                </c:lvl>
              </c:multiLvlStrCache>
            </c:multiLvlStrRef>
          </c:cat>
          <c:val>
            <c:numRef>
              <c:f>'ANOVA BIFACT 3X4'!$C$35:$E$35</c:f>
              <c:numCache>
                <c:formatCode>General</c:formatCode>
                <c:ptCount val="3"/>
                <c:pt idx="0">
                  <c:v>87.333333333333329</c:v>
                </c:pt>
                <c:pt idx="1">
                  <c:v>100.66666666666667</c:v>
                </c:pt>
                <c:pt idx="2">
                  <c:v>105.66666666666667</c:v>
                </c:pt>
              </c:numCache>
            </c:numRef>
          </c:val>
        </c:ser>
        <c:ser>
          <c:idx val="3"/>
          <c:order val="3"/>
          <c:tx>
            <c:strRef>
              <c:f>'ANOVA BIFACT 3X4'!$B$36</c:f>
              <c:strCache>
                <c:ptCount val="1"/>
                <c:pt idx="0">
                  <c:v>A4:0.24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'ANOVA BIFACT 3X4'!$C$31:$E$32</c:f>
              <c:multiLvlStrCache>
                <c:ptCount val="3"/>
                <c:lvl>
                  <c:pt idx="0">
                    <c:v>B1:0.2</c:v>
                  </c:pt>
                  <c:pt idx="1">
                    <c:v>B2:0.25</c:v>
                  </c:pt>
                  <c:pt idx="2">
                    <c:v>B3:0.3</c:v>
                  </c:pt>
                </c:lvl>
                <c:lvl>
                  <c:pt idx="0">
                    <c:v>Velocidad</c:v>
                  </c:pt>
                </c:lvl>
              </c:multiLvlStrCache>
            </c:multiLvlStrRef>
          </c:cat>
          <c:val>
            <c:numRef>
              <c:f>'ANOVA BIFACT 3X4'!$C$36:$E$36</c:f>
              <c:numCache>
                <c:formatCode>General</c:formatCode>
                <c:ptCount val="3"/>
                <c:pt idx="0">
                  <c:v>99.666666666666671</c:v>
                </c:pt>
                <c:pt idx="1">
                  <c:v>104.33333333333333</c:v>
                </c:pt>
                <c:pt idx="2">
                  <c:v>110.66666666666667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507048"/>
        <c:axId val="409507832"/>
      </c:barChart>
      <c:catAx>
        <c:axId val="409507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9507832"/>
        <c:crosses val="autoZero"/>
        <c:auto val="1"/>
        <c:lblAlgn val="ctr"/>
        <c:lblOffset val="100"/>
        <c:noMultiLvlLbl val="0"/>
      </c:catAx>
      <c:valAx>
        <c:axId val="40950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9507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'ANOVA TRIFACT 3X2X2'!$B$64</c:f>
              <c:strCache>
                <c:ptCount val="1"/>
                <c:pt idx="0">
                  <c:v>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'ANOVA TRIFACT 3X2X2'!$C$63:$E$63</c:f>
              <c:strCache>
                <c:ptCount val="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</c:strCache>
            </c:strRef>
          </c:cat>
          <c:val>
            <c:numRef>
              <c:f>'ANOVA TRIFACT 3X2X2'!$C$64:$E$64</c:f>
              <c:numCache>
                <c:formatCode>General</c:formatCode>
                <c:ptCount val="3"/>
                <c:pt idx="0">
                  <c:v>63.5</c:v>
                </c:pt>
                <c:pt idx="1">
                  <c:v>56.25</c:v>
                </c:pt>
                <c:pt idx="2">
                  <c:v>61.666666666666664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'ANOVA TRIFACT 3X2X2'!$B$65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'ANOVA TRIFACT 3X2X2'!$C$63:$E$63</c:f>
              <c:strCache>
                <c:ptCount val="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</c:strCache>
            </c:strRef>
          </c:cat>
          <c:val>
            <c:numRef>
              <c:f>'ANOVA TRIFACT 3X2X2'!$C$65:$E$65</c:f>
              <c:numCache>
                <c:formatCode>General</c:formatCode>
                <c:ptCount val="3"/>
                <c:pt idx="0">
                  <c:v>61.416666666666664</c:v>
                </c:pt>
                <c:pt idx="1">
                  <c:v>70.166666666666671</c:v>
                </c:pt>
                <c:pt idx="2">
                  <c:v>65.333333333333329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095680"/>
        <c:axId val="418092936"/>
      </c:lineChart>
      <c:catAx>
        <c:axId val="41809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8092936"/>
        <c:crosses val="autoZero"/>
        <c:auto val="1"/>
        <c:lblAlgn val="ctr"/>
        <c:lblOffset val="100"/>
        <c:noMultiLvlLbl val="0"/>
      </c:catAx>
      <c:valAx>
        <c:axId val="418092936"/>
        <c:scaling>
          <c:orientation val="minMax"/>
          <c:min val="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809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'ANOVA TRIFACT 3X2X2'!$C$63</c:f>
              <c:strCache>
                <c:ptCount val="1"/>
                <c:pt idx="0">
                  <c:v>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'ANOVA TRIFACT 3X2X2'!$B$64:$B$65</c:f>
              <c:strCache>
                <c:ptCount val="2"/>
                <c:pt idx="0">
                  <c:v>B1</c:v>
                </c:pt>
                <c:pt idx="1">
                  <c:v>B2</c:v>
                </c:pt>
              </c:strCache>
            </c:strRef>
          </c:cat>
          <c:val>
            <c:numRef>
              <c:f>'ANOVA TRIFACT 3X2X2'!$C$64:$C$65</c:f>
              <c:numCache>
                <c:formatCode>General</c:formatCode>
                <c:ptCount val="2"/>
                <c:pt idx="0">
                  <c:v>63.5</c:v>
                </c:pt>
                <c:pt idx="1">
                  <c:v>61.416666666666664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'ANOVA TRIFACT 3X2X2'!$D$63</c:f>
              <c:strCache>
                <c:ptCount val="1"/>
                <c:pt idx="0">
                  <c:v>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'ANOVA TRIFACT 3X2X2'!$B$64:$B$65</c:f>
              <c:strCache>
                <c:ptCount val="2"/>
                <c:pt idx="0">
                  <c:v>B1</c:v>
                </c:pt>
                <c:pt idx="1">
                  <c:v>B2</c:v>
                </c:pt>
              </c:strCache>
            </c:strRef>
          </c:cat>
          <c:val>
            <c:numRef>
              <c:f>'ANOVA TRIFACT 3X2X2'!$D$64:$D$65</c:f>
              <c:numCache>
                <c:formatCode>General</c:formatCode>
                <c:ptCount val="2"/>
                <c:pt idx="0">
                  <c:v>56.25</c:v>
                </c:pt>
                <c:pt idx="1">
                  <c:v>70.166666666666671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'ANOVA TRIFACT 3X2X2'!$E$63</c:f>
              <c:strCache>
                <c:ptCount val="1"/>
                <c:pt idx="0">
                  <c:v>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'ANOVA TRIFACT 3X2X2'!$B$64:$B$65</c:f>
              <c:strCache>
                <c:ptCount val="2"/>
                <c:pt idx="0">
                  <c:v>B1</c:v>
                </c:pt>
                <c:pt idx="1">
                  <c:v>B2</c:v>
                </c:pt>
              </c:strCache>
            </c:strRef>
          </c:cat>
          <c:val>
            <c:numRef>
              <c:f>'ANOVA TRIFACT 3X2X2'!$E$64:$E$65</c:f>
              <c:numCache>
                <c:formatCode>General</c:formatCode>
                <c:ptCount val="2"/>
                <c:pt idx="0">
                  <c:v>61.666666666666664</c:v>
                </c:pt>
                <c:pt idx="1">
                  <c:v>65.333333333333329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090584"/>
        <c:axId val="418091760"/>
      </c:lineChart>
      <c:catAx>
        <c:axId val="41809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8091760"/>
        <c:crosses val="autoZero"/>
        <c:auto val="1"/>
        <c:lblAlgn val="ctr"/>
        <c:lblOffset val="100"/>
        <c:noMultiLvlLbl val="0"/>
      </c:catAx>
      <c:valAx>
        <c:axId val="418091760"/>
        <c:scaling>
          <c:orientation val="minMax"/>
          <c:min val="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809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'ANOVA TRIFACT 3X2X2'!$G$64</c:f>
              <c:strCache>
                <c:ptCount val="1"/>
                <c:pt idx="0">
                  <c:v>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'ANOVA TRIFACT 3X2X2'!$H$63:$I$63</c:f>
              <c:strCache>
                <c:ptCount val="2"/>
                <c:pt idx="0">
                  <c:v>B1</c:v>
                </c:pt>
                <c:pt idx="1">
                  <c:v>B2</c:v>
                </c:pt>
              </c:strCache>
            </c:strRef>
          </c:cat>
          <c:val>
            <c:numRef>
              <c:f>'ANOVA TRIFACT 3X2X2'!$H$64:$I$64</c:f>
              <c:numCache>
                <c:formatCode>General</c:formatCode>
                <c:ptCount val="2"/>
                <c:pt idx="0">
                  <c:v>70.555555555555557</c:v>
                </c:pt>
                <c:pt idx="1">
                  <c:v>73.944444444444443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'ANOVA TRIFACT 3X2X2'!$G$65</c:f>
              <c:strCache>
                <c:ptCount val="1"/>
                <c:pt idx="0">
                  <c:v>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'ANOVA TRIFACT 3X2X2'!$H$63:$I$63</c:f>
              <c:strCache>
                <c:ptCount val="2"/>
                <c:pt idx="0">
                  <c:v>B1</c:v>
                </c:pt>
                <c:pt idx="1">
                  <c:v>B2</c:v>
                </c:pt>
              </c:strCache>
            </c:strRef>
          </c:cat>
          <c:val>
            <c:numRef>
              <c:f>'ANOVA TRIFACT 3X2X2'!$H$65:$I$65</c:f>
              <c:numCache>
                <c:formatCode>General</c:formatCode>
                <c:ptCount val="2"/>
                <c:pt idx="0">
                  <c:v>50.388888888888886</c:v>
                </c:pt>
                <c:pt idx="1">
                  <c:v>57.333333333333336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093720"/>
        <c:axId val="418094112"/>
      </c:lineChart>
      <c:catAx>
        <c:axId val="41809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8094112"/>
        <c:crosses val="autoZero"/>
        <c:auto val="1"/>
        <c:lblAlgn val="ctr"/>
        <c:lblOffset val="100"/>
        <c:noMultiLvlLbl val="0"/>
      </c:catAx>
      <c:valAx>
        <c:axId val="418094112"/>
        <c:scaling>
          <c:orientation val="minMax"/>
          <c:min val="4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809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'ANOVA TRIFACT 3X2X2'!$H$63</c:f>
              <c:strCache>
                <c:ptCount val="1"/>
                <c:pt idx="0">
                  <c:v>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'ANOVA TRIFACT 3X2X2'!$G$64:$G$65</c:f>
              <c:strCache>
                <c:ptCount val="2"/>
                <c:pt idx="0">
                  <c:v>C1</c:v>
                </c:pt>
                <c:pt idx="1">
                  <c:v>C2</c:v>
                </c:pt>
              </c:strCache>
            </c:strRef>
          </c:cat>
          <c:val>
            <c:numRef>
              <c:f>'ANOVA TRIFACT 3X2X2'!$H$64:$H$65</c:f>
              <c:numCache>
                <c:formatCode>General</c:formatCode>
                <c:ptCount val="2"/>
                <c:pt idx="0">
                  <c:v>70.555555555555557</c:v>
                </c:pt>
                <c:pt idx="1">
                  <c:v>50.388888888888886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'ANOVA TRIFACT 3X2X2'!$I$63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'ANOVA TRIFACT 3X2X2'!$G$64:$G$65</c:f>
              <c:strCache>
                <c:ptCount val="2"/>
                <c:pt idx="0">
                  <c:v>C1</c:v>
                </c:pt>
                <c:pt idx="1">
                  <c:v>C2</c:v>
                </c:pt>
              </c:strCache>
            </c:strRef>
          </c:cat>
          <c:val>
            <c:numRef>
              <c:f>'ANOVA TRIFACT 3X2X2'!$I$64:$I$65</c:f>
              <c:numCache>
                <c:formatCode>General</c:formatCode>
                <c:ptCount val="2"/>
                <c:pt idx="0">
                  <c:v>73.944444444444443</c:v>
                </c:pt>
                <c:pt idx="1">
                  <c:v>57.333333333333336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094896"/>
        <c:axId val="418095288"/>
      </c:lineChart>
      <c:catAx>
        <c:axId val="41809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8095288"/>
        <c:crosses val="autoZero"/>
        <c:auto val="1"/>
        <c:lblAlgn val="ctr"/>
        <c:lblOffset val="100"/>
        <c:noMultiLvlLbl val="0"/>
      </c:catAx>
      <c:valAx>
        <c:axId val="418095288"/>
        <c:scaling>
          <c:orientation val="minMax"/>
          <c:min val="4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809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105833</xdr:colOff>
      <xdr:row>7</xdr:row>
      <xdr:rowOff>126999</xdr:rowOff>
    </xdr:from>
    <xdr:to>
      <xdr:col>17</xdr:col>
      <xdr:colOff>190500</xdr:colOff>
      <xdr:row>19</xdr:row>
      <xdr:rowOff>137583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264584</xdr:colOff>
      <xdr:row>7</xdr:row>
      <xdr:rowOff>127000</xdr:rowOff>
    </xdr:from>
    <xdr:to>
      <xdr:col>21</xdr:col>
      <xdr:colOff>476250</xdr:colOff>
      <xdr:row>19</xdr:row>
      <xdr:rowOff>137583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36</xdr:row>
      <xdr:rowOff>157690</xdr:rowOff>
    </xdr:from>
    <xdr:to>
      <xdr:col>5</xdr:col>
      <xdr:colOff>571500</xdr:colOff>
      <xdr:row>54</xdr:row>
      <xdr:rowOff>21166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6</xdr:col>
      <xdr:colOff>95250</xdr:colOff>
      <xdr:row>45</xdr:row>
      <xdr:rowOff>74083</xdr:rowOff>
    </xdr:from>
    <xdr:ext cx="4540250" cy="818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/>
            <xdr:cNvSpPr txBox="1"/>
          </xdr:nvSpPr>
          <xdr:spPr>
            <a:xfrm>
              <a:off x="4667250" y="8667750"/>
              <a:ext cx="4540250" cy="818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𝐿𝑆𝐷</m:t>
                        </m:r>
                      </m:e>
                      <m:sub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2(</m:t>
                        </m:r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lang="es-MX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es-MX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num>
                          <m:den>
                            <m:r>
                              <a:rPr lang="es-MX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s-MX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es-MX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𝑎𝑏</m:t>
                        </m:r>
                        <m:r>
                          <a:rPr lang="es-MX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MX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s-MX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−1)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𝐶𝑀𝐸</m:t>
                        </m:r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(</m:t>
                        </m:r>
                        <m:f>
                          <m:fPr>
                            <m:ctrlPr>
                              <a:rPr lang="es-MX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kumimoji="0" lang="es-MX" sz="1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1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kumimoji="0" lang="es-MX" sz="1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es-MX" sz="18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4667250" y="8667750"/>
              <a:ext cx="4540250" cy="818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800" b="0" i="0">
                  <a:latin typeface="Cambria Math" panose="02040503050406030204" pitchFamily="18" charset="0"/>
                </a:rPr>
                <a:t>〖𝐿𝑆𝐷〗_(𝐵2(𝐴))=𝑡_(</a:t>
              </a:r>
              <a:r>
                <a:rPr lang="es-MX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𝛼/2,𝑎𝑏(𝑛−1)) </a:t>
              </a:r>
              <a:r>
                <a:rPr lang="es-MX" sz="1800" b="0" i="0">
                  <a:latin typeface="Cambria Math" panose="02040503050406030204" pitchFamily="18" charset="0"/>
                </a:rPr>
                <a:t>√(𝐶𝑀𝐸(1/𝑛+</a:t>
              </a:r>
              <a:r>
                <a:rPr kumimoji="0" lang="es-MX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1/𝑛</a:t>
              </a:r>
              <a:r>
                <a:rPr lang="es-MX" sz="1800" b="0" i="0">
                  <a:latin typeface="Cambria Math" panose="02040503050406030204" pitchFamily="18" charset="0"/>
                </a:rPr>
                <a:t>))</a:t>
              </a:r>
              <a:endParaRPr lang="es-MX" sz="18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3</xdr:row>
      <xdr:rowOff>95250</xdr:rowOff>
    </xdr:from>
    <xdr:to>
      <xdr:col>9</xdr:col>
      <xdr:colOff>152400</xdr:colOff>
      <xdr:row>8</xdr:row>
      <xdr:rowOff>171450</xdr:rowOff>
    </xdr:to>
    <xdr:sp macro="" textlink="">
      <xdr:nvSpPr>
        <xdr:cNvPr id="2" name="Rectángulo 1"/>
        <xdr:cNvSpPr/>
      </xdr:nvSpPr>
      <xdr:spPr>
        <a:xfrm>
          <a:off x="5895975" y="666750"/>
          <a:ext cx="1114425" cy="10287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238125</xdr:colOff>
      <xdr:row>2</xdr:row>
      <xdr:rowOff>28575</xdr:rowOff>
    </xdr:from>
    <xdr:to>
      <xdr:col>9</xdr:col>
      <xdr:colOff>590550</xdr:colOff>
      <xdr:row>7</xdr:row>
      <xdr:rowOff>104775</xdr:rowOff>
    </xdr:to>
    <xdr:sp macro="" textlink="">
      <xdr:nvSpPr>
        <xdr:cNvPr id="3" name="Rectángulo 2"/>
        <xdr:cNvSpPr/>
      </xdr:nvSpPr>
      <xdr:spPr>
        <a:xfrm>
          <a:off x="6334125" y="409575"/>
          <a:ext cx="1114425" cy="10287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628650</xdr:colOff>
      <xdr:row>0</xdr:row>
      <xdr:rowOff>152400</xdr:rowOff>
    </xdr:from>
    <xdr:to>
      <xdr:col>10</xdr:col>
      <xdr:colOff>219075</xdr:colOff>
      <xdr:row>6</xdr:row>
      <xdr:rowOff>38100</xdr:rowOff>
    </xdr:to>
    <xdr:sp macro="" textlink="">
      <xdr:nvSpPr>
        <xdr:cNvPr id="4" name="Rectángulo 3"/>
        <xdr:cNvSpPr/>
      </xdr:nvSpPr>
      <xdr:spPr>
        <a:xfrm>
          <a:off x="6724650" y="152400"/>
          <a:ext cx="1114425" cy="10287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142875</xdr:colOff>
      <xdr:row>0</xdr:row>
      <xdr:rowOff>171450</xdr:rowOff>
    </xdr:from>
    <xdr:to>
      <xdr:col>10</xdr:col>
      <xdr:colOff>200025</xdr:colOff>
      <xdr:row>3</xdr:row>
      <xdr:rowOff>104775</xdr:rowOff>
    </xdr:to>
    <xdr:cxnSp macro="">
      <xdr:nvCxnSpPr>
        <xdr:cNvPr id="6" name="Conector recto 5"/>
        <xdr:cNvCxnSpPr/>
      </xdr:nvCxnSpPr>
      <xdr:spPr>
        <a:xfrm flipV="1">
          <a:off x="7000875" y="171450"/>
          <a:ext cx="819150" cy="50482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0</xdr:row>
      <xdr:rowOff>161925</xdr:rowOff>
    </xdr:from>
    <xdr:to>
      <xdr:col>8</xdr:col>
      <xdr:colOff>638175</xdr:colOff>
      <xdr:row>3</xdr:row>
      <xdr:rowOff>95250</xdr:rowOff>
    </xdr:to>
    <xdr:cxnSp macro="">
      <xdr:nvCxnSpPr>
        <xdr:cNvPr id="7" name="Conector recto 6"/>
        <xdr:cNvCxnSpPr/>
      </xdr:nvCxnSpPr>
      <xdr:spPr>
        <a:xfrm flipV="1">
          <a:off x="5915025" y="161925"/>
          <a:ext cx="819150" cy="50482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6</xdr:row>
      <xdr:rowOff>47625</xdr:rowOff>
    </xdr:from>
    <xdr:to>
      <xdr:col>10</xdr:col>
      <xdr:colOff>228600</xdr:colOff>
      <xdr:row>8</xdr:row>
      <xdr:rowOff>171450</xdr:rowOff>
    </xdr:to>
    <xdr:cxnSp macro="">
      <xdr:nvCxnSpPr>
        <xdr:cNvPr id="8" name="Conector recto 7"/>
        <xdr:cNvCxnSpPr/>
      </xdr:nvCxnSpPr>
      <xdr:spPr>
        <a:xfrm flipV="1">
          <a:off x="7029450" y="1190625"/>
          <a:ext cx="819150" cy="50482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6</xdr:row>
      <xdr:rowOff>38100</xdr:rowOff>
    </xdr:from>
    <xdr:to>
      <xdr:col>8</xdr:col>
      <xdr:colOff>628650</xdr:colOff>
      <xdr:row>8</xdr:row>
      <xdr:rowOff>161925</xdr:rowOff>
    </xdr:to>
    <xdr:cxnSp macro="">
      <xdr:nvCxnSpPr>
        <xdr:cNvPr id="9" name="Conector recto 8"/>
        <xdr:cNvCxnSpPr/>
      </xdr:nvCxnSpPr>
      <xdr:spPr>
        <a:xfrm flipV="1">
          <a:off x="5905500" y="1181100"/>
          <a:ext cx="819150" cy="50482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666749</xdr:colOff>
      <xdr:row>7</xdr:row>
      <xdr:rowOff>104775</xdr:rowOff>
    </xdr:from>
    <xdr:to>
      <xdr:col>12</xdr:col>
      <xdr:colOff>47625</xdr:colOff>
      <xdr:row>10</xdr:row>
      <xdr:rowOff>47625</xdr:rowOff>
    </xdr:to>
    <xdr:sp macro="" textlink="">
      <xdr:nvSpPr>
        <xdr:cNvPr id="10" name="CuadroTexto 9"/>
        <xdr:cNvSpPr txBox="1"/>
      </xdr:nvSpPr>
      <xdr:spPr>
        <a:xfrm>
          <a:off x="7524749" y="1438275"/>
          <a:ext cx="1666876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A: TIPO DE SUSPENSIÓN (3 NIVELES)</a:t>
          </a:r>
        </a:p>
        <a:p>
          <a:endParaRPr lang="es-MX" sz="1100"/>
        </a:p>
      </xdr:txBody>
    </xdr:sp>
    <xdr:clientData/>
  </xdr:twoCellAnchor>
  <xdr:twoCellAnchor>
    <xdr:from>
      <xdr:col>7</xdr:col>
      <xdr:colOff>323850</xdr:colOff>
      <xdr:row>9</xdr:row>
      <xdr:rowOff>19050</xdr:rowOff>
    </xdr:from>
    <xdr:to>
      <xdr:col>9</xdr:col>
      <xdr:colOff>466726</xdr:colOff>
      <xdr:row>11</xdr:row>
      <xdr:rowOff>152400</xdr:rowOff>
    </xdr:to>
    <xdr:sp macro="" textlink="">
      <xdr:nvSpPr>
        <xdr:cNvPr id="11" name="CuadroTexto 10"/>
        <xdr:cNvSpPr txBox="1"/>
      </xdr:nvSpPr>
      <xdr:spPr>
        <a:xfrm>
          <a:off x="5657850" y="1733550"/>
          <a:ext cx="1666876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B: ABERTURA DE MALLA (2 NIVELES)</a:t>
          </a:r>
        </a:p>
        <a:p>
          <a:endParaRPr lang="es-MX" sz="1100"/>
        </a:p>
      </xdr:txBody>
    </xdr:sp>
    <xdr:clientData/>
  </xdr:twoCellAnchor>
  <xdr:twoCellAnchor>
    <xdr:from>
      <xdr:col>10</xdr:col>
      <xdr:colOff>314325</xdr:colOff>
      <xdr:row>1</xdr:row>
      <xdr:rowOff>171450</xdr:rowOff>
    </xdr:from>
    <xdr:to>
      <xdr:col>12</xdr:col>
      <xdr:colOff>457201</xdr:colOff>
      <xdr:row>4</xdr:row>
      <xdr:rowOff>114300</xdr:rowOff>
    </xdr:to>
    <xdr:sp macro="" textlink="">
      <xdr:nvSpPr>
        <xdr:cNvPr id="12" name="CuadroTexto 11"/>
        <xdr:cNvSpPr txBox="1"/>
      </xdr:nvSpPr>
      <xdr:spPr>
        <a:xfrm>
          <a:off x="7934325" y="361950"/>
          <a:ext cx="1666876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C: TEMPERATURA (2 NIVELES)</a:t>
          </a:r>
        </a:p>
        <a:p>
          <a:endParaRPr lang="es-MX" sz="1100"/>
        </a:p>
      </xdr:txBody>
    </xdr:sp>
    <xdr:clientData/>
  </xdr:twoCellAnchor>
  <xdr:twoCellAnchor>
    <xdr:from>
      <xdr:col>0</xdr:col>
      <xdr:colOff>523875</xdr:colOff>
      <xdr:row>65</xdr:row>
      <xdr:rowOff>182165</xdr:rowOff>
    </xdr:from>
    <xdr:to>
      <xdr:col>5</xdr:col>
      <xdr:colOff>511969</xdr:colOff>
      <xdr:row>80</xdr:row>
      <xdr:rowOff>67865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81</xdr:row>
      <xdr:rowOff>59531</xdr:rowOff>
    </xdr:from>
    <xdr:to>
      <xdr:col>5</xdr:col>
      <xdr:colOff>559594</xdr:colOff>
      <xdr:row>95</xdr:row>
      <xdr:rowOff>135731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702469</xdr:colOff>
      <xdr:row>65</xdr:row>
      <xdr:rowOff>170258</xdr:rowOff>
    </xdr:from>
    <xdr:to>
      <xdr:col>10</xdr:col>
      <xdr:colOff>690563</xdr:colOff>
      <xdr:row>80</xdr:row>
      <xdr:rowOff>55958</xdr:rowOff>
    </xdr:to>
    <xdr:graphicFrame macro="">
      <xdr:nvGraphicFramePr>
        <xdr:cNvPr id="18" name="Gráfico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726281</xdr:colOff>
      <xdr:row>81</xdr:row>
      <xdr:rowOff>35719</xdr:rowOff>
    </xdr:from>
    <xdr:to>
      <xdr:col>10</xdr:col>
      <xdr:colOff>714375</xdr:colOff>
      <xdr:row>95</xdr:row>
      <xdr:rowOff>111919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90" zoomScaleNormal="90" workbookViewId="0"/>
  </sheetViews>
  <sheetFormatPr baseColWidth="10" defaultRowHeight="15" x14ac:dyDescent="0.25"/>
  <cols>
    <col min="12" max="12" width="13.875" bestFit="1" customWidth="1"/>
    <col min="13" max="13" width="13.25" bestFit="1" customWidth="1"/>
  </cols>
  <sheetData>
    <row r="1" spans="1:17" x14ac:dyDescent="0.25">
      <c r="A1" s="1" t="s">
        <v>10</v>
      </c>
      <c r="C1" t="s">
        <v>33</v>
      </c>
    </row>
    <row r="2" spans="1:17" x14ac:dyDescent="0.25">
      <c r="A2" s="2"/>
      <c r="B2" s="2"/>
      <c r="C2" s="66" t="s">
        <v>0</v>
      </c>
      <c r="D2" s="66"/>
      <c r="E2" s="66"/>
      <c r="J2" s="1" t="s">
        <v>2</v>
      </c>
      <c r="O2" s="1" t="s">
        <v>32</v>
      </c>
    </row>
    <row r="3" spans="1:17" x14ac:dyDescent="0.25">
      <c r="A3" s="2"/>
      <c r="B3" s="2"/>
      <c r="C3" s="30" t="s">
        <v>41</v>
      </c>
      <c r="D3" s="30" t="s">
        <v>42</v>
      </c>
      <c r="E3" s="30" t="s">
        <v>43</v>
      </c>
      <c r="F3" s="10" t="s">
        <v>3</v>
      </c>
      <c r="G3" s="10" t="s">
        <v>4</v>
      </c>
      <c r="H3" s="10" t="s">
        <v>5</v>
      </c>
      <c r="J3" s="10"/>
      <c r="K3" s="28" t="s">
        <v>41</v>
      </c>
      <c r="L3" s="28" t="s">
        <v>42</v>
      </c>
      <c r="M3" s="28" t="s">
        <v>43</v>
      </c>
      <c r="N3" s="10"/>
      <c r="O3" s="28" t="s">
        <v>41</v>
      </c>
      <c r="P3" s="28" t="s">
        <v>42</v>
      </c>
      <c r="Q3" s="28" t="s">
        <v>43</v>
      </c>
    </row>
    <row r="4" spans="1:17" x14ac:dyDescent="0.25">
      <c r="A4" s="63" t="s">
        <v>1</v>
      </c>
      <c r="B4" s="65" t="s">
        <v>44</v>
      </c>
      <c r="C4" s="5">
        <v>74</v>
      </c>
      <c r="D4" s="5">
        <v>92</v>
      </c>
      <c r="E4" s="7">
        <v>99</v>
      </c>
      <c r="F4" s="2">
        <f>SUM(C4:E6)</f>
        <v>763</v>
      </c>
      <c r="G4" s="2">
        <f>AVERAGE(C4:E6)</f>
        <v>84.777777777777771</v>
      </c>
      <c r="H4" s="2">
        <f>F4^2</f>
        <v>582169</v>
      </c>
      <c r="J4" s="65" t="s">
        <v>44</v>
      </c>
      <c r="K4" s="58">
        <f>SUM(C4:C6)</f>
        <v>198</v>
      </c>
      <c r="L4" s="58">
        <f>SUM(D4:D6)</f>
        <v>266</v>
      </c>
      <c r="M4" s="58">
        <f>SUM(E4:E6)</f>
        <v>299</v>
      </c>
      <c r="N4" s="29" t="s">
        <v>44</v>
      </c>
      <c r="O4" s="2">
        <f>AVERAGE(C4:C6)</f>
        <v>66</v>
      </c>
      <c r="P4" s="2">
        <f>AVERAGE(D4:D6)</f>
        <v>88.666666666666671</v>
      </c>
      <c r="Q4" s="2">
        <f>AVERAGE(E4:E6)</f>
        <v>99.666666666666671</v>
      </c>
    </row>
    <row r="5" spans="1:17" x14ac:dyDescent="0.25">
      <c r="A5" s="63"/>
      <c r="B5" s="65"/>
      <c r="C5" s="6">
        <v>64</v>
      </c>
      <c r="D5" s="6">
        <v>86</v>
      </c>
      <c r="E5" s="8">
        <v>98</v>
      </c>
      <c r="F5" s="2"/>
      <c r="G5" s="2"/>
      <c r="H5" s="2"/>
      <c r="J5" s="65"/>
      <c r="K5" s="59"/>
      <c r="L5" s="59"/>
      <c r="M5" s="59"/>
      <c r="N5" s="29" t="s">
        <v>45</v>
      </c>
      <c r="O5" s="2">
        <f>AVERAGE(C7:C9)</f>
        <v>73.333333333333329</v>
      </c>
      <c r="P5" s="2">
        <f>AVERAGE(D7:D9)</f>
        <v>96.666666666666671</v>
      </c>
      <c r="Q5" s="2">
        <f>AVERAGE(E7:E9)</f>
        <v>99.333333333333329</v>
      </c>
    </row>
    <row r="6" spans="1:17" x14ac:dyDescent="0.25">
      <c r="A6" s="63"/>
      <c r="B6" s="65"/>
      <c r="C6" s="3">
        <v>60</v>
      </c>
      <c r="D6" s="3">
        <v>88</v>
      </c>
      <c r="E6" s="9">
        <v>102</v>
      </c>
      <c r="F6" s="2"/>
      <c r="G6" s="2"/>
      <c r="H6" s="2"/>
      <c r="J6" s="65"/>
      <c r="K6" s="60"/>
      <c r="L6" s="60"/>
      <c r="M6" s="60"/>
      <c r="N6" s="29" t="s">
        <v>46</v>
      </c>
      <c r="O6" s="2">
        <f>AVERAGE(C10:C12)</f>
        <v>87.333333333333329</v>
      </c>
      <c r="P6" s="2">
        <f t="shared" ref="P6" si="0">AVERAGE(D10:D12)</f>
        <v>100.66666666666667</v>
      </c>
      <c r="Q6" s="2">
        <f>AVERAGE(E10:E12)</f>
        <v>105.66666666666667</v>
      </c>
    </row>
    <row r="7" spans="1:17" x14ac:dyDescent="0.25">
      <c r="A7" s="63"/>
      <c r="B7" s="65" t="s">
        <v>45</v>
      </c>
      <c r="C7" s="5">
        <v>79</v>
      </c>
      <c r="D7" s="5">
        <v>98</v>
      </c>
      <c r="E7" s="7">
        <v>104</v>
      </c>
      <c r="F7" s="2">
        <f t="shared" ref="F7:F13" si="1">SUM(C7:E9)</f>
        <v>808</v>
      </c>
      <c r="G7" s="2">
        <f>AVERAGE(C7:E9)</f>
        <v>89.777777777777771</v>
      </c>
      <c r="H7" s="2">
        <f>F7^2</f>
        <v>652864</v>
      </c>
      <c r="J7" s="65" t="s">
        <v>45</v>
      </c>
      <c r="K7" s="58">
        <f t="shared" ref="K7" si="2">SUM(C7:C9)</f>
        <v>220</v>
      </c>
      <c r="L7" s="58">
        <f t="shared" ref="L7" si="3">SUM(D7:D9)</f>
        <v>290</v>
      </c>
      <c r="M7" s="58">
        <f t="shared" ref="M7" si="4">SUM(E7:E9)</f>
        <v>298</v>
      </c>
      <c r="N7" s="29" t="s">
        <v>47</v>
      </c>
      <c r="O7" s="2">
        <f>AVERAGE(C13:C15)</f>
        <v>99.666666666666671</v>
      </c>
      <c r="P7" s="2">
        <f>AVERAGE(D13:D15)</f>
        <v>104.33333333333333</v>
      </c>
      <c r="Q7" s="2">
        <f>AVERAGE(E13:E15)</f>
        <v>110.66666666666667</v>
      </c>
    </row>
    <row r="8" spans="1:17" x14ac:dyDescent="0.25">
      <c r="A8" s="63"/>
      <c r="B8" s="65"/>
      <c r="C8" s="6">
        <v>68</v>
      </c>
      <c r="D8" s="6">
        <v>104</v>
      </c>
      <c r="E8" s="8">
        <v>99</v>
      </c>
      <c r="F8" s="2"/>
      <c r="G8" s="2"/>
      <c r="H8" s="2"/>
      <c r="J8" s="65"/>
      <c r="K8" s="59"/>
      <c r="L8" s="59"/>
      <c r="M8" s="59"/>
    </row>
    <row r="9" spans="1:17" x14ac:dyDescent="0.25">
      <c r="A9" s="63"/>
      <c r="B9" s="65"/>
      <c r="C9" s="3">
        <v>73</v>
      </c>
      <c r="D9" s="3">
        <v>88</v>
      </c>
      <c r="E9" s="9">
        <v>95</v>
      </c>
      <c r="F9" s="2"/>
      <c r="G9" s="2"/>
      <c r="H9" s="2"/>
      <c r="J9" s="65"/>
      <c r="K9" s="60"/>
      <c r="L9" s="60"/>
      <c r="M9" s="60"/>
    </row>
    <row r="10" spans="1:17" x14ac:dyDescent="0.25">
      <c r="A10" s="63"/>
      <c r="B10" s="65" t="s">
        <v>46</v>
      </c>
      <c r="C10" s="5">
        <v>82</v>
      </c>
      <c r="D10" s="5">
        <v>99</v>
      </c>
      <c r="E10" s="7">
        <v>108</v>
      </c>
      <c r="F10" s="2">
        <f t="shared" si="1"/>
        <v>881</v>
      </c>
      <c r="G10" s="2">
        <f>AVERAGE(C10:E12)</f>
        <v>97.888888888888886</v>
      </c>
      <c r="H10" s="2">
        <f>F10^2</f>
        <v>776161</v>
      </c>
      <c r="J10" s="65" t="s">
        <v>46</v>
      </c>
      <c r="K10" s="58">
        <f t="shared" ref="K10" si="5">SUM(C10:C12)</f>
        <v>262</v>
      </c>
      <c r="L10" s="58">
        <f t="shared" ref="L10" si="6">SUM(D10:D12)</f>
        <v>302</v>
      </c>
      <c r="M10" s="58">
        <f t="shared" ref="M10" si="7">SUM(E10:E12)</f>
        <v>317</v>
      </c>
    </row>
    <row r="11" spans="1:17" x14ac:dyDescent="0.25">
      <c r="A11" s="63"/>
      <c r="B11" s="65"/>
      <c r="C11" s="6">
        <v>88</v>
      </c>
      <c r="D11" s="6">
        <v>108</v>
      </c>
      <c r="E11" s="8">
        <v>110</v>
      </c>
      <c r="F11" s="2"/>
      <c r="G11" s="2"/>
      <c r="H11" s="2"/>
      <c r="J11" s="65"/>
      <c r="K11" s="59"/>
      <c r="L11" s="59"/>
      <c r="M11" s="59"/>
    </row>
    <row r="12" spans="1:17" x14ac:dyDescent="0.25">
      <c r="A12" s="63"/>
      <c r="B12" s="65"/>
      <c r="C12" s="3">
        <v>92</v>
      </c>
      <c r="D12" s="3">
        <v>95</v>
      </c>
      <c r="E12" s="9">
        <v>99</v>
      </c>
      <c r="F12" s="2"/>
      <c r="G12" s="2"/>
      <c r="H12" s="2"/>
      <c r="J12" s="65"/>
      <c r="K12" s="60"/>
      <c r="L12" s="60"/>
      <c r="M12" s="60"/>
    </row>
    <row r="13" spans="1:17" x14ac:dyDescent="0.25">
      <c r="A13" s="63"/>
      <c r="B13" s="65" t="s">
        <v>47</v>
      </c>
      <c r="C13" s="5">
        <v>99</v>
      </c>
      <c r="D13" s="5">
        <v>104</v>
      </c>
      <c r="E13" s="7">
        <v>114</v>
      </c>
      <c r="F13" s="2">
        <f t="shared" si="1"/>
        <v>944</v>
      </c>
      <c r="G13" s="2">
        <f>AVERAGE(C13:E15)</f>
        <v>104.88888888888889</v>
      </c>
      <c r="H13" s="2">
        <f>F13^2</f>
        <v>891136</v>
      </c>
      <c r="J13" s="65" t="s">
        <v>47</v>
      </c>
      <c r="K13" s="58">
        <f t="shared" ref="K13" si="8">SUM(C13:C15)</f>
        <v>299</v>
      </c>
      <c r="L13" s="58">
        <f t="shared" ref="L13" si="9">SUM(D13:D15)</f>
        <v>313</v>
      </c>
      <c r="M13" s="58">
        <f t="shared" ref="M13" si="10">SUM(E13:E15)</f>
        <v>332</v>
      </c>
    </row>
    <row r="14" spans="1:17" x14ac:dyDescent="0.25">
      <c r="A14" s="63"/>
      <c r="B14" s="65"/>
      <c r="C14" s="6">
        <v>104</v>
      </c>
      <c r="D14" s="6">
        <v>110</v>
      </c>
      <c r="E14" s="8">
        <v>111</v>
      </c>
      <c r="F14" s="2"/>
      <c r="G14" s="2"/>
      <c r="H14" s="2"/>
      <c r="J14" s="65"/>
      <c r="K14" s="59"/>
      <c r="L14" s="59"/>
      <c r="M14" s="59"/>
    </row>
    <row r="15" spans="1:17" x14ac:dyDescent="0.25">
      <c r="A15" s="63"/>
      <c r="B15" s="65"/>
      <c r="C15" s="3">
        <v>96</v>
      </c>
      <c r="D15" s="3">
        <v>99</v>
      </c>
      <c r="E15" s="9">
        <v>107</v>
      </c>
      <c r="F15" s="2"/>
      <c r="G15" s="2"/>
      <c r="H15" s="2"/>
      <c r="J15" s="65"/>
      <c r="K15" s="60"/>
      <c r="L15" s="60"/>
      <c r="M15" s="60"/>
    </row>
    <row r="16" spans="1:17" x14ac:dyDescent="0.25">
      <c r="B16" s="10" t="s">
        <v>3</v>
      </c>
      <c r="C16" s="2">
        <f>SUM(C4:C15)</f>
        <v>979</v>
      </c>
      <c r="D16" s="2">
        <f t="shared" ref="D16:E16" si="11">SUM(D4:D15)</f>
        <v>1171</v>
      </c>
      <c r="E16" s="2">
        <f t="shared" si="11"/>
        <v>1246</v>
      </c>
      <c r="F16" s="2">
        <f>SUM(C4:E15)</f>
        <v>3396</v>
      </c>
      <c r="G16" s="10" t="s">
        <v>7</v>
      </c>
      <c r="H16" s="2"/>
    </row>
    <row r="17" spans="1:19" x14ac:dyDescent="0.25">
      <c r="B17" s="10" t="s">
        <v>4</v>
      </c>
      <c r="C17" s="2">
        <f>AVERAGE(C4:C15)</f>
        <v>81.583333333333329</v>
      </c>
      <c r="D17" s="2">
        <f t="shared" ref="D17" si="12">AVERAGE(D4:D15)</f>
        <v>97.583333333333329</v>
      </c>
      <c r="E17" s="2">
        <f>AVERAGE(E4:E15)</f>
        <v>103.83333333333333</v>
      </c>
      <c r="F17" s="2"/>
      <c r="G17" s="2">
        <f>AVERAGE(C4:E15)</f>
        <v>94.333333333333329</v>
      </c>
      <c r="H17" s="10" t="s">
        <v>8</v>
      </c>
    </row>
    <row r="18" spans="1:19" x14ac:dyDescent="0.25">
      <c r="B18" s="10" t="s">
        <v>6</v>
      </c>
      <c r="C18" s="2">
        <f>C16^2</f>
        <v>958441</v>
      </c>
      <c r="D18" s="2">
        <f t="shared" ref="D18" si="13">D16^2</f>
        <v>1371241</v>
      </c>
      <c r="E18" s="2">
        <f>E16^2</f>
        <v>1552516</v>
      </c>
      <c r="F18" s="2">
        <f>COUNT(C4:E15)</f>
        <v>36</v>
      </c>
      <c r="G18" s="10" t="s">
        <v>14</v>
      </c>
      <c r="H18" s="2">
        <f>SUMSQ(C4:E15)</f>
        <v>326888</v>
      </c>
      <c r="I18" s="1" t="s">
        <v>9</v>
      </c>
    </row>
    <row r="20" spans="1:19" ht="15.75" thickBot="1" x14ac:dyDescent="0.3">
      <c r="A20" s="11" t="s">
        <v>11</v>
      </c>
      <c r="B20" s="11"/>
      <c r="C20" s="11" t="s">
        <v>19</v>
      </c>
      <c r="D20" s="11"/>
    </row>
    <row r="21" spans="1:19" x14ac:dyDescent="0.25">
      <c r="A21" s="23" t="s">
        <v>18</v>
      </c>
      <c r="B21" s="12">
        <f>H18</f>
        <v>326888</v>
      </c>
      <c r="C21" s="13" t="s">
        <v>13</v>
      </c>
      <c r="D21" s="12">
        <f>(F$16^2)/F$18</f>
        <v>320356</v>
      </c>
      <c r="E21" s="13" t="s">
        <v>15</v>
      </c>
      <c r="F21" s="12">
        <f>B21-D21</f>
        <v>6532</v>
      </c>
      <c r="G21" s="12"/>
      <c r="H21" s="12"/>
      <c r="I21" s="12"/>
      <c r="J21" s="14"/>
      <c r="L21" s="22" t="s">
        <v>21</v>
      </c>
      <c r="M21" s="22" t="s">
        <v>22</v>
      </c>
      <c r="N21" s="22" t="s">
        <v>23</v>
      </c>
      <c r="O21" s="22" t="s">
        <v>24</v>
      </c>
      <c r="P21" s="22" t="s">
        <v>25</v>
      </c>
      <c r="Q21" s="22" t="s">
        <v>26</v>
      </c>
    </row>
    <row r="22" spans="1:19" x14ac:dyDescent="0.25">
      <c r="A22" s="24" t="s">
        <v>12</v>
      </c>
      <c r="B22" s="4">
        <f>SUM(H4:H15)/(3*3)</f>
        <v>322481.11111111112</v>
      </c>
      <c r="C22" s="16" t="s">
        <v>13</v>
      </c>
      <c r="D22" s="4">
        <f>(F$16^2)/F$18</f>
        <v>320356</v>
      </c>
      <c r="E22" s="16" t="s">
        <v>15</v>
      </c>
      <c r="F22" s="4">
        <f>B22-D22</f>
        <v>2125.111111111124</v>
      </c>
      <c r="G22" s="4"/>
      <c r="H22" s="4"/>
      <c r="I22" s="4"/>
      <c r="J22" s="17"/>
      <c r="L22" s="22" t="s">
        <v>27</v>
      </c>
      <c r="M22" s="2">
        <f>F22</f>
        <v>2125.111111111124</v>
      </c>
      <c r="N22" s="2">
        <f>4-1</f>
        <v>3</v>
      </c>
      <c r="O22" s="2">
        <f>M22/N22</f>
        <v>708.37037037037464</v>
      </c>
      <c r="P22" s="2">
        <f>O22/O$25</f>
        <v>24.662798194713929</v>
      </c>
      <c r="Q22" s="2">
        <f>_xlfn.F.DIST.RT(P22,N22,N$25)</f>
        <v>1.6520004722274781E-7</v>
      </c>
      <c r="R22" t="s">
        <v>30</v>
      </c>
    </row>
    <row r="23" spans="1:19" x14ac:dyDescent="0.25">
      <c r="A23" s="24" t="s">
        <v>16</v>
      </c>
      <c r="B23" s="4">
        <f>SUM(C18:E18)/(4*3)</f>
        <v>323516.5</v>
      </c>
      <c r="C23" s="16" t="s">
        <v>13</v>
      </c>
      <c r="D23" s="4">
        <f>(F$16^2)/F$18</f>
        <v>320356</v>
      </c>
      <c r="E23" s="16" t="s">
        <v>15</v>
      </c>
      <c r="F23" s="4">
        <f>B23-D23</f>
        <v>3160.5</v>
      </c>
      <c r="G23" s="4"/>
      <c r="H23" s="4"/>
      <c r="I23" s="4"/>
      <c r="J23" s="17"/>
      <c r="L23" s="22" t="s">
        <v>0</v>
      </c>
      <c r="M23" s="2">
        <f>F23</f>
        <v>3160.5</v>
      </c>
      <c r="N23" s="2">
        <f>3-1</f>
        <v>2</v>
      </c>
      <c r="O23" s="2">
        <f t="shared" ref="O23:O25" si="14">M23/N23</f>
        <v>1580.25</v>
      </c>
      <c r="P23" s="2">
        <f t="shared" ref="P23:P24" si="15">O23/O$25</f>
        <v>55.018375241781044</v>
      </c>
      <c r="Q23" s="2">
        <f>_xlfn.F.DIST.RT(P23,N23,N$25)</f>
        <v>1.0860459858396615E-9</v>
      </c>
      <c r="R23" t="s">
        <v>30</v>
      </c>
    </row>
    <row r="24" spans="1:19" x14ac:dyDescent="0.25">
      <c r="A24" s="24" t="s">
        <v>17</v>
      </c>
      <c r="B24" s="4">
        <f>SUMSQ(K4:M15)/3</f>
        <v>326198.66666666669</v>
      </c>
      <c r="C24" s="16" t="s">
        <v>13</v>
      </c>
      <c r="D24" s="4">
        <f>(F$16^2)/F$18</f>
        <v>320356</v>
      </c>
      <c r="E24" s="16" t="s">
        <v>13</v>
      </c>
      <c r="F24" s="4">
        <f>F22</f>
        <v>2125.111111111124</v>
      </c>
      <c r="G24" s="16" t="s">
        <v>13</v>
      </c>
      <c r="H24" s="4">
        <f>F23</f>
        <v>3160.5</v>
      </c>
      <c r="I24" s="16" t="s">
        <v>15</v>
      </c>
      <c r="J24" s="17">
        <f>B24-D24-F24-H24</f>
        <v>557.05555555556202</v>
      </c>
      <c r="L24" s="22" t="s">
        <v>28</v>
      </c>
      <c r="M24" s="2">
        <f>J24</f>
        <v>557.05555555556202</v>
      </c>
      <c r="N24" s="2">
        <f>(3-1)*(4-1)</f>
        <v>6</v>
      </c>
      <c r="O24" s="2">
        <f t="shared" si="14"/>
        <v>92.842592592593675</v>
      </c>
      <c r="P24" s="2">
        <f t="shared" si="15"/>
        <v>3.2324306898776269</v>
      </c>
      <c r="Q24" s="2">
        <f>_xlfn.F.DIST.RT(P24,N24,N$25)</f>
        <v>1.7973022655703965E-2</v>
      </c>
      <c r="R24" t="s">
        <v>31</v>
      </c>
    </row>
    <row r="25" spans="1:19" ht="15.75" thickBot="1" x14ac:dyDescent="0.3">
      <c r="A25" s="25" t="s">
        <v>20</v>
      </c>
      <c r="B25" s="19">
        <f>F21</f>
        <v>6532</v>
      </c>
      <c r="C25" s="20" t="s">
        <v>13</v>
      </c>
      <c r="D25" s="19">
        <f>F22</f>
        <v>2125.111111111124</v>
      </c>
      <c r="E25" s="20" t="s">
        <v>13</v>
      </c>
      <c r="F25" s="19">
        <f>F23</f>
        <v>3160.5</v>
      </c>
      <c r="G25" s="20" t="s">
        <v>13</v>
      </c>
      <c r="H25" s="19">
        <f>J24</f>
        <v>557.05555555556202</v>
      </c>
      <c r="I25" s="20" t="s">
        <v>15</v>
      </c>
      <c r="J25" s="21">
        <f>B25-D25-F25-H25</f>
        <v>689.33333333331393</v>
      </c>
      <c r="L25" s="22" t="s">
        <v>29</v>
      </c>
      <c r="M25" s="2">
        <f>J25</f>
        <v>689.33333333331393</v>
      </c>
      <c r="N25" s="2">
        <f>4*3*(3-1)</f>
        <v>24</v>
      </c>
      <c r="O25" s="2">
        <f t="shared" si="14"/>
        <v>28.722222222221415</v>
      </c>
      <c r="P25" s="2"/>
      <c r="Q25" s="2"/>
    </row>
    <row r="26" spans="1:19" x14ac:dyDescent="0.25">
      <c r="L26" s="22" t="s">
        <v>3</v>
      </c>
      <c r="M26" s="2">
        <f>F21</f>
        <v>6532</v>
      </c>
      <c r="N26" s="2">
        <f>36-1</f>
        <v>35</v>
      </c>
      <c r="O26" s="2"/>
      <c r="P26" s="2"/>
      <c r="Q26" s="2"/>
    </row>
    <row r="27" spans="1:19" ht="15.75" thickBot="1" x14ac:dyDescent="0.3"/>
    <row r="28" spans="1:19" x14ac:dyDescent="0.25">
      <c r="A28" s="33" t="s">
        <v>34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4"/>
    </row>
    <row r="29" spans="1:19" x14ac:dyDescent="0.25">
      <c r="A29" s="34" t="s">
        <v>35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7"/>
    </row>
    <row r="30" spans="1:19" x14ac:dyDescent="0.25">
      <c r="A30" s="34" t="s">
        <v>36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7"/>
    </row>
    <row r="31" spans="1:19" x14ac:dyDescent="0.25">
      <c r="A31" s="15"/>
      <c r="B31" s="4"/>
      <c r="C31" s="62" t="s">
        <v>37</v>
      </c>
      <c r="D31" s="62"/>
      <c r="E31" s="62"/>
      <c r="F31" s="4"/>
      <c r="G31" s="4"/>
      <c r="H31" s="32"/>
      <c r="I31" s="32"/>
      <c r="J31" s="32"/>
      <c r="K31" s="32"/>
      <c r="L31" s="32"/>
      <c r="M31" s="32"/>
      <c r="N31" s="32"/>
      <c r="O31" s="32"/>
      <c r="P31" s="35"/>
      <c r="Q31" s="32"/>
      <c r="R31" s="32"/>
      <c r="S31" s="32"/>
    </row>
    <row r="32" spans="1:19" x14ac:dyDescent="0.25">
      <c r="A32" s="15"/>
      <c r="B32" s="4"/>
      <c r="C32" s="36" t="s">
        <v>41</v>
      </c>
      <c r="D32" s="36" t="s">
        <v>42</v>
      </c>
      <c r="E32" s="36" t="s">
        <v>43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17"/>
      <c r="Q32" s="4"/>
      <c r="R32" s="4"/>
      <c r="S32" s="4"/>
    </row>
    <row r="33" spans="1:19" x14ac:dyDescent="0.25">
      <c r="A33" s="64" t="s">
        <v>38</v>
      </c>
      <c r="B33" s="37" t="s">
        <v>44</v>
      </c>
      <c r="C33" s="4">
        <v>66</v>
      </c>
      <c r="D33" s="4">
        <v>88.666666666666671</v>
      </c>
      <c r="E33" s="4">
        <v>99.666666666666671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17"/>
      <c r="Q33" s="4"/>
      <c r="R33" s="4"/>
      <c r="S33" s="4"/>
    </row>
    <row r="34" spans="1:19" x14ac:dyDescent="0.25">
      <c r="A34" s="64"/>
      <c r="B34" s="37" t="s">
        <v>45</v>
      </c>
      <c r="C34" s="4">
        <v>73.333333333333329</v>
      </c>
      <c r="D34" s="4">
        <v>96.666666666666671</v>
      </c>
      <c r="E34" s="4">
        <v>99.333333333333329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17"/>
    </row>
    <row r="35" spans="1:19" x14ac:dyDescent="0.25">
      <c r="A35" s="64"/>
      <c r="B35" s="37" t="s">
        <v>46</v>
      </c>
      <c r="C35" s="4">
        <v>87.333333333333329</v>
      </c>
      <c r="D35" s="4">
        <v>100.66666666666667</v>
      </c>
      <c r="E35" s="4">
        <v>105.66666666666667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17"/>
    </row>
    <row r="36" spans="1:19" x14ac:dyDescent="0.25">
      <c r="A36" s="64"/>
      <c r="B36" s="37" t="s">
        <v>47</v>
      </c>
      <c r="C36" s="4">
        <v>99.666666666666671</v>
      </c>
      <c r="D36" s="4">
        <v>104.33333333333333</v>
      </c>
      <c r="E36" s="4">
        <v>110.66666666666667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17"/>
    </row>
    <row r="37" spans="1:19" x14ac:dyDescent="0.25">
      <c r="A37" s="15"/>
      <c r="B37" s="4"/>
      <c r="C37" s="4"/>
      <c r="D37" s="4"/>
      <c r="E37" s="4"/>
      <c r="F37" s="4"/>
      <c r="G37" s="4" t="s">
        <v>40</v>
      </c>
      <c r="H37" s="4"/>
      <c r="I37" s="4"/>
      <c r="J37" s="4"/>
      <c r="K37" s="4"/>
      <c r="L37" s="4"/>
      <c r="M37" s="4"/>
      <c r="N37" s="4"/>
      <c r="O37" s="4"/>
      <c r="P37" s="17"/>
    </row>
    <row r="38" spans="1:19" x14ac:dyDescent="0.25">
      <c r="A38" s="1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17"/>
    </row>
    <row r="39" spans="1:19" x14ac:dyDescent="0.25">
      <c r="A39" s="15"/>
      <c r="B39" s="4"/>
      <c r="C39" s="4"/>
      <c r="D39" s="4"/>
      <c r="E39" s="4"/>
      <c r="F39" s="4"/>
      <c r="G39" s="4"/>
      <c r="H39" s="36" t="s">
        <v>42</v>
      </c>
      <c r="I39" s="38" t="s">
        <v>52</v>
      </c>
      <c r="J39" s="4"/>
      <c r="K39" s="10"/>
      <c r="L39" s="10" t="s">
        <v>48</v>
      </c>
      <c r="M39" s="10" t="s">
        <v>49</v>
      </c>
      <c r="N39" s="10" t="s">
        <v>50</v>
      </c>
      <c r="O39" s="10" t="s">
        <v>51</v>
      </c>
      <c r="P39" s="17"/>
    </row>
    <row r="40" spans="1:19" x14ac:dyDescent="0.25">
      <c r="A40" s="15"/>
      <c r="B40" s="4"/>
      <c r="C40" s="4"/>
      <c r="D40" s="4"/>
      <c r="E40" s="4"/>
      <c r="F40" s="4"/>
      <c r="G40" s="37" t="s">
        <v>44</v>
      </c>
      <c r="H40" s="4">
        <v>88.666666666666671</v>
      </c>
      <c r="I40" s="39" t="s">
        <v>48</v>
      </c>
      <c r="J40" s="4"/>
      <c r="K40" s="10" t="s">
        <v>48</v>
      </c>
      <c r="L40" s="27"/>
      <c r="M40" s="2">
        <f>ABS(H40-H41)</f>
        <v>8</v>
      </c>
      <c r="N40" s="31">
        <f>ABS(H40-H42)</f>
        <v>12</v>
      </c>
      <c r="O40" s="31">
        <f>ABS(H40-H43)</f>
        <v>15.666666666666657</v>
      </c>
      <c r="P40" s="17"/>
    </row>
    <row r="41" spans="1:19" x14ac:dyDescent="0.25">
      <c r="A41" s="15"/>
      <c r="B41" s="4"/>
      <c r="C41" s="4"/>
      <c r="D41" s="4"/>
      <c r="E41" s="4"/>
      <c r="F41" s="4"/>
      <c r="G41" s="37" t="s">
        <v>45</v>
      </c>
      <c r="H41" s="4">
        <v>96.666666666666671</v>
      </c>
      <c r="I41" s="39" t="s">
        <v>49</v>
      </c>
      <c r="J41" s="4"/>
      <c r="K41" s="10" t="s">
        <v>49</v>
      </c>
      <c r="L41" s="2"/>
      <c r="M41" s="27"/>
      <c r="N41" s="2">
        <f>ABS(H41-H42)</f>
        <v>4</v>
      </c>
      <c r="O41" s="2">
        <f>ABS(H41-H43)</f>
        <v>7.6666666666666572</v>
      </c>
      <c r="P41" s="17"/>
    </row>
    <row r="42" spans="1:19" x14ac:dyDescent="0.25">
      <c r="A42" s="15"/>
      <c r="B42" s="4"/>
      <c r="C42" s="4"/>
      <c r="D42" s="4"/>
      <c r="E42" s="4"/>
      <c r="F42" s="4"/>
      <c r="G42" s="37" t="s">
        <v>46</v>
      </c>
      <c r="H42" s="4">
        <v>100.66666666666667</v>
      </c>
      <c r="I42" s="39" t="s">
        <v>50</v>
      </c>
      <c r="J42" s="4"/>
      <c r="K42" s="10" t="s">
        <v>50</v>
      </c>
      <c r="L42" s="2"/>
      <c r="M42" s="2"/>
      <c r="N42" s="27"/>
      <c r="O42" s="2">
        <f>ABS(H42-H43)</f>
        <v>3.6666666666666572</v>
      </c>
      <c r="P42" s="17"/>
    </row>
    <row r="43" spans="1:19" x14ac:dyDescent="0.25">
      <c r="A43" s="15"/>
      <c r="B43" s="4"/>
      <c r="C43" s="4"/>
      <c r="D43" s="4"/>
      <c r="E43" s="4"/>
      <c r="F43" s="4"/>
      <c r="G43" s="37" t="s">
        <v>47</v>
      </c>
      <c r="H43" s="4">
        <v>104.33333333333333</v>
      </c>
      <c r="I43" s="39" t="s">
        <v>51</v>
      </c>
      <c r="J43" s="4"/>
      <c r="K43" s="10" t="s">
        <v>51</v>
      </c>
      <c r="L43" s="2"/>
      <c r="M43" s="2"/>
      <c r="N43" s="2"/>
      <c r="O43" s="27"/>
      <c r="P43" s="17"/>
    </row>
    <row r="44" spans="1:19" x14ac:dyDescent="0.25">
      <c r="A44" s="1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17"/>
    </row>
    <row r="45" spans="1:19" x14ac:dyDescent="0.25">
      <c r="A45" s="15"/>
      <c r="B45" s="4"/>
      <c r="C45" s="4"/>
      <c r="D45" s="4"/>
      <c r="E45" s="4"/>
      <c r="F45" s="4"/>
      <c r="G45" s="26" t="s">
        <v>53</v>
      </c>
      <c r="H45" s="4"/>
      <c r="I45" s="4"/>
      <c r="J45" s="4"/>
      <c r="K45" s="4"/>
      <c r="L45" s="4"/>
      <c r="M45" s="4"/>
      <c r="N45" s="4"/>
      <c r="O45" s="4"/>
      <c r="P45" s="17"/>
    </row>
    <row r="46" spans="1:19" x14ac:dyDescent="0.25">
      <c r="A46" s="1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17"/>
    </row>
    <row r="47" spans="1:19" x14ac:dyDescent="0.25">
      <c r="A47" s="1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0" t="s">
        <v>57</v>
      </c>
      <c r="N47" s="40">
        <f>_xlfn.T.INV(0.975,24)</f>
        <v>2.0638985616280254</v>
      </c>
      <c r="O47" s="4"/>
      <c r="P47" s="17"/>
    </row>
    <row r="48" spans="1:19" x14ac:dyDescent="0.25">
      <c r="A48" s="1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1" t="s">
        <v>58</v>
      </c>
      <c r="N48" s="41">
        <f>N47*SQRT(O25*(((1/3)+(1/3))))</f>
        <v>9.0313305487491675</v>
      </c>
      <c r="O48" s="4"/>
      <c r="P48" s="17"/>
    </row>
    <row r="49" spans="1:16" x14ac:dyDescent="0.25">
      <c r="A49" s="1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17"/>
    </row>
    <row r="50" spans="1:16" x14ac:dyDescent="0.25">
      <c r="A50" s="1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17"/>
    </row>
    <row r="51" spans="1:16" x14ac:dyDescent="0.25">
      <c r="A51" s="1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7"/>
    </row>
    <row r="52" spans="1:16" x14ac:dyDescent="0.25">
      <c r="A52" s="15"/>
      <c r="B52" s="4"/>
      <c r="C52" s="4"/>
      <c r="D52" s="4"/>
      <c r="E52" s="4"/>
      <c r="F52" s="4"/>
      <c r="G52" s="4"/>
      <c r="H52" s="4" t="s">
        <v>54</v>
      </c>
      <c r="I52" s="4"/>
      <c r="J52" s="4"/>
      <c r="K52" s="4"/>
      <c r="L52" s="4"/>
      <c r="M52" s="4"/>
      <c r="N52" s="4"/>
      <c r="O52" s="4"/>
      <c r="P52" s="17"/>
    </row>
    <row r="53" spans="1:16" x14ac:dyDescent="0.25">
      <c r="A53" s="15"/>
      <c r="B53" s="4"/>
      <c r="C53" s="4"/>
      <c r="D53" s="4"/>
      <c r="E53" s="4"/>
      <c r="F53" s="4"/>
      <c r="G53" s="4"/>
      <c r="H53" s="4" t="s">
        <v>55</v>
      </c>
      <c r="I53" s="4"/>
      <c r="J53" s="4"/>
      <c r="K53" s="4"/>
      <c r="L53" s="4"/>
      <c r="M53" s="4"/>
      <c r="N53" s="4"/>
      <c r="O53" s="4"/>
      <c r="P53" s="17"/>
    </row>
    <row r="54" spans="1:16" x14ac:dyDescent="0.25">
      <c r="A54" s="15"/>
      <c r="B54" s="4"/>
      <c r="C54" s="4"/>
      <c r="D54" s="4"/>
      <c r="E54" s="4"/>
      <c r="F54" s="4"/>
      <c r="G54" s="4"/>
      <c r="H54" s="4" t="s">
        <v>56</v>
      </c>
      <c r="I54" s="4"/>
      <c r="J54" s="4"/>
      <c r="K54" s="4"/>
      <c r="L54" s="4"/>
      <c r="M54" s="4"/>
      <c r="N54" s="4"/>
      <c r="O54" s="4"/>
      <c r="P54" s="17"/>
    </row>
    <row r="55" spans="1:16" ht="15.75" thickBot="1" x14ac:dyDescent="0.3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21"/>
    </row>
    <row r="57" spans="1:16" x14ac:dyDescent="0.25">
      <c r="B57" t="s">
        <v>59</v>
      </c>
    </row>
    <row r="58" spans="1:16" x14ac:dyDescent="0.25">
      <c r="B58" t="s">
        <v>37</v>
      </c>
      <c r="C58" s="61">
        <v>0.2</v>
      </c>
      <c r="D58" s="61"/>
      <c r="E58" s="61"/>
      <c r="F58" s="61"/>
      <c r="G58" s="61">
        <v>0.25</v>
      </c>
      <c r="H58" s="61"/>
      <c r="I58" s="61"/>
      <c r="J58" s="61"/>
      <c r="K58" s="61">
        <v>0.3</v>
      </c>
      <c r="L58" s="61"/>
      <c r="M58" s="61"/>
      <c r="N58" s="61"/>
    </row>
    <row r="59" spans="1:16" x14ac:dyDescent="0.25">
      <c r="B59" t="s">
        <v>38</v>
      </c>
      <c r="C59" s="2">
        <v>0.15</v>
      </c>
      <c r="D59" s="2">
        <v>0.18</v>
      </c>
      <c r="E59" s="2">
        <v>0.21</v>
      </c>
      <c r="F59" s="2">
        <v>0.24</v>
      </c>
      <c r="G59" s="2">
        <v>0.15</v>
      </c>
      <c r="H59" s="2">
        <v>0.18</v>
      </c>
      <c r="I59" s="2">
        <v>0.21</v>
      </c>
      <c r="J59" s="2">
        <v>0.24</v>
      </c>
      <c r="K59" s="2">
        <v>0.15</v>
      </c>
      <c r="L59" s="2">
        <v>0.18</v>
      </c>
      <c r="M59" s="2">
        <v>0.21</v>
      </c>
      <c r="N59" s="2">
        <v>0.24</v>
      </c>
    </row>
    <row r="60" spans="1:16" x14ac:dyDescent="0.25">
      <c r="B60" t="s">
        <v>39</v>
      </c>
      <c r="C60" s="2">
        <v>66</v>
      </c>
      <c r="D60" s="2">
        <v>73.333333333333329</v>
      </c>
      <c r="E60" s="2">
        <v>87.333333333333329</v>
      </c>
      <c r="F60" s="2">
        <v>99.666666666666671</v>
      </c>
      <c r="G60" s="2">
        <v>88.666666666666671</v>
      </c>
      <c r="H60" s="2">
        <v>96.666666666666671</v>
      </c>
      <c r="I60" s="2">
        <v>100.66666666666667</v>
      </c>
      <c r="J60" s="2">
        <v>104.33333333333333</v>
      </c>
      <c r="K60" s="2">
        <v>99.666666666666671</v>
      </c>
      <c r="L60" s="2">
        <v>99.333333333333329</v>
      </c>
      <c r="M60" s="2">
        <v>105.66666666666667</v>
      </c>
      <c r="N60" s="2">
        <v>110.66666666666667</v>
      </c>
    </row>
  </sheetData>
  <mergeCells count="27">
    <mergeCell ref="C2:E2"/>
    <mergeCell ref="B4:B6"/>
    <mergeCell ref="B7:B9"/>
    <mergeCell ref="B10:B12"/>
    <mergeCell ref="B13:B15"/>
    <mergeCell ref="A4:A15"/>
    <mergeCell ref="A33:A36"/>
    <mergeCell ref="M4:M6"/>
    <mergeCell ref="K7:K9"/>
    <mergeCell ref="L7:L9"/>
    <mergeCell ref="M7:M9"/>
    <mergeCell ref="K10:K12"/>
    <mergeCell ref="L10:L12"/>
    <mergeCell ref="M10:M12"/>
    <mergeCell ref="J4:J6"/>
    <mergeCell ref="J7:J9"/>
    <mergeCell ref="J10:J12"/>
    <mergeCell ref="J13:J15"/>
    <mergeCell ref="K4:K6"/>
    <mergeCell ref="L4:L6"/>
    <mergeCell ref="K13:K15"/>
    <mergeCell ref="L13:L15"/>
    <mergeCell ref="C58:F58"/>
    <mergeCell ref="G58:J58"/>
    <mergeCell ref="K58:N58"/>
    <mergeCell ref="M13:M15"/>
    <mergeCell ref="C31:E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zoomScale="80" zoomScaleNormal="80" workbookViewId="0"/>
  </sheetViews>
  <sheetFormatPr baseColWidth="10" defaultRowHeight="15" x14ac:dyDescent="0.25"/>
  <cols>
    <col min="4" max="4" width="13" bestFit="1" customWidth="1"/>
  </cols>
  <sheetData>
    <row r="1" spans="1:21" x14ac:dyDescent="0.25">
      <c r="A1" s="1" t="s">
        <v>70</v>
      </c>
      <c r="O1" s="57" t="s">
        <v>120</v>
      </c>
      <c r="P1" s="56"/>
      <c r="Q1" s="56"/>
      <c r="R1" s="56"/>
      <c r="S1" s="56"/>
      <c r="T1" s="56"/>
      <c r="U1" s="56"/>
    </row>
    <row r="2" spans="1:21" x14ac:dyDescent="0.25">
      <c r="A2" s="52" t="s">
        <v>61</v>
      </c>
      <c r="O2" s="56" t="s">
        <v>113</v>
      </c>
      <c r="P2" s="56"/>
      <c r="Q2" s="56"/>
      <c r="R2" s="56"/>
      <c r="S2" s="56"/>
      <c r="T2" s="56"/>
      <c r="U2" s="56"/>
    </row>
    <row r="3" spans="1:21" x14ac:dyDescent="0.25">
      <c r="A3" s="52" t="s">
        <v>62</v>
      </c>
      <c r="O3" s="56" t="s">
        <v>114</v>
      </c>
      <c r="P3" s="56"/>
      <c r="Q3" s="56"/>
      <c r="R3" s="56"/>
      <c r="S3" s="56"/>
      <c r="T3" s="56"/>
      <c r="U3" s="56"/>
    </row>
    <row r="4" spans="1:21" x14ac:dyDescent="0.25">
      <c r="A4" s="52" t="s">
        <v>67</v>
      </c>
      <c r="O4" s="56" t="s">
        <v>115</v>
      </c>
      <c r="P4" s="56"/>
      <c r="Q4" s="56"/>
      <c r="R4" s="56"/>
      <c r="S4" s="56"/>
      <c r="T4" s="56"/>
      <c r="U4" s="56"/>
    </row>
    <row r="5" spans="1:21" x14ac:dyDescent="0.25">
      <c r="A5" s="52" t="s">
        <v>66</v>
      </c>
      <c r="O5" s="56" t="s">
        <v>116</v>
      </c>
      <c r="P5" s="56"/>
      <c r="Q5" s="56"/>
      <c r="R5" s="56"/>
      <c r="S5" s="56"/>
      <c r="T5" s="56"/>
      <c r="U5" s="56"/>
    </row>
    <row r="6" spans="1:21" x14ac:dyDescent="0.25">
      <c r="A6" s="52" t="s">
        <v>68</v>
      </c>
      <c r="O6" s="56" t="s">
        <v>117</v>
      </c>
      <c r="P6" s="56"/>
      <c r="Q6" s="56"/>
      <c r="R6" s="56"/>
      <c r="S6" s="56"/>
      <c r="T6" s="56"/>
      <c r="U6" s="56"/>
    </row>
    <row r="7" spans="1:21" x14ac:dyDescent="0.25">
      <c r="A7" s="52" t="s">
        <v>63</v>
      </c>
      <c r="O7" s="56" t="s">
        <v>118</v>
      </c>
      <c r="P7" s="56"/>
      <c r="Q7" s="56"/>
      <c r="R7" s="56"/>
      <c r="S7" s="56"/>
      <c r="T7" s="56"/>
      <c r="U7" s="56"/>
    </row>
    <row r="8" spans="1:21" x14ac:dyDescent="0.25">
      <c r="A8" s="52" t="s">
        <v>64</v>
      </c>
      <c r="O8" s="56" t="s">
        <v>121</v>
      </c>
      <c r="P8" s="56"/>
      <c r="Q8" s="56"/>
      <c r="R8" s="56"/>
      <c r="S8" s="56"/>
      <c r="T8" s="56"/>
      <c r="U8" s="56"/>
    </row>
    <row r="9" spans="1:21" x14ac:dyDescent="0.25">
      <c r="A9" s="52" t="s">
        <v>65</v>
      </c>
      <c r="O9" s="56" t="s">
        <v>119</v>
      </c>
      <c r="P9" s="56"/>
      <c r="Q9" s="56"/>
      <c r="R9" s="56"/>
      <c r="S9" s="56"/>
      <c r="T9" s="56"/>
      <c r="U9" s="56"/>
    </row>
    <row r="10" spans="1:21" x14ac:dyDescent="0.25">
      <c r="A10" s="52" t="s">
        <v>69</v>
      </c>
    </row>
    <row r="13" spans="1:21" x14ac:dyDescent="0.25">
      <c r="A13" s="1" t="s">
        <v>60</v>
      </c>
    </row>
    <row r="14" spans="1:21" x14ac:dyDescent="0.25">
      <c r="A14" s="44" t="s">
        <v>78</v>
      </c>
      <c r="B14" s="44"/>
      <c r="C14" s="67" t="s">
        <v>75</v>
      </c>
      <c r="D14" s="67"/>
      <c r="E14" s="67" t="s">
        <v>76</v>
      </c>
      <c r="F14" s="67"/>
      <c r="G14" s="67" t="s">
        <v>77</v>
      </c>
      <c r="H14" s="67"/>
    </row>
    <row r="15" spans="1:21" x14ac:dyDescent="0.25">
      <c r="A15" s="45" t="s">
        <v>79</v>
      </c>
      <c r="B15" s="45"/>
      <c r="C15" s="45" t="s">
        <v>71</v>
      </c>
      <c r="D15" s="45" t="s">
        <v>74</v>
      </c>
      <c r="E15" s="45" t="s">
        <v>71</v>
      </c>
      <c r="F15" s="45" t="s">
        <v>74</v>
      </c>
      <c r="G15" s="45" t="s">
        <v>71</v>
      </c>
      <c r="H15" s="45" t="s">
        <v>74</v>
      </c>
      <c r="I15" s="46" t="s">
        <v>3</v>
      </c>
      <c r="J15" s="46" t="s">
        <v>4</v>
      </c>
      <c r="K15" s="46" t="s">
        <v>5</v>
      </c>
      <c r="M15" s="45" t="s">
        <v>71</v>
      </c>
      <c r="N15" s="45" t="s">
        <v>74</v>
      </c>
      <c r="O15" s="4"/>
    </row>
    <row r="16" spans="1:21" x14ac:dyDescent="0.25">
      <c r="A16" s="68" t="s">
        <v>80</v>
      </c>
      <c r="B16" s="69" t="s">
        <v>72</v>
      </c>
      <c r="C16" s="6">
        <v>60</v>
      </c>
      <c r="D16" s="6">
        <v>67</v>
      </c>
      <c r="E16" s="6">
        <v>62</v>
      </c>
      <c r="F16" s="6">
        <v>71</v>
      </c>
      <c r="G16" s="6">
        <v>76</v>
      </c>
      <c r="H16" s="6">
        <v>75</v>
      </c>
      <c r="I16" s="6">
        <f>SUM(C16:H21)</f>
        <v>2601</v>
      </c>
      <c r="J16" s="6">
        <f>AVERAGE(C16:H21)</f>
        <v>72.25</v>
      </c>
      <c r="K16" s="6">
        <f>I16^2</f>
        <v>6765201</v>
      </c>
      <c r="L16" s="22" t="s">
        <v>3</v>
      </c>
      <c r="M16" s="2">
        <f>SUM(C16:C27,E16:E27,G16:G27)</f>
        <v>2177</v>
      </c>
      <c r="N16" s="2">
        <f>SUM(D16:D27,F16:F27,H16:H27)</f>
        <v>2363</v>
      </c>
    </row>
    <row r="17" spans="1:19" x14ac:dyDescent="0.25">
      <c r="A17" s="68"/>
      <c r="B17" s="69"/>
      <c r="C17" s="6">
        <v>75</v>
      </c>
      <c r="D17" s="6">
        <v>73</v>
      </c>
      <c r="E17" s="6">
        <v>68</v>
      </c>
      <c r="F17" s="6">
        <v>80</v>
      </c>
      <c r="G17" s="6">
        <v>71</v>
      </c>
      <c r="H17" s="6">
        <v>75</v>
      </c>
      <c r="I17" s="6"/>
      <c r="J17" s="6"/>
      <c r="K17" s="6"/>
      <c r="L17" s="22" t="s">
        <v>6</v>
      </c>
      <c r="M17" s="2">
        <f>M16^2</f>
        <v>4739329</v>
      </c>
      <c r="N17" s="2">
        <f>N16^2</f>
        <v>5583769</v>
      </c>
    </row>
    <row r="18" spans="1:19" x14ac:dyDescent="0.25">
      <c r="A18" s="68"/>
      <c r="B18" s="69"/>
      <c r="C18" s="6">
        <v>75</v>
      </c>
      <c r="D18" s="6">
        <v>73</v>
      </c>
      <c r="E18" s="6">
        <v>65</v>
      </c>
      <c r="F18" s="6">
        <v>80</v>
      </c>
      <c r="G18" s="6">
        <v>75</v>
      </c>
      <c r="H18" s="6">
        <v>75</v>
      </c>
      <c r="I18" s="6"/>
      <c r="J18" s="6"/>
      <c r="K18" s="6"/>
      <c r="L18" s="22" t="s">
        <v>4</v>
      </c>
      <c r="M18" s="2">
        <f>AVERAGE(C16:C27,E16:E27,G16:G27)</f>
        <v>60.472222222222221</v>
      </c>
      <c r="N18" s="2">
        <f>AVERAGE(D16:D27,F16:F27,H16:H27)</f>
        <v>65.638888888888886</v>
      </c>
    </row>
    <row r="19" spans="1:19" x14ac:dyDescent="0.25">
      <c r="A19" s="68"/>
      <c r="B19" s="69"/>
      <c r="C19" s="6">
        <v>86</v>
      </c>
      <c r="D19" s="6">
        <v>67</v>
      </c>
      <c r="E19" s="6">
        <v>76</v>
      </c>
      <c r="F19" s="6">
        <v>72</v>
      </c>
      <c r="G19" s="6">
        <v>70</v>
      </c>
      <c r="H19" s="6">
        <v>75</v>
      </c>
      <c r="I19" s="6"/>
      <c r="J19" s="6"/>
      <c r="K19" s="6"/>
    </row>
    <row r="20" spans="1:19" x14ac:dyDescent="0.25">
      <c r="A20" s="68"/>
      <c r="B20" s="69"/>
      <c r="C20" s="6">
        <v>70</v>
      </c>
      <c r="D20" s="6">
        <v>68</v>
      </c>
      <c r="E20" s="6">
        <v>65</v>
      </c>
      <c r="F20" s="6">
        <v>80</v>
      </c>
      <c r="G20" s="6">
        <v>68</v>
      </c>
      <c r="H20" s="6">
        <v>75</v>
      </c>
      <c r="I20" s="6"/>
      <c r="J20" s="6"/>
      <c r="K20" s="6"/>
      <c r="M20" s="67" t="s">
        <v>75</v>
      </c>
      <c r="N20" s="67"/>
      <c r="O20" s="67" t="s">
        <v>76</v>
      </c>
      <c r="P20" s="67"/>
      <c r="Q20" s="67" t="s">
        <v>77</v>
      </c>
      <c r="R20" s="67"/>
    </row>
    <row r="21" spans="1:19" x14ac:dyDescent="0.25">
      <c r="A21" s="68"/>
      <c r="B21" s="69"/>
      <c r="C21" s="3">
        <v>70</v>
      </c>
      <c r="D21" s="3">
        <v>68</v>
      </c>
      <c r="E21" s="3">
        <v>65</v>
      </c>
      <c r="F21" s="3">
        <v>80</v>
      </c>
      <c r="G21" s="3">
        <v>73</v>
      </c>
      <c r="H21" s="3">
        <v>77</v>
      </c>
      <c r="I21" s="3"/>
      <c r="J21" s="3"/>
      <c r="K21" s="3"/>
      <c r="M21" s="48" t="s">
        <v>72</v>
      </c>
      <c r="N21" s="48" t="s">
        <v>73</v>
      </c>
      <c r="O21" s="48" t="s">
        <v>72</v>
      </c>
      <c r="P21" s="48" t="s">
        <v>73</v>
      </c>
      <c r="Q21" s="48" t="s">
        <v>72</v>
      </c>
      <c r="R21" s="48" t="s">
        <v>73</v>
      </c>
    </row>
    <row r="22" spans="1:19" x14ac:dyDescent="0.25">
      <c r="A22" s="68"/>
      <c r="B22" s="69" t="s">
        <v>73</v>
      </c>
      <c r="C22" s="5">
        <v>55</v>
      </c>
      <c r="D22" s="5">
        <v>52</v>
      </c>
      <c r="E22" s="5">
        <v>44</v>
      </c>
      <c r="F22" s="5">
        <v>60</v>
      </c>
      <c r="G22" s="5">
        <v>52</v>
      </c>
      <c r="H22" s="5">
        <v>56</v>
      </c>
      <c r="I22" s="5">
        <f>SUM(C22:H27)</f>
        <v>1939</v>
      </c>
      <c r="J22" s="5">
        <f>AVERAGE(C22:H27)</f>
        <v>53.861111111111114</v>
      </c>
      <c r="K22" s="5">
        <f>I22^2</f>
        <v>3759721</v>
      </c>
      <c r="L22" s="22" t="s">
        <v>3</v>
      </c>
      <c r="M22" s="2">
        <f>SUM(C16:D21)</f>
        <v>852</v>
      </c>
      <c r="N22" s="2">
        <f>SUM(C22:D27)</f>
        <v>647</v>
      </c>
      <c r="O22" s="2">
        <f>SUM(E16:F21)</f>
        <v>864</v>
      </c>
      <c r="P22" s="2">
        <f>SUM(E22:F27)</f>
        <v>653</v>
      </c>
      <c r="Q22" s="2">
        <f>SUM(G16:H21)</f>
        <v>885</v>
      </c>
      <c r="R22" s="2">
        <f>SUM(G22:H27)</f>
        <v>639</v>
      </c>
    </row>
    <row r="23" spans="1:19" x14ac:dyDescent="0.25">
      <c r="A23" s="68"/>
      <c r="B23" s="69"/>
      <c r="C23" s="6">
        <v>53</v>
      </c>
      <c r="D23" s="6">
        <v>52</v>
      </c>
      <c r="E23" s="6">
        <v>44</v>
      </c>
      <c r="F23" s="6">
        <v>60</v>
      </c>
      <c r="G23" s="6">
        <v>51</v>
      </c>
      <c r="H23" s="6">
        <v>55</v>
      </c>
      <c r="I23" s="6"/>
      <c r="J23" s="6"/>
      <c r="K23" s="6"/>
      <c r="L23" s="22" t="s">
        <v>5</v>
      </c>
      <c r="M23" s="2">
        <f>M22^2</f>
        <v>725904</v>
      </c>
      <c r="N23" s="2">
        <f t="shared" ref="N23:P23" si="0">N22^2</f>
        <v>418609</v>
      </c>
      <c r="O23" s="2">
        <f t="shared" si="0"/>
        <v>746496</v>
      </c>
      <c r="P23" s="2">
        <f t="shared" si="0"/>
        <v>426409</v>
      </c>
      <c r="Q23" s="2">
        <f>Q22^2</f>
        <v>783225</v>
      </c>
      <c r="R23" s="2">
        <f>R22^2</f>
        <v>408321</v>
      </c>
    </row>
    <row r="24" spans="1:19" x14ac:dyDescent="0.25">
      <c r="A24" s="68"/>
      <c r="B24" s="69"/>
      <c r="C24" s="6">
        <v>53</v>
      </c>
      <c r="D24" s="6">
        <v>57</v>
      </c>
      <c r="E24" s="6">
        <v>45</v>
      </c>
      <c r="F24" s="6">
        <v>60</v>
      </c>
      <c r="G24" s="6">
        <v>50</v>
      </c>
      <c r="H24" s="6">
        <v>57</v>
      </c>
      <c r="I24" s="6"/>
      <c r="J24" s="6"/>
      <c r="K24" s="6"/>
    </row>
    <row r="25" spans="1:19" x14ac:dyDescent="0.25">
      <c r="A25" s="68"/>
      <c r="B25" s="69"/>
      <c r="C25" s="6">
        <v>55</v>
      </c>
      <c r="D25" s="6">
        <v>52</v>
      </c>
      <c r="E25" s="6">
        <v>48</v>
      </c>
      <c r="F25" s="6">
        <v>67</v>
      </c>
      <c r="G25" s="6">
        <v>52</v>
      </c>
      <c r="H25" s="6">
        <v>59</v>
      </c>
      <c r="I25" s="6"/>
      <c r="J25" s="6"/>
      <c r="K25" s="6"/>
      <c r="M25" s="69" t="s">
        <v>72</v>
      </c>
      <c r="N25" s="69"/>
      <c r="O25" s="69" t="s">
        <v>73</v>
      </c>
      <c r="P25" s="69"/>
    </row>
    <row r="26" spans="1:19" x14ac:dyDescent="0.25">
      <c r="A26" s="68"/>
      <c r="B26" s="69"/>
      <c r="C26" s="6">
        <v>55</v>
      </c>
      <c r="D26" s="6">
        <v>54</v>
      </c>
      <c r="E26" s="6">
        <v>48</v>
      </c>
      <c r="F26" s="6">
        <v>67</v>
      </c>
      <c r="G26" s="6">
        <v>48</v>
      </c>
      <c r="H26" s="6">
        <v>50</v>
      </c>
      <c r="I26" s="6"/>
      <c r="J26" s="6"/>
      <c r="K26" s="6"/>
      <c r="M26" s="45" t="s">
        <v>71</v>
      </c>
      <c r="N26" s="45" t="s">
        <v>74</v>
      </c>
      <c r="O26" s="45" t="s">
        <v>71</v>
      </c>
      <c r="P26" s="45" t="s">
        <v>74</v>
      </c>
    </row>
    <row r="27" spans="1:19" x14ac:dyDescent="0.25">
      <c r="A27" s="68"/>
      <c r="B27" s="69"/>
      <c r="C27" s="3">
        <v>55</v>
      </c>
      <c r="D27" s="3">
        <v>54</v>
      </c>
      <c r="E27" s="3">
        <v>45</v>
      </c>
      <c r="F27" s="3">
        <v>65</v>
      </c>
      <c r="G27" s="3">
        <v>54</v>
      </c>
      <c r="H27" s="3">
        <v>55</v>
      </c>
      <c r="I27" s="3"/>
      <c r="J27" s="3"/>
      <c r="K27" s="9"/>
      <c r="L27" s="22" t="s">
        <v>3</v>
      </c>
      <c r="M27" s="2">
        <f>SUM(C16:C21,E16:E21,G16:G21)</f>
        <v>1270</v>
      </c>
      <c r="N27" s="2">
        <f>SUM(D16:D21,F16:F21,H16:H21)</f>
        <v>1331</v>
      </c>
      <c r="O27" s="2">
        <f>SUM(C22:C27,E22:E27,G22:G27)</f>
        <v>907</v>
      </c>
      <c r="P27" s="2">
        <f>SUM(D22:D27,F22:F27,H22:H27)</f>
        <v>1032</v>
      </c>
    </row>
    <row r="28" spans="1:19" x14ac:dyDescent="0.25">
      <c r="B28" s="10" t="s">
        <v>3</v>
      </c>
      <c r="C28" s="2">
        <f>SUM(C16:C27)</f>
        <v>762</v>
      </c>
      <c r="D28" s="2">
        <f t="shared" ref="D28:H28" si="1">SUM(D16:D27)</f>
        <v>737</v>
      </c>
      <c r="E28" s="2">
        <f t="shared" si="1"/>
        <v>675</v>
      </c>
      <c r="F28" s="2">
        <f t="shared" si="1"/>
        <v>842</v>
      </c>
      <c r="G28" s="2">
        <f t="shared" si="1"/>
        <v>740</v>
      </c>
      <c r="H28" s="2">
        <f t="shared" si="1"/>
        <v>784</v>
      </c>
      <c r="I28" s="42">
        <f>SUM(C16:H27)</f>
        <v>4540</v>
      </c>
      <c r="J28" s="10" t="s">
        <v>7</v>
      </c>
      <c r="L28" s="22" t="s">
        <v>5</v>
      </c>
      <c r="M28" s="2">
        <f>M27^2</f>
        <v>1612900</v>
      </c>
      <c r="N28" s="2">
        <f t="shared" ref="N28:P28" si="2">N27^2</f>
        <v>1771561</v>
      </c>
      <c r="O28" s="2">
        <f t="shared" si="2"/>
        <v>822649</v>
      </c>
      <c r="P28" s="2">
        <f t="shared" si="2"/>
        <v>1065024</v>
      </c>
    </row>
    <row r="29" spans="1:19" x14ac:dyDescent="0.25">
      <c r="B29" s="10" t="s">
        <v>5</v>
      </c>
      <c r="C29" s="2">
        <f>C28^2</f>
        <v>580644</v>
      </c>
      <c r="D29" s="2">
        <f t="shared" ref="D29:H29" si="3">D28^2</f>
        <v>543169</v>
      </c>
      <c r="E29" s="2">
        <f t="shared" si="3"/>
        <v>455625</v>
      </c>
      <c r="F29" s="2">
        <f t="shared" si="3"/>
        <v>708964</v>
      </c>
      <c r="G29" s="2">
        <f>G28^2</f>
        <v>547600</v>
      </c>
      <c r="H29" s="2">
        <f t="shared" si="3"/>
        <v>614656</v>
      </c>
      <c r="I29" s="42">
        <f>AVERAGE(C16:H27)</f>
        <v>63.055555555555557</v>
      </c>
      <c r="J29" s="10" t="s">
        <v>81</v>
      </c>
    </row>
    <row r="30" spans="1:19" x14ac:dyDescent="0.25">
      <c r="B30" s="10"/>
      <c r="C30" s="2"/>
      <c r="D30" s="2"/>
      <c r="E30" s="2"/>
      <c r="F30" s="2"/>
      <c r="G30" s="2"/>
      <c r="H30" s="43"/>
      <c r="I30" s="42">
        <f>SUMSQ(C16:H27)</f>
        <v>294612</v>
      </c>
      <c r="J30" s="10" t="s">
        <v>82</v>
      </c>
      <c r="M30" s="67" t="s">
        <v>75</v>
      </c>
      <c r="N30" s="67"/>
      <c r="O30" s="67" t="s">
        <v>76</v>
      </c>
      <c r="P30" s="67"/>
      <c r="Q30" s="67" t="s">
        <v>77</v>
      </c>
      <c r="R30" s="67"/>
    </row>
    <row r="31" spans="1:19" x14ac:dyDescent="0.25">
      <c r="B31" s="46" t="s">
        <v>84</v>
      </c>
      <c r="C31" s="61">
        <f>SUM(C16:D27)</f>
        <v>1499</v>
      </c>
      <c r="D31" s="61"/>
      <c r="E31" s="61">
        <f>SUM(E16:F27)</f>
        <v>1517</v>
      </c>
      <c r="F31" s="61"/>
      <c r="G31" s="61">
        <f>SUM(G16:H27)</f>
        <v>1524</v>
      </c>
      <c r="H31" s="61"/>
      <c r="I31" s="47">
        <f>COUNT(C16:H27)</f>
        <v>72</v>
      </c>
      <c r="J31" s="10" t="s">
        <v>14</v>
      </c>
      <c r="M31" s="45" t="s">
        <v>71</v>
      </c>
      <c r="N31" s="45" t="s">
        <v>74</v>
      </c>
      <c r="O31" s="45" t="s">
        <v>71</v>
      </c>
      <c r="P31" s="45" t="s">
        <v>74</v>
      </c>
      <c r="Q31" s="45" t="s">
        <v>71</v>
      </c>
      <c r="R31" s="45" t="s">
        <v>74</v>
      </c>
    </row>
    <row r="32" spans="1:19" x14ac:dyDescent="0.25">
      <c r="B32" s="46" t="s">
        <v>85</v>
      </c>
      <c r="C32" s="61">
        <f>C31^2</f>
        <v>2247001</v>
      </c>
      <c r="D32" s="61"/>
      <c r="E32" s="61">
        <f>E31^2</f>
        <v>2301289</v>
      </c>
      <c r="F32" s="61"/>
      <c r="G32" s="61">
        <f t="shared" ref="G32" si="4">G31^2</f>
        <v>2322576</v>
      </c>
      <c r="H32" s="61"/>
      <c r="L32" s="48" t="s">
        <v>72</v>
      </c>
      <c r="M32" s="2">
        <f>SUM(C16:C21)</f>
        <v>436</v>
      </c>
      <c r="N32" s="2">
        <f t="shared" ref="N32:R32" si="5">SUM(D16:D21)</f>
        <v>416</v>
      </c>
      <c r="O32" s="2">
        <f t="shared" si="5"/>
        <v>401</v>
      </c>
      <c r="P32" s="2">
        <f t="shared" si="5"/>
        <v>463</v>
      </c>
      <c r="Q32" s="2">
        <f t="shared" si="5"/>
        <v>433</v>
      </c>
      <c r="R32" s="2">
        <f t="shared" si="5"/>
        <v>452</v>
      </c>
      <c r="S32" s="22" t="s">
        <v>90</v>
      </c>
    </row>
    <row r="33" spans="1:19" ht="15.75" thickBot="1" x14ac:dyDescent="0.3">
      <c r="A33" s="11" t="s">
        <v>11</v>
      </c>
      <c r="B33" s="11"/>
      <c r="C33" s="11" t="s">
        <v>83</v>
      </c>
      <c r="L33" s="50" t="s">
        <v>73</v>
      </c>
      <c r="M33" s="5">
        <f>SUM(C22:C27)</f>
        <v>326</v>
      </c>
      <c r="N33" s="5">
        <f t="shared" ref="N33:Q33" si="6">SUM(D22:D27)</f>
        <v>321</v>
      </c>
      <c r="O33" s="5">
        <f t="shared" si="6"/>
        <v>274</v>
      </c>
      <c r="P33" s="5">
        <f t="shared" si="6"/>
        <v>379</v>
      </c>
      <c r="Q33" s="5">
        <f t="shared" si="6"/>
        <v>307</v>
      </c>
      <c r="R33" s="5">
        <f>SUM(H22:H27)</f>
        <v>332</v>
      </c>
    </row>
    <row r="34" spans="1:19" x14ac:dyDescent="0.25">
      <c r="A34" s="23" t="s">
        <v>18</v>
      </c>
      <c r="B34" s="12">
        <f>I30</f>
        <v>294612</v>
      </c>
      <c r="C34" s="13" t="s">
        <v>13</v>
      </c>
      <c r="D34" s="12">
        <f t="shared" ref="D34:D41" si="7">(I$28^2)/72</f>
        <v>286272.22222222225</v>
      </c>
      <c r="E34" s="13" t="s">
        <v>15</v>
      </c>
      <c r="F34" s="51">
        <f>B34-D34</f>
        <v>8339.7777777777519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4"/>
    </row>
    <row r="35" spans="1:19" x14ac:dyDescent="0.25">
      <c r="A35" s="24" t="s">
        <v>12</v>
      </c>
      <c r="B35" s="4">
        <f>SUM(C32:H32)/(2*2*6)</f>
        <v>286286.08333333331</v>
      </c>
      <c r="C35" s="16" t="s">
        <v>13</v>
      </c>
      <c r="D35" s="4">
        <f t="shared" si="7"/>
        <v>286272.22222222225</v>
      </c>
      <c r="E35" s="16" t="s">
        <v>15</v>
      </c>
      <c r="F35" s="39">
        <f>B35-D35</f>
        <v>13.861111111065838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7"/>
    </row>
    <row r="36" spans="1:19" x14ac:dyDescent="0.25">
      <c r="A36" s="24" t="s">
        <v>16</v>
      </c>
      <c r="B36" s="4">
        <f>SUM(M17:N17)/(3*2*6)</f>
        <v>286752.72222222225</v>
      </c>
      <c r="C36" s="16" t="s">
        <v>13</v>
      </c>
      <c r="D36" s="4">
        <f t="shared" si="7"/>
        <v>286272.22222222225</v>
      </c>
      <c r="E36" s="16" t="s">
        <v>15</v>
      </c>
      <c r="F36" s="39">
        <f>B36-D36</f>
        <v>480.5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7"/>
    </row>
    <row r="37" spans="1:19" x14ac:dyDescent="0.25">
      <c r="A37" s="24" t="s">
        <v>86</v>
      </c>
      <c r="B37" s="4">
        <f>SUM(K16:K27)/(3*2*6)</f>
        <v>292358.94444444444</v>
      </c>
      <c r="C37" s="16" t="s">
        <v>13</v>
      </c>
      <c r="D37" s="4">
        <f t="shared" si="7"/>
        <v>286272.22222222225</v>
      </c>
      <c r="E37" s="16" t="s">
        <v>15</v>
      </c>
      <c r="F37" s="39">
        <f>B37-D37</f>
        <v>6086.7222222221899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7"/>
    </row>
    <row r="38" spans="1:19" x14ac:dyDescent="0.25">
      <c r="A38" s="24" t="s">
        <v>17</v>
      </c>
      <c r="B38" s="4">
        <f>SUM(C29:H29)/(2*6)</f>
        <v>287554.83333333331</v>
      </c>
      <c r="C38" s="16" t="s">
        <v>13</v>
      </c>
      <c r="D38" s="4">
        <f t="shared" si="7"/>
        <v>286272.22222222225</v>
      </c>
      <c r="E38" s="16" t="s">
        <v>13</v>
      </c>
      <c r="F38" s="4">
        <f>F35</f>
        <v>13.861111111065838</v>
      </c>
      <c r="G38" s="16" t="s">
        <v>13</v>
      </c>
      <c r="H38" s="4">
        <f>F36</f>
        <v>480.5</v>
      </c>
      <c r="I38" s="16" t="s">
        <v>15</v>
      </c>
      <c r="J38" s="39">
        <f>B38-D38-F38-H38</f>
        <v>788.25</v>
      </c>
      <c r="K38" s="4"/>
      <c r="L38" s="4"/>
      <c r="M38" s="4"/>
      <c r="N38" s="4"/>
      <c r="O38" s="4"/>
      <c r="P38" s="4"/>
      <c r="Q38" s="4"/>
      <c r="R38" s="4"/>
      <c r="S38" s="17"/>
    </row>
    <row r="39" spans="1:19" x14ac:dyDescent="0.25">
      <c r="A39" s="24" t="s">
        <v>87</v>
      </c>
      <c r="B39" s="4">
        <f>SUM(M23:R23)/(2*6)</f>
        <v>292413.66666666669</v>
      </c>
      <c r="C39" s="16" t="s">
        <v>13</v>
      </c>
      <c r="D39" s="4">
        <f t="shared" si="7"/>
        <v>286272.22222222225</v>
      </c>
      <c r="E39" s="16" t="s">
        <v>13</v>
      </c>
      <c r="F39" s="4">
        <f>F35</f>
        <v>13.861111111065838</v>
      </c>
      <c r="G39" s="16" t="s">
        <v>13</v>
      </c>
      <c r="H39" s="4">
        <f>F37</f>
        <v>6086.7222222221899</v>
      </c>
      <c r="I39" s="16" t="s">
        <v>15</v>
      </c>
      <c r="J39" s="39">
        <f>B39-D39-F39-H39</f>
        <v>40.861111111182254</v>
      </c>
      <c r="K39" s="4"/>
      <c r="L39" s="4"/>
      <c r="M39" s="4"/>
      <c r="N39" s="4"/>
      <c r="O39" s="4"/>
      <c r="P39" s="4"/>
      <c r="Q39" s="4"/>
      <c r="R39" s="4"/>
      <c r="S39" s="17"/>
    </row>
    <row r="40" spans="1:19" x14ac:dyDescent="0.25">
      <c r="A40" s="24" t="s">
        <v>88</v>
      </c>
      <c r="B40" s="4">
        <f>SUM(M28:P28)/(3*6)</f>
        <v>292896.33333333331</v>
      </c>
      <c r="C40" s="16" t="s">
        <v>13</v>
      </c>
      <c r="D40" s="4">
        <f t="shared" si="7"/>
        <v>286272.22222222225</v>
      </c>
      <c r="E40" s="16" t="s">
        <v>13</v>
      </c>
      <c r="F40" s="4">
        <f>F36</f>
        <v>480.5</v>
      </c>
      <c r="G40" s="16" t="s">
        <v>13</v>
      </c>
      <c r="H40" s="4">
        <f>F37</f>
        <v>6086.7222222221899</v>
      </c>
      <c r="I40" s="16" t="s">
        <v>15</v>
      </c>
      <c r="J40" s="39">
        <f>B40-D40-F40-H40</f>
        <v>56.888888888875954</v>
      </c>
      <c r="K40" s="4"/>
      <c r="L40" s="4"/>
      <c r="M40" s="4"/>
      <c r="N40" s="4"/>
      <c r="O40" s="4"/>
      <c r="P40" s="4"/>
      <c r="Q40" s="4"/>
      <c r="R40" s="4"/>
      <c r="S40" s="17"/>
    </row>
    <row r="41" spans="1:19" x14ac:dyDescent="0.25">
      <c r="A41" s="24" t="s">
        <v>89</v>
      </c>
      <c r="B41" s="4">
        <f>SUMSQ(M32:R33)/6</f>
        <v>293770.33333333331</v>
      </c>
      <c r="C41" s="16" t="s">
        <v>13</v>
      </c>
      <c r="D41" s="4">
        <f t="shared" si="7"/>
        <v>286272.22222222225</v>
      </c>
      <c r="E41" s="16" t="s">
        <v>13</v>
      </c>
      <c r="F41" s="4">
        <f>J38</f>
        <v>788.25</v>
      </c>
      <c r="G41" s="16" t="s">
        <v>13</v>
      </c>
      <c r="H41" s="4">
        <f>J39</f>
        <v>40.861111111182254</v>
      </c>
      <c r="I41" s="16" t="s">
        <v>13</v>
      </c>
      <c r="J41" s="4">
        <f>J40</f>
        <v>56.888888888875954</v>
      </c>
      <c r="K41" s="16" t="s">
        <v>13</v>
      </c>
      <c r="L41" s="4">
        <f>F35</f>
        <v>13.861111111065838</v>
      </c>
      <c r="M41" s="16" t="s">
        <v>13</v>
      </c>
      <c r="N41" s="4">
        <f>F36</f>
        <v>480.5</v>
      </c>
      <c r="O41" s="16" t="s">
        <v>13</v>
      </c>
      <c r="P41" s="4">
        <f>F37</f>
        <v>6086.7222222221899</v>
      </c>
      <c r="Q41" s="16" t="s">
        <v>15</v>
      </c>
      <c r="R41" s="39">
        <f>B41-D41-F41-H41-J41-L41-N41-P41</f>
        <v>31.027777777751908</v>
      </c>
      <c r="S41" s="17"/>
    </row>
    <row r="42" spans="1:19" x14ac:dyDescent="0.25">
      <c r="A42" s="24" t="s">
        <v>20</v>
      </c>
      <c r="B42" s="4">
        <f>F34</f>
        <v>8339.7777777777519</v>
      </c>
      <c r="C42" s="16" t="s">
        <v>13</v>
      </c>
      <c r="D42" s="4">
        <f>F35</f>
        <v>13.861111111065838</v>
      </c>
      <c r="E42" s="16" t="s">
        <v>13</v>
      </c>
      <c r="F42" s="4">
        <f>F36</f>
        <v>480.5</v>
      </c>
      <c r="G42" s="16" t="s">
        <v>13</v>
      </c>
      <c r="H42" s="4">
        <f>F37</f>
        <v>6086.7222222221899</v>
      </c>
      <c r="I42" s="16" t="s">
        <v>13</v>
      </c>
      <c r="J42" s="4">
        <f>J38</f>
        <v>788.25</v>
      </c>
      <c r="K42" s="16" t="s">
        <v>13</v>
      </c>
      <c r="L42" s="4">
        <f>J39</f>
        <v>40.861111111182254</v>
      </c>
      <c r="M42" s="16" t="s">
        <v>13</v>
      </c>
      <c r="N42" s="4">
        <f>J40</f>
        <v>56.888888888875954</v>
      </c>
      <c r="O42" s="16" t="s">
        <v>13</v>
      </c>
      <c r="P42" s="4">
        <f>R41</f>
        <v>31.027777777751908</v>
      </c>
      <c r="Q42" s="16" t="s">
        <v>15</v>
      </c>
      <c r="R42" s="39">
        <f>B42-D42-F42-H42-J42-L42-N42-P42</f>
        <v>841.66666666668607</v>
      </c>
      <c r="S42" s="17"/>
    </row>
    <row r="43" spans="1:19" ht="15.75" thickBot="1" x14ac:dyDescent="0.3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21"/>
    </row>
    <row r="44" spans="1:19" x14ac:dyDescent="0.25">
      <c r="J44" s="49"/>
    </row>
    <row r="45" spans="1:19" x14ac:dyDescent="0.25">
      <c r="L45" t="s">
        <v>104</v>
      </c>
    </row>
    <row r="46" spans="1:19" x14ac:dyDescent="0.25">
      <c r="B46" s="22" t="s">
        <v>91</v>
      </c>
      <c r="C46" s="22" t="s">
        <v>22</v>
      </c>
      <c r="D46" s="22" t="s">
        <v>92</v>
      </c>
      <c r="E46" s="22" t="s">
        <v>24</v>
      </c>
      <c r="F46" s="22" t="s">
        <v>25</v>
      </c>
      <c r="G46" s="53" t="s">
        <v>26</v>
      </c>
      <c r="H46" s="8"/>
      <c r="L46" s="22" t="s">
        <v>91</v>
      </c>
      <c r="M46" s="22" t="s">
        <v>22</v>
      </c>
      <c r="N46" s="22" t="s">
        <v>92</v>
      </c>
      <c r="O46" s="22" t="s">
        <v>24</v>
      </c>
      <c r="P46" s="22" t="s">
        <v>25</v>
      </c>
      <c r="Q46" s="22" t="s">
        <v>26</v>
      </c>
    </row>
    <row r="47" spans="1:19" x14ac:dyDescent="0.25">
      <c r="B47" s="10" t="s">
        <v>93</v>
      </c>
      <c r="C47" s="2">
        <f>F35</f>
        <v>13.861111111065838</v>
      </c>
      <c r="D47" s="2">
        <f>3-1</f>
        <v>2</v>
      </c>
      <c r="E47" s="2">
        <f>C47/D47</f>
        <v>6.9305555555329192</v>
      </c>
      <c r="F47" s="2">
        <f>E47/E$54</f>
        <v>0.49405940593896897</v>
      </c>
      <c r="G47" s="43">
        <f>_xlfn.F.DIST.RT(F47,D47,D$54)</f>
        <v>0.61260477979668648</v>
      </c>
      <c r="H47" s="8" t="s">
        <v>99</v>
      </c>
      <c r="L47" s="10" t="s">
        <v>93</v>
      </c>
      <c r="M47" s="2">
        <f>C47</f>
        <v>13.861111111065838</v>
      </c>
      <c r="N47" s="2">
        <f>D47</f>
        <v>2</v>
      </c>
      <c r="O47" s="2">
        <f>M47/N47</f>
        <v>6.9305555555329192</v>
      </c>
      <c r="P47" s="2">
        <f>O47/O$54</f>
        <v>0.48552663585340294</v>
      </c>
      <c r="Q47" s="2">
        <f>_xlfn.F.DIST.RT(P47,N47,N$54)</f>
        <v>0.61762111130662456</v>
      </c>
      <c r="R47" t="s">
        <v>99</v>
      </c>
    </row>
    <row r="48" spans="1:19" x14ac:dyDescent="0.25">
      <c r="B48" s="10" t="s">
        <v>94</v>
      </c>
      <c r="C48" s="2">
        <f>F36</f>
        <v>480.5</v>
      </c>
      <c r="D48" s="2">
        <f>2-1</f>
        <v>1</v>
      </c>
      <c r="E48" s="2">
        <f t="shared" ref="E48:E54" si="8">C48/D48</f>
        <v>480.5</v>
      </c>
      <c r="F48" s="2">
        <f t="shared" ref="F48:F53" si="9">E48/E$54</f>
        <v>34.253465346533865</v>
      </c>
      <c r="G48" s="43">
        <f t="shared" ref="G48:G53" si="10">_xlfn.F.DIST.RT(F48,D48,D$54)</f>
        <v>2.1624254188698383E-7</v>
      </c>
      <c r="H48" s="8" t="s">
        <v>30</v>
      </c>
      <c r="I48" t="s">
        <v>100</v>
      </c>
      <c r="L48" s="10" t="s">
        <v>94</v>
      </c>
      <c r="M48" s="2">
        <f t="shared" ref="M48:M50" si="11">C48</f>
        <v>480.5</v>
      </c>
      <c r="N48" s="2">
        <f t="shared" ref="N48:N50" si="12">D48</f>
        <v>1</v>
      </c>
      <c r="O48" s="2">
        <f t="shared" ref="O48:O50" si="13">M48/N48</f>
        <v>480.5</v>
      </c>
      <c r="P48" s="2">
        <f t="shared" ref="P48:P52" si="14">O48/O$54</f>
        <v>33.661882753585552</v>
      </c>
      <c r="Q48" s="2">
        <f t="shared" ref="Q48:Q52" si="15">_xlfn.F.DIST.RT(P48,N48,N$54)</f>
        <v>2.2042643934002658E-7</v>
      </c>
      <c r="R48" t="s">
        <v>30</v>
      </c>
    </row>
    <row r="49" spans="1:18" x14ac:dyDescent="0.25">
      <c r="B49" s="10" t="s">
        <v>95</v>
      </c>
      <c r="C49" s="2">
        <f>F37</f>
        <v>6086.7222222221899</v>
      </c>
      <c r="D49" s="2">
        <f>2-1</f>
        <v>1</v>
      </c>
      <c r="E49" s="2">
        <f t="shared" si="8"/>
        <v>6086.7222222221899</v>
      </c>
      <c r="F49" s="2">
        <f t="shared" si="9"/>
        <v>433.90495049503716</v>
      </c>
      <c r="G49" s="43">
        <f t="shared" si="10"/>
        <v>3.7450016845382158E-29</v>
      </c>
      <c r="H49" s="8" t="s">
        <v>30</v>
      </c>
      <c r="I49" t="s">
        <v>101</v>
      </c>
      <c r="L49" s="10" t="s">
        <v>95</v>
      </c>
      <c r="M49" s="2">
        <f t="shared" si="11"/>
        <v>6086.7222222221899</v>
      </c>
      <c r="N49" s="2">
        <f t="shared" si="12"/>
        <v>1</v>
      </c>
      <c r="O49" s="2">
        <f t="shared" si="13"/>
        <v>6086.7222222221899</v>
      </c>
      <c r="P49" s="2">
        <f t="shared" si="14"/>
        <v>426.41109219164838</v>
      </c>
      <c r="Q49" s="2">
        <f t="shared" si="15"/>
        <v>5.3255856524218616E-30</v>
      </c>
      <c r="R49" t="s">
        <v>30</v>
      </c>
    </row>
    <row r="50" spans="1:18" x14ac:dyDescent="0.25">
      <c r="B50" s="10" t="s">
        <v>28</v>
      </c>
      <c r="C50" s="2">
        <f>J38</f>
        <v>788.25</v>
      </c>
      <c r="D50" s="2">
        <f>D47*D48</f>
        <v>2</v>
      </c>
      <c r="E50" s="2">
        <f t="shared" si="8"/>
        <v>394.125</v>
      </c>
      <c r="F50" s="2">
        <f t="shared" si="9"/>
        <v>28.096039603959746</v>
      </c>
      <c r="G50" s="43">
        <f t="shared" si="10"/>
        <v>2.4504272465541514E-9</v>
      </c>
      <c r="H50" s="8" t="s">
        <v>30</v>
      </c>
      <c r="I50" t="s">
        <v>102</v>
      </c>
      <c r="L50" s="54" t="s">
        <v>28</v>
      </c>
      <c r="M50" s="2">
        <f t="shared" si="11"/>
        <v>788.25</v>
      </c>
      <c r="N50" s="2">
        <f t="shared" si="12"/>
        <v>2</v>
      </c>
      <c r="O50" s="2">
        <f t="shared" si="13"/>
        <v>394.125</v>
      </c>
      <c r="P50" s="2">
        <f t="shared" si="14"/>
        <v>27.610800291897828</v>
      </c>
      <c r="Q50" s="2">
        <f t="shared" si="15"/>
        <v>2.2615220660721202E-9</v>
      </c>
      <c r="R50" t="s">
        <v>30</v>
      </c>
    </row>
    <row r="51" spans="1:18" x14ac:dyDescent="0.25">
      <c r="B51" s="10" t="s">
        <v>96</v>
      </c>
      <c r="C51" s="2">
        <f>J39</f>
        <v>40.861111111182254</v>
      </c>
      <c r="D51" s="2">
        <f>D47*D49</f>
        <v>2</v>
      </c>
      <c r="E51" s="2">
        <f t="shared" si="8"/>
        <v>20.430555555591127</v>
      </c>
      <c r="F51" s="2">
        <f t="shared" si="9"/>
        <v>1.4564356435668586</v>
      </c>
      <c r="G51" s="43">
        <f t="shared" si="10"/>
        <v>0.24118612390782324</v>
      </c>
      <c r="H51" s="8" t="s">
        <v>99</v>
      </c>
      <c r="I51" t="s">
        <v>103</v>
      </c>
      <c r="L51" s="10" t="s">
        <v>96</v>
      </c>
      <c r="M51" s="2"/>
      <c r="N51" s="2"/>
      <c r="O51" s="2"/>
      <c r="P51" s="2"/>
      <c r="Q51" s="2"/>
    </row>
    <row r="52" spans="1:18" x14ac:dyDescent="0.25">
      <c r="B52" s="10" t="s">
        <v>97</v>
      </c>
      <c r="C52" s="2">
        <f>J40</f>
        <v>56.888888888875954</v>
      </c>
      <c r="D52" s="2">
        <f>D48*D49</f>
        <v>1</v>
      </c>
      <c r="E52" s="2">
        <f t="shared" si="8"/>
        <v>56.888888888875954</v>
      </c>
      <c r="F52" s="2">
        <f t="shared" si="9"/>
        <v>4.0554455445534394</v>
      </c>
      <c r="G52" s="43">
        <f t="shared" si="10"/>
        <v>4.852001525684585E-2</v>
      </c>
      <c r="H52" s="8" t="s">
        <v>31</v>
      </c>
      <c r="L52" s="54" t="s">
        <v>97</v>
      </c>
      <c r="M52" s="2">
        <f>C52</f>
        <v>56.888888888875954</v>
      </c>
      <c r="N52" s="2">
        <f>D52</f>
        <v>1</v>
      </c>
      <c r="O52" s="2">
        <f>M52/N52</f>
        <v>56.888888888875954</v>
      </c>
      <c r="P52" s="2">
        <f t="shared" si="14"/>
        <v>3.9854050109450534</v>
      </c>
      <c r="Q52" s="2">
        <f t="shared" si="15"/>
        <v>5.0153969722918246E-2</v>
      </c>
      <c r="R52" t="s">
        <v>99</v>
      </c>
    </row>
    <row r="53" spans="1:18" x14ac:dyDescent="0.25">
      <c r="B53" s="10" t="s">
        <v>98</v>
      </c>
      <c r="C53" s="2">
        <f>R41</f>
        <v>31.027777777751908</v>
      </c>
      <c r="D53" s="2">
        <f>D47*D48*D49</f>
        <v>2</v>
      </c>
      <c r="E53" s="2">
        <f t="shared" si="8"/>
        <v>15.513888888875954</v>
      </c>
      <c r="F53" s="2">
        <f t="shared" si="9"/>
        <v>1.1059405940584583</v>
      </c>
      <c r="G53" s="43">
        <f t="shared" si="10"/>
        <v>0.33754951948302725</v>
      </c>
      <c r="H53" s="8" t="s">
        <v>99</v>
      </c>
      <c r="I53" t="s">
        <v>103</v>
      </c>
      <c r="L53" s="10" t="s">
        <v>98</v>
      </c>
      <c r="M53" s="2"/>
      <c r="N53" s="2"/>
      <c r="O53" s="2"/>
      <c r="P53" s="2"/>
      <c r="Q53" s="2"/>
    </row>
    <row r="54" spans="1:18" x14ac:dyDescent="0.25">
      <c r="B54" s="10" t="s">
        <v>29</v>
      </c>
      <c r="C54" s="2">
        <f>R42</f>
        <v>841.66666666668607</v>
      </c>
      <c r="D54" s="2">
        <f>3*2*2*(6-1)</f>
        <v>60</v>
      </c>
      <c r="E54" s="2">
        <f t="shared" si="8"/>
        <v>14.027777777778102</v>
      </c>
      <c r="F54" s="2"/>
      <c r="G54" s="43"/>
      <c r="H54" s="8"/>
      <c r="L54" s="10" t="s">
        <v>29</v>
      </c>
      <c r="M54" s="2">
        <f>C54+C53+C51</f>
        <v>913.55555555562023</v>
      </c>
      <c r="N54" s="2">
        <f>D54+D53+D51</f>
        <v>64</v>
      </c>
      <c r="O54" s="2">
        <f>M54/N54</f>
        <v>14.274305555556566</v>
      </c>
      <c r="P54" s="2"/>
      <c r="Q54" s="2"/>
    </row>
    <row r="55" spans="1:18" x14ac:dyDescent="0.25">
      <c r="B55" s="10" t="s">
        <v>3</v>
      </c>
      <c r="C55" s="2">
        <f>F34</f>
        <v>8339.7777777777519</v>
      </c>
      <c r="D55" s="2">
        <f>I31-1</f>
        <v>71</v>
      </c>
      <c r="E55" s="2"/>
      <c r="F55" s="2"/>
      <c r="G55" s="43"/>
      <c r="H55" s="8"/>
      <c r="L55" s="10" t="s">
        <v>3</v>
      </c>
      <c r="M55" s="2"/>
      <c r="N55" s="2"/>
      <c r="O55" s="2"/>
      <c r="P55" s="2"/>
      <c r="Q55" s="2"/>
    </row>
    <row r="58" spans="1:18" x14ac:dyDescent="0.25">
      <c r="A58" t="s">
        <v>106</v>
      </c>
    </row>
    <row r="59" spans="1:18" x14ac:dyDescent="0.25">
      <c r="A59" s="1" t="s">
        <v>105</v>
      </c>
    </row>
    <row r="61" spans="1:18" x14ac:dyDescent="0.25">
      <c r="B61" s="1" t="s">
        <v>107</v>
      </c>
    </row>
    <row r="63" spans="1:18" x14ac:dyDescent="0.25">
      <c r="B63" s="2"/>
      <c r="C63" s="44" t="s">
        <v>75</v>
      </c>
      <c r="D63" s="44" t="s">
        <v>76</v>
      </c>
      <c r="E63" s="44" t="s">
        <v>77</v>
      </c>
      <c r="G63" s="2"/>
      <c r="H63" s="45" t="s">
        <v>71</v>
      </c>
      <c r="I63" s="45" t="s">
        <v>74</v>
      </c>
    </row>
    <row r="64" spans="1:18" x14ac:dyDescent="0.25">
      <c r="B64" s="55" t="s">
        <v>71</v>
      </c>
      <c r="C64" s="2">
        <f>AVERAGE(C16:C27)</f>
        <v>63.5</v>
      </c>
      <c r="D64" s="2">
        <f>AVERAGE(E16:E27)</f>
        <v>56.25</v>
      </c>
      <c r="E64" s="2">
        <f>AVERAGE(G16:G27)</f>
        <v>61.666666666666664</v>
      </c>
      <c r="G64" s="48" t="s">
        <v>72</v>
      </c>
      <c r="H64" s="2">
        <f>AVERAGE(C16:C21,E16:E21,G16:G21)</f>
        <v>70.555555555555557</v>
      </c>
      <c r="I64" s="2">
        <f>AVERAGE(D16:D21,F16:F21,H16:H21)</f>
        <v>73.944444444444443</v>
      </c>
    </row>
    <row r="65" spans="2:13" x14ac:dyDescent="0.25">
      <c r="B65" s="55" t="s">
        <v>74</v>
      </c>
      <c r="C65" s="2">
        <f>AVERAGE(D16:D27)</f>
        <v>61.416666666666664</v>
      </c>
      <c r="D65" s="2">
        <f>AVERAGE(F16:F27)</f>
        <v>70.166666666666671</v>
      </c>
      <c r="E65" s="2">
        <f>AVERAGE(H16:H27)</f>
        <v>65.333333333333329</v>
      </c>
      <c r="G65" s="48" t="s">
        <v>73</v>
      </c>
      <c r="H65" s="2">
        <f>AVERAGE(C22:C27,E22:E27,G22:G27)</f>
        <v>50.388888888888886</v>
      </c>
      <c r="I65" s="2">
        <f>AVERAGE(D22:D27,F22:F27,H22:H27)</f>
        <v>57.333333333333336</v>
      </c>
    </row>
    <row r="68" spans="2:13" x14ac:dyDescent="0.25">
      <c r="M68" t="s">
        <v>108</v>
      </c>
    </row>
    <row r="69" spans="2:13" x14ac:dyDescent="0.25">
      <c r="M69" t="s">
        <v>109</v>
      </c>
    </row>
    <row r="71" spans="2:13" x14ac:dyDescent="0.25">
      <c r="M71" t="s">
        <v>110</v>
      </c>
    </row>
    <row r="72" spans="2:13" x14ac:dyDescent="0.25">
      <c r="M72" t="s">
        <v>111</v>
      </c>
    </row>
    <row r="74" spans="2:13" x14ac:dyDescent="0.25">
      <c r="M74" t="s">
        <v>112</v>
      </c>
    </row>
  </sheetData>
  <mergeCells count="20">
    <mergeCell ref="C32:D32"/>
    <mergeCell ref="E32:F32"/>
    <mergeCell ref="G32:H32"/>
    <mergeCell ref="M20:N20"/>
    <mergeCell ref="O20:P20"/>
    <mergeCell ref="M25:N25"/>
    <mergeCell ref="O25:P25"/>
    <mergeCell ref="M30:N30"/>
    <mergeCell ref="O30:P30"/>
    <mergeCell ref="C14:D14"/>
    <mergeCell ref="E14:F14"/>
    <mergeCell ref="G14:H14"/>
    <mergeCell ref="C31:D31"/>
    <mergeCell ref="E31:F31"/>
    <mergeCell ref="G31:H31"/>
    <mergeCell ref="Q30:R30"/>
    <mergeCell ref="A16:A27"/>
    <mergeCell ref="B16:B21"/>
    <mergeCell ref="B22:B27"/>
    <mergeCell ref="Q20:R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ANOVA BIFACT 3X4</vt:lpstr>
      <vt:lpstr>ANOVA TRIFACT 3X2X2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2015-12-23T19:41:25Z</dcterms:created>
  <dcterms:modified xsi:type="dcterms:W3CDTF">2016-09-02T16:50:10Z</dcterms:modified>
</cp:coreProperties>
</file>