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amilo\Documents\Modelamiento Matematico\Colcafe\Colcafe_Camilo\Datos Cava\"/>
    </mc:Choice>
  </mc:AlternateContent>
  <xr:revisionPtr revIDLastSave="0" documentId="13_ncr:1_{CA5EE3C4-8E97-4153-9564-5C42F6749C48}" xr6:coauthVersionLast="47" xr6:coauthVersionMax="47" xr10:uidLastSave="{00000000-0000-0000-0000-000000000000}"/>
  <bookViews>
    <workbookView xWindow="-20610" yWindow="-2460" windowWidth="20730" windowHeight="11040" activeTab="2" xr2:uid="{00000000-000D-0000-FFFF-FFFF00000000}"/>
  </bookViews>
  <sheets>
    <sheet name="composición" sheetId="1" r:id="rId1"/>
    <sheet name="densidad" sheetId="2" r:id="rId2"/>
    <sheet name="Cp" sheetId="3" r:id="rId3"/>
    <sheet name="H" sheetId="4" r:id="rId4"/>
    <sheet name="k" sheetId="5" r:id="rId5"/>
    <sheet name="curve fiti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3" l="1"/>
  <c r="J41" i="3"/>
  <c r="J42" i="3"/>
  <c r="K42" i="3" s="1"/>
  <c r="J43" i="3"/>
  <c r="K40" i="3"/>
  <c r="B29" i="3"/>
  <c r="F13" i="2"/>
  <c r="B47" i="5"/>
  <c r="B46" i="5"/>
  <c r="B45" i="5"/>
  <c r="B44" i="5"/>
  <c r="B43" i="5"/>
  <c r="B42" i="5"/>
  <c r="B41" i="5"/>
  <c r="B40" i="5"/>
  <c r="B39" i="5"/>
  <c r="B34" i="5"/>
  <c r="B33" i="5"/>
  <c r="N32" i="5"/>
  <c r="B32" i="5"/>
  <c r="B31" i="5"/>
  <c r="B30" i="5"/>
  <c r="B29" i="5"/>
  <c r="B28" i="5"/>
  <c r="B27" i="5"/>
  <c r="B26" i="5"/>
  <c r="R21" i="5"/>
  <c r="Q21" i="5"/>
  <c r="P21" i="5"/>
  <c r="O21" i="5"/>
  <c r="N21" i="5"/>
  <c r="M21" i="5"/>
  <c r="L21" i="5"/>
  <c r="K21" i="5"/>
  <c r="N34" i="5" s="1"/>
  <c r="J21" i="5"/>
  <c r="I21" i="5"/>
  <c r="H34" i="5" s="1"/>
  <c r="H21" i="5"/>
  <c r="G21" i="5"/>
  <c r="L34" i="5" s="1"/>
  <c r="F21" i="5"/>
  <c r="F34" i="5" s="1"/>
  <c r="E21" i="5"/>
  <c r="J34" i="5" s="1"/>
  <c r="D21" i="5"/>
  <c r="C34" i="5" s="1"/>
  <c r="R20" i="5"/>
  <c r="Q20" i="5"/>
  <c r="P20" i="5"/>
  <c r="O20" i="5"/>
  <c r="N20" i="5"/>
  <c r="M20" i="5"/>
  <c r="L20" i="5"/>
  <c r="K20" i="5"/>
  <c r="J20" i="5"/>
  <c r="I20" i="5"/>
  <c r="H33" i="5" s="1"/>
  <c r="H20" i="5"/>
  <c r="G20" i="5"/>
  <c r="L33" i="5" s="1"/>
  <c r="F20" i="5"/>
  <c r="N33" i="5" s="1"/>
  <c r="E20" i="5"/>
  <c r="J33" i="5" s="1"/>
  <c r="D20" i="5"/>
  <c r="C33" i="5" s="1"/>
  <c r="R19" i="5"/>
  <c r="Q19" i="5"/>
  <c r="P19" i="5"/>
  <c r="O19" i="5"/>
  <c r="N19" i="5"/>
  <c r="M19" i="5"/>
  <c r="L19" i="5"/>
  <c r="K19" i="5"/>
  <c r="J19" i="5"/>
  <c r="I19" i="5"/>
  <c r="H19" i="5"/>
  <c r="G19" i="5"/>
  <c r="L32" i="5" s="1"/>
  <c r="F19" i="5"/>
  <c r="H32" i="5" s="1"/>
  <c r="E19" i="5"/>
  <c r="J32" i="5" s="1"/>
  <c r="D19" i="5"/>
  <c r="D32" i="5" s="1"/>
  <c r="R18" i="5"/>
  <c r="Q18" i="5"/>
  <c r="P18" i="5"/>
  <c r="O18" i="5"/>
  <c r="N18" i="5"/>
  <c r="M18" i="5"/>
  <c r="L18" i="5"/>
  <c r="K18" i="5"/>
  <c r="J18" i="5"/>
  <c r="I18" i="5"/>
  <c r="H31" i="5" s="1"/>
  <c r="H18" i="5"/>
  <c r="D31" i="5" s="1"/>
  <c r="G18" i="5"/>
  <c r="F18" i="5"/>
  <c r="F31" i="5" s="1"/>
  <c r="E18" i="5"/>
  <c r="J31" i="5" s="1"/>
  <c r="C18" i="5"/>
  <c r="D18" i="5" s="1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C17" i="5"/>
  <c r="D17" i="5" s="1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C15" i="5"/>
  <c r="D15" i="5" s="1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C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C13" i="5"/>
  <c r="B20" i="4"/>
  <c r="B22" i="4" s="1"/>
  <c r="B14" i="4"/>
  <c r="E27" i="4" s="1"/>
  <c r="I43" i="3"/>
  <c r="H43" i="3"/>
  <c r="G43" i="3"/>
  <c r="F43" i="3"/>
  <c r="E43" i="3"/>
  <c r="I42" i="3"/>
  <c r="H42" i="3"/>
  <c r="G42" i="3"/>
  <c r="F42" i="3"/>
  <c r="E42" i="3"/>
  <c r="I41" i="3"/>
  <c r="H41" i="3"/>
  <c r="G41" i="3"/>
  <c r="F41" i="3"/>
  <c r="E41" i="3"/>
  <c r="I40" i="3"/>
  <c r="H40" i="3"/>
  <c r="G40" i="3"/>
  <c r="F40" i="3"/>
  <c r="E40" i="3"/>
  <c r="J39" i="3"/>
  <c r="K39" i="3" s="1"/>
  <c r="I39" i="3"/>
  <c r="H39" i="3"/>
  <c r="G39" i="3"/>
  <c r="F39" i="3"/>
  <c r="E39" i="3"/>
  <c r="J38" i="3"/>
  <c r="I38" i="3"/>
  <c r="H38" i="3"/>
  <c r="K38" i="3" s="1"/>
  <c r="G38" i="3"/>
  <c r="F38" i="3"/>
  <c r="E38" i="3"/>
  <c r="J37" i="3"/>
  <c r="K37" i="3" s="1"/>
  <c r="I37" i="3"/>
  <c r="H37" i="3"/>
  <c r="G37" i="3"/>
  <c r="F37" i="3"/>
  <c r="E37" i="3"/>
  <c r="J36" i="3"/>
  <c r="I36" i="3"/>
  <c r="H36" i="3"/>
  <c r="G36" i="3"/>
  <c r="F36" i="3"/>
  <c r="K36" i="3" s="1"/>
  <c r="E36" i="3"/>
  <c r="J35" i="3"/>
  <c r="K35" i="3" s="1"/>
  <c r="I35" i="3"/>
  <c r="H35" i="3"/>
  <c r="G35" i="3"/>
  <c r="F35" i="3"/>
  <c r="E35" i="3"/>
  <c r="J34" i="3"/>
  <c r="K34" i="3" s="1"/>
  <c r="I34" i="3"/>
  <c r="H34" i="3"/>
  <c r="G34" i="3"/>
  <c r="F34" i="3"/>
  <c r="E34" i="3"/>
  <c r="J33" i="3"/>
  <c r="I33" i="3"/>
  <c r="H33" i="3"/>
  <c r="G33" i="3"/>
  <c r="F33" i="3"/>
  <c r="E33" i="3"/>
  <c r="J32" i="3"/>
  <c r="I32" i="3"/>
  <c r="H32" i="3"/>
  <c r="G32" i="3"/>
  <c r="F32" i="3"/>
  <c r="E32" i="3"/>
  <c r="J31" i="3"/>
  <c r="I31" i="3"/>
  <c r="H31" i="3"/>
  <c r="G31" i="3"/>
  <c r="F31" i="3"/>
  <c r="E31" i="3"/>
  <c r="B31" i="3"/>
  <c r="K30" i="3" s="1"/>
  <c r="J30" i="3"/>
  <c r="I30" i="3"/>
  <c r="H30" i="3"/>
  <c r="G30" i="3"/>
  <c r="F30" i="3"/>
  <c r="E30" i="3"/>
  <c r="J29" i="3"/>
  <c r="I29" i="3"/>
  <c r="H29" i="3"/>
  <c r="G29" i="3"/>
  <c r="F29" i="3"/>
  <c r="E29" i="3"/>
  <c r="J28" i="3"/>
  <c r="I28" i="3"/>
  <c r="H28" i="3"/>
  <c r="G28" i="3"/>
  <c r="F28" i="3"/>
  <c r="E28" i="3"/>
  <c r="J27" i="3"/>
  <c r="I27" i="3"/>
  <c r="H27" i="3"/>
  <c r="G27" i="3"/>
  <c r="F27" i="3"/>
  <c r="E27" i="3"/>
  <c r="J26" i="3"/>
  <c r="I26" i="3"/>
  <c r="H26" i="3"/>
  <c r="G26" i="3"/>
  <c r="F26" i="3"/>
  <c r="E26" i="3"/>
  <c r="J25" i="3"/>
  <c r="I25" i="3"/>
  <c r="H25" i="3"/>
  <c r="G25" i="3"/>
  <c r="F25" i="3"/>
  <c r="E25" i="3"/>
  <c r="J24" i="3"/>
  <c r="I24" i="3"/>
  <c r="H24" i="3"/>
  <c r="G24" i="3"/>
  <c r="F24" i="3"/>
  <c r="E24" i="3"/>
  <c r="B23" i="3"/>
  <c r="B46" i="3" s="1"/>
  <c r="K24" i="2"/>
  <c r="L24" i="2" s="1"/>
  <c r="I24" i="2"/>
  <c r="H24" i="2"/>
  <c r="G24" i="2"/>
  <c r="F24" i="2"/>
  <c r="E24" i="2"/>
  <c r="D24" i="2"/>
  <c r="C24" i="2"/>
  <c r="K23" i="2"/>
  <c r="L23" i="2" s="1"/>
  <c r="I23" i="2"/>
  <c r="H23" i="2"/>
  <c r="G23" i="2"/>
  <c r="F23" i="2"/>
  <c r="E23" i="2"/>
  <c r="D23" i="2"/>
  <c r="C23" i="2"/>
  <c r="K22" i="2"/>
  <c r="I22" i="2"/>
  <c r="H22" i="2"/>
  <c r="G22" i="2"/>
  <c r="F22" i="2"/>
  <c r="L22" i="2" s="1"/>
  <c r="E22" i="2"/>
  <c r="D22" i="2"/>
  <c r="C22" i="2"/>
  <c r="K21" i="2"/>
  <c r="L21" i="2" s="1"/>
  <c r="I21" i="2"/>
  <c r="H21" i="2"/>
  <c r="G21" i="2"/>
  <c r="F21" i="2"/>
  <c r="E21" i="2"/>
  <c r="D21" i="2"/>
  <c r="C21" i="2"/>
  <c r="K20" i="2"/>
  <c r="L20" i="2" s="1"/>
  <c r="I20" i="2"/>
  <c r="H20" i="2"/>
  <c r="G20" i="2"/>
  <c r="F20" i="2"/>
  <c r="E20" i="2"/>
  <c r="D20" i="2"/>
  <c r="C20" i="2"/>
  <c r="K19" i="2"/>
  <c r="L19" i="2" s="1"/>
  <c r="J19" i="2"/>
  <c r="I19" i="2"/>
  <c r="H19" i="2"/>
  <c r="G19" i="2"/>
  <c r="F19" i="2"/>
  <c r="E19" i="2"/>
  <c r="D19" i="2"/>
  <c r="C19" i="2"/>
  <c r="J18" i="2"/>
  <c r="K18" i="2" s="1"/>
  <c r="L18" i="2" s="1"/>
  <c r="I18" i="2"/>
  <c r="H18" i="2"/>
  <c r="G18" i="2"/>
  <c r="F18" i="2"/>
  <c r="E18" i="2"/>
  <c r="D18" i="2"/>
  <c r="C18" i="2"/>
  <c r="K17" i="2"/>
  <c r="J17" i="2"/>
  <c r="I17" i="2"/>
  <c r="H17" i="2"/>
  <c r="G17" i="2"/>
  <c r="F17" i="2"/>
  <c r="L17" i="2" s="1"/>
  <c r="E17" i="2"/>
  <c r="D17" i="2"/>
  <c r="C17" i="2"/>
  <c r="K16" i="2"/>
  <c r="L16" i="2" s="1"/>
  <c r="J16" i="2"/>
  <c r="I16" i="2"/>
  <c r="H16" i="2"/>
  <c r="G16" i="2"/>
  <c r="F16" i="2"/>
  <c r="E16" i="2"/>
  <c r="D16" i="2"/>
  <c r="C16" i="2"/>
  <c r="J15" i="2"/>
  <c r="K15" i="2" s="1"/>
  <c r="L15" i="2" s="1"/>
  <c r="I15" i="2"/>
  <c r="H15" i="2"/>
  <c r="G15" i="2"/>
  <c r="F15" i="2"/>
  <c r="E15" i="2"/>
  <c r="D15" i="2"/>
  <c r="C15" i="2"/>
  <c r="J14" i="2"/>
  <c r="K14" i="2" s="1"/>
  <c r="L14" i="2" s="1"/>
  <c r="I14" i="2"/>
  <c r="H14" i="2"/>
  <c r="G14" i="2"/>
  <c r="F14" i="2"/>
  <c r="E14" i="2"/>
  <c r="D14" i="2"/>
  <c r="C14" i="2"/>
  <c r="J13" i="2"/>
  <c r="K13" i="2" s="1"/>
  <c r="I13" i="2"/>
  <c r="H13" i="2"/>
  <c r="G13" i="2"/>
  <c r="E13" i="2"/>
  <c r="D13" i="2"/>
  <c r="C13" i="2"/>
  <c r="D10" i="1"/>
  <c r="C10" i="1"/>
  <c r="D9" i="1"/>
  <c r="B9" i="1"/>
  <c r="D8" i="1"/>
  <c r="B8" i="1" s="1"/>
  <c r="D7" i="1"/>
  <c r="B7" i="1"/>
  <c r="L6" i="1"/>
  <c r="D6" i="1"/>
  <c r="B6" i="1"/>
  <c r="D5" i="1"/>
  <c r="B5" i="1"/>
  <c r="D4" i="1"/>
  <c r="B4" i="1"/>
  <c r="L3" i="1"/>
  <c r="L9" i="1" s="1"/>
  <c r="J3" i="1"/>
  <c r="J6" i="1" s="1"/>
  <c r="H3" i="1"/>
  <c r="H6" i="1" s="1"/>
  <c r="F3" i="1"/>
  <c r="F8" i="1" s="1"/>
  <c r="D3" i="1"/>
  <c r="K41" i="3" l="1"/>
  <c r="K43" i="3"/>
  <c r="L13" i="2"/>
  <c r="L31" i="5"/>
  <c r="N31" i="5"/>
  <c r="C31" i="5"/>
  <c r="J27" i="5"/>
  <c r="L28" i="5"/>
  <c r="E33" i="4"/>
  <c r="E32" i="4"/>
  <c r="E31" i="4"/>
  <c r="E30" i="4"/>
  <c r="E29" i="4"/>
  <c r="E36" i="4"/>
  <c r="E35" i="4"/>
  <c r="E28" i="4"/>
  <c r="E34" i="4"/>
  <c r="H30" i="5"/>
  <c r="J30" i="5"/>
  <c r="L30" i="5"/>
  <c r="D30" i="5"/>
  <c r="E30" i="5" s="1"/>
  <c r="G30" i="5" s="1"/>
  <c r="I30" i="5" s="1"/>
  <c r="K30" i="5" s="1"/>
  <c r="M30" i="5" s="1"/>
  <c r="O30" i="5" s="1"/>
  <c r="C43" i="5" s="1"/>
  <c r="C30" i="5"/>
  <c r="D28" i="5"/>
  <c r="E28" i="5" s="1"/>
  <c r="G28" i="5" s="1"/>
  <c r="I28" i="5" s="1"/>
  <c r="K28" i="5" s="1"/>
  <c r="M28" i="5" s="1"/>
  <c r="O28" i="5" s="1"/>
  <c r="C41" i="5" s="1"/>
  <c r="H28" i="5"/>
  <c r="C28" i="5"/>
  <c r="J28" i="5"/>
  <c r="F28" i="5"/>
  <c r="E19" i="4"/>
  <c r="E18" i="4"/>
  <c r="E21" i="4"/>
  <c r="E24" i="4"/>
  <c r="E23" i="4"/>
  <c r="E20" i="4"/>
  <c r="E22" i="4"/>
  <c r="N27" i="5"/>
  <c r="H26" i="5"/>
  <c r="L27" i="5"/>
  <c r="E32" i="5"/>
  <c r="E31" i="5"/>
  <c r="G31" i="5" s="1"/>
  <c r="I31" i="5" s="1"/>
  <c r="K31" i="5" s="1"/>
  <c r="M31" i="5" s="1"/>
  <c r="O31" i="5" s="1"/>
  <c r="C44" i="5" s="1"/>
  <c r="H8" i="1"/>
  <c r="K24" i="3"/>
  <c r="D14" i="5"/>
  <c r="E4" i="1"/>
  <c r="F4" i="1" s="1"/>
  <c r="K31" i="3"/>
  <c r="E25" i="4"/>
  <c r="K26" i="3"/>
  <c r="J8" i="1"/>
  <c r="D13" i="5"/>
  <c r="J26" i="5" s="1"/>
  <c r="D33" i="5"/>
  <c r="E33" i="5" s="1"/>
  <c r="G33" i="5" s="1"/>
  <c r="I33" i="5" s="1"/>
  <c r="K33" i="5" s="1"/>
  <c r="M33" i="5" s="1"/>
  <c r="O33" i="5" s="1"/>
  <c r="C46" i="5" s="1"/>
  <c r="L8" i="1"/>
  <c r="K29" i="3"/>
  <c r="E26" i="4"/>
  <c r="N28" i="5"/>
  <c r="F32" i="5"/>
  <c r="K27" i="3"/>
  <c r="F33" i="5"/>
  <c r="L5" i="1"/>
  <c r="G4" i="1"/>
  <c r="J7" i="1"/>
  <c r="F9" i="1"/>
  <c r="I4" i="1"/>
  <c r="D34" i="5"/>
  <c r="E34" i="5" s="1"/>
  <c r="G34" i="5" s="1"/>
  <c r="I34" i="5" s="1"/>
  <c r="K34" i="5" s="1"/>
  <c r="M34" i="5" s="1"/>
  <c r="O34" i="5" s="1"/>
  <c r="C47" i="5" s="1"/>
  <c r="K28" i="3"/>
  <c r="F5" i="1"/>
  <c r="D16" i="5"/>
  <c r="N29" i="5" s="1"/>
  <c r="N30" i="5"/>
  <c r="K33" i="3"/>
  <c r="H7" i="1"/>
  <c r="F6" i="1"/>
  <c r="H9" i="1"/>
  <c r="K4" i="1"/>
  <c r="F30" i="5"/>
  <c r="H5" i="1"/>
  <c r="J5" i="1"/>
  <c r="C32" i="5"/>
  <c r="L7" i="1"/>
  <c r="K25" i="3"/>
  <c r="J9" i="1"/>
  <c r="F7" i="1"/>
  <c r="K32" i="3"/>
  <c r="G32" i="5" l="1"/>
  <c r="I32" i="5" s="1"/>
  <c r="K32" i="5" s="1"/>
  <c r="M32" i="5" s="1"/>
  <c r="O32" i="5" s="1"/>
  <c r="C45" i="5" s="1"/>
  <c r="N26" i="5"/>
  <c r="E5" i="1"/>
  <c r="F29" i="5"/>
  <c r="I9" i="1"/>
  <c r="I8" i="1"/>
  <c r="E6" i="1"/>
  <c r="L29" i="5"/>
  <c r="C29" i="5"/>
  <c r="J29" i="5"/>
  <c r="H29" i="5"/>
  <c r="K7" i="1"/>
  <c r="E7" i="1"/>
  <c r="L26" i="5"/>
  <c r="D29" i="5"/>
  <c r="E29" i="5" s="1"/>
  <c r="F10" i="1"/>
  <c r="H4" i="1"/>
  <c r="H10" i="1" s="1"/>
  <c r="C27" i="5"/>
  <c r="H27" i="5"/>
  <c r="D27" i="5"/>
  <c r="E27" i="5" s="1"/>
  <c r="F27" i="5"/>
  <c r="L4" i="1"/>
  <c r="L10" i="1" s="1"/>
  <c r="G8" i="1"/>
  <c r="F26" i="5"/>
  <c r="C26" i="5"/>
  <c r="D26" i="5"/>
  <c r="E26" i="5" s="1"/>
  <c r="J4" i="1"/>
  <c r="J10" i="1" s="1"/>
  <c r="E9" i="1"/>
  <c r="G9" i="1"/>
  <c r="K6" i="1" l="1"/>
  <c r="K9" i="1"/>
  <c r="K5" i="1"/>
  <c r="G27" i="5"/>
  <c r="I27" i="5" s="1"/>
  <c r="K27" i="5" s="1"/>
  <c r="M27" i="5" s="1"/>
  <c r="O27" i="5" s="1"/>
  <c r="C40" i="5" s="1"/>
  <c r="G6" i="1"/>
  <c r="I6" i="1"/>
  <c r="G5" i="1"/>
  <c r="E10" i="1"/>
  <c r="E8" i="1"/>
  <c r="I7" i="1"/>
  <c r="K8" i="1"/>
  <c r="G26" i="5"/>
  <c r="I26" i="5" s="1"/>
  <c r="K26" i="5" s="1"/>
  <c r="M26" i="5" s="1"/>
  <c r="O26" i="5" s="1"/>
  <c r="C39" i="5" s="1"/>
  <c r="I5" i="1"/>
  <c r="I10" i="1" s="1"/>
  <c r="G29" i="5"/>
  <c r="I29" i="5" s="1"/>
  <c r="K29" i="5" s="1"/>
  <c r="M29" i="5" s="1"/>
  <c r="O29" i="5" s="1"/>
  <c r="C42" i="5" s="1"/>
  <c r="G7" i="1"/>
  <c r="G10" i="1" l="1"/>
  <c r="K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4" authorId="0" shapeId="0" xr:uid="{00000000-0006-0000-0200-000001000000}">
      <text>
        <r>
          <rPr>
            <sz val="10"/>
            <color rgb="FF000000"/>
            <rFont val="Arial"/>
            <scheme val="minor"/>
          </rPr>
          <t xml:space="preserve">inicial frozen point of
 food
</t>
        </r>
      </text>
    </comment>
    <comment ref="A26" authorId="0" shapeId="0" xr:uid="{00000000-0006-0000-0200-000002000000}">
      <text>
        <r>
          <rPr>
            <sz val="10"/>
            <color rgb="FF000000"/>
            <rFont val="Arial"/>
            <scheme val="minor"/>
          </rPr>
          <t xml:space="preserve">freezing point of water
</t>
        </r>
      </text>
    </comment>
    <comment ref="A27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fracción de agua en en T&gt;Tf
</t>
        </r>
      </text>
    </comment>
    <comment ref="A29" authorId="0" shapeId="0" xr:uid="{00000000-0006-0000-0200-000004000000}">
      <text>
        <r>
          <rPr>
            <sz val="10"/>
            <color rgb="FF000000"/>
            <rFont val="Arial"/>
            <scheme val="minor"/>
          </rPr>
          <t xml:space="preserve">agua que no se congela "bond water"
</t>
        </r>
      </text>
    </comment>
    <comment ref="A30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calor latente agua a 273,2 K en [kJ/kg]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5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inicial frozen point of
 food °C
</t>
        </r>
      </text>
    </comment>
    <comment ref="A17" authorId="0" shapeId="0" xr:uid="{00000000-0006-0000-0300-000002000000}">
      <text>
        <r>
          <rPr>
            <sz val="10"/>
            <color rgb="FF000000"/>
            <rFont val="Arial"/>
            <scheme val="minor"/>
          </rPr>
          <t xml:space="preserve">freezing point of water
</t>
        </r>
      </text>
    </comment>
    <comment ref="A18" authorId="0" shapeId="0" xr:uid="{00000000-0006-0000-0300-000003000000}">
      <text>
        <r>
          <rPr>
            <sz val="10"/>
            <color rgb="FF000000"/>
            <rFont val="Arial"/>
            <scheme val="minor"/>
          </rPr>
          <t xml:space="preserve">fracción de agua en en T&gt;Tf
</t>
        </r>
      </text>
    </comment>
    <comment ref="A20" authorId="0" shapeId="0" xr:uid="{00000000-0006-0000-0300-000004000000}">
      <text>
        <r>
          <rPr>
            <sz val="10"/>
            <color rgb="FF000000"/>
            <rFont val="Arial"/>
            <scheme val="minor"/>
          </rPr>
          <t xml:space="preserve">agua que no se congela "bond water"
</t>
        </r>
      </text>
    </comment>
    <comment ref="A21" authorId="0" shapeId="0" xr:uid="{00000000-0006-0000-0300-000005000000}">
      <text>
        <r>
          <rPr>
            <sz val="10"/>
            <color rgb="FF000000"/>
            <rFont val="Arial"/>
            <scheme val="minor"/>
          </rPr>
          <t xml:space="preserve">calor latente agua a 273,2 K en [kJ/kg]
</t>
        </r>
      </text>
    </comment>
  </commentList>
</comments>
</file>

<file path=xl/sharedStrings.xml><?xml version="1.0" encoding="utf-8"?>
<sst xmlns="http://schemas.openxmlformats.org/spreadsheetml/2006/main" count="155" uniqueCount="91">
  <si>
    <t>°Brix</t>
  </si>
  <si>
    <t xml:space="preserve">kg </t>
  </si>
  <si>
    <t>kg</t>
  </si>
  <si>
    <t>Composición</t>
  </si>
  <si>
    <t>Base seca</t>
  </si>
  <si>
    <t>Humedad</t>
  </si>
  <si>
    <t>Fibra</t>
  </si>
  <si>
    <t>Lípidos</t>
  </si>
  <si>
    <t>Cenizas</t>
  </si>
  <si>
    <t>Proteínas</t>
  </si>
  <si>
    <t>Carbohidratos</t>
  </si>
  <si>
    <t>kg Sln</t>
  </si>
  <si>
    <t>FCS</t>
  </si>
  <si>
    <t>STK</t>
  </si>
  <si>
    <t>Proteinas</t>
  </si>
  <si>
    <t>T congeación °C</t>
  </si>
  <si>
    <t>Densidades rho i [kg/m3]</t>
  </si>
  <si>
    <t>Tomado de [1] R. of Heating and A.-C. Engineers, 2006 Ashrae Handbook: Refrigeration. ASHRAE, 2006.</t>
  </si>
  <si>
    <t>agua</t>
  </si>
  <si>
    <t>Hielo</t>
  </si>
  <si>
    <t>Temperatura</t>
  </si>
  <si>
    <t>rho proteina</t>
  </si>
  <si>
    <t>rho lipidos</t>
  </si>
  <si>
    <t>rho carbohidrados</t>
  </si>
  <si>
    <t>rho fibra</t>
  </si>
  <si>
    <t>rho cenizas</t>
  </si>
  <si>
    <t>rho agua</t>
  </si>
  <si>
    <t>rho hielo</t>
  </si>
  <si>
    <t>Fracción hielo</t>
  </si>
  <si>
    <t xml:space="preserve">Fracción agua </t>
  </si>
  <si>
    <t>rho extracto</t>
  </si>
  <si>
    <t>40 brix</t>
  </si>
  <si>
    <t>52 brix</t>
  </si>
  <si>
    <t>Gráfico</t>
  </si>
  <si>
    <t>Temperatura °C</t>
  </si>
  <si>
    <t>rho extracto [kg/m3]</t>
  </si>
  <si>
    <t>kJ/kg °C</t>
  </si>
  <si>
    <t>Xs [kg sólidos/kg sln]</t>
  </si>
  <si>
    <t>T °C</t>
  </si>
  <si>
    <t>Cp proteina</t>
  </si>
  <si>
    <t>Cp grasa</t>
  </si>
  <si>
    <t>Cp carbohidrato</t>
  </si>
  <si>
    <t>Cp fibra</t>
  </si>
  <si>
    <t>Cp ceniza</t>
  </si>
  <si>
    <t>Cp agua</t>
  </si>
  <si>
    <t>cp extracto</t>
  </si>
  <si>
    <t>Tf °C</t>
  </si>
  <si>
    <t>R [kJ/kg mol K]</t>
  </si>
  <si>
    <t>To [K]</t>
  </si>
  <si>
    <t>Xwo</t>
  </si>
  <si>
    <t>fracción proteina</t>
  </si>
  <si>
    <t xml:space="preserve">Xb </t>
  </si>
  <si>
    <t>Lo</t>
  </si>
  <si>
    <t>Ms</t>
  </si>
  <si>
    <t>Cp correlación t&gt;tf</t>
  </si>
  <si>
    <t>T [°C]</t>
  </si>
  <si>
    <t>cp extracto [kJ/kg °C]</t>
  </si>
  <si>
    <t>T</t>
  </si>
  <si>
    <t>h [kJ/kg]</t>
  </si>
  <si>
    <t>Ms K/ mol°C</t>
  </si>
  <si>
    <t>hielo</t>
  </si>
  <si>
    <t>k proteina</t>
  </si>
  <si>
    <t>k lipidos</t>
  </si>
  <si>
    <t>k carbohidrados</t>
  </si>
  <si>
    <t>k  fibra</t>
  </si>
  <si>
    <t>k cenizas</t>
  </si>
  <si>
    <t>k agua</t>
  </si>
  <si>
    <t>k hielo</t>
  </si>
  <si>
    <t>Iteraciones medio continuo y disperso</t>
  </si>
  <si>
    <t>Fibra en agua</t>
  </si>
  <si>
    <t>Lipidos en fibra y agua</t>
  </si>
  <si>
    <t>cenizas en lipidos fibra y agua</t>
  </si>
  <si>
    <t>proteinas en cenizas lipidos fibra y agua</t>
  </si>
  <si>
    <t>carbohidrados en proteinas, cenizas, lipidos, fibra y agua</t>
  </si>
  <si>
    <t>hielo en agua y solidos</t>
  </si>
  <si>
    <t>Xi ^v Agua =Xc^v</t>
  </si>
  <si>
    <t>Xi ^v  Fibra = Xd^v</t>
  </si>
  <si>
    <t>k fibra en agua</t>
  </si>
  <si>
    <t>Xi ^v  Lipidos = Xd^v</t>
  </si>
  <si>
    <t>k lipidos en agua y fibra</t>
  </si>
  <si>
    <t>Xi ^v  cenizas = Xd^v</t>
  </si>
  <si>
    <t>kcenizas en lipidos, agua y fibra</t>
  </si>
  <si>
    <t>Xi ^v  proteinas = Xd^v</t>
  </si>
  <si>
    <t>k proteinas en cenizas, lipidos, agua y fibra</t>
  </si>
  <si>
    <t>Xi ^v  carbohidratos = Xd^v</t>
  </si>
  <si>
    <t>k carbohidrato en proteinas, cenizas, lipidos, agua y fibra</t>
  </si>
  <si>
    <t>Xi ^v hielo = Xd^v</t>
  </si>
  <si>
    <t>k hielo en agua y solidos</t>
  </si>
  <si>
    <t>Gráfica</t>
  </si>
  <si>
    <t>densidad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</si>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</sst>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0"/>
    <numFmt numFmtId="165" formatCode="0.0%"/>
    <numFmt numFmtId="166" formatCode="0.0"/>
    <numFmt numFmtId="167" formatCode="0.000000"/>
    <numFmt numFmtId="168" formatCode="#,##0.00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color rgb="FF1F1F1F"/>
      <name val="&quot;Google Sans&quot;"/>
    </font>
    <font>
      <sz val="9"/>
      <color theme="1"/>
      <name val="Arial"/>
      <scheme val="minor"/>
    </font>
    <font>
      <sz val="9"/>
      <color rgb="FF1F1F1F"/>
      <name val="&quot;Google Sans&quot;"/>
    </font>
    <font>
      <sz val="11"/>
      <color rgb="FF1F1F1F"/>
      <name val="&quot;Google Sans&quot;"/>
    </font>
    <font>
      <sz val="10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DBDBD"/>
        <bgColor rgb="FFBDBDBD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165" fontId="1" fillId="3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left"/>
    </xf>
    <xf numFmtId="165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left"/>
    </xf>
    <xf numFmtId="0" fontId="1" fillId="0" borderId="0" xfId="0" applyFont="1"/>
    <xf numFmtId="10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6" borderId="0" xfId="0" applyFont="1" applyFill="1"/>
    <xf numFmtId="164" fontId="1" fillId="0" borderId="0" xfId="0" applyNumberFormat="1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5" fillId="6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2" fontId="7" fillId="6" borderId="0" xfId="0" applyNumberFormat="1" applyFont="1" applyFill="1" applyAlignment="1">
      <alignment horizontal="center" vertical="center"/>
    </xf>
    <xf numFmtId="164" fontId="7" fillId="6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2" fontId="7" fillId="5" borderId="0" xfId="0" applyNumberFormat="1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2" fontId="1" fillId="0" borderId="1" xfId="0" applyNumberFormat="1" applyFont="1" applyBorder="1"/>
    <xf numFmtId="0" fontId="4" fillId="6" borderId="0" xfId="0" applyFont="1" applyFill="1" applyAlignment="1">
      <alignment wrapText="1"/>
    </xf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3" xfId="0" applyFont="1" applyBorder="1"/>
    <xf numFmtId="0" fontId="1" fillId="0" borderId="2" xfId="0" applyFont="1" applyBorder="1" applyAlignment="1">
      <alignment horizontal="center" vertical="center"/>
    </xf>
    <xf numFmtId="0" fontId="6" fillId="0" borderId="4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wrapText="1"/>
    </xf>
    <xf numFmtId="168" fontId="1" fillId="0" borderId="1" xfId="0" applyNumberFormat="1" applyFont="1" applyBorder="1" applyAlignment="1">
      <alignment horizontal="center" wrapText="1"/>
    </xf>
    <xf numFmtId="2" fontId="1" fillId="9" borderId="0" xfId="0" applyNumberFormat="1" applyFont="1" applyFill="1" applyAlignment="1">
      <alignment horizontal="center" wrapText="1"/>
    </xf>
  </cellXfs>
  <cellStyles count="1">
    <cellStyle name="Normal" xfId="0" builtinId="0"/>
  </cellStyles>
  <dxfs count="29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densidad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Cp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H-style" pivot="0" count="3" xr9:uid="{00000000-0011-0000-FFFF-FFFF02000000}">
      <tableStyleElement type="headerRow" dxfId="22"/>
      <tableStyleElement type="firstRowStripe" dxfId="21"/>
      <tableStyleElement type="secondRowStripe" dxfId="20"/>
    </tableStyle>
    <tableStyle name="k-style" pivot="0" count="3" xr9:uid="{00000000-0011-0000-FFFF-FFFF03000000}">
      <tableStyleElement type="headerRow" dxfId="19"/>
      <tableStyleElement type="firstRowStripe" dxfId="18"/>
      <tableStyleElement type="secondRowStripe" dxfId="17"/>
    </tableStyle>
    <tableStyle name="k-style 2" pivot="0" count="3" xr9:uid="{00000000-0011-0000-FFFF-FFFF04000000}">
      <tableStyleElement type="headerRow" dxfId="16"/>
      <tableStyleElement type="firstRowStripe" dxfId="15"/>
      <tableStyleElement type="secondRowStripe" dxfId="14"/>
    </tableStyle>
    <tableStyle name="k-style 3" pivot="0" count="3" xr9:uid="{00000000-0011-0000-FFFF-FFFF05000000}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rho vs. T para 40°Brix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densidad!$A$29:$A$40</c:f>
              <c:numCache>
                <c:formatCode>General</c:formatCode>
                <c:ptCount val="12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-7</c:v>
                </c:pt>
                <c:pt idx="5">
                  <c:v>-5</c:v>
                </c:pt>
                <c:pt idx="6">
                  <c:v>-4.5</c:v>
                </c:pt>
                <c:pt idx="7">
                  <c:v>-4</c:v>
                </c:pt>
                <c:pt idx="8">
                  <c:v>-2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</c:numCache>
            </c:numRef>
          </c:cat>
          <c:val>
            <c:numRef>
              <c:f>densidad!$B$29:$B$40</c:f>
              <c:numCache>
                <c:formatCode>0.0</c:formatCode>
                <c:ptCount val="12"/>
                <c:pt idx="0">
                  <c:v>1082.6678797603961</c:v>
                </c:pt>
                <c:pt idx="1">
                  <c:v>1083.2786534125876</c:v>
                </c:pt>
                <c:pt idx="2">
                  <c:v>1086.1640217480026</c:v>
                </c:pt>
                <c:pt idx="3">
                  <c:v>1098.3290675137032</c:v>
                </c:pt>
                <c:pt idx="4">
                  <c:v>1109.9541083648146</c:v>
                </c:pt>
                <c:pt idx="5">
                  <c:v>1126.2055402660674</c:v>
                </c:pt>
                <c:pt idx="6">
                  <c:v>1132.7058837535239</c:v>
                </c:pt>
                <c:pt idx="7">
                  <c:v>1140.9609429717159</c:v>
                </c:pt>
                <c:pt idx="8">
                  <c:v>1140.8733162588342</c:v>
                </c:pt>
                <c:pt idx="9">
                  <c:v>1140.7595118307593</c:v>
                </c:pt>
                <c:pt idx="10">
                  <c:v>1139.7984408066741</c:v>
                </c:pt>
                <c:pt idx="11">
                  <c:v>1138.1852629486798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C-4A10-8411-6966CA95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2230"/>
        <c:axId val="1006753322"/>
      </c:lineChart>
      <c:catAx>
        <c:axId val="5944223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Temperatura °C</a:t>
                </a:r>
              </a:p>
            </c:rich>
          </c:tx>
          <c:layout>
            <c:manualLayout>
              <c:xMode val="edge"/>
              <c:yMode val="edge"/>
              <c:x val="0.24186721743295014"/>
              <c:y val="0.894444444444444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06753322"/>
        <c:crosses val="autoZero"/>
        <c:auto val="1"/>
        <c:lblAlgn val="ctr"/>
        <c:lblOffset val="100"/>
        <c:noMultiLvlLbl val="1"/>
      </c:catAx>
      <c:valAx>
        <c:axId val="1006753322"/>
        <c:scaling>
          <c:orientation val="minMax"/>
          <c:max val="13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rho extracto kg/m3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59442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hielo en agua y solidos frente a Temperatura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k!$B$39:$B$47</c:f>
              <c:numCache>
                <c:formatCode>General</c:formatCode>
                <c:ptCount val="9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-6</c:v>
                </c:pt>
                <c:pt idx="5">
                  <c:v>-4.5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</c:numCache>
            </c:numRef>
          </c:cat>
          <c:val>
            <c:numRef>
              <c:f>k!$C$39:$C$47</c:f>
              <c:numCache>
                <c:formatCode>0.00</c:formatCode>
                <c:ptCount val="9"/>
                <c:pt idx="0">
                  <c:v>0.99188534878817269</c:v>
                </c:pt>
                <c:pt idx="1">
                  <c:v>1.0029646114067252</c:v>
                </c:pt>
                <c:pt idx="2">
                  <c:v>0.97926198175441126</c:v>
                </c:pt>
                <c:pt idx="3">
                  <c:v>0.84470623530521916</c:v>
                </c:pt>
                <c:pt idx="4">
                  <c:v>0.6595912979591404</c:v>
                </c:pt>
                <c:pt idx="5">
                  <c:v>0.5208569503527839</c:v>
                </c:pt>
                <c:pt idx="6">
                  <c:v>0.46397089617962195</c:v>
                </c:pt>
                <c:pt idx="7">
                  <c:v>0.48003017527194886</c:v>
                </c:pt>
                <c:pt idx="8">
                  <c:v>0.49493717563617368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7-4AA7-AC48-A13917D1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317057"/>
        <c:axId val="1576011261"/>
      </c:lineChart>
      <c:catAx>
        <c:axId val="1791317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76011261"/>
        <c:crosses val="autoZero"/>
        <c:auto val="1"/>
        <c:lblAlgn val="ctr"/>
        <c:lblOffset val="100"/>
        <c:noMultiLvlLbl val="1"/>
      </c:catAx>
      <c:valAx>
        <c:axId val="1576011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 hielo en agua y solidos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7913170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hielo en agua y solidos frente a Temperatura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k!$C$38</c:f>
              <c:strCache>
                <c:ptCount val="1"/>
                <c:pt idx="0">
                  <c:v>k hielo en agua y solidos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k!$B$39:$B$44</c:f>
              <c:numCache>
                <c:formatCode>General</c:formatCode>
                <c:ptCount val="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-6</c:v>
                </c:pt>
                <c:pt idx="5">
                  <c:v>-4.5</c:v>
                </c:pt>
              </c:numCache>
            </c:numRef>
          </c:cat>
          <c:val>
            <c:numRef>
              <c:f>k!$C$39:$C$44</c:f>
              <c:numCache>
                <c:formatCode>0.00</c:formatCode>
                <c:ptCount val="6"/>
                <c:pt idx="0">
                  <c:v>0.99188534878817269</c:v>
                </c:pt>
                <c:pt idx="1">
                  <c:v>1.0029646114067252</c:v>
                </c:pt>
                <c:pt idx="2">
                  <c:v>0.97926198175441126</c:v>
                </c:pt>
                <c:pt idx="3">
                  <c:v>0.84470623530521916</c:v>
                </c:pt>
                <c:pt idx="4">
                  <c:v>0.6595912979591404</c:v>
                </c:pt>
                <c:pt idx="5">
                  <c:v>0.5208569503527839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9-47BA-BA0D-4FF2EB648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862678"/>
        <c:axId val="1061753108"/>
      </c:lineChart>
      <c:catAx>
        <c:axId val="1913862678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61753108"/>
        <c:crosses val="autoZero"/>
        <c:auto val="1"/>
        <c:lblAlgn val="ctr"/>
        <c:lblOffset val="100"/>
        <c:noMultiLvlLbl val="1"/>
      </c:catAx>
      <c:valAx>
        <c:axId val="1061753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 hielo en agua y solidos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138626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 hielo en agua y solidos frente a Temperatura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numRef>
              <c:f>k!$B$45:$B$47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k!$C$45:$C$47</c:f>
              <c:numCache>
                <c:formatCode>0.00</c:formatCode>
                <c:ptCount val="3"/>
                <c:pt idx="0">
                  <c:v>0.46397089617962195</c:v>
                </c:pt>
                <c:pt idx="1">
                  <c:v>0.48003017527194886</c:v>
                </c:pt>
                <c:pt idx="2">
                  <c:v>0.49493717563617368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8-46A7-BF1A-93AA41BE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64022"/>
        <c:axId val="387139535"/>
      </c:lineChart>
      <c:catAx>
        <c:axId val="90686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87139535"/>
        <c:crosses val="autoZero"/>
        <c:auto val="1"/>
        <c:lblAlgn val="ctr"/>
        <c:lblOffset val="100"/>
        <c:noMultiLvlLbl val="1"/>
      </c:catAx>
      <c:valAx>
        <c:axId val="387139535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 hielo en agua y solidos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9068640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rho extracto [kg/m3] frente a Temperatura °C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densidad!$B$28</c:f>
              <c:strCache>
                <c:ptCount val="1"/>
                <c:pt idx="0">
                  <c:v>rho extracto [kg/m3]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densidad!$A$29:$A$35</c:f>
              <c:numCache>
                <c:formatCode>General</c:formatCode>
                <c:ptCount val="7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-7</c:v>
                </c:pt>
                <c:pt idx="5">
                  <c:v>-5</c:v>
                </c:pt>
                <c:pt idx="6">
                  <c:v>-4.5</c:v>
                </c:pt>
              </c:numCache>
            </c:numRef>
          </c:cat>
          <c:val>
            <c:numRef>
              <c:f>densidad!$B$29:$B$35</c:f>
              <c:numCache>
                <c:formatCode>0.0</c:formatCode>
                <c:ptCount val="7"/>
                <c:pt idx="0">
                  <c:v>1082.6678797603961</c:v>
                </c:pt>
                <c:pt idx="1">
                  <c:v>1083.2786534125876</c:v>
                </c:pt>
                <c:pt idx="2">
                  <c:v>1086.1640217480026</c:v>
                </c:pt>
                <c:pt idx="3">
                  <c:v>1098.3290675137032</c:v>
                </c:pt>
                <c:pt idx="4">
                  <c:v>1109.9541083648146</c:v>
                </c:pt>
                <c:pt idx="5">
                  <c:v>1126.2055402660674</c:v>
                </c:pt>
                <c:pt idx="6">
                  <c:v>1132.7058837535239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8-442B-9658-EE7AAF5F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958016"/>
        <c:axId val="1295827625"/>
      </c:lineChart>
      <c:catAx>
        <c:axId val="1137958016"/>
        <c:scaling>
          <c:orientation val="minMax"/>
          <c:max val="-4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Temperatura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295827625"/>
        <c:crosses val="autoZero"/>
        <c:auto val="1"/>
        <c:lblAlgn val="ctr"/>
        <c:lblOffset val="100"/>
        <c:noMultiLvlLbl val="1"/>
      </c:catAx>
      <c:valAx>
        <c:axId val="1295827625"/>
        <c:scaling>
          <c:orientation val="minMax"/>
          <c:min val="10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rho extracto [kg/m3]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37958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rho extracto [kg/m3] frente a Temperatura °C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densidad!$A$36:$A$40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densidad!$B$36:$B$40</c:f>
              <c:numCache>
                <c:formatCode>0.0</c:formatCode>
                <c:ptCount val="5"/>
                <c:pt idx="0">
                  <c:v>1140.9609429717159</c:v>
                </c:pt>
                <c:pt idx="1">
                  <c:v>1140.8733162588342</c:v>
                </c:pt>
                <c:pt idx="2">
                  <c:v>1140.7595118307593</c:v>
                </c:pt>
                <c:pt idx="3">
                  <c:v>1139.7984408066741</c:v>
                </c:pt>
                <c:pt idx="4">
                  <c:v>1138.1852629486798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3-4318-8204-C57539E5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30806"/>
        <c:axId val="372907189"/>
      </c:lineChart>
      <c:catAx>
        <c:axId val="1012830806"/>
        <c:scaling>
          <c:orientation val="minMax"/>
          <c:min val="-4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Temperatura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72907189"/>
        <c:crosses val="autoZero"/>
        <c:auto val="1"/>
        <c:lblAlgn val="ctr"/>
        <c:lblOffset val="100"/>
        <c:noMultiLvlLbl val="1"/>
      </c:catAx>
      <c:valAx>
        <c:axId val="372907189"/>
        <c:scaling>
          <c:orientation val="minMax"/>
          <c:min val="1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rho extracto [kg/m3]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128308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9082764654418197"/>
                  <c:y val="-0.12169156083901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densidad!$A$29:$A$35</c:f>
              <c:numCache>
                <c:formatCode>General</c:formatCode>
                <c:ptCount val="7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-7</c:v>
                </c:pt>
                <c:pt idx="5">
                  <c:v>-5</c:v>
                </c:pt>
                <c:pt idx="6">
                  <c:v>-4.5</c:v>
                </c:pt>
              </c:numCache>
            </c:numRef>
          </c:xVal>
          <c:yVal>
            <c:numRef>
              <c:f>densidad!$B$29:$B$35</c:f>
              <c:numCache>
                <c:formatCode>0.0</c:formatCode>
                <c:ptCount val="7"/>
                <c:pt idx="0">
                  <c:v>1082.6678797603961</c:v>
                </c:pt>
                <c:pt idx="1">
                  <c:v>1083.2786534125876</c:v>
                </c:pt>
                <c:pt idx="2">
                  <c:v>1086.1640217480026</c:v>
                </c:pt>
                <c:pt idx="3">
                  <c:v>1098.3290675137032</c:v>
                </c:pt>
                <c:pt idx="4">
                  <c:v>1109.9541083648146</c:v>
                </c:pt>
                <c:pt idx="5">
                  <c:v>1126.2055402660674</c:v>
                </c:pt>
                <c:pt idx="6">
                  <c:v>1132.7058837535239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A-47C0-80E4-6F3B79D9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008671"/>
        <c:axId val="634428079"/>
      </c:scatterChart>
      <c:valAx>
        <c:axId val="5200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4428079"/>
        <c:crosses val="autoZero"/>
        <c:crossBetween val="midCat"/>
      </c:valAx>
      <c:valAx>
        <c:axId val="6344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00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densidad!$A$36:$A$40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densidad!$B$36:$B$40</c:f>
              <c:numCache>
                <c:formatCode>0.0</c:formatCode>
                <c:ptCount val="5"/>
                <c:pt idx="0">
                  <c:v>1140.9609429717159</c:v>
                </c:pt>
                <c:pt idx="1">
                  <c:v>1140.8733162588342</c:v>
                </c:pt>
                <c:pt idx="2">
                  <c:v>1140.7595118307593</c:v>
                </c:pt>
                <c:pt idx="3">
                  <c:v>1139.7984408066741</c:v>
                </c:pt>
                <c:pt idx="4">
                  <c:v>1138.1852629486798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1-421F-AD70-EAE90D75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08671"/>
        <c:axId val="833924191"/>
      </c:scatterChart>
      <c:valAx>
        <c:axId val="5226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3924191"/>
        <c:crossesAt val="-10"/>
        <c:crossBetween val="midCat"/>
      </c:valAx>
      <c:valAx>
        <c:axId val="8339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2608671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cp extracto frente a 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Cp!$E$46</c:f>
              <c:strCache>
                <c:ptCount val="1"/>
                <c:pt idx="0">
                  <c:v>cp extracto [kJ/kg °C]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Cp!$D$47:$D$66</c:f>
              <c:numCache>
                <c:formatCode>General</c:formatCode>
                <c:ptCount val="20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-12.8</c:v>
                </c:pt>
                <c:pt idx="6">
                  <c:v>-10</c:v>
                </c:pt>
                <c:pt idx="7">
                  <c:v>-7</c:v>
                </c:pt>
                <c:pt idx="8">
                  <c:v>-5</c:v>
                </c:pt>
                <c:pt idx="9">
                  <c:v>-4.5</c:v>
                </c:pt>
                <c:pt idx="10">
                  <c:v>-4</c:v>
                </c:pt>
                <c:pt idx="11">
                  <c:v>-5</c:v>
                </c:pt>
                <c:pt idx="12">
                  <c:v>-3</c:v>
                </c:pt>
                <c:pt idx="13">
                  <c:v>0</c:v>
                </c:pt>
                <c:pt idx="14">
                  <c:v>1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20</c:v>
                </c:pt>
                <c:pt idx="19">
                  <c:v>25</c:v>
                </c:pt>
              </c:numCache>
            </c:numRef>
          </c:cat>
          <c:val>
            <c:numRef>
              <c:f>Cp!$E$47:$E$66</c:f>
              <c:numCache>
                <c:formatCode>General</c:formatCode>
                <c:ptCount val="20"/>
                <c:pt idx="0">
                  <c:v>2.5036352000000002</c:v>
                </c:pt>
                <c:pt idx="1">
                  <c:v>2.6651929142857145</c:v>
                </c:pt>
                <c:pt idx="2">
                  <c:v>2.9141114666666668</c:v>
                </c:pt>
                <c:pt idx="3">
                  <c:v>3.3269333120000004</c:v>
                </c:pt>
                <c:pt idx="4">
                  <c:v>4.0869008000000004</c:v>
                </c:pt>
                <c:pt idx="5">
                  <c:v>7.1297393749999998</c:v>
                </c:pt>
                <c:pt idx="6">
                  <c:v>10.419963200000002</c:v>
                </c:pt>
                <c:pt idx="7">
                  <c:v>19.20870285714286</c:v>
                </c:pt>
                <c:pt idx="8">
                  <c:v>35.752212800000009</c:v>
                </c:pt>
                <c:pt idx="9">
                  <c:v>43.675056296296304</c:v>
                </c:pt>
                <c:pt idx="10">
                  <c:v>3.2956297778655994</c:v>
                </c:pt>
                <c:pt idx="11">
                  <c:v>3.3044534785400002</c:v>
                </c:pt>
                <c:pt idx="12">
                  <c:v>3.2881208796744006</c:v>
                </c:pt>
                <c:pt idx="13">
                  <c:v>3.2734830000000001</c:v>
                </c:pt>
                <c:pt idx="14">
                  <c:v>3.2740306914458004</c:v>
                </c:pt>
                <c:pt idx="15">
                  <c:v>3.2762660275049997</c:v>
                </c:pt>
                <c:pt idx="16">
                  <c:v>3.3150300834799999</c:v>
                </c:pt>
                <c:pt idx="17">
                  <c:v>3.3628729658400003</c:v>
                </c:pt>
                <c:pt idx="18">
                  <c:v>3.4287620752800003</c:v>
                </c:pt>
                <c:pt idx="19">
                  <c:v>3.5126974118000005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3-453F-99FD-24C3486C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869459"/>
        <c:axId val="820993546"/>
      </c:lineChart>
      <c:catAx>
        <c:axId val="185686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820993546"/>
        <c:crosses val="autoZero"/>
        <c:auto val="1"/>
        <c:lblAlgn val="ctr"/>
        <c:lblOffset val="100"/>
        <c:noMultiLvlLbl val="1"/>
      </c:catAx>
      <c:valAx>
        <c:axId val="82099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cp extracto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568694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cp extracto [kJ/kg °C] frente a T [°C]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cp[kJ/kg °C]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Cp!$D$47:$D$56</c:f>
              <c:numCache>
                <c:formatCode>General</c:formatCode>
                <c:ptCount val="10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-12.8</c:v>
                </c:pt>
                <c:pt idx="6">
                  <c:v>-10</c:v>
                </c:pt>
                <c:pt idx="7">
                  <c:v>-7</c:v>
                </c:pt>
                <c:pt idx="8">
                  <c:v>-5</c:v>
                </c:pt>
                <c:pt idx="9">
                  <c:v>-4.5</c:v>
                </c:pt>
              </c:numCache>
            </c:numRef>
          </c:cat>
          <c:val>
            <c:numRef>
              <c:f>Cp!$E$47:$E$56</c:f>
              <c:numCache>
                <c:formatCode>General</c:formatCode>
                <c:ptCount val="10"/>
                <c:pt idx="0">
                  <c:v>2.5036352000000002</c:v>
                </c:pt>
                <c:pt idx="1">
                  <c:v>2.6651929142857145</c:v>
                </c:pt>
                <c:pt idx="2">
                  <c:v>2.9141114666666668</c:v>
                </c:pt>
                <c:pt idx="3">
                  <c:v>3.3269333120000004</c:v>
                </c:pt>
                <c:pt idx="4">
                  <c:v>4.0869008000000004</c:v>
                </c:pt>
                <c:pt idx="5">
                  <c:v>7.1297393749999998</c:v>
                </c:pt>
                <c:pt idx="6">
                  <c:v>10.419963200000002</c:v>
                </c:pt>
                <c:pt idx="7">
                  <c:v>19.20870285714286</c:v>
                </c:pt>
                <c:pt idx="8">
                  <c:v>35.752212800000009</c:v>
                </c:pt>
                <c:pt idx="9">
                  <c:v>43.675056296296304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0-4EB1-9AB9-ED774388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88402"/>
        <c:axId val="78489000"/>
      </c:lineChart>
      <c:catAx>
        <c:axId val="18628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8489000"/>
        <c:crosses val="autoZero"/>
        <c:auto val="1"/>
        <c:lblAlgn val="ctr"/>
        <c:lblOffset val="100"/>
        <c:noMultiLvlLbl val="1"/>
      </c:catAx>
      <c:valAx>
        <c:axId val="78489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cp extracto [kJ/kg 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628840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cp extracto [kJ/kg °C] frente a T [°C]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  <c:trendlineLbl>
              <c:numFmt formatCode="General" sourceLinked="0"/>
            </c:trendlineLbl>
          </c:trendline>
          <c:cat>
            <c:numRef>
              <c:f>Cp!$D$57:$D$66</c:f>
              <c:numCache>
                <c:formatCode>General</c:formatCode>
                <c:ptCount val="10"/>
                <c:pt idx="0">
                  <c:v>-4</c:v>
                </c:pt>
                <c:pt idx="1">
                  <c:v>-5</c:v>
                </c:pt>
                <c:pt idx="2">
                  <c:v>-3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cat>
          <c:val>
            <c:numRef>
              <c:f>Cp!$E$57:$E$66</c:f>
              <c:numCache>
                <c:formatCode>General</c:formatCode>
                <c:ptCount val="10"/>
                <c:pt idx="0">
                  <c:v>3.2956297778655994</c:v>
                </c:pt>
                <c:pt idx="1">
                  <c:v>3.3044534785400002</c:v>
                </c:pt>
                <c:pt idx="2">
                  <c:v>3.2881208796744006</c:v>
                </c:pt>
                <c:pt idx="3">
                  <c:v>3.2734830000000001</c:v>
                </c:pt>
                <c:pt idx="4">
                  <c:v>3.2740306914458004</c:v>
                </c:pt>
                <c:pt idx="5">
                  <c:v>3.2762660275049997</c:v>
                </c:pt>
                <c:pt idx="6">
                  <c:v>3.3150300834799999</c:v>
                </c:pt>
                <c:pt idx="7">
                  <c:v>3.3628729658400003</c:v>
                </c:pt>
                <c:pt idx="8">
                  <c:v>3.4287620752800003</c:v>
                </c:pt>
                <c:pt idx="9">
                  <c:v>3.5126974118000005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1-4AE2-BC63-97616F331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4880"/>
        <c:axId val="317267601"/>
      </c:lineChart>
      <c:catAx>
        <c:axId val="19604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 [°C]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317267601"/>
        <c:crosses val="autoZero"/>
        <c:auto val="1"/>
        <c:lblAlgn val="ctr"/>
        <c:lblOffset val="100"/>
        <c:noMultiLvlLbl val="1"/>
      </c:catAx>
      <c:valAx>
        <c:axId val="317267601"/>
        <c:scaling>
          <c:orientation val="minMax"/>
          <c:min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cp extracto [kJ/kg °C]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60448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h [kJ/kg]  vs 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H!$D$18:$D$36</c:f>
              <c:numCache>
                <c:formatCode>General</c:formatCode>
                <c:ptCount val="19"/>
                <c:pt idx="0">
                  <c:v>-40</c:v>
                </c:pt>
                <c:pt idx="1">
                  <c:v>-35</c:v>
                </c:pt>
                <c:pt idx="2">
                  <c:v>-30</c:v>
                </c:pt>
                <c:pt idx="3">
                  <c:v>-25</c:v>
                </c:pt>
                <c:pt idx="4">
                  <c:v>-20</c:v>
                </c:pt>
                <c:pt idx="5">
                  <c:v>-12.8</c:v>
                </c:pt>
                <c:pt idx="6">
                  <c:v>-10</c:v>
                </c:pt>
                <c:pt idx="7">
                  <c:v>-7</c:v>
                </c:pt>
                <c:pt idx="8">
                  <c:v>-6.58</c:v>
                </c:pt>
                <c:pt idx="9">
                  <c:v>-6.57</c:v>
                </c:pt>
                <c:pt idx="10">
                  <c:v>-6.56</c:v>
                </c:pt>
                <c:pt idx="11">
                  <c:v>-6</c:v>
                </c:pt>
                <c:pt idx="12">
                  <c:v>-5</c:v>
                </c:pt>
                <c:pt idx="13">
                  <c:v>0</c:v>
                </c:pt>
                <c:pt idx="14">
                  <c:v>5</c:v>
                </c:pt>
                <c:pt idx="15">
                  <c:v>10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</c:numCache>
            </c:numRef>
          </c:cat>
          <c:val>
            <c:numRef>
              <c:f>H!$E$18:$E$36</c:f>
              <c:numCache>
                <c:formatCode>0.00</c:formatCode>
                <c:ptCount val="19"/>
                <c:pt idx="0">
                  <c:v>0</c:v>
                </c:pt>
                <c:pt idx="1">
                  <c:v>14.50720864</c:v>
                </c:pt>
                <c:pt idx="2">
                  <c:v>30.344080160000004</c:v>
                </c:pt>
                <c:pt idx="3">
                  <c:v>48.308412288</c:v>
                </c:pt>
                <c:pt idx="4">
                  <c:v>69.99580048</c:v>
                </c:pt>
                <c:pt idx="5">
                  <c:v>116.55532282000001</c:v>
                </c:pt>
                <c:pt idx="6">
                  <c:v>146.87808144000005</c:v>
                </c:pt>
                <c:pt idx="7">
                  <c:v>201.05687712</c:v>
                </c:pt>
                <c:pt idx="8">
                  <c:v>212.12505944680856</c:v>
                </c:pt>
                <c:pt idx="9">
                  <c:v>212.40445844000004</c:v>
                </c:pt>
                <c:pt idx="10">
                  <c:v>212.43571946995155</c:v>
                </c:pt>
                <c:pt idx="11">
                  <c:v>214.18633714723558</c:v>
                </c:pt>
                <c:pt idx="12">
                  <c:v>217.31244014238561</c:v>
                </c:pt>
                <c:pt idx="13">
                  <c:v>232.94295511813587</c:v>
                </c:pt>
                <c:pt idx="14">
                  <c:v>248.5734700938861</c:v>
                </c:pt>
                <c:pt idx="15">
                  <c:v>264.20398506963636</c:v>
                </c:pt>
                <c:pt idx="16">
                  <c:v>279.83450004538656</c:v>
                </c:pt>
                <c:pt idx="17">
                  <c:v>295.46501502113682</c:v>
                </c:pt>
                <c:pt idx="18">
                  <c:v>311.09552999688708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8-4BD9-9801-C4D5D262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37054"/>
        <c:axId val="1848474025"/>
      </c:lineChart>
      <c:catAx>
        <c:axId val="1524337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848474025"/>
        <c:crosses val="autoZero"/>
        <c:auto val="1"/>
        <c:lblAlgn val="ctr"/>
        <c:lblOffset val="100"/>
        <c:noMultiLvlLbl val="1"/>
      </c:catAx>
      <c:valAx>
        <c:axId val="1848474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h [kJ/kg]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5243370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3.xml"/><Relationship Id="rId7" Type="http://schemas.openxmlformats.org/officeDocument/2006/relationships/image" Target="../media/image5.png"/><Relationship Id="rId12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image" Target="../media/image2.png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chart" Target="../charts/chart8.xml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chart" Target="../charts/chart9.xml"/><Relationship Id="rId5" Type="http://schemas.openxmlformats.org/officeDocument/2006/relationships/image" Target="../media/image2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chart" Target="../charts/chart12.xml"/><Relationship Id="rId7" Type="http://schemas.openxmlformats.org/officeDocument/2006/relationships/image" Target="../media/image25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12</xdr:row>
      <xdr:rowOff>152400</xdr:rowOff>
    </xdr:from>
    <xdr:ext cx="2628900" cy="140017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25</xdr:row>
      <xdr:rowOff>133350</xdr:rowOff>
    </xdr:from>
    <xdr:ext cx="3314700" cy="20574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304800</xdr:colOff>
      <xdr:row>39</xdr:row>
      <xdr:rowOff>38100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571500</xdr:colOff>
      <xdr:row>39</xdr:row>
      <xdr:rowOff>38100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19050</xdr:colOff>
      <xdr:row>2</xdr:row>
      <xdr:rowOff>47625</xdr:rowOff>
    </xdr:from>
    <xdr:ext cx="5133975" cy="1095375"/>
    <xdr:pic>
      <xdr:nvPicPr>
        <xdr:cNvPr id="5" name="image7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533400</xdr:colOff>
      <xdr:row>7</xdr:row>
      <xdr:rowOff>114300</xdr:rowOff>
    </xdr:from>
    <xdr:ext cx="3838575" cy="276225"/>
    <xdr:pic>
      <xdr:nvPicPr>
        <xdr:cNvPr id="6" name="image19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590550</xdr:colOff>
      <xdr:row>8</xdr:row>
      <xdr:rowOff>190500</xdr:rowOff>
    </xdr:from>
    <xdr:ext cx="2619375" cy="21907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121920</xdr:colOff>
      <xdr:row>6</xdr:row>
      <xdr:rowOff>64770</xdr:rowOff>
    </xdr:from>
    <xdr:ext cx="1676400" cy="866775"/>
    <xdr:pic>
      <xdr:nvPicPr>
        <xdr:cNvPr id="8" name="image8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665845" y="1264920"/>
          <a:ext cx="1676400" cy="8667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2</xdr:row>
      <xdr:rowOff>47625</xdr:rowOff>
    </xdr:from>
    <xdr:ext cx="1333500" cy="742950"/>
    <xdr:pic>
      <xdr:nvPicPr>
        <xdr:cNvPr id="9" name="image3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828675</xdr:colOff>
      <xdr:row>0</xdr:row>
      <xdr:rowOff>200025</xdr:rowOff>
    </xdr:from>
    <xdr:ext cx="2628900" cy="1400175"/>
    <xdr:pic>
      <xdr:nvPicPr>
        <xdr:cNvPr id="10" name="image4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352425</xdr:colOff>
      <xdr:row>25</xdr:row>
      <xdr:rowOff>133350</xdr:rowOff>
    </xdr:from>
    <xdr:ext cx="2762250" cy="2324100"/>
    <xdr:pic>
      <xdr:nvPicPr>
        <xdr:cNvPr id="11" name="image5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</xdr:col>
      <xdr:colOff>498157</xdr:colOff>
      <xdr:row>39</xdr:row>
      <xdr:rowOff>38100</xdr:rowOff>
    </xdr:from>
    <xdr:to>
      <xdr:col>8</xdr:col>
      <xdr:colOff>612457</xdr:colOff>
      <xdr:row>52</xdr:row>
      <xdr:rowOff>177165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6A714BF-56EF-4AE0-1621-1F940944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488632</xdr:colOff>
      <xdr:row>39</xdr:row>
      <xdr:rowOff>0</xdr:rowOff>
    </xdr:from>
    <xdr:to>
      <xdr:col>8</xdr:col>
      <xdr:colOff>602932</xdr:colOff>
      <xdr:row>52</xdr:row>
      <xdr:rowOff>139065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06684C2-2E37-1B8D-3F0D-EE0C54AD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47</xdr:row>
      <xdr:rowOff>123825</xdr:rowOff>
    </xdr:from>
    <xdr:ext cx="5715000" cy="35337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</xdr:colOff>
      <xdr:row>67</xdr:row>
      <xdr:rowOff>66675</xdr:rowOff>
    </xdr:from>
    <xdr:ext cx="5934075" cy="3533775"/>
    <xdr:graphicFrame macro="">
      <xdr:nvGraphicFramePr>
        <xdr:cNvPr id="5" name="Chart 5" title="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619125</xdr:colOff>
      <xdr:row>67</xdr:row>
      <xdr:rowOff>66675</xdr:rowOff>
    </xdr:from>
    <xdr:ext cx="5715000" cy="3533775"/>
    <xdr:graphicFrame macro="">
      <xdr:nvGraphicFramePr>
        <xdr:cNvPr id="6" name="Chart 6" title="Gráfic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110490</xdr:colOff>
      <xdr:row>1</xdr:row>
      <xdr:rowOff>106680</xdr:rowOff>
    </xdr:from>
    <xdr:ext cx="4743450" cy="1762125"/>
    <xdr:pic>
      <xdr:nvPicPr>
        <xdr:cNvPr id="2" name="image23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11140" y="306705"/>
          <a:ext cx="4743450" cy="1762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</xdr:row>
      <xdr:rowOff>123825</xdr:rowOff>
    </xdr:from>
    <xdr:ext cx="4991100" cy="1733550"/>
    <xdr:pic>
      <xdr:nvPicPr>
        <xdr:cNvPr id="3" name="image6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1</xdr:row>
      <xdr:rowOff>123825</xdr:rowOff>
    </xdr:from>
    <xdr:ext cx="4638675" cy="3076575"/>
    <xdr:pic>
      <xdr:nvPicPr>
        <xdr:cNvPr id="7" name="image2.png" title="Imagen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600075</xdr:colOff>
      <xdr:row>11</xdr:row>
      <xdr:rowOff>133350</xdr:rowOff>
    </xdr:from>
    <xdr:ext cx="9639300" cy="1019175"/>
    <xdr:pic>
      <xdr:nvPicPr>
        <xdr:cNvPr id="8" name="image24.png" title="Imagen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781050</xdr:colOff>
      <xdr:row>16</xdr:row>
      <xdr:rowOff>200025</xdr:rowOff>
    </xdr:from>
    <xdr:ext cx="8467725" cy="371475"/>
    <xdr:pic>
      <xdr:nvPicPr>
        <xdr:cNvPr id="9" name="image16.png" title="Imagen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361950</xdr:colOff>
      <xdr:row>19</xdr:row>
      <xdr:rowOff>19050</xdr:rowOff>
    </xdr:from>
    <xdr:ext cx="7048500" cy="238125"/>
    <xdr:pic>
      <xdr:nvPicPr>
        <xdr:cNvPr id="10" name="image22.png" title="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31</xdr:row>
      <xdr:rowOff>171450</xdr:rowOff>
    </xdr:from>
    <xdr:ext cx="1638300" cy="666750"/>
    <xdr:pic>
      <xdr:nvPicPr>
        <xdr:cNvPr id="11" name="image11.png" title="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323850</xdr:colOff>
      <xdr:row>37</xdr:row>
      <xdr:rowOff>19050</xdr:rowOff>
    </xdr:from>
    <xdr:ext cx="1266825" cy="400050"/>
    <xdr:pic>
      <xdr:nvPicPr>
        <xdr:cNvPr id="12" name="image13.png" title="Imagen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161925</xdr:rowOff>
    </xdr:from>
    <xdr:ext cx="2438400" cy="457200"/>
    <xdr:pic>
      <xdr:nvPicPr>
        <xdr:cNvPr id="13" name="image18.png" title="Imagen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247650</xdr:colOff>
      <xdr:row>27</xdr:row>
      <xdr:rowOff>95250</xdr:rowOff>
    </xdr:from>
    <xdr:ext cx="2219325" cy="666750"/>
    <xdr:pic>
      <xdr:nvPicPr>
        <xdr:cNvPr id="14" name="image15.png" title="Imagen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676275</xdr:colOff>
      <xdr:row>46</xdr:row>
      <xdr:rowOff>57150</xdr:rowOff>
    </xdr:from>
    <xdr:ext cx="5086350" cy="2552700"/>
    <xdr:pic>
      <xdr:nvPicPr>
        <xdr:cNvPr id="15" name="image17.png" title="Imagen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561975</xdr:colOff>
      <xdr:row>17</xdr:row>
      <xdr:rowOff>104775</xdr:rowOff>
    </xdr:from>
    <xdr:ext cx="3657600" cy="2286000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819150</xdr:colOff>
      <xdr:row>1</xdr:row>
      <xdr:rowOff>9525</xdr:rowOff>
    </xdr:from>
    <xdr:ext cx="4648200" cy="2286000"/>
    <xdr:pic>
      <xdr:nvPicPr>
        <xdr:cNvPr id="2" name="image10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1</xdr:row>
      <xdr:rowOff>9525</xdr:rowOff>
    </xdr:from>
    <xdr:ext cx="4819650" cy="2428875"/>
    <xdr:pic>
      <xdr:nvPicPr>
        <xdr:cNvPr id="3" name="image1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76200</xdr:rowOff>
    </xdr:from>
    <xdr:ext cx="2124075" cy="838200"/>
    <xdr:pic>
      <xdr:nvPicPr>
        <xdr:cNvPr id="4" name="image11.png" title="Imagen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523875</xdr:colOff>
      <xdr:row>17</xdr:row>
      <xdr:rowOff>9525</xdr:rowOff>
    </xdr:from>
    <xdr:ext cx="2933700" cy="2476500"/>
    <xdr:pic>
      <xdr:nvPicPr>
        <xdr:cNvPr id="5" name="image14.png" title="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36</xdr:row>
      <xdr:rowOff>57150</xdr:rowOff>
    </xdr:from>
    <xdr:ext cx="3648075" cy="2266950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561975</xdr:colOff>
      <xdr:row>50</xdr:row>
      <xdr:rowOff>66675</xdr:rowOff>
    </xdr:from>
    <xdr:ext cx="5715000" cy="3533775"/>
    <xdr:graphicFrame macro="">
      <xdr:nvGraphicFramePr>
        <xdr:cNvPr id="9" name="Chart 9" title="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161925</xdr:colOff>
      <xdr:row>49</xdr:row>
      <xdr:rowOff>85725</xdr:rowOff>
    </xdr:from>
    <xdr:ext cx="5715000" cy="3533775"/>
    <xdr:graphicFrame macro="">
      <xdr:nvGraphicFramePr>
        <xdr:cNvPr id="10" name="Chart 10" title="Gráfic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142875</xdr:colOff>
      <xdr:row>23</xdr:row>
      <xdr:rowOff>38100</xdr:rowOff>
    </xdr:from>
    <xdr:ext cx="3648075" cy="1047750"/>
    <xdr:pic>
      <xdr:nvPicPr>
        <xdr:cNvPr id="2" name="image20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609600</xdr:colOff>
      <xdr:row>24</xdr:row>
      <xdr:rowOff>819150</xdr:rowOff>
    </xdr:from>
    <xdr:ext cx="1371600" cy="1133475"/>
    <xdr:pic>
      <xdr:nvPicPr>
        <xdr:cNvPr id="3" name="image9.png" title="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</xdr:colOff>
      <xdr:row>0</xdr:row>
      <xdr:rowOff>47625</xdr:rowOff>
    </xdr:from>
    <xdr:ext cx="9382125" cy="1047750"/>
    <xdr:pic>
      <xdr:nvPicPr>
        <xdr:cNvPr id="4" name="image27.png" title="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485775</xdr:colOff>
      <xdr:row>5</xdr:row>
      <xdr:rowOff>95250</xdr:rowOff>
    </xdr:from>
    <xdr:ext cx="3400425" cy="209550"/>
    <xdr:pic>
      <xdr:nvPicPr>
        <xdr:cNvPr id="5" name="image21.png" title="Imagen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485775</xdr:colOff>
      <xdr:row>6</xdr:row>
      <xdr:rowOff>171450</xdr:rowOff>
    </xdr:from>
    <xdr:ext cx="3048000" cy="247650"/>
    <xdr:pic>
      <xdr:nvPicPr>
        <xdr:cNvPr id="6" name="image28.png" title="Imagen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60</xdr:row>
      <xdr:rowOff>0</xdr:rowOff>
    </xdr:from>
    <xdr:ext cx="2638425" cy="1971675"/>
    <xdr:pic>
      <xdr:nvPicPr>
        <xdr:cNvPr id="7" name="image25.png" title="Imagen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36</xdr:row>
      <xdr:rowOff>57150</xdr:rowOff>
    </xdr:from>
    <xdr:ext cx="2819400" cy="2114550"/>
    <xdr:pic>
      <xdr:nvPicPr>
        <xdr:cNvPr id="11" name="image26.png" title="Imagen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L24">
  <tableColumns count="11">
    <tableColumn id="1" xr3:uid="{00000000-0010-0000-0000-000001000000}" name="Temperatura"/>
    <tableColumn id="2" xr3:uid="{00000000-0010-0000-0000-000002000000}" name="rho proteina"/>
    <tableColumn id="3" xr3:uid="{00000000-0010-0000-0000-000003000000}" name="rho lipidos"/>
    <tableColumn id="4" xr3:uid="{00000000-0010-0000-0000-000004000000}" name="rho carbohidrados"/>
    <tableColumn id="5" xr3:uid="{00000000-0010-0000-0000-000005000000}" name="rho fibra"/>
    <tableColumn id="6" xr3:uid="{00000000-0010-0000-0000-000006000000}" name="rho cenizas"/>
    <tableColumn id="7" xr3:uid="{00000000-0010-0000-0000-000007000000}" name="rho agua"/>
    <tableColumn id="8" xr3:uid="{00000000-0010-0000-0000-000008000000}" name="rho hielo"/>
    <tableColumn id="9" xr3:uid="{00000000-0010-0000-0000-000009000000}" name="Fracción hielo"/>
    <tableColumn id="10" xr3:uid="{00000000-0010-0000-0000-00000A000000}" name="Fracción agua "/>
    <tableColumn id="11" xr3:uid="{00000000-0010-0000-0000-00000B000000}" name="rho extracto"/>
  </tableColumns>
  <tableStyleInfo name="densida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D23:K43" headerRowDxfId="2" dataDxfId="0" totalsRowDxfId="1">
  <tableColumns count="8">
    <tableColumn id="1" xr3:uid="{00000000-0010-0000-0100-000001000000}" name="T °C" dataDxfId="10"/>
    <tableColumn id="2" xr3:uid="{00000000-0010-0000-0100-000002000000}" name="Cp proteina" dataDxfId="9"/>
    <tableColumn id="3" xr3:uid="{00000000-0010-0000-0100-000003000000}" name="Cp grasa" dataDxfId="8"/>
    <tableColumn id="4" xr3:uid="{00000000-0010-0000-0100-000004000000}" name="Cp carbohidrato" dataDxfId="7"/>
    <tableColumn id="5" xr3:uid="{00000000-0010-0000-0100-000005000000}" name="Cp fibra" dataDxfId="6"/>
    <tableColumn id="6" xr3:uid="{00000000-0010-0000-0100-000006000000}" name="Cp ceniza" dataDxfId="5"/>
    <tableColumn id="7" xr3:uid="{00000000-0010-0000-0100-000007000000}" name="Cp agua" dataDxfId="4"/>
    <tableColumn id="8" xr3:uid="{00000000-0010-0000-0100-000008000000}" name="cp extracto" dataDxfId="3"/>
  </tableColumns>
  <tableStyleInfo name="Cp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7:E36">
  <tableColumns count="2">
    <tableColumn id="1" xr3:uid="{00000000-0010-0000-0200-000001000000}" name="T"/>
    <tableColumn id="2" xr3:uid="{00000000-0010-0000-0200-000002000000}" name="h [kJ/kg]"/>
  </tableColumns>
  <tableStyleInfo name="H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2:R21">
  <tableColumns count="17">
    <tableColumn id="1" xr3:uid="{00000000-0010-0000-0300-000001000000}" name="Temperatura"/>
    <tableColumn id="2" xr3:uid="{00000000-0010-0000-0300-000002000000}" name="Fracción hielo"/>
    <tableColumn id="3" xr3:uid="{00000000-0010-0000-0300-000003000000}" name="Fracción agua "/>
    <tableColumn id="4" xr3:uid="{00000000-0010-0000-0300-000004000000}" name="rho proteina"/>
    <tableColumn id="5" xr3:uid="{00000000-0010-0000-0300-000005000000}" name="rho lipidos"/>
    <tableColumn id="6" xr3:uid="{00000000-0010-0000-0300-000006000000}" name="rho carbohidrados"/>
    <tableColumn id="7" xr3:uid="{00000000-0010-0000-0300-000007000000}" name="rho fibra"/>
    <tableColumn id="8" xr3:uid="{00000000-0010-0000-0300-000008000000}" name="rho cenizas"/>
    <tableColumn id="9" xr3:uid="{00000000-0010-0000-0300-000009000000}" name="rho agua"/>
    <tableColumn id="10" xr3:uid="{00000000-0010-0000-0300-00000A000000}" name="rho hielo"/>
    <tableColumn id="11" xr3:uid="{00000000-0010-0000-0300-00000B000000}" name="k proteina"/>
    <tableColumn id="12" xr3:uid="{00000000-0010-0000-0300-00000C000000}" name="k lipidos"/>
    <tableColumn id="13" xr3:uid="{00000000-0010-0000-0300-00000D000000}" name="k carbohidrados"/>
    <tableColumn id="14" xr3:uid="{00000000-0010-0000-0300-00000E000000}" name="k  fibra"/>
    <tableColumn id="15" xr3:uid="{00000000-0010-0000-0300-00000F000000}" name="k cenizas"/>
    <tableColumn id="16" xr3:uid="{00000000-0010-0000-0300-000010000000}" name="k agua"/>
    <tableColumn id="17" xr3:uid="{00000000-0010-0000-0300-000011000000}" name="k hielo"/>
  </tableColumns>
  <tableStyleInfo name="k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25:B34">
  <tableColumns count="1">
    <tableColumn id="1" xr3:uid="{00000000-0010-0000-0400-000001000000}" name="Temperatura"/>
  </tableColumns>
  <tableStyleInfo name="k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C25:O34">
  <tableColumns count="13">
    <tableColumn id="1" xr3:uid="{00000000-0010-0000-0500-000001000000}" name="Xi ^v Agua =Xc^v"/>
    <tableColumn id="2" xr3:uid="{00000000-0010-0000-0500-000002000000}" name="Xi ^v  Fibra = Xd^v"/>
    <tableColumn id="3" xr3:uid="{00000000-0010-0000-0500-000003000000}" name="k fibra en agua"/>
    <tableColumn id="4" xr3:uid="{00000000-0010-0000-0500-000004000000}" name="Xi ^v  Lipidos = Xd^v"/>
    <tableColumn id="5" xr3:uid="{00000000-0010-0000-0500-000005000000}" name="k lipidos en agua y fibra"/>
    <tableColumn id="6" xr3:uid="{00000000-0010-0000-0500-000006000000}" name="Xi ^v  cenizas = Xd^v"/>
    <tableColumn id="7" xr3:uid="{00000000-0010-0000-0500-000007000000}" name="kcenizas en lipidos, agua y fibra"/>
    <tableColumn id="8" xr3:uid="{00000000-0010-0000-0500-000008000000}" name="Xi ^v  proteinas = Xd^v"/>
    <tableColumn id="9" xr3:uid="{00000000-0010-0000-0500-000009000000}" name="k proteinas en cenizas, lipidos, agua y fibra"/>
    <tableColumn id="10" xr3:uid="{00000000-0010-0000-0500-00000A000000}" name="Xi ^v  carbohidratos = Xd^v"/>
    <tableColumn id="11" xr3:uid="{00000000-0010-0000-0500-00000B000000}" name="k carbohidrato en proteinas, cenizas, lipidos, agua y fibra"/>
    <tableColumn id="12" xr3:uid="{00000000-0010-0000-0500-00000C000000}" name="Xi ^v hielo = Xd^v"/>
    <tableColumn id="13" xr3:uid="{00000000-0010-0000-0500-00000D000000}" name="k hielo en agua y solidos"/>
  </tableColumns>
  <tableStyleInfo name="k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20"/>
  <sheetViews>
    <sheetView showGridLines="0" workbookViewId="0">
      <selection activeCell="I23" sqref="I23"/>
    </sheetView>
  </sheetViews>
  <sheetFormatPr baseColWidth="10" defaultColWidth="12.6640625" defaultRowHeight="15.75" customHeight="1"/>
  <sheetData>
    <row r="2" spans="1:12">
      <c r="C2" s="1" t="s">
        <v>0</v>
      </c>
      <c r="D2" s="1" t="s">
        <v>1</v>
      </c>
      <c r="E2" s="2" t="s">
        <v>0</v>
      </c>
      <c r="F2" s="2" t="s">
        <v>2</v>
      </c>
      <c r="G2" s="1" t="s">
        <v>0</v>
      </c>
      <c r="H2" s="1" t="s">
        <v>2</v>
      </c>
      <c r="I2" s="2" t="s">
        <v>0</v>
      </c>
      <c r="J2" s="2" t="s">
        <v>2</v>
      </c>
      <c r="K2" s="1" t="s">
        <v>0</v>
      </c>
      <c r="L2" s="1" t="s">
        <v>2</v>
      </c>
    </row>
    <row r="3" spans="1:12">
      <c r="A3" s="3" t="s">
        <v>3</v>
      </c>
      <c r="B3" s="4" t="s">
        <v>4</v>
      </c>
      <c r="C3" s="5">
        <v>52</v>
      </c>
      <c r="D3" s="6">
        <f>0.00845*C3*$B$10</f>
        <v>0.43939999999999996</v>
      </c>
      <c r="E3" s="4">
        <v>40</v>
      </c>
      <c r="F3" s="7">
        <f>0.00845*E3*$B$10</f>
        <v>0.33799999999999997</v>
      </c>
      <c r="G3" s="5">
        <v>30</v>
      </c>
      <c r="H3" s="6">
        <f>0.00845*G3*$B$10</f>
        <v>0.25349999999999995</v>
      </c>
      <c r="I3" s="4">
        <v>20</v>
      </c>
      <c r="J3" s="7">
        <f>0.00845*I3*$B$10</f>
        <v>0.16899999999999998</v>
      </c>
      <c r="K3" s="5">
        <v>10</v>
      </c>
      <c r="L3" s="6">
        <f>0.00845*K3*$B$10</f>
        <v>8.4499999999999992E-2</v>
      </c>
    </row>
    <row r="4" spans="1:12">
      <c r="A4" s="8" t="s">
        <v>5</v>
      </c>
      <c r="B4" s="9">
        <f>D4/(B10-D4)</f>
        <v>1.2522522522522526</v>
      </c>
      <c r="C4" s="10">
        <v>0.55600000000000005</v>
      </c>
      <c r="D4" s="11">
        <f t="shared" ref="D4:D9" si="0">C4*$B$10</f>
        <v>0.55600000000000005</v>
      </c>
      <c r="E4" s="9">
        <f>($B$10-F3)/$B$10</f>
        <v>0.66200000000000003</v>
      </c>
      <c r="F4" s="12">
        <f>E4*$B$10</f>
        <v>0.66200000000000003</v>
      </c>
      <c r="G4" s="10">
        <f>($B$10-H3)/$B$10</f>
        <v>0.74650000000000005</v>
      </c>
      <c r="H4" s="11">
        <f>G4*$B$10</f>
        <v>0.74650000000000005</v>
      </c>
      <c r="I4" s="9">
        <f>($B$10-J3)/$B$10</f>
        <v>0.83099999999999996</v>
      </c>
      <c r="J4" s="12">
        <f>I4*$B$10</f>
        <v>0.83099999999999996</v>
      </c>
      <c r="K4" s="10">
        <f>($B$10-L3)/$B$10</f>
        <v>0.91549999999999998</v>
      </c>
      <c r="L4" s="11">
        <f>K4*$B$10</f>
        <v>0.91549999999999998</v>
      </c>
    </row>
    <row r="5" spans="1:12">
      <c r="A5" s="13" t="s">
        <v>6</v>
      </c>
      <c r="B5" s="14">
        <f t="shared" ref="B5:B9" si="1">D5/$D$3</f>
        <v>9.1033227127901694E-3</v>
      </c>
      <c r="C5" s="15">
        <v>4.0000000000000001E-3</v>
      </c>
      <c r="D5" s="6">
        <f t="shared" si="0"/>
        <v>4.0000000000000001E-3</v>
      </c>
      <c r="E5" s="14">
        <f t="shared" ref="E5:E10" si="2">F5/$F$10</f>
        <v>3.0660738923808067E-3</v>
      </c>
      <c r="F5" s="7">
        <f>$F$3*$B$5</f>
        <v>3.0769230769230769E-3</v>
      </c>
      <c r="G5" s="15">
        <f t="shared" ref="G5:G9" si="3">H5/$H$10</f>
        <v>2.3015842571636803E-3</v>
      </c>
      <c r="H5" s="6">
        <f>$H$3*$B$5</f>
        <v>2.3076923076923075E-3</v>
      </c>
      <c r="I5" s="14">
        <f t="shared" ref="I5:I9" si="4">J5/$H$10</f>
        <v>1.5343895047757871E-3</v>
      </c>
      <c r="J5" s="7">
        <f t="shared" ref="J5:J9" si="5">J$3*$B5</f>
        <v>1.5384615384615385E-3</v>
      </c>
      <c r="K5" s="15">
        <f t="shared" ref="K5:K9" si="6">L5/L$10</f>
        <v>7.6855089728317257E-4</v>
      </c>
      <c r="L5" s="6">
        <f t="shared" ref="L5:L9" si="7">L$3*$B5</f>
        <v>7.6923076923076923E-4</v>
      </c>
    </row>
    <row r="6" spans="1:12">
      <c r="A6" s="16" t="s">
        <v>7</v>
      </c>
      <c r="B6" s="9">
        <f t="shared" si="1"/>
        <v>3.1861629494765592E-2</v>
      </c>
      <c r="C6" s="10">
        <v>1.4E-2</v>
      </c>
      <c r="D6" s="11">
        <f t="shared" si="0"/>
        <v>1.4E-2</v>
      </c>
      <c r="E6" s="9">
        <f t="shared" si="2"/>
        <v>1.0731258623332822E-2</v>
      </c>
      <c r="F6" s="12">
        <f>$F$3*$B$6</f>
        <v>1.0769230769230769E-2</v>
      </c>
      <c r="G6" s="10">
        <f t="shared" si="3"/>
        <v>8.0555449000728804E-3</v>
      </c>
      <c r="H6" s="11">
        <f>$H$3*$B$6</f>
        <v>8.0769230769230753E-3</v>
      </c>
      <c r="I6" s="9">
        <f t="shared" si="4"/>
        <v>5.3703632667152544E-3</v>
      </c>
      <c r="J6" s="12">
        <f t="shared" si="5"/>
        <v>5.3846153846153844E-3</v>
      </c>
      <c r="K6" s="10">
        <f t="shared" si="6"/>
        <v>2.6899281404911038E-3</v>
      </c>
      <c r="L6" s="11">
        <f t="shared" si="7"/>
        <v>2.6923076923076922E-3</v>
      </c>
    </row>
    <row r="7" spans="1:12">
      <c r="A7" s="13" t="s">
        <v>8</v>
      </c>
      <c r="B7" s="14">
        <f t="shared" si="1"/>
        <v>8.8757396449704151E-2</v>
      </c>
      <c r="C7" s="15">
        <v>3.9E-2</v>
      </c>
      <c r="D7" s="6">
        <f t="shared" si="0"/>
        <v>3.9E-2</v>
      </c>
      <c r="E7" s="14">
        <f t="shared" si="2"/>
        <v>2.9894220450712862E-2</v>
      </c>
      <c r="F7" s="7">
        <f>$F$3*$B$7</f>
        <v>0.03</v>
      </c>
      <c r="G7" s="15">
        <f t="shared" si="3"/>
        <v>2.2440446507345883E-2</v>
      </c>
      <c r="H7" s="6">
        <f>$H$3*$B$7</f>
        <v>2.2499999999999999E-2</v>
      </c>
      <c r="I7" s="14">
        <f t="shared" si="4"/>
        <v>1.4960297671563923E-2</v>
      </c>
      <c r="J7" s="7">
        <f t="shared" si="5"/>
        <v>1.4999999999999999E-2</v>
      </c>
      <c r="K7" s="15">
        <f t="shared" si="6"/>
        <v>7.4933712485109327E-3</v>
      </c>
      <c r="L7" s="6">
        <f t="shared" si="7"/>
        <v>7.4999999999999997E-3</v>
      </c>
    </row>
    <row r="8" spans="1:12">
      <c r="A8" s="8" t="s">
        <v>9</v>
      </c>
      <c r="B8" s="9">
        <f t="shared" si="1"/>
        <v>0.26399635867091492</v>
      </c>
      <c r="C8" s="10">
        <v>0.11600000000000001</v>
      </c>
      <c r="D8" s="11">
        <f t="shared" si="0"/>
        <v>0.11600000000000001</v>
      </c>
      <c r="E8" s="9">
        <f t="shared" si="2"/>
        <v>8.8916142879043397E-2</v>
      </c>
      <c r="F8" s="12">
        <f>$F$3*$B$8</f>
        <v>8.9230769230769238E-2</v>
      </c>
      <c r="G8" s="10">
        <f t="shared" si="3"/>
        <v>6.6745943457746731E-2</v>
      </c>
      <c r="H8" s="11">
        <f>$H$3*$B$8</f>
        <v>6.6923076923076918E-2</v>
      </c>
      <c r="I8" s="9">
        <f t="shared" si="4"/>
        <v>4.449729563849783E-2</v>
      </c>
      <c r="J8" s="12">
        <f t="shared" si="5"/>
        <v>4.4615384615384619E-2</v>
      </c>
      <c r="K8" s="10">
        <f t="shared" si="6"/>
        <v>2.2287976021212005E-2</v>
      </c>
      <c r="L8" s="11">
        <f t="shared" si="7"/>
        <v>2.230769230769231E-2</v>
      </c>
    </row>
    <row r="9" spans="1:12">
      <c r="A9" s="13" t="s">
        <v>10</v>
      </c>
      <c r="B9" s="14">
        <f t="shared" si="1"/>
        <v>0.61675011379153399</v>
      </c>
      <c r="C9" s="15">
        <v>0.27100000000000002</v>
      </c>
      <c r="D9" s="6">
        <f t="shared" si="0"/>
        <v>0.27100000000000002</v>
      </c>
      <c r="E9" s="14">
        <f t="shared" si="2"/>
        <v>0.20772650620879965</v>
      </c>
      <c r="F9" s="7">
        <f>$F$3*$B$9</f>
        <v>0.20846153846153848</v>
      </c>
      <c r="G9" s="15">
        <f t="shared" si="3"/>
        <v>0.15593233342283935</v>
      </c>
      <c r="H9" s="6">
        <f>$H$3*$B$9</f>
        <v>0.15634615384615383</v>
      </c>
      <c r="I9" s="14">
        <f t="shared" si="4"/>
        <v>0.10395488894855957</v>
      </c>
      <c r="J9" s="7">
        <f t="shared" si="5"/>
        <v>0.10423076923076924</v>
      </c>
      <c r="K9" s="15">
        <f t="shared" si="6"/>
        <v>5.2069323290934943E-2</v>
      </c>
      <c r="L9" s="6">
        <f t="shared" si="7"/>
        <v>5.2115384615384619E-2</v>
      </c>
    </row>
    <row r="10" spans="1:12">
      <c r="A10" s="8" t="s">
        <v>11</v>
      </c>
      <c r="B10" s="12">
        <v>1</v>
      </c>
      <c r="C10" s="10">
        <f t="shared" ref="C10:D10" si="8">SUM(C4:C9)</f>
        <v>1</v>
      </c>
      <c r="D10" s="11">
        <f t="shared" si="8"/>
        <v>1</v>
      </c>
      <c r="E10" s="9">
        <f t="shared" si="2"/>
        <v>1</v>
      </c>
      <c r="F10" s="12">
        <f t="shared" ref="F10:L10" si="9">SUM(F4:F9)</f>
        <v>1.0035384615384615</v>
      </c>
      <c r="G10" s="10">
        <f t="shared" si="9"/>
        <v>1.0019758525451685</v>
      </c>
      <c r="H10" s="11">
        <f t="shared" si="9"/>
        <v>1.0026538461538463</v>
      </c>
      <c r="I10" s="9">
        <f t="shared" si="9"/>
        <v>1.0013172350301123</v>
      </c>
      <c r="J10" s="12">
        <f t="shared" si="9"/>
        <v>1.0017692307692307</v>
      </c>
      <c r="K10" s="10">
        <f t="shared" si="9"/>
        <v>1.0008091495984321</v>
      </c>
      <c r="L10" s="11">
        <f t="shared" si="9"/>
        <v>1.0008846153846154</v>
      </c>
    </row>
    <row r="11" spans="1:12">
      <c r="B11" s="17"/>
    </row>
    <row r="12" spans="1:12">
      <c r="E12" s="17" t="s">
        <v>12</v>
      </c>
      <c r="G12" s="17" t="s">
        <v>13</v>
      </c>
    </row>
    <row r="13" spans="1:12">
      <c r="B13" s="17"/>
      <c r="C13" s="18"/>
      <c r="E13" s="19" t="s">
        <v>0</v>
      </c>
      <c r="F13" s="20">
        <v>40</v>
      </c>
    </row>
    <row r="14" spans="1:12">
      <c r="B14" s="17"/>
      <c r="E14" s="19" t="s">
        <v>5</v>
      </c>
      <c r="F14" s="21">
        <v>0.66200000000000003</v>
      </c>
      <c r="G14" s="22">
        <v>4.8399999999999999E-2</v>
      </c>
    </row>
    <row r="15" spans="1:12">
      <c r="B15" s="17"/>
      <c r="E15" s="19" t="s">
        <v>6</v>
      </c>
      <c r="F15" s="21"/>
      <c r="G15" s="22">
        <v>1.06E-2</v>
      </c>
    </row>
    <row r="16" spans="1:12">
      <c r="B16" s="17"/>
      <c r="D16" s="18"/>
      <c r="E16" s="19" t="s">
        <v>7</v>
      </c>
      <c r="F16" s="21"/>
      <c r="G16" s="22">
        <v>3.0000000000000001E-3</v>
      </c>
    </row>
    <row r="17" spans="2:7">
      <c r="B17" s="17"/>
      <c r="E17" s="19" t="s">
        <v>8</v>
      </c>
      <c r="F17" s="21">
        <v>3.6999999999999998E-2</v>
      </c>
      <c r="G17" s="22">
        <v>0.12640000000000001</v>
      </c>
    </row>
    <row r="18" spans="2:7">
      <c r="B18" s="17"/>
      <c r="E18" s="19" t="s">
        <v>14</v>
      </c>
      <c r="F18" s="21">
        <v>7.2999999999999995E-2</v>
      </c>
      <c r="G18" s="22">
        <v>0.17680000000000001</v>
      </c>
    </row>
    <row r="19" spans="2:7">
      <c r="E19" s="23" t="s">
        <v>10</v>
      </c>
      <c r="F19" s="21">
        <v>0.22800000000000001</v>
      </c>
      <c r="G19" s="22">
        <v>0.64949999999999997</v>
      </c>
    </row>
    <row r="20" spans="2:7">
      <c r="E20" s="23" t="s">
        <v>15</v>
      </c>
      <c r="F20" s="20"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M50"/>
  <sheetViews>
    <sheetView showGridLines="0" workbookViewId="0">
      <selection activeCell="A35" sqref="A35:B40"/>
    </sheetView>
  </sheetViews>
  <sheetFormatPr baseColWidth="10" defaultColWidth="12.6640625" defaultRowHeight="15.75" customHeight="1"/>
  <cols>
    <col min="1" max="1" width="12" customWidth="1"/>
    <col min="3" max="3" width="8.21875" customWidth="1"/>
    <col min="4" max="4" width="14.44140625" customWidth="1"/>
    <col min="9" max="9" width="14.109375" customWidth="1"/>
  </cols>
  <sheetData>
    <row r="2" spans="1:12">
      <c r="D2" s="24" t="s">
        <v>16</v>
      </c>
      <c r="F2" s="25" t="s">
        <v>17</v>
      </c>
    </row>
    <row r="3" spans="1:12">
      <c r="A3" s="19" t="s">
        <v>0</v>
      </c>
      <c r="B3" s="20">
        <v>40</v>
      </c>
      <c r="C3" s="26"/>
    </row>
    <row r="4" spans="1:12">
      <c r="A4" s="19" t="s">
        <v>5</v>
      </c>
      <c r="B4" s="21">
        <v>0.66200000000000003</v>
      </c>
      <c r="C4" s="26"/>
    </row>
    <row r="5" spans="1:12">
      <c r="A5" s="19" t="s">
        <v>6</v>
      </c>
      <c r="B5" s="21">
        <v>0</v>
      </c>
      <c r="C5" s="26"/>
    </row>
    <row r="6" spans="1:12">
      <c r="A6" s="19" t="s">
        <v>7</v>
      </c>
      <c r="B6" s="21">
        <v>0</v>
      </c>
      <c r="C6" s="26"/>
    </row>
    <row r="7" spans="1:12">
      <c r="A7" s="19" t="s">
        <v>8</v>
      </c>
      <c r="B7" s="21">
        <v>3.6999999999999998E-2</v>
      </c>
      <c r="C7" s="26"/>
    </row>
    <row r="8" spans="1:12">
      <c r="A8" s="19" t="s">
        <v>14</v>
      </c>
      <c r="B8" s="21">
        <v>7.2999999999999995E-2</v>
      </c>
      <c r="C8" s="26"/>
    </row>
    <row r="9" spans="1:12">
      <c r="A9" s="23" t="s">
        <v>10</v>
      </c>
      <c r="B9" s="21">
        <v>0.22800000000000001</v>
      </c>
      <c r="C9" s="26"/>
      <c r="D9" s="27" t="s">
        <v>18</v>
      </c>
      <c r="E9" s="27"/>
    </row>
    <row r="10" spans="1:12">
      <c r="A10" s="23" t="s">
        <v>15</v>
      </c>
      <c r="B10" s="20">
        <v>-4</v>
      </c>
      <c r="D10" s="27" t="s">
        <v>19</v>
      </c>
      <c r="E10" s="27"/>
    </row>
    <row r="11" spans="1:12">
      <c r="D11" s="57"/>
      <c r="E11" s="58"/>
      <c r="F11" s="58"/>
      <c r="G11" s="58"/>
      <c r="H11" s="58"/>
    </row>
    <row r="12" spans="1:12">
      <c r="B12" s="28" t="s">
        <v>20</v>
      </c>
      <c r="C12" s="29" t="s">
        <v>21</v>
      </c>
      <c r="D12" s="28" t="s">
        <v>22</v>
      </c>
      <c r="E12" s="29" t="s">
        <v>23</v>
      </c>
      <c r="F12" s="28" t="s">
        <v>24</v>
      </c>
      <c r="G12" s="28" t="s">
        <v>25</v>
      </c>
      <c r="H12" s="28" t="s">
        <v>26</v>
      </c>
      <c r="I12" s="28" t="s">
        <v>27</v>
      </c>
      <c r="J12" s="28" t="s">
        <v>28</v>
      </c>
      <c r="K12" s="28" t="s">
        <v>29</v>
      </c>
      <c r="L12" s="28" t="s">
        <v>30</v>
      </c>
    </row>
    <row r="13" spans="1:12">
      <c r="B13" s="28">
        <v>-40</v>
      </c>
      <c r="C13" s="30">
        <f t="shared" ref="C13:C24" si="0">(1.3299*10^3)-(5.184*0.1*B13)</f>
        <v>1350.6360000000002</v>
      </c>
      <c r="D13" s="30">
        <f t="shared" ref="D13:D24" si="1">(9.2559*10^2)-(4.1757*0.1*B13)</f>
        <v>942.29280000000006</v>
      </c>
      <c r="E13" s="30">
        <f t="shared" ref="E13:E24" si="2">(1.5991*10^3)-(3.1046*0.1*B13)</f>
        <v>1611.5183999999999</v>
      </c>
      <c r="F13" s="30">
        <f t="shared" ref="F13:F24" si="3">(1.3115*10^3)-(3.6589*0.1*B13)</f>
        <v>1326.1356000000001</v>
      </c>
      <c r="G13" s="30">
        <f t="shared" ref="G13:G24" si="4">(2.4238*10^3)-(2.8063*0.1*B13)</f>
        <v>2435.0252</v>
      </c>
      <c r="H13" s="30">
        <f t="shared" ref="H13:H24" si="5">(9.9718*10^2)+(3.1439*10^(-3)*B13)-(3.7574*10^(-3)*B13^(2))</f>
        <v>991.04240399999992</v>
      </c>
      <c r="I13" s="30">
        <f t="shared" ref="I13:I24" si="6">(9.1689*10^2)-(1.3071*0.1*B13)</f>
        <v>922.11840000000007</v>
      </c>
      <c r="J13" s="28">
        <f t="shared" ref="J13:J19" si="7">$B$4*(1-($B$10/B13))</f>
        <v>0.5958</v>
      </c>
      <c r="K13" s="31">
        <f t="shared" ref="K13:K24" si="8">$B$4-J13</f>
        <v>6.6200000000000037E-2</v>
      </c>
      <c r="L13" s="30">
        <f t="shared" ref="L13:L24" si="9">1/((K13/H13)+(J13/I13)+($B$5/F13)+($B$6/D13)+($B$7/G13)+($B$8/C13)+($B$9/E13))</f>
        <v>1082.6678797603961</v>
      </c>
    </row>
    <row r="14" spans="1:12">
      <c r="B14" s="28">
        <v>-30</v>
      </c>
      <c r="C14" s="30">
        <f t="shared" si="0"/>
        <v>1345.452</v>
      </c>
      <c r="D14" s="30">
        <f t="shared" si="1"/>
        <v>938.11710000000005</v>
      </c>
      <c r="E14" s="30">
        <f t="shared" si="2"/>
        <v>1608.4137999999998</v>
      </c>
      <c r="F14" s="30">
        <f t="shared" si="3"/>
        <v>1322.4766999999999</v>
      </c>
      <c r="G14" s="30">
        <f t="shared" si="4"/>
        <v>2432.2189000000003</v>
      </c>
      <c r="H14" s="30">
        <f t="shared" si="5"/>
        <v>993.70402299999989</v>
      </c>
      <c r="I14" s="30">
        <f t="shared" si="6"/>
        <v>920.81130000000007</v>
      </c>
      <c r="J14" s="28">
        <f t="shared" si="7"/>
        <v>0.57373333333333343</v>
      </c>
      <c r="K14" s="31">
        <f t="shared" si="8"/>
        <v>8.8266666666666604E-2</v>
      </c>
      <c r="L14" s="30">
        <f t="shared" si="9"/>
        <v>1083.2786534125876</v>
      </c>
    </row>
    <row r="15" spans="1:12">
      <c r="B15" s="28">
        <v>-20</v>
      </c>
      <c r="C15" s="30">
        <f t="shared" si="0"/>
        <v>1340.268</v>
      </c>
      <c r="D15" s="30">
        <f t="shared" si="1"/>
        <v>933.94140000000004</v>
      </c>
      <c r="E15" s="30">
        <f t="shared" si="2"/>
        <v>1605.3091999999999</v>
      </c>
      <c r="F15" s="30">
        <f t="shared" si="3"/>
        <v>1318.8178</v>
      </c>
      <c r="G15" s="30">
        <f t="shared" si="4"/>
        <v>2429.4126000000001</v>
      </c>
      <c r="H15" s="30">
        <f t="shared" si="5"/>
        <v>995.61416199999996</v>
      </c>
      <c r="I15" s="30">
        <f t="shared" si="6"/>
        <v>919.50420000000008</v>
      </c>
      <c r="J15" s="28">
        <f t="shared" si="7"/>
        <v>0.52960000000000007</v>
      </c>
      <c r="K15" s="31">
        <f t="shared" si="8"/>
        <v>0.13239999999999996</v>
      </c>
      <c r="L15" s="30">
        <f t="shared" si="9"/>
        <v>1086.1640217480026</v>
      </c>
    </row>
    <row r="16" spans="1:12">
      <c r="B16" s="28">
        <v>-10</v>
      </c>
      <c r="C16" s="30">
        <f t="shared" si="0"/>
        <v>1335.0840000000001</v>
      </c>
      <c r="D16" s="30">
        <f t="shared" si="1"/>
        <v>929.76570000000004</v>
      </c>
      <c r="E16" s="30">
        <f t="shared" si="2"/>
        <v>1602.2045999999998</v>
      </c>
      <c r="F16" s="30">
        <f t="shared" si="3"/>
        <v>1315.1588999999999</v>
      </c>
      <c r="G16" s="30">
        <f t="shared" si="4"/>
        <v>2426.6063000000004</v>
      </c>
      <c r="H16" s="30">
        <f t="shared" si="5"/>
        <v>996.77282100000002</v>
      </c>
      <c r="I16" s="30">
        <f t="shared" si="6"/>
        <v>918.19710000000009</v>
      </c>
      <c r="J16" s="28">
        <f t="shared" si="7"/>
        <v>0.3972</v>
      </c>
      <c r="K16" s="31">
        <f t="shared" si="8"/>
        <v>0.26480000000000004</v>
      </c>
      <c r="L16" s="30">
        <f t="shared" si="9"/>
        <v>1098.3290675137032</v>
      </c>
    </row>
    <row r="17" spans="1:13">
      <c r="B17" s="28">
        <v>-7</v>
      </c>
      <c r="C17" s="30">
        <f t="shared" si="0"/>
        <v>1333.5288</v>
      </c>
      <c r="D17" s="30">
        <f t="shared" si="1"/>
        <v>928.51299000000006</v>
      </c>
      <c r="E17" s="30">
        <f t="shared" si="2"/>
        <v>1601.2732199999998</v>
      </c>
      <c r="F17" s="30">
        <f t="shared" si="3"/>
        <v>1314.06123</v>
      </c>
      <c r="G17" s="30">
        <f t="shared" si="4"/>
        <v>2425.7644100000002</v>
      </c>
      <c r="H17" s="30">
        <f t="shared" si="5"/>
        <v>996.97388009999986</v>
      </c>
      <c r="I17" s="30">
        <f t="shared" si="6"/>
        <v>917.80497000000014</v>
      </c>
      <c r="J17" s="32">
        <f t="shared" si="7"/>
        <v>0.28371428571428575</v>
      </c>
      <c r="K17" s="31">
        <f t="shared" si="8"/>
        <v>0.37828571428571428</v>
      </c>
      <c r="L17" s="30">
        <f t="shared" si="9"/>
        <v>1109.9541083648146</v>
      </c>
    </row>
    <row r="18" spans="1:13">
      <c r="B18" s="28">
        <v>-5</v>
      </c>
      <c r="C18" s="30">
        <f t="shared" si="0"/>
        <v>1332.4920000000002</v>
      </c>
      <c r="D18" s="30">
        <f t="shared" si="1"/>
        <v>927.67785000000003</v>
      </c>
      <c r="E18" s="30">
        <f t="shared" si="2"/>
        <v>1600.6523</v>
      </c>
      <c r="F18" s="30">
        <f t="shared" si="3"/>
        <v>1313.32945</v>
      </c>
      <c r="G18" s="30">
        <f t="shared" si="4"/>
        <v>2425.2031500000003</v>
      </c>
      <c r="H18" s="30">
        <f t="shared" si="5"/>
        <v>997.07034549999992</v>
      </c>
      <c r="I18" s="30">
        <f t="shared" si="6"/>
        <v>917.5435500000001</v>
      </c>
      <c r="J18" s="32">
        <f t="shared" si="7"/>
        <v>0.13239999999999999</v>
      </c>
      <c r="K18" s="31">
        <f t="shared" si="8"/>
        <v>0.52960000000000007</v>
      </c>
      <c r="L18" s="30">
        <f t="shared" si="9"/>
        <v>1126.2055402660674</v>
      </c>
    </row>
    <row r="19" spans="1:13">
      <c r="B19" s="28">
        <v>-4.5</v>
      </c>
      <c r="C19" s="30">
        <f t="shared" si="0"/>
        <v>1332.2328</v>
      </c>
      <c r="D19" s="30">
        <f t="shared" si="1"/>
        <v>927.469065</v>
      </c>
      <c r="E19" s="30">
        <f t="shared" si="2"/>
        <v>1600.4970699999999</v>
      </c>
      <c r="F19" s="30">
        <f t="shared" si="3"/>
        <v>1313.1465049999999</v>
      </c>
      <c r="G19" s="30">
        <f t="shared" si="4"/>
        <v>2425.0628350000002</v>
      </c>
      <c r="H19" s="30">
        <f t="shared" si="5"/>
        <v>997.08976510000002</v>
      </c>
      <c r="I19" s="30">
        <f t="shared" si="6"/>
        <v>917.47819500000014</v>
      </c>
      <c r="J19" s="32">
        <f t="shared" si="7"/>
        <v>7.3555555555555596E-2</v>
      </c>
      <c r="K19" s="31">
        <f t="shared" si="8"/>
        <v>0.58844444444444444</v>
      </c>
      <c r="L19" s="30">
        <f t="shared" si="9"/>
        <v>1132.7058837535239</v>
      </c>
    </row>
    <row r="20" spans="1:13">
      <c r="B20" s="28">
        <v>-4</v>
      </c>
      <c r="C20" s="30">
        <f t="shared" si="0"/>
        <v>1331.9736</v>
      </c>
      <c r="D20" s="30">
        <f t="shared" si="1"/>
        <v>927.26028000000008</v>
      </c>
      <c r="E20" s="30">
        <f t="shared" si="2"/>
        <v>1600.3418399999998</v>
      </c>
      <c r="F20" s="30">
        <f t="shared" si="3"/>
        <v>1312.9635599999999</v>
      </c>
      <c r="G20" s="30">
        <f t="shared" si="4"/>
        <v>2424.9225200000001</v>
      </c>
      <c r="H20" s="30">
        <f t="shared" si="5"/>
        <v>997.10730599999999</v>
      </c>
      <c r="I20" s="30">
        <f t="shared" si="6"/>
        <v>917.41284000000007</v>
      </c>
      <c r="J20" s="28">
        <v>0</v>
      </c>
      <c r="K20" s="31">
        <f t="shared" si="8"/>
        <v>0.66200000000000003</v>
      </c>
      <c r="L20" s="30">
        <f t="shared" si="9"/>
        <v>1140.9609429717159</v>
      </c>
    </row>
    <row r="21" spans="1:13">
      <c r="B21" s="28">
        <v>-2</v>
      </c>
      <c r="C21" s="30">
        <f t="shared" si="0"/>
        <v>1330.9368000000002</v>
      </c>
      <c r="D21" s="30">
        <f t="shared" si="1"/>
        <v>926.42514000000006</v>
      </c>
      <c r="E21" s="30">
        <f t="shared" si="2"/>
        <v>1599.72092</v>
      </c>
      <c r="F21" s="30">
        <f t="shared" si="3"/>
        <v>1312.2317800000001</v>
      </c>
      <c r="G21" s="30">
        <f t="shared" si="4"/>
        <v>2424.3612600000001</v>
      </c>
      <c r="H21" s="30">
        <f t="shared" si="5"/>
        <v>997.15868259999991</v>
      </c>
      <c r="I21" s="30">
        <f t="shared" si="6"/>
        <v>917.15142000000014</v>
      </c>
      <c r="J21" s="28">
        <v>0</v>
      </c>
      <c r="K21" s="31">
        <f t="shared" si="8"/>
        <v>0.66200000000000003</v>
      </c>
      <c r="L21" s="30">
        <f t="shared" si="9"/>
        <v>1140.8733162588342</v>
      </c>
    </row>
    <row r="22" spans="1:13">
      <c r="B22" s="28">
        <v>0</v>
      </c>
      <c r="C22" s="30">
        <f t="shared" si="0"/>
        <v>1329.9</v>
      </c>
      <c r="D22" s="30">
        <f t="shared" si="1"/>
        <v>925.59</v>
      </c>
      <c r="E22" s="30">
        <f t="shared" si="2"/>
        <v>1599.1</v>
      </c>
      <c r="F22" s="30">
        <f t="shared" si="3"/>
        <v>1311.5</v>
      </c>
      <c r="G22" s="30">
        <f t="shared" si="4"/>
        <v>2423.8000000000002</v>
      </c>
      <c r="H22" s="30">
        <f t="shared" si="5"/>
        <v>997.18</v>
      </c>
      <c r="I22" s="30">
        <f t="shared" si="6"/>
        <v>916.8900000000001</v>
      </c>
      <c r="J22" s="28">
        <v>0</v>
      </c>
      <c r="K22" s="31">
        <f t="shared" si="8"/>
        <v>0.66200000000000003</v>
      </c>
      <c r="L22" s="30">
        <f t="shared" si="9"/>
        <v>1140.7595118307593</v>
      </c>
    </row>
    <row r="23" spans="1:13">
      <c r="B23" s="28">
        <v>10</v>
      </c>
      <c r="C23" s="30">
        <f t="shared" si="0"/>
        <v>1324.7160000000001</v>
      </c>
      <c r="D23" s="30">
        <f t="shared" si="1"/>
        <v>921.41430000000003</v>
      </c>
      <c r="E23" s="30">
        <f t="shared" si="2"/>
        <v>1595.9954</v>
      </c>
      <c r="F23" s="30">
        <f t="shared" si="3"/>
        <v>1307.8411000000001</v>
      </c>
      <c r="G23" s="30">
        <f t="shared" si="4"/>
        <v>2420.9937</v>
      </c>
      <c r="H23" s="30">
        <f t="shared" si="5"/>
        <v>996.83569899999998</v>
      </c>
      <c r="I23" s="30">
        <f t="shared" si="6"/>
        <v>915.58290000000011</v>
      </c>
      <c r="J23" s="28">
        <v>0</v>
      </c>
      <c r="K23" s="31">
        <f t="shared" si="8"/>
        <v>0.66200000000000003</v>
      </c>
      <c r="L23" s="30">
        <f t="shared" si="9"/>
        <v>1139.7984408066741</v>
      </c>
    </row>
    <row r="24" spans="1:13">
      <c r="B24" s="28">
        <v>20</v>
      </c>
      <c r="C24" s="30">
        <f t="shared" si="0"/>
        <v>1319.5320000000002</v>
      </c>
      <c r="D24" s="30">
        <f t="shared" si="1"/>
        <v>917.23860000000002</v>
      </c>
      <c r="E24" s="30">
        <f t="shared" si="2"/>
        <v>1592.8907999999999</v>
      </c>
      <c r="F24" s="30">
        <f t="shared" si="3"/>
        <v>1304.1822</v>
      </c>
      <c r="G24" s="30">
        <f t="shared" si="4"/>
        <v>2418.1874000000003</v>
      </c>
      <c r="H24" s="30">
        <f t="shared" si="5"/>
        <v>995.73991799999988</v>
      </c>
      <c r="I24" s="30">
        <f t="shared" si="6"/>
        <v>914.27580000000012</v>
      </c>
      <c r="J24" s="28">
        <v>0</v>
      </c>
      <c r="K24" s="31">
        <f t="shared" si="8"/>
        <v>0.66200000000000003</v>
      </c>
      <c r="L24" s="30">
        <f t="shared" si="9"/>
        <v>1138.1852629486798</v>
      </c>
    </row>
    <row r="25" spans="1:13">
      <c r="I25" s="17" t="s">
        <v>31</v>
      </c>
      <c r="M25" s="17" t="s">
        <v>32</v>
      </c>
    </row>
    <row r="27" spans="1:13">
      <c r="A27" s="17" t="s">
        <v>33</v>
      </c>
    </row>
    <row r="28" spans="1:13">
      <c r="A28" s="20" t="s">
        <v>34</v>
      </c>
      <c r="B28" s="33" t="s">
        <v>35</v>
      </c>
    </row>
    <row r="29" spans="1:13">
      <c r="A29" s="20">
        <v>-40</v>
      </c>
      <c r="B29" s="34">
        <v>1082.6678797603961</v>
      </c>
    </row>
    <row r="30" spans="1:13">
      <c r="A30" s="20">
        <v>-30</v>
      </c>
      <c r="B30" s="34">
        <v>1083.2786534125876</v>
      </c>
    </row>
    <row r="31" spans="1:13">
      <c r="A31" s="20">
        <v>-20</v>
      </c>
      <c r="B31" s="34">
        <v>1086.1640217480026</v>
      </c>
    </row>
    <row r="32" spans="1:13">
      <c r="A32" s="20">
        <v>-10</v>
      </c>
      <c r="B32" s="34">
        <v>1098.3290675137032</v>
      </c>
    </row>
    <row r="33" spans="1:3">
      <c r="A33" s="20">
        <v>-7</v>
      </c>
      <c r="B33" s="34">
        <v>1109.9541083648146</v>
      </c>
    </row>
    <row r="34" spans="1:3">
      <c r="A34" s="20">
        <v>-5</v>
      </c>
      <c r="B34" s="34">
        <v>1126.2055402660674</v>
      </c>
      <c r="C34" s="17"/>
    </row>
    <row r="35" spans="1:3">
      <c r="A35" s="20">
        <v>-4.5</v>
      </c>
      <c r="B35" s="34">
        <v>1132.7058837535239</v>
      </c>
    </row>
    <row r="36" spans="1:3">
      <c r="A36" s="20">
        <v>-4</v>
      </c>
      <c r="B36" s="34">
        <v>1140.9609429717159</v>
      </c>
    </row>
    <row r="37" spans="1:3">
      <c r="A37" s="20">
        <v>-2</v>
      </c>
      <c r="B37" s="34">
        <v>1140.8733162588342</v>
      </c>
    </row>
    <row r="38" spans="1:3">
      <c r="A38" s="20">
        <v>0</v>
      </c>
      <c r="B38" s="34">
        <v>1140.7595118307593</v>
      </c>
    </row>
    <row r="39" spans="1:3">
      <c r="A39" s="20">
        <v>10</v>
      </c>
      <c r="B39" s="34">
        <v>1139.7984408066741</v>
      </c>
    </row>
    <row r="40" spans="1:3">
      <c r="A40" s="20">
        <v>20</v>
      </c>
      <c r="B40" s="34">
        <v>1138.1852629486798</v>
      </c>
    </row>
    <row r="44" spans="1:3" ht="15.75" customHeight="1">
      <c r="B44" s="34"/>
    </row>
    <row r="45" spans="1:3" ht="15.75" customHeight="1">
      <c r="B45" s="34"/>
    </row>
    <row r="46" spans="1:3" ht="15.75" customHeight="1">
      <c r="B46" s="34"/>
    </row>
    <row r="47" spans="1:3" ht="15.75" customHeight="1">
      <c r="B47" s="34"/>
    </row>
    <row r="48" spans="1:3" ht="15.75" customHeight="1">
      <c r="B48" s="34"/>
    </row>
    <row r="49" spans="2:2" ht="15.75" customHeight="1">
      <c r="B49" s="34"/>
    </row>
    <row r="50" spans="2:2" ht="15.75" customHeight="1">
      <c r="B50" s="34"/>
    </row>
  </sheetData>
  <mergeCells count="1">
    <mergeCell ref="D11:H1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2:K66"/>
  <sheetViews>
    <sheetView showGridLines="0" tabSelected="1" topLeftCell="C19" workbookViewId="0">
      <selection activeCell="K25" sqref="K25"/>
    </sheetView>
  </sheetViews>
  <sheetFormatPr baseColWidth="10" defaultColWidth="12.6640625" defaultRowHeight="15.75" customHeight="1"/>
  <cols>
    <col min="1" max="16384" width="12.6640625" style="63"/>
  </cols>
  <sheetData>
    <row r="22" spans="1:11" ht="13.2">
      <c r="A22" s="23" t="s">
        <v>0</v>
      </c>
      <c r="B22" s="23">
        <v>40</v>
      </c>
      <c r="E22" s="64" t="s">
        <v>36</v>
      </c>
      <c r="F22" s="65"/>
      <c r="G22" s="65"/>
      <c r="H22" s="65"/>
      <c r="I22" s="65"/>
      <c r="J22" s="65"/>
      <c r="K22" s="65"/>
    </row>
    <row r="23" spans="1:11" ht="26.4">
      <c r="A23" s="23" t="s">
        <v>37</v>
      </c>
      <c r="B23" s="23">
        <f>0.00845*B22</f>
        <v>0.33799999999999997</v>
      </c>
      <c r="D23" s="29" t="s">
        <v>38</v>
      </c>
      <c r="E23" s="29" t="s">
        <v>39</v>
      </c>
      <c r="F23" s="29" t="s">
        <v>40</v>
      </c>
      <c r="G23" s="29" t="s">
        <v>41</v>
      </c>
      <c r="H23" s="29" t="s">
        <v>42</v>
      </c>
      <c r="I23" s="29" t="s">
        <v>43</v>
      </c>
      <c r="J23" s="29" t="s">
        <v>44</v>
      </c>
      <c r="K23" s="29" t="s">
        <v>45</v>
      </c>
    </row>
    <row r="24" spans="1:11" ht="13.2">
      <c r="A24" s="23" t="s">
        <v>46</v>
      </c>
      <c r="B24" s="23">
        <v>-4</v>
      </c>
      <c r="D24" s="29">
        <v>-40</v>
      </c>
      <c r="E24" s="66">
        <f t="shared" ref="E24:E43" si="0">2.0082+(1.2089*10^(-3)*D24)+(1.3129*10^(-6)*D24^(2))</f>
        <v>1.96194464</v>
      </c>
      <c r="F24" s="66">
        <f t="shared" ref="F24:F43" si="1">1.9842+(1.4733*10^(-3)*D24)-(4.8008*10^(-6)*D24^(2))</f>
        <v>1.9175867200000001</v>
      </c>
      <c r="G24" s="66">
        <f t="shared" ref="G24:G43" si="2">1.5488+(1.9625*10^(-3)*D24)-(5.9399*10^(-6)*D24^(2))</f>
        <v>1.4607961599999999</v>
      </c>
      <c r="H24" s="66">
        <f t="shared" ref="H24:H43" si="3">1.8459+(1.8306*10^(-3)*D24)-(4.6509*10^(-6)*D24^(2))</f>
        <v>1.7652345600000001</v>
      </c>
      <c r="I24" s="66">
        <f t="shared" ref="I24:I43" si="4">1.0926+(1.8896*10^(-3)*D24)-(3.6817*10^(-6)*D24^(2))</f>
        <v>1.0111252799999999</v>
      </c>
      <c r="J24" s="66">
        <f t="shared" ref="J24:J37" si="5">4.1289-(5.3062*10^(-3)*D24)+(9.9516*10^(-4)*D24^(2))</f>
        <v>5.9334039999999995</v>
      </c>
      <c r="K24" s="66">
        <f t="shared" ref="K24:K33" si="6">1.55+(1.26*$B$23)+($B$23*$B$25*($B$26^(2)))/($B$31*(D24^(2)))</f>
        <v>2.5036352000000002</v>
      </c>
    </row>
    <row r="25" spans="1:11" ht="26.4">
      <c r="A25" s="23" t="s">
        <v>47</v>
      </c>
      <c r="B25" s="23">
        <v>8.3140000000000001</v>
      </c>
      <c r="D25" s="29">
        <v>-35</v>
      </c>
      <c r="E25" s="66">
        <f t="shared" si="0"/>
        <v>1.9674968024999999</v>
      </c>
      <c r="F25" s="66">
        <f t="shared" si="1"/>
        <v>1.9267535200000001</v>
      </c>
      <c r="G25" s="66">
        <f t="shared" si="2"/>
        <v>1.4728361225</v>
      </c>
      <c r="H25" s="66">
        <f t="shared" si="3"/>
        <v>1.7761316475000002</v>
      </c>
      <c r="I25" s="66">
        <f t="shared" si="4"/>
        <v>1.0219539175000001</v>
      </c>
      <c r="J25" s="66">
        <f t="shared" si="5"/>
        <v>5.5336879999999997</v>
      </c>
      <c r="K25" s="66">
        <f t="shared" si="6"/>
        <v>2.6651929142857145</v>
      </c>
    </row>
    <row r="26" spans="1:11" ht="13.2">
      <c r="A26" s="23" t="s">
        <v>48</v>
      </c>
      <c r="B26" s="23">
        <v>273.2</v>
      </c>
      <c r="D26" s="29">
        <v>-30</v>
      </c>
      <c r="E26" s="66">
        <f t="shared" si="0"/>
        <v>1.9731146099999999</v>
      </c>
      <c r="F26" s="66">
        <f t="shared" si="1"/>
        <v>1.9356802799999999</v>
      </c>
      <c r="G26" s="66">
        <f t="shared" si="2"/>
        <v>1.48457909</v>
      </c>
      <c r="H26" s="66">
        <f t="shared" si="3"/>
        <v>1.78679619</v>
      </c>
      <c r="I26" s="66">
        <f t="shared" si="4"/>
        <v>1.0325984699999999</v>
      </c>
      <c r="J26" s="66">
        <f t="shared" si="5"/>
        <v>5.1837299999999997</v>
      </c>
      <c r="K26" s="66">
        <f t="shared" si="6"/>
        <v>2.9141114666666668</v>
      </c>
    </row>
    <row r="27" spans="1:11" ht="13.2">
      <c r="A27" s="23" t="s">
        <v>49</v>
      </c>
      <c r="B27" s="23">
        <v>0.66200000000000003</v>
      </c>
      <c r="D27" s="29">
        <v>-25</v>
      </c>
      <c r="E27" s="66">
        <f t="shared" si="0"/>
        <v>1.9787980624999999</v>
      </c>
      <c r="F27" s="66">
        <f t="shared" si="1"/>
        <v>1.944367</v>
      </c>
      <c r="G27" s="66">
        <f t="shared" si="2"/>
        <v>1.4960250625</v>
      </c>
      <c r="H27" s="66">
        <f t="shared" si="3"/>
        <v>1.7972281875</v>
      </c>
      <c r="I27" s="66">
        <f t="shared" si="4"/>
        <v>1.0430589375000001</v>
      </c>
      <c r="J27" s="66">
        <f t="shared" si="5"/>
        <v>4.8835299999999995</v>
      </c>
      <c r="K27" s="66">
        <f t="shared" si="6"/>
        <v>3.3269333120000004</v>
      </c>
    </row>
    <row r="28" spans="1:11" ht="26.4">
      <c r="A28" s="23" t="s">
        <v>50</v>
      </c>
      <c r="B28" s="23">
        <v>7.2999999999999995E-2</v>
      </c>
      <c r="D28" s="29">
        <v>-20</v>
      </c>
      <c r="E28" s="66">
        <f t="shared" si="0"/>
        <v>1.98454716</v>
      </c>
      <c r="F28" s="66">
        <f t="shared" si="1"/>
        <v>1.95281368</v>
      </c>
      <c r="G28" s="66">
        <f t="shared" si="2"/>
        <v>1.50717404</v>
      </c>
      <c r="H28" s="66">
        <f t="shared" si="3"/>
        <v>1.80742764</v>
      </c>
      <c r="I28" s="66">
        <f t="shared" si="4"/>
        <v>1.05333532</v>
      </c>
      <c r="J28" s="66">
        <f t="shared" si="5"/>
        <v>4.6330879999999999</v>
      </c>
      <c r="K28" s="66">
        <f t="shared" si="6"/>
        <v>4.0869008000000004</v>
      </c>
    </row>
    <row r="29" spans="1:11" ht="13.2">
      <c r="A29" s="23" t="s">
        <v>51</v>
      </c>
      <c r="B29" s="23">
        <f>0.4*B28</f>
        <v>2.92E-2</v>
      </c>
      <c r="D29" s="29">
        <v>-12.8</v>
      </c>
      <c r="E29" s="66">
        <f t="shared" si="0"/>
        <v>1.992941185536</v>
      </c>
      <c r="F29" s="66">
        <f t="shared" si="1"/>
        <v>1.964555196928</v>
      </c>
      <c r="G29" s="66">
        <f t="shared" si="2"/>
        <v>1.5227068067839999</v>
      </c>
      <c r="H29" s="66">
        <f t="shared" si="3"/>
        <v>1.8217063165439999</v>
      </c>
      <c r="I29" s="66">
        <f t="shared" si="4"/>
        <v>1.067809910272</v>
      </c>
      <c r="J29" s="66">
        <f t="shared" si="5"/>
        <v>4.3598663744000001</v>
      </c>
      <c r="K29" s="66">
        <f t="shared" si="6"/>
        <v>7.1297393749999998</v>
      </c>
    </row>
    <row r="30" spans="1:11" ht="13.2">
      <c r="A30" s="23" t="s">
        <v>52</v>
      </c>
      <c r="B30" s="23">
        <v>333.6</v>
      </c>
      <c r="D30" s="29">
        <v>-10</v>
      </c>
      <c r="E30" s="66">
        <f t="shared" si="0"/>
        <v>1.9962422899999999</v>
      </c>
      <c r="F30" s="66">
        <f t="shared" si="1"/>
        <v>1.9689869199999999</v>
      </c>
      <c r="G30" s="66">
        <f t="shared" si="2"/>
        <v>1.5285810099999999</v>
      </c>
      <c r="H30" s="66">
        <f t="shared" si="3"/>
        <v>1.8271289100000001</v>
      </c>
      <c r="I30" s="66">
        <f t="shared" si="4"/>
        <v>1.07333583</v>
      </c>
      <c r="J30" s="66">
        <f t="shared" si="5"/>
        <v>4.2814779999999999</v>
      </c>
      <c r="K30" s="66">
        <f t="shared" si="6"/>
        <v>10.419963200000002</v>
      </c>
    </row>
    <row r="31" spans="1:11" ht="13.2">
      <c r="A31" s="23" t="s">
        <v>53</v>
      </c>
      <c r="B31" s="33">
        <f>B23*B25*(B26^2)/(-(B27-B29)*B30*B24)</f>
        <v>248.39085745588099</v>
      </c>
      <c r="D31" s="29">
        <v>-7</v>
      </c>
      <c r="E31" s="66">
        <f t="shared" si="0"/>
        <v>1.9998020321000001</v>
      </c>
      <c r="F31" s="66">
        <f t="shared" si="1"/>
        <v>1.9736516607999999</v>
      </c>
      <c r="G31" s="66">
        <f t="shared" si="2"/>
        <v>1.5347714449000001</v>
      </c>
      <c r="H31" s="66">
        <f t="shared" si="3"/>
        <v>1.8328579059000001</v>
      </c>
      <c r="I31" s="66">
        <f t="shared" si="4"/>
        <v>1.0791923967000001</v>
      </c>
      <c r="J31" s="66">
        <f t="shared" si="5"/>
        <v>4.2148062399999997</v>
      </c>
      <c r="K31" s="66">
        <f t="shared" si="6"/>
        <v>19.20870285714286</v>
      </c>
    </row>
    <row r="32" spans="1:11">
      <c r="D32" s="29">
        <v>-5</v>
      </c>
      <c r="E32" s="66">
        <f t="shared" si="0"/>
        <v>2.0021883225000003</v>
      </c>
      <c r="F32" s="66">
        <f t="shared" si="1"/>
        <v>1.9767134799999999</v>
      </c>
      <c r="G32" s="66">
        <f t="shared" si="2"/>
        <v>1.5388390025000001</v>
      </c>
      <c r="H32" s="66">
        <f t="shared" si="3"/>
        <v>1.8366307275000002</v>
      </c>
      <c r="I32" s="66">
        <f t="shared" si="4"/>
        <v>1.0830599575000002</v>
      </c>
      <c r="J32" s="66">
        <f t="shared" si="5"/>
        <v>4.1803100000000004</v>
      </c>
      <c r="K32" s="66">
        <f t="shared" si="6"/>
        <v>35.752212800000009</v>
      </c>
    </row>
    <row r="33" spans="1:11">
      <c r="D33" s="29">
        <v>-4.5</v>
      </c>
      <c r="E33" s="66">
        <f t="shared" si="0"/>
        <v>2.0027865362250004</v>
      </c>
      <c r="F33" s="66">
        <f t="shared" si="1"/>
        <v>1.9774729338000001</v>
      </c>
      <c r="G33" s="66">
        <f t="shared" si="2"/>
        <v>1.5398484670249999</v>
      </c>
      <c r="H33" s="66">
        <f t="shared" si="3"/>
        <v>1.8375681192750002</v>
      </c>
      <c r="I33" s="66">
        <f t="shared" si="4"/>
        <v>1.0840222455749999</v>
      </c>
      <c r="J33" s="66">
        <f t="shared" si="5"/>
        <v>4.1729298899999989</v>
      </c>
      <c r="K33" s="66">
        <f t="shared" si="6"/>
        <v>43.675056296296304</v>
      </c>
    </row>
    <row r="34" spans="1:11">
      <c r="D34" s="29">
        <v>-4</v>
      </c>
      <c r="E34" s="66">
        <f t="shared" si="0"/>
        <v>2.0033854064000001</v>
      </c>
      <c r="F34" s="66">
        <f t="shared" si="1"/>
        <v>1.9782299872</v>
      </c>
      <c r="G34" s="66">
        <f t="shared" si="2"/>
        <v>1.5408549616</v>
      </c>
      <c r="H34" s="66">
        <f t="shared" si="3"/>
        <v>1.8385031856</v>
      </c>
      <c r="I34" s="66">
        <f t="shared" si="4"/>
        <v>1.0849826928000001</v>
      </c>
      <c r="J34" s="66">
        <f t="shared" si="5"/>
        <v>4.1660473599999994</v>
      </c>
      <c r="K34" s="66">
        <f t="shared" ref="K34:K43" si="7">($B$38*J34)+($B$39*H34)+($B$40*F34)+($B$41*I34)+($B$42*E34)+($B$43*G34)</f>
        <v>3.2956297778655994</v>
      </c>
    </row>
    <row r="35" spans="1:11">
      <c r="D35" s="29">
        <v>-5</v>
      </c>
      <c r="E35" s="66">
        <f t="shared" si="0"/>
        <v>2.0021883225000003</v>
      </c>
      <c r="F35" s="66">
        <f t="shared" si="1"/>
        <v>1.9767134799999999</v>
      </c>
      <c r="G35" s="66">
        <f t="shared" si="2"/>
        <v>1.5388390025000001</v>
      </c>
      <c r="H35" s="66">
        <f t="shared" si="3"/>
        <v>1.8366307275000002</v>
      </c>
      <c r="I35" s="66">
        <f t="shared" si="4"/>
        <v>1.0830599575000002</v>
      </c>
      <c r="J35" s="66">
        <f t="shared" si="5"/>
        <v>4.1803100000000004</v>
      </c>
      <c r="K35" s="66">
        <f t="shared" si="7"/>
        <v>3.3044534785400002</v>
      </c>
    </row>
    <row r="36" spans="1:11">
      <c r="D36" s="29">
        <v>-3</v>
      </c>
      <c r="E36" s="66">
        <f t="shared" si="0"/>
        <v>2.0045851160999999</v>
      </c>
      <c r="F36" s="66">
        <f t="shared" si="1"/>
        <v>1.9797368927999999</v>
      </c>
      <c r="G36" s="66">
        <f t="shared" si="2"/>
        <v>1.5428590408999998</v>
      </c>
      <c r="H36" s="66">
        <f t="shared" si="3"/>
        <v>1.8403663419000003</v>
      </c>
      <c r="I36" s="66">
        <f t="shared" si="4"/>
        <v>1.0868980646999999</v>
      </c>
      <c r="J36" s="66">
        <f t="shared" si="5"/>
        <v>4.1537750400000002</v>
      </c>
      <c r="K36" s="66">
        <f t="shared" si="7"/>
        <v>3.2881208796744006</v>
      </c>
    </row>
    <row r="37" spans="1:11">
      <c r="A37" s="23" t="s">
        <v>0</v>
      </c>
      <c r="B37" s="33">
        <v>40</v>
      </c>
      <c r="D37" s="29">
        <v>0</v>
      </c>
      <c r="E37" s="66">
        <f t="shared" si="0"/>
        <v>2.0082</v>
      </c>
      <c r="F37" s="66">
        <f t="shared" si="1"/>
        <v>1.9842</v>
      </c>
      <c r="G37" s="66">
        <f t="shared" si="2"/>
        <v>1.5488</v>
      </c>
      <c r="H37" s="66">
        <f t="shared" si="3"/>
        <v>1.8459000000000001</v>
      </c>
      <c r="I37" s="66">
        <f t="shared" si="4"/>
        <v>1.0926</v>
      </c>
      <c r="J37" s="66">
        <f t="shared" si="5"/>
        <v>4.1288999999999998</v>
      </c>
      <c r="K37" s="66">
        <f t="shared" si="7"/>
        <v>3.2734830000000001</v>
      </c>
    </row>
    <row r="38" spans="1:11">
      <c r="A38" s="23" t="s">
        <v>5</v>
      </c>
      <c r="B38" s="67">
        <v>0.66200000000000003</v>
      </c>
      <c r="D38" s="29">
        <v>1</v>
      </c>
      <c r="E38" s="66">
        <f t="shared" si="0"/>
        <v>2.0094102128999998</v>
      </c>
      <c r="F38" s="66">
        <f t="shared" si="1"/>
        <v>1.9856684992</v>
      </c>
      <c r="G38" s="66">
        <f t="shared" si="2"/>
        <v>1.5507565601</v>
      </c>
      <c r="H38" s="66">
        <f t="shared" si="3"/>
        <v>1.8477259491</v>
      </c>
      <c r="I38" s="66">
        <f t="shared" si="4"/>
        <v>1.0944859183</v>
      </c>
      <c r="J38" s="66">
        <f t="shared" ref="J38:J43" si="8">4.1289-(9.0864*10^(-5)*D38)+(5.4731*10^(-6)*D38^(2))</f>
        <v>4.1288146091</v>
      </c>
      <c r="K38" s="66">
        <f t="shared" si="7"/>
        <v>3.2740306914458004</v>
      </c>
    </row>
    <row r="39" spans="1:11">
      <c r="A39" s="23" t="s">
        <v>6</v>
      </c>
      <c r="B39" s="67">
        <v>0</v>
      </c>
      <c r="D39" s="29">
        <v>5</v>
      </c>
      <c r="E39" s="66">
        <f t="shared" si="0"/>
        <v>2.0142773224999999</v>
      </c>
      <c r="F39" s="66">
        <f t="shared" si="1"/>
        <v>1.99144648</v>
      </c>
      <c r="G39" s="66">
        <f t="shared" si="2"/>
        <v>1.5584640025000001</v>
      </c>
      <c r="H39" s="66">
        <f t="shared" si="3"/>
        <v>1.8549367275000002</v>
      </c>
      <c r="I39" s="66">
        <f t="shared" si="4"/>
        <v>1.1019559575</v>
      </c>
      <c r="J39" s="68">
        <f t="shared" si="8"/>
        <v>4.1285825075</v>
      </c>
      <c r="K39" s="68">
        <f t="shared" si="7"/>
        <v>3.2762660275049997</v>
      </c>
    </row>
    <row r="40" spans="1:11" ht="13.2">
      <c r="A40" s="23" t="s">
        <v>7</v>
      </c>
      <c r="B40" s="67">
        <v>0</v>
      </c>
      <c r="D40" s="29">
        <v>10</v>
      </c>
      <c r="E40" s="66">
        <f t="shared" si="0"/>
        <v>2.0204202900000001</v>
      </c>
      <c r="F40" s="66">
        <f t="shared" si="1"/>
        <v>1.9984529200000001</v>
      </c>
      <c r="G40" s="66">
        <f t="shared" si="2"/>
        <v>1.5678310099999999</v>
      </c>
      <c r="H40" s="66">
        <f t="shared" si="3"/>
        <v>1.86374091</v>
      </c>
      <c r="I40" s="66">
        <f t="shared" si="4"/>
        <v>1.11112783</v>
      </c>
      <c r="J40" s="68">
        <f t="shared" ref="J40:J43" si="9">4.1289-(9.0864*10^(-5)*D40)+(5.4731*10^(-4)*D40^(2))</f>
        <v>4.1827223600000005</v>
      </c>
      <c r="K40" s="68">
        <f t="shared" si="7"/>
        <v>3.3150300834799999</v>
      </c>
    </row>
    <row r="41" spans="1:11" ht="13.2">
      <c r="A41" s="23" t="s">
        <v>8</v>
      </c>
      <c r="B41" s="67">
        <v>3.6999999999999998E-2</v>
      </c>
      <c r="D41" s="29">
        <v>15</v>
      </c>
      <c r="E41" s="66">
        <f t="shared" si="0"/>
        <v>2.0266289024999997</v>
      </c>
      <c r="F41" s="66">
        <f t="shared" si="1"/>
        <v>2.0052193199999997</v>
      </c>
      <c r="G41" s="66">
        <f t="shared" si="2"/>
        <v>1.5769010225</v>
      </c>
      <c r="H41" s="66">
        <f t="shared" si="3"/>
        <v>1.8723125475</v>
      </c>
      <c r="I41" s="66">
        <f t="shared" si="4"/>
        <v>1.1201156175</v>
      </c>
      <c r="J41" s="68">
        <f t="shared" si="9"/>
        <v>4.2506817899999998</v>
      </c>
      <c r="K41" s="68">
        <f t="shared" si="7"/>
        <v>3.3628729658400003</v>
      </c>
    </row>
    <row r="42" spans="1:11" ht="13.2">
      <c r="A42" s="23" t="s">
        <v>14</v>
      </c>
      <c r="B42" s="67">
        <v>7.2999999999999995E-2</v>
      </c>
      <c r="D42" s="29">
        <v>20</v>
      </c>
      <c r="E42" s="66">
        <f t="shared" si="0"/>
        <v>2.03290316</v>
      </c>
      <c r="F42" s="66">
        <f t="shared" si="1"/>
        <v>2.0117456800000002</v>
      </c>
      <c r="G42" s="66">
        <f t="shared" si="2"/>
        <v>1.58567404</v>
      </c>
      <c r="H42" s="66">
        <f t="shared" si="3"/>
        <v>1.8806516400000002</v>
      </c>
      <c r="I42" s="66">
        <f t="shared" si="4"/>
        <v>1.1289193200000001</v>
      </c>
      <c r="J42" s="68">
        <f t="shared" si="9"/>
        <v>4.3460067200000001</v>
      </c>
      <c r="K42" s="68">
        <f t="shared" si="7"/>
        <v>3.4287620752800003</v>
      </c>
    </row>
    <row r="43" spans="1:11" ht="13.2">
      <c r="A43" s="23" t="s">
        <v>10</v>
      </c>
      <c r="B43" s="67">
        <v>0.22800000000000001</v>
      </c>
      <c r="D43" s="29">
        <v>25</v>
      </c>
      <c r="E43" s="66">
        <f t="shared" si="0"/>
        <v>2.0392430624999998</v>
      </c>
      <c r="F43" s="66">
        <f t="shared" si="1"/>
        <v>2.0180319999999998</v>
      </c>
      <c r="G43" s="66">
        <f t="shared" si="2"/>
        <v>1.5941500625</v>
      </c>
      <c r="H43" s="66">
        <f t="shared" si="3"/>
        <v>1.8887581875000001</v>
      </c>
      <c r="I43" s="66">
        <f t="shared" si="4"/>
        <v>1.1375389375</v>
      </c>
      <c r="J43" s="68">
        <f t="shared" si="9"/>
        <v>4.4686971499999997</v>
      </c>
      <c r="K43" s="68">
        <f t="shared" si="7"/>
        <v>3.5126974118000005</v>
      </c>
    </row>
    <row r="44" spans="1:11">
      <c r="A44" s="24"/>
      <c r="B44" s="29"/>
    </row>
    <row r="45" spans="1:11">
      <c r="D45" s="24" t="s">
        <v>33</v>
      </c>
      <c r="E45" s="24"/>
    </row>
    <row r="46" spans="1:11" ht="39.6">
      <c r="A46" s="23" t="s">
        <v>54</v>
      </c>
      <c r="B46" s="23">
        <f>4.19-(2.3*$B$23)-(-0.628*$B$23^(3))</f>
        <v>3.4368498884160004</v>
      </c>
      <c r="D46" s="38" t="s">
        <v>55</v>
      </c>
      <c r="E46" s="38" t="s">
        <v>56</v>
      </c>
    </row>
    <row r="47" spans="1:11">
      <c r="D47" s="38">
        <v>-40</v>
      </c>
      <c r="E47" s="38">
        <v>2.5036352000000002</v>
      </c>
    </row>
    <row r="48" spans="1:11">
      <c r="D48" s="38">
        <v>-35</v>
      </c>
      <c r="E48" s="38">
        <v>2.6651929142857145</v>
      </c>
    </row>
    <row r="49" spans="4:5">
      <c r="D49" s="38">
        <v>-30</v>
      </c>
      <c r="E49" s="38">
        <v>2.9141114666666668</v>
      </c>
    </row>
    <row r="50" spans="4:5">
      <c r="D50" s="38">
        <v>-25</v>
      </c>
      <c r="E50" s="38">
        <v>3.3269333120000004</v>
      </c>
    </row>
    <row r="51" spans="4:5">
      <c r="D51" s="38">
        <v>-20</v>
      </c>
      <c r="E51" s="38">
        <v>4.0869008000000004</v>
      </c>
    </row>
    <row r="52" spans="4:5">
      <c r="D52" s="38">
        <v>-12.8</v>
      </c>
      <c r="E52" s="38">
        <v>7.1297393749999998</v>
      </c>
    </row>
    <row r="53" spans="4:5">
      <c r="D53" s="38">
        <v>-10</v>
      </c>
      <c r="E53" s="38">
        <v>10.419963200000002</v>
      </c>
    </row>
    <row r="54" spans="4:5">
      <c r="D54" s="38">
        <v>-7</v>
      </c>
      <c r="E54" s="38">
        <v>19.20870285714286</v>
      </c>
    </row>
    <row r="55" spans="4:5">
      <c r="D55" s="38">
        <v>-5</v>
      </c>
      <c r="E55" s="38">
        <v>35.752212800000009</v>
      </c>
    </row>
    <row r="56" spans="4:5">
      <c r="D56" s="38">
        <v>-4.5</v>
      </c>
      <c r="E56" s="38">
        <v>43.675056296296304</v>
      </c>
    </row>
    <row r="57" spans="4:5">
      <c r="D57" s="38">
        <v>-4</v>
      </c>
      <c r="E57" s="38">
        <v>3.2956297778655994</v>
      </c>
    </row>
    <row r="58" spans="4:5">
      <c r="D58" s="38">
        <v>-5</v>
      </c>
      <c r="E58" s="38">
        <v>3.3044534785400002</v>
      </c>
    </row>
    <row r="59" spans="4:5">
      <c r="D59" s="38">
        <v>-3</v>
      </c>
      <c r="E59" s="38">
        <v>3.2881208796744006</v>
      </c>
    </row>
    <row r="60" spans="4:5">
      <c r="D60" s="38">
        <v>0</v>
      </c>
      <c r="E60" s="38">
        <v>3.2734830000000001</v>
      </c>
    </row>
    <row r="61" spans="4:5">
      <c r="D61" s="38">
        <v>1</v>
      </c>
      <c r="E61" s="38">
        <v>3.2740306914458004</v>
      </c>
    </row>
    <row r="62" spans="4:5">
      <c r="D62" s="38">
        <v>5</v>
      </c>
      <c r="E62" s="38">
        <v>3.2762660275049997</v>
      </c>
    </row>
    <row r="63" spans="4:5">
      <c r="D63" s="38">
        <v>10</v>
      </c>
      <c r="E63" s="38">
        <v>3.3150300834799999</v>
      </c>
    </row>
    <row r="64" spans="4:5">
      <c r="D64" s="38">
        <v>15</v>
      </c>
      <c r="E64" s="38">
        <v>3.3628729658400003</v>
      </c>
    </row>
    <row r="65" spans="4:5">
      <c r="D65" s="38">
        <v>20</v>
      </c>
      <c r="E65" s="38">
        <v>3.4287620752800003</v>
      </c>
    </row>
    <row r="66" spans="4:5">
      <c r="D66" s="38">
        <v>25</v>
      </c>
      <c r="E66" s="38">
        <v>3.5126974118000005</v>
      </c>
    </row>
  </sheetData>
  <mergeCells count="1">
    <mergeCell ref="E22:K22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3:E36"/>
  <sheetViews>
    <sheetView showGridLines="0" workbookViewId="0">
      <selection activeCell="B15" sqref="B15"/>
    </sheetView>
  </sheetViews>
  <sheetFormatPr baseColWidth="10" defaultColWidth="12.6640625" defaultRowHeight="15.75" customHeight="1"/>
  <sheetData>
    <row r="13" spans="1:2">
      <c r="A13" s="19" t="s">
        <v>0</v>
      </c>
      <c r="B13" s="19">
        <v>52</v>
      </c>
    </row>
    <row r="14" spans="1:2">
      <c r="A14" s="23" t="s">
        <v>37</v>
      </c>
      <c r="B14" s="19">
        <f>0.00845*B13</f>
        <v>0.43939999999999996</v>
      </c>
    </row>
    <row r="15" spans="1:2">
      <c r="A15" s="19" t="s">
        <v>46</v>
      </c>
      <c r="B15" s="19">
        <v>-6.57</v>
      </c>
    </row>
    <row r="16" spans="1:2">
      <c r="A16" s="19" t="s">
        <v>47</v>
      </c>
      <c r="B16" s="19">
        <v>8.3140000000000001</v>
      </c>
    </row>
    <row r="17" spans="1:5">
      <c r="A17" s="19" t="s">
        <v>48</v>
      </c>
      <c r="B17" s="19">
        <v>273.2</v>
      </c>
      <c r="D17" s="28" t="s">
        <v>57</v>
      </c>
      <c r="E17" s="28" t="s">
        <v>58</v>
      </c>
    </row>
    <row r="18" spans="1:5">
      <c r="A18" s="19" t="s">
        <v>49</v>
      </c>
      <c r="B18" s="19">
        <v>0.55600000000000005</v>
      </c>
      <c r="D18" s="28">
        <v>-40</v>
      </c>
      <c r="E18" s="35">
        <f t="shared" ref="E18:E27" si="0">(D18-$D$18)*(1.55+(1.26*$B$14)+(($B$14*$B$16*($B$17^2))/($B$22*D18*$D$18)))</f>
        <v>0</v>
      </c>
    </row>
    <row r="19" spans="1:5">
      <c r="A19" s="19" t="s">
        <v>50</v>
      </c>
      <c r="B19" s="19">
        <v>0.11600000000000001</v>
      </c>
      <c r="D19" s="28">
        <v>-35</v>
      </c>
      <c r="E19" s="35">
        <f t="shared" si="0"/>
        <v>14.50720864</v>
      </c>
    </row>
    <row r="20" spans="1:5">
      <c r="A20" s="19" t="s">
        <v>51</v>
      </c>
      <c r="B20" s="19">
        <f>0.4*B19</f>
        <v>4.6400000000000004E-2</v>
      </c>
      <c r="D20" s="28">
        <v>-30</v>
      </c>
      <c r="E20" s="35">
        <f t="shared" si="0"/>
        <v>30.344080160000004</v>
      </c>
    </row>
    <row r="21" spans="1:5">
      <c r="A21" s="19" t="s">
        <v>52</v>
      </c>
      <c r="B21" s="19">
        <v>333.6</v>
      </c>
      <c r="D21" s="28">
        <v>-25</v>
      </c>
      <c r="E21" s="35">
        <f t="shared" si="0"/>
        <v>48.308412288</v>
      </c>
    </row>
    <row r="22" spans="1:5">
      <c r="A22" s="19" t="s">
        <v>59</v>
      </c>
      <c r="B22" s="20">
        <f>$B$14*$B$16*($B$17^2)/(-($B$18-$B$20)*$B$21*$B$15)</f>
        <v>244.12408691032442</v>
      </c>
      <c r="D22" s="28">
        <v>-20</v>
      </c>
      <c r="E22" s="35">
        <f t="shared" si="0"/>
        <v>69.99580048</v>
      </c>
    </row>
    <row r="23" spans="1:5">
      <c r="D23" s="28">
        <v>-12.8</v>
      </c>
      <c r="E23" s="35">
        <f t="shared" si="0"/>
        <v>116.55532282000001</v>
      </c>
    </row>
    <row r="24" spans="1:5">
      <c r="D24" s="28">
        <v>-10</v>
      </c>
      <c r="E24" s="35">
        <f t="shared" si="0"/>
        <v>146.87808144000005</v>
      </c>
    </row>
    <row r="25" spans="1:5">
      <c r="D25" s="28">
        <v>-7</v>
      </c>
      <c r="E25" s="35">
        <f t="shared" si="0"/>
        <v>201.05687712</v>
      </c>
    </row>
    <row r="26" spans="1:5">
      <c r="D26" s="28">
        <v>-6.58</v>
      </c>
      <c r="E26" s="35">
        <f t="shared" si="0"/>
        <v>212.12505944680856</v>
      </c>
    </row>
    <row r="27" spans="1:5">
      <c r="D27" s="39">
        <v>-6.57</v>
      </c>
      <c r="E27" s="40">
        <f t="shared" si="0"/>
        <v>212.40445844000004</v>
      </c>
    </row>
    <row r="28" spans="1:5">
      <c r="D28" s="28">
        <v>-6.56</v>
      </c>
      <c r="E28" s="35">
        <f t="shared" ref="E28:E36" si="1">$E$27+(D28-$B$15)*(4.19-(2.3*$B$14)-(0.628*($B$14^3)))</f>
        <v>212.43571946995155</v>
      </c>
    </row>
    <row r="29" spans="1:5">
      <c r="D29" s="28">
        <v>-6</v>
      </c>
      <c r="E29" s="35">
        <f t="shared" si="1"/>
        <v>214.18633714723558</v>
      </c>
    </row>
    <row r="30" spans="1:5">
      <c r="D30" s="28">
        <v>-5</v>
      </c>
      <c r="E30" s="35">
        <f t="shared" si="1"/>
        <v>217.31244014238561</v>
      </c>
    </row>
    <row r="31" spans="1:5">
      <c r="D31" s="28">
        <v>0</v>
      </c>
      <c r="E31" s="35">
        <f t="shared" si="1"/>
        <v>232.94295511813587</v>
      </c>
    </row>
    <row r="32" spans="1:5">
      <c r="D32" s="28">
        <v>5</v>
      </c>
      <c r="E32" s="35">
        <f t="shared" si="1"/>
        <v>248.5734700938861</v>
      </c>
    </row>
    <row r="33" spans="4:5">
      <c r="D33" s="28">
        <v>10</v>
      </c>
      <c r="E33" s="35">
        <f t="shared" si="1"/>
        <v>264.20398506963636</v>
      </c>
    </row>
    <row r="34" spans="4:5">
      <c r="D34" s="28">
        <v>15</v>
      </c>
      <c r="E34" s="35">
        <f t="shared" si="1"/>
        <v>279.83450004538656</v>
      </c>
    </row>
    <row r="35" spans="4:5">
      <c r="D35" s="28">
        <v>20</v>
      </c>
      <c r="E35" s="35">
        <f t="shared" si="1"/>
        <v>295.46501502113682</v>
      </c>
    </row>
    <row r="36" spans="4:5">
      <c r="D36" s="28">
        <v>25</v>
      </c>
      <c r="E36" s="35">
        <f t="shared" si="1"/>
        <v>311.09552999688708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S47"/>
  <sheetViews>
    <sheetView showGridLines="0" workbookViewId="0"/>
  </sheetViews>
  <sheetFormatPr baseColWidth="10" defaultColWidth="12.6640625" defaultRowHeight="15.75" customHeight="1"/>
  <cols>
    <col min="1" max="1" width="12" customWidth="1"/>
    <col min="3" max="3" width="12.33203125" customWidth="1"/>
    <col min="4" max="4" width="14.44140625" customWidth="1"/>
    <col min="9" max="9" width="14.109375" customWidth="1"/>
    <col min="17" max="17" width="13.21875" customWidth="1"/>
    <col min="18" max="18" width="14.44140625" customWidth="1"/>
    <col min="25" max="25" width="13.21875" customWidth="1"/>
  </cols>
  <sheetData>
    <row r="2" spans="1:19" ht="13.2">
      <c r="D2" s="24"/>
      <c r="F2" s="25"/>
    </row>
    <row r="3" spans="1:19" ht="13.2">
      <c r="A3" s="19" t="s">
        <v>0</v>
      </c>
      <c r="B3" s="20">
        <v>40</v>
      </c>
      <c r="C3" s="26"/>
    </row>
    <row r="4" spans="1:19" ht="13.2">
      <c r="A4" s="19" t="s">
        <v>5</v>
      </c>
      <c r="B4" s="36">
        <v>0.66200000000000003</v>
      </c>
      <c r="C4" s="26"/>
    </row>
    <row r="5" spans="1:19" ht="13.2">
      <c r="A5" s="19" t="s">
        <v>6</v>
      </c>
      <c r="B5" s="36">
        <v>0</v>
      </c>
      <c r="C5" s="26"/>
    </row>
    <row r="6" spans="1:19" ht="13.2">
      <c r="A6" s="19" t="s">
        <v>7</v>
      </c>
      <c r="B6" s="36">
        <v>0</v>
      </c>
      <c r="C6" s="26"/>
    </row>
    <row r="7" spans="1:19" ht="13.2">
      <c r="A7" s="19" t="s">
        <v>8</v>
      </c>
      <c r="B7" s="36">
        <v>3.6999999999999998E-2</v>
      </c>
      <c r="C7" s="26"/>
      <c r="G7" s="17" t="s">
        <v>18</v>
      </c>
    </row>
    <row r="8" spans="1:19" ht="13.2">
      <c r="A8" s="19" t="s">
        <v>14</v>
      </c>
      <c r="B8" s="36">
        <v>7.2999999999999995E-2</v>
      </c>
      <c r="C8" s="26"/>
      <c r="G8" s="17" t="s">
        <v>60</v>
      </c>
    </row>
    <row r="9" spans="1:19" ht="26.4">
      <c r="A9" s="23" t="s">
        <v>10</v>
      </c>
      <c r="B9" s="36">
        <v>0.22800000000000001</v>
      </c>
      <c r="C9" s="26"/>
      <c r="D9" s="27"/>
      <c r="E9" s="27"/>
    </row>
    <row r="10" spans="1:19" ht="26.4">
      <c r="A10" s="23" t="s">
        <v>15</v>
      </c>
      <c r="B10" s="20">
        <v>-4</v>
      </c>
      <c r="D10" s="27"/>
      <c r="E10" s="27"/>
      <c r="F10" s="41" t="s">
        <v>17</v>
      </c>
    </row>
    <row r="11" spans="1:19" ht="13.2">
      <c r="D11" s="57"/>
      <c r="E11" s="58"/>
      <c r="F11" s="58"/>
      <c r="G11" s="58"/>
      <c r="H11" s="58"/>
    </row>
    <row r="12" spans="1:19" ht="26.4">
      <c r="B12" s="42" t="s">
        <v>20</v>
      </c>
      <c r="C12" s="42" t="s">
        <v>28</v>
      </c>
      <c r="D12" s="42" t="s">
        <v>29</v>
      </c>
      <c r="E12" s="43" t="s">
        <v>21</v>
      </c>
      <c r="F12" s="42" t="s">
        <v>22</v>
      </c>
      <c r="G12" s="43" t="s">
        <v>23</v>
      </c>
      <c r="H12" s="42" t="s">
        <v>24</v>
      </c>
      <c r="I12" s="42" t="s">
        <v>25</v>
      </c>
      <c r="J12" s="42" t="s">
        <v>26</v>
      </c>
      <c r="K12" s="42" t="s">
        <v>27</v>
      </c>
      <c r="L12" s="43" t="s">
        <v>61</v>
      </c>
      <c r="M12" s="42" t="s">
        <v>62</v>
      </c>
      <c r="N12" s="43" t="s">
        <v>63</v>
      </c>
      <c r="O12" s="42" t="s">
        <v>64</v>
      </c>
      <c r="P12" s="42" t="s">
        <v>65</v>
      </c>
      <c r="Q12" s="42" t="s">
        <v>66</v>
      </c>
      <c r="R12" s="42" t="s">
        <v>67</v>
      </c>
      <c r="S12" s="28"/>
    </row>
    <row r="13" spans="1:19" ht="13.2">
      <c r="B13" s="42">
        <v>-40</v>
      </c>
      <c r="C13" s="44">
        <f t="shared" ref="C13:C18" si="0">$B$4*(1-($B$10/B13))</f>
        <v>0.5958</v>
      </c>
      <c r="D13" s="44">
        <f t="shared" ref="D13:D21" si="1">$B$4-C13</f>
        <v>6.6200000000000037E-2</v>
      </c>
      <c r="E13" s="45">
        <f t="shared" ref="E13:E21" si="2">(1.3299*10^3)-(5.184*0.1*B13)</f>
        <v>1350.6360000000002</v>
      </c>
      <c r="F13" s="45">
        <f t="shared" ref="F13:F21" si="3">(9.2559*10^2)-(4.1757*0.1*B13)</f>
        <v>942.29280000000006</v>
      </c>
      <c r="G13" s="45">
        <f t="shared" ref="G13:G21" si="4">(1.5991*10^3)-(3.1046*0.1*B13)</f>
        <v>1611.5183999999999</v>
      </c>
      <c r="H13" s="45">
        <f t="shared" ref="H13:H21" si="5">(1.3115*10^3)-(3.6589*0.1*B13)</f>
        <v>1326.1356000000001</v>
      </c>
      <c r="I13" s="45">
        <f t="shared" ref="I13:I21" si="6">(2.4238*10^3)-(2.8063*0.1*B13)</f>
        <v>2435.0252</v>
      </c>
      <c r="J13" s="45">
        <f t="shared" ref="J13:J21" si="7">(9.9718*10^2)+(3.1439*10^(-3)*B13)-(3.7574*10^(-3)*B13^(2))</f>
        <v>991.04240399999992</v>
      </c>
      <c r="K13" s="45">
        <f t="shared" ref="K13:K21" si="8">(9.1689*10^2)-(1.3071*0.1*B13)</f>
        <v>922.11840000000007</v>
      </c>
      <c r="L13" s="44">
        <f t="shared" ref="L13:L21" si="9">(1.7881*0.1)+(1.1958*10^(-3)*B13)-(2.7178*10^(-6)*B13^(2))</f>
        <v>0.12662952000000005</v>
      </c>
      <c r="M13" s="44">
        <f t="shared" ref="M13:M21" si="10">(1.8071*0.1)-(2.7604*10^(-4)*B13)-(1.7749*10^(-7)*B13^(2))</f>
        <v>0.19146761600000003</v>
      </c>
      <c r="N13" s="44">
        <f t="shared" ref="N13:N21" si="11">(2.0141*0.1)+(1.3874*10^(-3)*B13)-(4.3312*10^(-6)*B13^(2))</f>
        <v>0.13898407999999998</v>
      </c>
      <c r="O13" s="44">
        <f t="shared" ref="O13:O21" si="12">(1.8331*0.1)+(1.2497*10^(-3)*B13)-(3.1683*10^(-6)*B13^(2))</f>
        <v>0.12825271999999999</v>
      </c>
      <c r="P13" s="44">
        <f t="shared" ref="P13:P21" si="13">(3.2962*0.1)+(1.4011*10^(-3)*B13)-(2.9069*10^(-6)*B13^(2))</f>
        <v>0.26892496000000005</v>
      </c>
      <c r="Q13" s="44">
        <f t="shared" ref="Q13:Q21" si="14">(5.7109*0.1)+(1.7625*10^(-3)*B13)-(6.7036*10^(-6)*B13^(2))</f>
        <v>0.48986424000000001</v>
      </c>
      <c r="R13" s="44">
        <f t="shared" ref="R13:R21" si="15">(2.2196)-(6.2489*10^(-3)*B13)+(1.0154*10^(-4)*B13^(2))</f>
        <v>2.6320199999999998</v>
      </c>
      <c r="S13" s="35"/>
    </row>
    <row r="14" spans="1:19" ht="13.2">
      <c r="B14" s="42">
        <v>-30</v>
      </c>
      <c r="C14" s="44">
        <f t="shared" si="0"/>
        <v>0.57373333333333343</v>
      </c>
      <c r="D14" s="44">
        <f t="shared" si="1"/>
        <v>8.8266666666666604E-2</v>
      </c>
      <c r="E14" s="45">
        <f t="shared" si="2"/>
        <v>1345.452</v>
      </c>
      <c r="F14" s="45">
        <f t="shared" si="3"/>
        <v>938.11710000000005</v>
      </c>
      <c r="G14" s="45">
        <f t="shared" si="4"/>
        <v>1608.4137999999998</v>
      </c>
      <c r="H14" s="45">
        <f t="shared" si="5"/>
        <v>1322.4766999999999</v>
      </c>
      <c r="I14" s="45">
        <f t="shared" si="6"/>
        <v>2432.2189000000003</v>
      </c>
      <c r="J14" s="45">
        <f t="shared" si="7"/>
        <v>993.70402299999989</v>
      </c>
      <c r="K14" s="45">
        <f t="shared" si="8"/>
        <v>920.81130000000007</v>
      </c>
      <c r="L14" s="44">
        <f t="shared" si="9"/>
        <v>0.14048998000000004</v>
      </c>
      <c r="M14" s="44">
        <f t="shared" si="10"/>
        <v>0.18883145900000001</v>
      </c>
      <c r="N14" s="44">
        <f t="shared" si="11"/>
        <v>0.15588992000000002</v>
      </c>
      <c r="O14" s="44">
        <f t="shared" si="12"/>
        <v>0.14296753000000001</v>
      </c>
      <c r="P14" s="44">
        <f t="shared" si="13"/>
        <v>0.28497079000000003</v>
      </c>
      <c r="Q14" s="44">
        <f t="shared" si="14"/>
        <v>0.51218175999999993</v>
      </c>
      <c r="R14" s="44">
        <f t="shared" si="15"/>
        <v>2.4984529999999996</v>
      </c>
      <c r="S14" s="35"/>
    </row>
    <row r="15" spans="1:19" ht="13.2">
      <c r="B15" s="42">
        <v>-20</v>
      </c>
      <c r="C15" s="44">
        <f t="shared" si="0"/>
        <v>0.52960000000000007</v>
      </c>
      <c r="D15" s="44">
        <f t="shared" si="1"/>
        <v>0.13239999999999996</v>
      </c>
      <c r="E15" s="45">
        <f t="shared" si="2"/>
        <v>1340.268</v>
      </c>
      <c r="F15" s="45">
        <f t="shared" si="3"/>
        <v>933.94140000000004</v>
      </c>
      <c r="G15" s="45">
        <f t="shared" si="4"/>
        <v>1605.3091999999999</v>
      </c>
      <c r="H15" s="45">
        <f t="shared" si="5"/>
        <v>1318.8178</v>
      </c>
      <c r="I15" s="45">
        <f t="shared" si="6"/>
        <v>2429.4126000000001</v>
      </c>
      <c r="J15" s="45">
        <f t="shared" si="7"/>
        <v>995.61416199999996</v>
      </c>
      <c r="K15" s="45">
        <f t="shared" si="8"/>
        <v>919.50420000000008</v>
      </c>
      <c r="L15" s="44">
        <f t="shared" si="9"/>
        <v>0.15380688000000003</v>
      </c>
      <c r="M15" s="44">
        <f t="shared" si="10"/>
        <v>0.18615980400000001</v>
      </c>
      <c r="N15" s="44">
        <f t="shared" si="11"/>
        <v>0.17192952</v>
      </c>
      <c r="O15" s="44">
        <f t="shared" si="12"/>
        <v>0.15704868000000002</v>
      </c>
      <c r="P15" s="44">
        <f t="shared" si="13"/>
        <v>0.30043524000000005</v>
      </c>
      <c r="Q15" s="44">
        <f t="shared" si="14"/>
        <v>0.53315855999999995</v>
      </c>
      <c r="R15" s="44">
        <f t="shared" si="15"/>
        <v>2.3851939999999998</v>
      </c>
      <c r="S15" s="35"/>
    </row>
    <row r="16" spans="1:19" ht="13.2">
      <c r="B16" s="42">
        <v>-10</v>
      </c>
      <c r="C16" s="44">
        <f t="shared" si="0"/>
        <v>0.3972</v>
      </c>
      <c r="D16" s="44">
        <f t="shared" si="1"/>
        <v>0.26480000000000004</v>
      </c>
      <c r="E16" s="45">
        <f t="shared" si="2"/>
        <v>1335.0840000000001</v>
      </c>
      <c r="F16" s="45">
        <f t="shared" si="3"/>
        <v>929.76570000000004</v>
      </c>
      <c r="G16" s="45">
        <f t="shared" si="4"/>
        <v>1602.2045999999998</v>
      </c>
      <c r="H16" s="45">
        <f t="shared" si="5"/>
        <v>1315.1588999999999</v>
      </c>
      <c r="I16" s="45">
        <f t="shared" si="6"/>
        <v>2426.6063000000004</v>
      </c>
      <c r="J16" s="45">
        <f t="shared" si="7"/>
        <v>996.77282100000002</v>
      </c>
      <c r="K16" s="45">
        <f t="shared" si="8"/>
        <v>918.19710000000009</v>
      </c>
      <c r="L16" s="44">
        <f t="shared" si="9"/>
        <v>0.16658022000000003</v>
      </c>
      <c r="M16" s="44">
        <f t="shared" si="10"/>
        <v>0.18345265099999999</v>
      </c>
      <c r="N16" s="44">
        <f t="shared" si="11"/>
        <v>0.18710288</v>
      </c>
      <c r="O16" s="44">
        <f t="shared" si="12"/>
        <v>0.17049617</v>
      </c>
      <c r="P16" s="44">
        <f t="shared" si="13"/>
        <v>0.31531831000000005</v>
      </c>
      <c r="Q16" s="44">
        <f t="shared" si="14"/>
        <v>0.55279464</v>
      </c>
      <c r="R16" s="44">
        <f t="shared" si="15"/>
        <v>2.2922429999999996</v>
      </c>
      <c r="S16" s="35"/>
    </row>
    <row r="17" spans="1:19" ht="13.2">
      <c r="B17" s="42">
        <v>-6</v>
      </c>
      <c r="C17" s="44">
        <f t="shared" si="0"/>
        <v>0.22066666666666671</v>
      </c>
      <c r="D17" s="44">
        <f t="shared" si="1"/>
        <v>0.44133333333333336</v>
      </c>
      <c r="E17" s="45">
        <f t="shared" si="2"/>
        <v>1333.0104000000001</v>
      </c>
      <c r="F17" s="45">
        <f t="shared" si="3"/>
        <v>928.09541999999999</v>
      </c>
      <c r="G17" s="45">
        <f t="shared" si="4"/>
        <v>1600.9627599999999</v>
      </c>
      <c r="H17" s="45">
        <f t="shared" si="5"/>
        <v>1313.69534</v>
      </c>
      <c r="I17" s="45">
        <f t="shared" si="6"/>
        <v>2425.48378</v>
      </c>
      <c r="J17" s="45">
        <f t="shared" si="7"/>
        <v>997.02587019999999</v>
      </c>
      <c r="K17" s="45">
        <f t="shared" si="8"/>
        <v>917.67426000000012</v>
      </c>
      <c r="L17" s="44">
        <f t="shared" si="9"/>
        <v>0.17153735920000002</v>
      </c>
      <c r="M17" s="44">
        <f t="shared" si="10"/>
        <v>0.18235985036000002</v>
      </c>
      <c r="N17" s="44">
        <f t="shared" si="11"/>
        <v>0.19292967680000001</v>
      </c>
      <c r="O17" s="44">
        <f t="shared" si="12"/>
        <v>0.17569774119999998</v>
      </c>
      <c r="P17" s="44">
        <f t="shared" si="13"/>
        <v>0.32110875160000002</v>
      </c>
      <c r="Q17" s="44">
        <f t="shared" si="14"/>
        <v>0.56027367039999998</v>
      </c>
      <c r="R17" s="44">
        <f t="shared" si="15"/>
        <v>2.2607488399999998</v>
      </c>
      <c r="S17" s="35"/>
    </row>
    <row r="18" spans="1:19" ht="13.2">
      <c r="B18" s="42">
        <v>-4.5</v>
      </c>
      <c r="C18" s="44">
        <f t="shared" si="0"/>
        <v>7.3555555555555596E-2</v>
      </c>
      <c r="D18" s="44">
        <f t="shared" si="1"/>
        <v>0.58844444444444444</v>
      </c>
      <c r="E18" s="45">
        <f t="shared" si="2"/>
        <v>1332.2328</v>
      </c>
      <c r="F18" s="45">
        <f t="shared" si="3"/>
        <v>927.469065</v>
      </c>
      <c r="G18" s="45">
        <f t="shared" si="4"/>
        <v>1600.4970699999999</v>
      </c>
      <c r="H18" s="45">
        <f t="shared" si="5"/>
        <v>1313.1465049999999</v>
      </c>
      <c r="I18" s="45">
        <f t="shared" si="6"/>
        <v>2425.0628350000002</v>
      </c>
      <c r="J18" s="45">
        <f t="shared" si="7"/>
        <v>997.08976510000002</v>
      </c>
      <c r="K18" s="45">
        <f t="shared" si="8"/>
        <v>917.47819500000014</v>
      </c>
      <c r="L18" s="44">
        <f t="shared" si="9"/>
        <v>0.17337386455000003</v>
      </c>
      <c r="M18" s="44">
        <f t="shared" si="10"/>
        <v>0.18194858582750001</v>
      </c>
      <c r="N18" s="44">
        <f t="shared" si="11"/>
        <v>0.19507899319999999</v>
      </c>
      <c r="O18" s="44">
        <f t="shared" si="12"/>
        <v>0.17762219192500001</v>
      </c>
      <c r="P18" s="44">
        <f t="shared" si="13"/>
        <v>0.32325618527500005</v>
      </c>
      <c r="Q18" s="44">
        <f t="shared" si="14"/>
        <v>0.5630230021</v>
      </c>
      <c r="R18" s="44">
        <f t="shared" si="15"/>
        <v>2.2497762349999997</v>
      </c>
      <c r="S18" s="35"/>
    </row>
    <row r="19" spans="1:19" ht="13.2">
      <c r="B19" s="42">
        <v>0</v>
      </c>
      <c r="C19" s="44">
        <v>0</v>
      </c>
      <c r="D19" s="44">
        <f t="shared" si="1"/>
        <v>0.66200000000000003</v>
      </c>
      <c r="E19" s="45">
        <f t="shared" si="2"/>
        <v>1329.9</v>
      </c>
      <c r="F19" s="45">
        <f t="shared" si="3"/>
        <v>925.59</v>
      </c>
      <c r="G19" s="45">
        <f t="shared" si="4"/>
        <v>1599.1</v>
      </c>
      <c r="H19" s="45">
        <f t="shared" si="5"/>
        <v>1311.5</v>
      </c>
      <c r="I19" s="45">
        <f t="shared" si="6"/>
        <v>2423.8000000000002</v>
      </c>
      <c r="J19" s="45">
        <f t="shared" si="7"/>
        <v>997.18</v>
      </c>
      <c r="K19" s="45">
        <f t="shared" si="8"/>
        <v>916.8900000000001</v>
      </c>
      <c r="L19" s="44">
        <f t="shared" si="9"/>
        <v>0.17881000000000002</v>
      </c>
      <c r="M19" s="44">
        <f t="shared" si="10"/>
        <v>0.18071000000000001</v>
      </c>
      <c r="N19" s="44">
        <f t="shared" si="11"/>
        <v>0.20141000000000001</v>
      </c>
      <c r="O19" s="44">
        <f t="shared" si="12"/>
        <v>0.18331</v>
      </c>
      <c r="P19" s="44">
        <f t="shared" si="13"/>
        <v>0.32962000000000002</v>
      </c>
      <c r="Q19" s="44">
        <f t="shared" si="14"/>
        <v>0.57108999999999999</v>
      </c>
      <c r="R19" s="44">
        <f t="shared" si="15"/>
        <v>2.2195999999999998</v>
      </c>
      <c r="S19" s="35"/>
    </row>
    <row r="20" spans="1:19" ht="13.2">
      <c r="B20" s="42">
        <v>10</v>
      </c>
      <c r="C20" s="44">
        <v>0</v>
      </c>
      <c r="D20" s="44">
        <f t="shared" si="1"/>
        <v>0.66200000000000003</v>
      </c>
      <c r="E20" s="45">
        <f t="shared" si="2"/>
        <v>1324.7160000000001</v>
      </c>
      <c r="F20" s="45">
        <f t="shared" si="3"/>
        <v>921.41430000000003</v>
      </c>
      <c r="G20" s="45">
        <f t="shared" si="4"/>
        <v>1595.9954</v>
      </c>
      <c r="H20" s="45">
        <f t="shared" si="5"/>
        <v>1307.8411000000001</v>
      </c>
      <c r="I20" s="45">
        <f t="shared" si="6"/>
        <v>2420.9937</v>
      </c>
      <c r="J20" s="45">
        <f t="shared" si="7"/>
        <v>996.83569899999998</v>
      </c>
      <c r="K20" s="45">
        <f t="shared" si="8"/>
        <v>915.58290000000011</v>
      </c>
      <c r="L20" s="44">
        <f t="shared" si="9"/>
        <v>0.19049622000000002</v>
      </c>
      <c r="M20" s="44">
        <f t="shared" si="10"/>
        <v>0.177931851</v>
      </c>
      <c r="N20" s="44">
        <f t="shared" si="11"/>
        <v>0.21485087999999999</v>
      </c>
      <c r="O20" s="44">
        <f t="shared" si="12"/>
        <v>0.19549017000000002</v>
      </c>
      <c r="P20" s="44">
        <f t="shared" si="13"/>
        <v>0.34334031000000004</v>
      </c>
      <c r="Q20" s="44">
        <f t="shared" si="14"/>
        <v>0.58804464000000001</v>
      </c>
      <c r="R20" s="44">
        <f t="shared" si="15"/>
        <v>2.167265</v>
      </c>
      <c r="S20" s="35"/>
    </row>
    <row r="21" spans="1:19" ht="13.2">
      <c r="B21" s="42">
        <v>20</v>
      </c>
      <c r="C21" s="44">
        <v>0</v>
      </c>
      <c r="D21" s="44">
        <f t="shared" si="1"/>
        <v>0.66200000000000003</v>
      </c>
      <c r="E21" s="45">
        <f t="shared" si="2"/>
        <v>1319.5320000000002</v>
      </c>
      <c r="F21" s="45">
        <f t="shared" si="3"/>
        <v>917.23860000000002</v>
      </c>
      <c r="G21" s="45">
        <f t="shared" si="4"/>
        <v>1592.8907999999999</v>
      </c>
      <c r="H21" s="45">
        <f t="shared" si="5"/>
        <v>1304.1822</v>
      </c>
      <c r="I21" s="45">
        <f t="shared" si="6"/>
        <v>2418.1874000000003</v>
      </c>
      <c r="J21" s="45">
        <f t="shared" si="7"/>
        <v>995.73991799999988</v>
      </c>
      <c r="K21" s="45">
        <f t="shared" si="8"/>
        <v>914.27580000000012</v>
      </c>
      <c r="L21" s="44">
        <f t="shared" si="9"/>
        <v>0.20163888000000002</v>
      </c>
      <c r="M21" s="44">
        <f t="shared" si="10"/>
        <v>0.17511820400000003</v>
      </c>
      <c r="N21" s="44">
        <f t="shared" si="11"/>
        <v>0.22742551999999999</v>
      </c>
      <c r="O21" s="44">
        <f t="shared" si="12"/>
        <v>0.20703668</v>
      </c>
      <c r="P21" s="44">
        <f t="shared" si="13"/>
        <v>0.35647924000000003</v>
      </c>
      <c r="Q21" s="44">
        <f t="shared" si="14"/>
        <v>0.60365855999999996</v>
      </c>
      <c r="R21" s="44">
        <f t="shared" si="15"/>
        <v>2.1352379999999997</v>
      </c>
      <c r="S21" s="35"/>
    </row>
    <row r="23" spans="1:19" ht="13.2">
      <c r="B23" s="17"/>
    </row>
    <row r="24" spans="1:19" ht="27" customHeight="1">
      <c r="B24" s="59" t="s">
        <v>68</v>
      </c>
      <c r="C24" s="60"/>
      <c r="D24" s="46" t="s">
        <v>69</v>
      </c>
      <c r="E24" s="47"/>
      <c r="F24" s="37" t="s">
        <v>70</v>
      </c>
      <c r="G24" s="37"/>
      <c r="H24" s="61" t="s">
        <v>71</v>
      </c>
      <c r="I24" s="62"/>
      <c r="J24" s="59" t="s">
        <v>72</v>
      </c>
      <c r="K24" s="62"/>
      <c r="L24" s="59" t="s">
        <v>73</v>
      </c>
      <c r="M24" s="62"/>
      <c r="N24" s="61" t="s">
        <v>74</v>
      </c>
      <c r="O24" s="62"/>
    </row>
    <row r="25" spans="1:19" ht="64.5" customHeight="1">
      <c r="B25" s="48" t="s">
        <v>20</v>
      </c>
      <c r="C25" s="49" t="s">
        <v>75</v>
      </c>
      <c r="D25" s="49" t="s">
        <v>76</v>
      </c>
      <c r="E25" s="49" t="s">
        <v>77</v>
      </c>
      <c r="F25" s="49" t="s">
        <v>78</v>
      </c>
      <c r="G25" s="49" t="s">
        <v>79</v>
      </c>
      <c r="H25" s="49" t="s">
        <v>80</v>
      </c>
      <c r="I25" s="49" t="s">
        <v>81</v>
      </c>
      <c r="J25" s="49" t="s">
        <v>82</v>
      </c>
      <c r="K25" s="49" t="s">
        <v>83</v>
      </c>
      <c r="L25" s="49" t="s">
        <v>84</v>
      </c>
      <c r="M25" s="49" t="s">
        <v>85</v>
      </c>
      <c r="N25" s="49" t="s">
        <v>86</v>
      </c>
      <c r="O25" s="49" t="s">
        <v>87</v>
      </c>
    </row>
    <row r="26" spans="1:19" ht="13.2">
      <c r="B26" s="50">
        <f t="shared" ref="B26:B34" si="16">B13</f>
        <v>-40</v>
      </c>
      <c r="C26" s="51">
        <f t="shared" ref="C26:C34" si="17">(D13/J13)/((D13/J13)+($B$5/H13))</f>
        <v>1</v>
      </c>
      <c r="D26" s="52">
        <f t="shared" ref="D26:D34" si="18">($B$5/H13)/((D13/J13)+($B$5/H13))</f>
        <v>0</v>
      </c>
      <c r="E26" s="51">
        <f t="shared" ref="E26:E34" si="19">Q13*((O13+(2*Q13)-(2*D26*(Q13-O13)))/(O13+(2*Q13)+(D26*(Q13-O13))))</f>
        <v>0.48986424000000001</v>
      </c>
      <c r="F26" s="52">
        <f t="shared" ref="F26:F34" si="20">($B$6/F13)/(($B$6/F13)+($B$5/H13)+(D13/J13))</f>
        <v>0</v>
      </c>
      <c r="G26" s="51">
        <f t="shared" ref="G26:G34" si="21">E26*((M13+(2*E26)-(2*F26*(E26-M13)))/(M13+(2*E26)+(F26*(E26-M13))))</f>
        <v>0.48986424000000001</v>
      </c>
      <c r="H26" s="51">
        <f t="shared" ref="H26:H34" si="22">($B$7/I13)/(($B$6/F13)+($B$5/H13)+(D13/J13)+($B$7/I13))</f>
        <v>0.1853190526593344</v>
      </c>
      <c r="I26" s="51">
        <f t="shared" ref="I26:I34" si="23">G26*((P13+(2*G26)-(2*H26*(G26-P13)))/(P13+(2*G26)+(H26*(G26-P13))))</f>
        <v>0.44320520542807396</v>
      </c>
      <c r="J26" s="51">
        <f t="shared" ref="J26:J34" si="24">($B$8/E13)/(($B$6/F13)+($B$5/H13)+(D13/J13)+($B$7/I13)+($B$8/E13))</f>
        <v>0.39729392001014047</v>
      </c>
      <c r="K26" s="51">
        <f t="shared" ref="K26:K34" si="25">I26*((L13+(2*I26)-(2*J26*(I26-L13)))/(L13+(2*I26)+(J26*(I26-L13))))</f>
        <v>0.29635891998896013</v>
      </c>
      <c r="L26" s="51">
        <f t="shared" ref="L26:L34" si="26">($B$9/G13)/(($B$6/F13)+($B$5/H13)+(D13/J13)+($B$7/I13)+($B$8/E13)+($B$9/G13))</f>
        <v>0.50980024987629602</v>
      </c>
      <c r="M26" s="51">
        <f t="shared" ref="M26:M34" si="27">K26*((N13+(2*K26)-(2*L26*(K26-N13)))/(N13+(2*K26)+(L26*(K26-N13))))</f>
        <v>0.20850621636887651</v>
      </c>
      <c r="N26" s="51">
        <f t="shared" ref="N26:N34" si="28">(C13/K13)/(($B$6/F13)+($B$5/H13)+(D13/J13)+($B$7/I13)+($B$8/E13)+($B$9/G13)+(C13/K13))</f>
        <v>0.69953437949101116</v>
      </c>
      <c r="O26" s="51">
        <f t="shared" ref="O26:O34" si="29">M26*((R13+(2*M26)-(2*N26*(M26-R13)))/(R13+(2*M26)+(N26*(M26-R13))))</f>
        <v>0.99188534878817269</v>
      </c>
    </row>
    <row r="27" spans="1:19" ht="13.2">
      <c r="A27" s="17"/>
      <c r="B27" s="53">
        <f t="shared" si="16"/>
        <v>-30</v>
      </c>
      <c r="C27" s="54">
        <f t="shared" si="17"/>
        <v>1</v>
      </c>
      <c r="D27" s="55">
        <f t="shared" si="18"/>
        <v>0</v>
      </c>
      <c r="E27" s="54">
        <f t="shared" si="19"/>
        <v>0.51218175999999993</v>
      </c>
      <c r="F27" s="55">
        <f t="shared" si="20"/>
        <v>0</v>
      </c>
      <c r="G27" s="54">
        <f t="shared" si="21"/>
        <v>0.51218175999999993</v>
      </c>
      <c r="H27" s="54">
        <f t="shared" si="22"/>
        <v>0.14621959317527009</v>
      </c>
      <c r="I27" s="54">
        <f t="shared" si="23"/>
        <v>0.47415866236044529</v>
      </c>
      <c r="J27" s="54">
        <f t="shared" si="24"/>
        <v>0.34275741183307523</v>
      </c>
      <c r="K27" s="54">
        <f t="shared" si="25"/>
        <v>0.33894563173663289</v>
      </c>
      <c r="L27" s="54">
        <f t="shared" si="26"/>
        <v>0.47243681968537876</v>
      </c>
      <c r="M27" s="54">
        <f t="shared" si="27"/>
        <v>0.24338783055865115</v>
      </c>
      <c r="N27" s="54">
        <f t="shared" si="28"/>
        <v>0.67496247358307693</v>
      </c>
      <c r="O27" s="54">
        <f t="shared" si="29"/>
        <v>1.0029646114067252</v>
      </c>
    </row>
    <row r="28" spans="1:19" ht="13.2">
      <c r="A28" s="17"/>
      <c r="B28" s="50">
        <f t="shared" si="16"/>
        <v>-20</v>
      </c>
      <c r="C28" s="51">
        <f t="shared" si="17"/>
        <v>1</v>
      </c>
      <c r="D28" s="52">
        <f t="shared" si="18"/>
        <v>0</v>
      </c>
      <c r="E28" s="51">
        <f t="shared" si="19"/>
        <v>0.53315855999999995</v>
      </c>
      <c r="F28" s="52">
        <f t="shared" si="20"/>
        <v>0</v>
      </c>
      <c r="G28" s="51">
        <f t="shared" si="21"/>
        <v>0.53315855999999995</v>
      </c>
      <c r="H28" s="51">
        <f t="shared" si="22"/>
        <v>0.10275746432922644</v>
      </c>
      <c r="I28" s="51">
        <f t="shared" si="23"/>
        <v>0.50565379387889031</v>
      </c>
      <c r="J28" s="51">
        <f t="shared" si="24"/>
        <v>0.26873260226888007</v>
      </c>
      <c r="K28" s="51">
        <f t="shared" si="25"/>
        <v>0.39178812389216072</v>
      </c>
      <c r="L28" s="51">
        <f t="shared" si="26"/>
        <v>0.41202532977870615</v>
      </c>
      <c r="M28" s="51">
        <f t="shared" si="27"/>
        <v>0.29000645358751137</v>
      </c>
      <c r="N28" s="51">
        <f t="shared" si="28"/>
        <v>0.62558981885862208</v>
      </c>
      <c r="O28" s="51">
        <f t="shared" si="29"/>
        <v>0.97926198175441126</v>
      </c>
    </row>
    <row r="29" spans="1:19" ht="13.2">
      <c r="A29" s="17"/>
      <c r="B29" s="53">
        <f t="shared" si="16"/>
        <v>-10</v>
      </c>
      <c r="C29" s="54">
        <f t="shared" si="17"/>
        <v>1</v>
      </c>
      <c r="D29" s="55">
        <f t="shared" si="18"/>
        <v>0</v>
      </c>
      <c r="E29" s="54">
        <f t="shared" si="19"/>
        <v>0.55279464</v>
      </c>
      <c r="F29" s="55">
        <f t="shared" si="20"/>
        <v>0</v>
      </c>
      <c r="G29" s="54">
        <f t="shared" si="21"/>
        <v>0.55279464</v>
      </c>
      <c r="H29" s="54">
        <f t="shared" si="22"/>
        <v>5.4280395339396964E-2</v>
      </c>
      <c r="I29" s="54">
        <f t="shared" si="23"/>
        <v>0.53788522960855656</v>
      </c>
      <c r="J29" s="54">
        <f t="shared" si="24"/>
        <v>0.16293489511026396</v>
      </c>
      <c r="K29" s="54">
        <f t="shared" si="25"/>
        <v>0.46295421219177985</v>
      </c>
      <c r="L29" s="54">
        <f t="shared" si="26"/>
        <v>0.2977772931433369</v>
      </c>
      <c r="M29" s="54">
        <f t="shared" si="27"/>
        <v>0.36749842885909889</v>
      </c>
      <c r="N29" s="54">
        <f t="shared" si="28"/>
        <v>0.47512272214369095</v>
      </c>
      <c r="O29" s="54">
        <f t="shared" si="29"/>
        <v>0.84470623530521916</v>
      </c>
    </row>
    <row r="30" spans="1:19" ht="13.2">
      <c r="A30" s="17"/>
      <c r="B30" s="50">
        <f t="shared" si="16"/>
        <v>-6</v>
      </c>
      <c r="C30" s="51">
        <f t="shared" si="17"/>
        <v>1</v>
      </c>
      <c r="D30" s="52">
        <f t="shared" si="18"/>
        <v>0</v>
      </c>
      <c r="E30" s="51">
        <f t="shared" si="19"/>
        <v>0.56027367039999998</v>
      </c>
      <c r="F30" s="52">
        <f t="shared" si="20"/>
        <v>0</v>
      </c>
      <c r="G30" s="51">
        <f t="shared" si="21"/>
        <v>0.56027367039999998</v>
      </c>
      <c r="H30" s="51">
        <f t="shared" si="22"/>
        <v>3.3314125601489934E-2</v>
      </c>
      <c r="I30" s="51">
        <f t="shared" si="23"/>
        <v>0.55103536969278966</v>
      </c>
      <c r="J30" s="51">
        <f t="shared" si="24"/>
        <v>0.10682017750818713</v>
      </c>
      <c r="K30" s="51">
        <f t="shared" si="25"/>
        <v>0.50004127750744665</v>
      </c>
      <c r="L30" s="51">
        <f t="shared" si="26"/>
        <v>0.2173991749050406</v>
      </c>
      <c r="M30" s="51">
        <f t="shared" si="27"/>
        <v>0.42053760506524368</v>
      </c>
      <c r="N30" s="51">
        <f t="shared" si="28"/>
        <v>0.26851017531083859</v>
      </c>
      <c r="O30" s="51">
        <f t="shared" si="29"/>
        <v>0.6595912979591404</v>
      </c>
    </row>
    <row r="31" spans="1:19" ht="13.2">
      <c r="A31" s="17"/>
      <c r="B31" s="53">
        <f t="shared" si="16"/>
        <v>-4.5</v>
      </c>
      <c r="C31" s="54">
        <f t="shared" si="17"/>
        <v>1</v>
      </c>
      <c r="D31" s="55">
        <f t="shared" si="18"/>
        <v>0</v>
      </c>
      <c r="E31" s="54">
        <f t="shared" si="19"/>
        <v>0.5630230021</v>
      </c>
      <c r="F31" s="55">
        <f t="shared" si="20"/>
        <v>0</v>
      </c>
      <c r="G31" s="54">
        <f t="shared" si="21"/>
        <v>0.5630230021</v>
      </c>
      <c r="H31" s="54">
        <f t="shared" si="22"/>
        <v>2.5201272651868317E-2</v>
      </c>
      <c r="I31" s="54">
        <f t="shared" si="23"/>
        <v>0.55601017552358134</v>
      </c>
      <c r="J31" s="54">
        <f t="shared" si="24"/>
        <v>8.2996096582786186E-2</v>
      </c>
      <c r="K31" s="54">
        <f t="shared" si="25"/>
        <v>0.51579295060203501</v>
      </c>
      <c r="L31" s="54">
        <f t="shared" si="26"/>
        <v>0.17747729064195603</v>
      </c>
      <c r="M31" s="54">
        <f t="shared" si="27"/>
        <v>0.44717576542125587</v>
      </c>
      <c r="N31" s="54">
        <f t="shared" si="28"/>
        <v>9.0810671048740299E-2</v>
      </c>
      <c r="O31" s="54">
        <f t="shared" si="29"/>
        <v>0.5208569503527839</v>
      </c>
    </row>
    <row r="32" spans="1:19" ht="13.2">
      <c r="A32" s="17"/>
      <c r="B32" s="50">
        <f t="shared" si="16"/>
        <v>0</v>
      </c>
      <c r="C32" s="51">
        <f t="shared" si="17"/>
        <v>1</v>
      </c>
      <c r="D32" s="52">
        <f t="shared" si="18"/>
        <v>0</v>
      </c>
      <c r="E32" s="51">
        <f t="shared" si="19"/>
        <v>0.57108999999999999</v>
      </c>
      <c r="F32" s="52">
        <f t="shared" si="20"/>
        <v>0</v>
      </c>
      <c r="G32" s="51">
        <f t="shared" si="21"/>
        <v>0.57108999999999999</v>
      </c>
      <c r="H32" s="51">
        <f t="shared" si="22"/>
        <v>2.2477463022569429E-2</v>
      </c>
      <c r="I32" s="51">
        <f t="shared" si="23"/>
        <v>0.56479509962347541</v>
      </c>
      <c r="J32" s="51">
        <f t="shared" si="24"/>
        <v>7.47809199246528E-2</v>
      </c>
      <c r="K32" s="51">
        <f t="shared" si="25"/>
        <v>0.52822246934945127</v>
      </c>
      <c r="L32" s="51">
        <f t="shared" si="26"/>
        <v>0.16264972090389168</v>
      </c>
      <c r="M32" s="51">
        <f t="shared" si="27"/>
        <v>0.46397089617962195</v>
      </c>
      <c r="N32" s="51">
        <f t="shared" si="28"/>
        <v>0</v>
      </c>
      <c r="O32" s="51">
        <f t="shared" si="29"/>
        <v>0.46397089617962195</v>
      </c>
    </row>
    <row r="33" spans="1:15" ht="13.2">
      <c r="A33" s="17"/>
      <c r="B33" s="53">
        <f t="shared" si="16"/>
        <v>10</v>
      </c>
      <c r="C33" s="54">
        <f t="shared" si="17"/>
        <v>1</v>
      </c>
      <c r="D33" s="55">
        <f t="shared" si="18"/>
        <v>0</v>
      </c>
      <c r="E33" s="54">
        <f t="shared" si="19"/>
        <v>0.58804464000000001</v>
      </c>
      <c r="F33" s="55">
        <f t="shared" si="20"/>
        <v>0</v>
      </c>
      <c r="G33" s="54">
        <f t="shared" si="21"/>
        <v>0.58804464000000001</v>
      </c>
      <c r="H33" s="54">
        <f t="shared" si="22"/>
        <v>2.2495336601801235E-2</v>
      </c>
      <c r="I33" s="54">
        <f t="shared" si="23"/>
        <v>0.58167647117034871</v>
      </c>
      <c r="J33" s="54">
        <f t="shared" si="24"/>
        <v>7.5026358289009387E-2</v>
      </c>
      <c r="K33" s="54">
        <f t="shared" si="25"/>
        <v>0.54465026715690779</v>
      </c>
      <c r="L33" s="54">
        <f t="shared" si="26"/>
        <v>0.16282881799278476</v>
      </c>
      <c r="M33" s="54">
        <f t="shared" si="27"/>
        <v>0.48003017527194886</v>
      </c>
      <c r="N33" s="54">
        <f t="shared" si="28"/>
        <v>0</v>
      </c>
      <c r="O33" s="54">
        <f t="shared" si="29"/>
        <v>0.48003017527194886</v>
      </c>
    </row>
    <row r="34" spans="1:15" ht="13.2">
      <c r="A34" s="17"/>
      <c r="B34" s="50">
        <f t="shared" si="16"/>
        <v>20</v>
      </c>
      <c r="C34" s="51">
        <f t="shared" si="17"/>
        <v>1</v>
      </c>
      <c r="D34" s="52">
        <f t="shared" si="18"/>
        <v>0</v>
      </c>
      <c r="E34" s="51">
        <f t="shared" si="19"/>
        <v>0.60365855999999996</v>
      </c>
      <c r="F34" s="52">
        <f t="shared" si="20"/>
        <v>0</v>
      </c>
      <c r="G34" s="51">
        <f t="shared" si="21"/>
        <v>0.60365855999999996</v>
      </c>
      <c r="H34" s="51">
        <f t="shared" si="22"/>
        <v>2.249665512762708E-2</v>
      </c>
      <c r="I34" s="51">
        <f t="shared" si="23"/>
        <v>0.59724172408251563</v>
      </c>
      <c r="J34" s="51">
        <f t="shared" si="24"/>
        <v>7.5222276655972004E-2</v>
      </c>
      <c r="K34" s="51">
        <f t="shared" si="25"/>
        <v>0.55984839325481772</v>
      </c>
      <c r="L34" s="51">
        <f t="shared" si="26"/>
        <v>0.16291527325809091</v>
      </c>
      <c r="M34" s="51">
        <f t="shared" si="27"/>
        <v>0.49493717563617368</v>
      </c>
      <c r="N34" s="51">
        <f t="shared" si="28"/>
        <v>0</v>
      </c>
      <c r="O34" s="51">
        <f t="shared" si="29"/>
        <v>0.49493717563617368</v>
      </c>
    </row>
    <row r="35" spans="1:15" ht="13.2">
      <c r="A35" s="17"/>
    </row>
    <row r="36" spans="1:15" ht="13.2">
      <c r="A36" s="17"/>
    </row>
    <row r="37" spans="1:15" ht="13.2">
      <c r="B37" s="17" t="s">
        <v>88</v>
      </c>
    </row>
    <row r="38" spans="1:15" ht="39.6">
      <c r="B38" s="19" t="s">
        <v>20</v>
      </c>
      <c r="C38" s="23" t="s">
        <v>87</v>
      </c>
    </row>
    <row r="39" spans="1:15" ht="13.2">
      <c r="B39" s="19">
        <f t="shared" ref="B39:B47" si="30">B13</f>
        <v>-40</v>
      </c>
      <c r="C39" s="56">
        <f t="shared" ref="C39:C47" si="31">O26</f>
        <v>0.99188534878817269</v>
      </c>
    </row>
    <row r="40" spans="1:15" ht="13.2">
      <c r="B40" s="19">
        <f t="shared" si="30"/>
        <v>-30</v>
      </c>
      <c r="C40" s="56">
        <f t="shared" si="31"/>
        <v>1.0029646114067252</v>
      </c>
    </row>
    <row r="41" spans="1:15" ht="13.2">
      <c r="B41" s="19">
        <f t="shared" si="30"/>
        <v>-20</v>
      </c>
      <c r="C41" s="56">
        <f t="shared" si="31"/>
        <v>0.97926198175441126</v>
      </c>
    </row>
    <row r="42" spans="1:15" ht="13.2">
      <c r="B42" s="19">
        <f t="shared" si="30"/>
        <v>-10</v>
      </c>
      <c r="C42" s="56">
        <f t="shared" si="31"/>
        <v>0.84470623530521916</v>
      </c>
    </row>
    <row r="43" spans="1:15" ht="13.2">
      <c r="B43" s="19">
        <f t="shared" si="30"/>
        <v>-6</v>
      </c>
      <c r="C43" s="56">
        <f t="shared" si="31"/>
        <v>0.6595912979591404</v>
      </c>
    </row>
    <row r="44" spans="1:15" ht="13.2">
      <c r="B44" s="19">
        <f t="shared" si="30"/>
        <v>-4.5</v>
      </c>
      <c r="C44" s="56">
        <f t="shared" si="31"/>
        <v>0.5208569503527839</v>
      </c>
    </row>
    <row r="45" spans="1:15" ht="13.2">
      <c r="B45" s="19">
        <f t="shared" si="30"/>
        <v>0</v>
      </c>
      <c r="C45" s="56">
        <f t="shared" si="31"/>
        <v>0.46397089617962195</v>
      </c>
    </row>
    <row r="46" spans="1:15" ht="13.2">
      <c r="B46" s="19">
        <f t="shared" si="30"/>
        <v>10</v>
      </c>
      <c r="C46" s="56">
        <f t="shared" si="31"/>
        <v>0.48003017527194886</v>
      </c>
    </row>
    <row r="47" spans="1:15" ht="13.2">
      <c r="B47" s="19">
        <f t="shared" si="30"/>
        <v>20</v>
      </c>
      <c r="C47" s="56">
        <f t="shared" si="31"/>
        <v>0.49493717563617368</v>
      </c>
    </row>
  </sheetData>
  <mergeCells count="6">
    <mergeCell ref="N24:O24"/>
    <mergeCell ref="D11:H11"/>
    <mergeCell ref="B24:C24"/>
    <mergeCell ref="H24:I24"/>
    <mergeCell ref="J24:K24"/>
    <mergeCell ref="L24:M24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D25"/>
  <sheetViews>
    <sheetView workbookViewId="0"/>
  </sheetViews>
  <sheetFormatPr baseColWidth="10" defaultColWidth="12.6640625" defaultRowHeight="15.75" customHeight="1"/>
  <sheetData>
    <row r="2" spans="2:4">
      <c r="B2" s="17" t="s">
        <v>89</v>
      </c>
    </row>
    <row r="4" spans="2:4">
      <c r="B4" s="17" t="s">
        <v>34</v>
      </c>
      <c r="C4" s="17" t="s">
        <v>35</v>
      </c>
      <c r="D4" s="17" t="s">
        <v>90</v>
      </c>
    </row>
    <row r="5" spans="2:4">
      <c r="B5" s="17">
        <v>-40</v>
      </c>
      <c r="C5" s="17">
        <v>1131.2</v>
      </c>
      <c r="D5" s="17">
        <v>0.43940000000000001</v>
      </c>
    </row>
    <row r="6" spans="2:4">
      <c r="B6" s="17">
        <v>-30</v>
      </c>
      <c r="C6" s="17">
        <v>1132.8</v>
      </c>
      <c r="D6" s="17">
        <v>0.43940000000000001</v>
      </c>
    </row>
    <row r="7" spans="2:4">
      <c r="B7" s="17">
        <v>-20</v>
      </c>
      <c r="C7" s="17">
        <v>1137.7</v>
      </c>
      <c r="D7" s="17">
        <v>0.43940000000000001</v>
      </c>
    </row>
    <row r="8" spans="2:4">
      <c r="B8" s="17">
        <v>-10</v>
      </c>
      <c r="C8" s="17">
        <v>1156.9000000000001</v>
      </c>
      <c r="D8" s="17">
        <v>0.43940000000000001</v>
      </c>
    </row>
    <row r="9" spans="2:4">
      <c r="B9" s="17">
        <v>-7</v>
      </c>
      <c r="C9" s="17">
        <v>1175</v>
      </c>
      <c r="D9" s="17">
        <v>0.43940000000000001</v>
      </c>
    </row>
    <row r="10" spans="2:4">
      <c r="B10" s="17">
        <v>-5</v>
      </c>
      <c r="C10" s="17">
        <v>1178.9000000000001</v>
      </c>
      <c r="D10" s="17">
        <v>0.43940000000000001</v>
      </c>
    </row>
    <row r="11" spans="2:4">
      <c r="B11" s="17">
        <v>0</v>
      </c>
      <c r="C11" s="17">
        <v>1178.5</v>
      </c>
      <c r="D11" s="17">
        <v>0.43940000000000001</v>
      </c>
    </row>
    <row r="12" spans="2:4">
      <c r="B12" s="17">
        <v>10</v>
      </c>
      <c r="C12" s="17">
        <v>1177.2</v>
      </c>
      <c r="D12" s="17">
        <v>0.43940000000000001</v>
      </c>
    </row>
    <row r="13" spans="2:4">
      <c r="B13" s="17">
        <v>20</v>
      </c>
      <c r="C13" s="17">
        <v>1175.3</v>
      </c>
      <c r="D13" s="17">
        <v>0.43940000000000001</v>
      </c>
    </row>
    <row r="14" spans="2:4">
      <c r="B14" s="17">
        <v>-40</v>
      </c>
      <c r="C14" s="17">
        <v>1082.6678797603961</v>
      </c>
      <c r="D14" s="17">
        <v>0.33799999999999997</v>
      </c>
    </row>
    <row r="15" spans="2:4">
      <c r="B15" s="17">
        <v>-30</v>
      </c>
      <c r="C15" s="17">
        <v>1083.2786534125876</v>
      </c>
      <c r="D15" s="17">
        <v>0.33799999999999997</v>
      </c>
    </row>
    <row r="16" spans="2:4">
      <c r="B16" s="17">
        <v>-20</v>
      </c>
      <c r="C16" s="17">
        <v>1086.1640217480026</v>
      </c>
      <c r="D16" s="17">
        <v>0.33799999999999997</v>
      </c>
    </row>
    <row r="17" spans="2:4">
      <c r="B17" s="17">
        <v>-10</v>
      </c>
      <c r="C17" s="17">
        <v>1098.3290675137032</v>
      </c>
      <c r="D17" s="17">
        <v>0.33799999999999997</v>
      </c>
    </row>
    <row r="18" spans="2:4">
      <c r="B18" s="17">
        <v>-7</v>
      </c>
      <c r="C18" s="17">
        <v>1109.9541083648146</v>
      </c>
      <c r="D18" s="17">
        <v>0.33799999999999997</v>
      </c>
    </row>
    <row r="19" spans="2:4">
      <c r="B19" s="17">
        <v>-5</v>
      </c>
      <c r="C19" s="17">
        <v>1126.2055402660674</v>
      </c>
      <c r="D19" s="17">
        <v>0.33799999999999997</v>
      </c>
    </row>
    <row r="20" spans="2:4">
      <c r="B20" s="17">
        <v>-4.5</v>
      </c>
      <c r="C20" s="17">
        <v>1132.7058837535239</v>
      </c>
      <c r="D20" s="17">
        <v>0.33799999999999997</v>
      </c>
    </row>
    <row r="21" spans="2:4">
      <c r="B21" s="17">
        <v>-4</v>
      </c>
      <c r="C21" s="17">
        <v>1140.9609429717159</v>
      </c>
      <c r="D21" s="17">
        <v>0.33799999999999997</v>
      </c>
    </row>
    <row r="22" spans="2:4">
      <c r="B22" s="17">
        <v>-2</v>
      </c>
      <c r="C22" s="17">
        <v>1140.8733162588342</v>
      </c>
      <c r="D22" s="17">
        <v>0.33799999999999997</v>
      </c>
    </row>
    <row r="23" spans="2:4">
      <c r="B23" s="17">
        <v>0</v>
      </c>
      <c r="C23" s="17">
        <v>1140.7595118307593</v>
      </c>
      <c r="D23" s="17">
        <v>0.33799999999999997</v>
      </c>
    </row>
    <row r="24" spans="2:4">
      <c r="B24" s="17">
        <v>10</v>
      </c>
      <c r="C24" s="17">
        <v>1139.7984408066741</v>
      </c>
      <c r="D24" s="17">
        <v>0.33799999999999997</v>
      </c>
    </row>
    <row r="25" spans="2:4">
      <c r="B25" s="17">
        <v>20</v>
      </c>
      <c r="C25" s="17">
        <v>1138.1852629486798</v>
      </c>
      <c r="D25" s="17">
        <v>0.33799999999999997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composición</vt:lpstr>
      <vt:lpstr>densidad</vt:lpstr>
      <vt:lpstr>Cp</vt:lpstr>
      <vt:lpstr>H</vt:lpstr>
      <vt:lpstr>k</vt:lpstr>
      <vt:lpstr>curve fiting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Restrepo</cp:lastModifiedBy>
  <dcterms:modified xsi:type="dcterms:W3CDTF">2023-10-08T00:21:03Z</dcterms:modified>
</cp:coreProperties>
</file>