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0FED7306-EE1F-453A-8500-A74D26FF745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OSTOS TOTALES" sheetId="7" r:id="rId1"/>
    <sheet name="TRABAJADORES" sheetId="4" r:id="rId2"/>
    <sheet name="TRANSPORTE" sheetId="2" r:id="rId3"/>
    <sheet name="TIPO DE VEHICULO" sheetId="9" r:id="rId4"/>
    <sheet name="FORMULARIO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N9" i="4"/>
  <c r="M9" i="4"/>
  <c r="K9" i="4"/>
  <c r="F9" i="4"/>
  <c r="J9" i="4" s="1"/>
  <c r="D9" i="4"/>
  <c r="D10" i="4"/>
  <c r="K11" i="4" l="1"/>
  <c r="G10" i="4"/>
  <c r="D12" i="7" s="1"/>
  <c r="K12" i="4"/>
  <c r="K13" i="4"/>
  <c r="K14" i="4"/>
  <c r="K15" i="4"/>
  <c r="K16" i="4"/>
  <c r="K17" i="4"/>
  <c r="K18" i="4"/>
  <c r="K19" i="4"/>
  <c r="K20" i="4"/>
  <c r="K10" i="4"/>
  <c r="C12" i="4"/>
  <c r="C13" i="4"/>
  <c r="C14" i="4"/>
  <c r="C15" i="4"/>
  <c r="C16" i="4"/>
  <c r="C17" i="4"/>
  <c r="C18" i="4"/>
  <c r="C19" i="4"/>
  <c r="D19" i="4" s="1"/>
  <c r="I19" i="4" s="1"/>
  <c r="F21" i="7" s="1"/>
  <c r="C20" i="4"/>
  <c r="F19" i="4" l="1"/>
  <c r="F10" i="4"/>
  <c r="C12" i="7" s="1"/>
  <c r="J19" i="4" l="1"/>
  <c r="M19" i="4" s="1"/>
  <c r="N19" i="4" s="1"/>
  <c r="C21" i="7"/>
  <c r="H19" i="4"/>
  <c r="E21" i="7" s="1"/>
  <c r="G19" i="4"/>
  <c r="D21" i="7" s="1"/>
  <c r="H9" i="2"/>
  <c r="M26" i="2"/>
  <c r="H26" i="2" s="1"/>
  <c r="C17" i="8"/>
  <c r="G21" i="7" l="1"/>
  <c r="J45" i="8"/>
  <c r="J34" i="8"/>
  <c r="J37" i="8"/>
  <c r="J40" i="8"/>
  <c r="J43" i="8"/>
  <c r="J31" i="8"/>
  <c r="J25" i="8"/>
  <c r="J26" i="8"/>
  <c r="J24" i="8"/>
  <c r="J17" i="8"/>
  <c r="J50" i="8" l="1"/>
  <c r="J51" i="8" s="1"/>
  <c r="J52" i="8" s="1"/>
  <c r="H28" i="2" l="1"/>
  <c r="H11" i="2" l="1"/>
  <c r="D20" i="4" l="1"/>
  <c r="D18" i="4"/>
  <c r="D17" i="4"/>
  <c r="H17" i="4" l="1"/>
  <c r="E19" i="7" s="1"/>
  <c r="G17" i="4"/>
  <c r="D19" i="7" s="1"/>
  <c r="H18" i="4"/>
  <c r="E20" i="7" s="1"/>
  <c r="G18" i="4"/>
  <c r="D20" i="7" s="1"/>
  <c r="I18" i="4"/>
  <c r="F20" i="7" s="1"/>
  <c r="H20" i="4"/>
  <c r="E22" i="7" s="1"/>
  <c r="G20" i="4"/>
  <c r="D22" i="7" s="1"/>
  <c r="F20" i="4"/>
  <c r="C22" i="7" s="1"/>
  <c r="G22" i="7" s="1"/>
  <c r="F17" i="4"/>
  <c r="C19" i="7" s="1"/>
  <c r="F18" i="4"/>
  <c r="C20" i="7" s="1"/>
  <c r="I20" i="4"/>
  <c r="F22" i="7" s="1"/>
  <c r="I17" i="4"/>
  <c r="F19" i="7" s="1"/>
  <c r="D16" i="4"/>
  <c r="G20" i="7" l="1"/>
  <c r="G19" i="7"/>
  <c r="G16" i="4"/>
  <c r="D18" i="7" s="1"/>
  <c r="H16" i="4"/>
  <c r="E18" i="7" s="1"/>
  <c r="F16" i="4"/>
  <c r="C18" i="7" s="1"/>
  <c r="J18" i="4"/>
  <c r="M18" i="4" s="1"/>
  <c r="N18" i="4" s="1"/>
  <c r="J17" i="4"/>
  <c r="M17" i="4" s="1"/>
  <c r="N17" i="4" s="1"/>
  <c r="J20" i="4"/>
  <c r="M20" i="4" s="1"/>
  <c r="N20" i="4" s="1"/>
  <c r="I16" i="4"/>
  <c r="F18" i="7" s="1"/>
  <c r="G18" i="7" l="1"/>
  <c r="E29" i="2"/>
  <c r="E12" i="2"/>
  <c r="J16" i="4"/>
  <c r="M16" i="4" s="1"/>
  <c r="N16" i="4" s="1"/>
  <c r="E28" i="2" l="1"/>
  <c r="E11" i="2"/>
  <c r="H33" i="2"/>
  <c r="H32" i="2"/>
  <c r="H31" i="2"/>
  <c r="H30" i="2"/>
  <c r="H29" i="2"/>
  <c r="H27" i="2"/>
  <c r="H10" i="2"/>
  <c r="H12" i="2"/>
  <c r="H13" i="2"/>
  <c r="H14" i="2"/>
  <c r="H15" i="2"/>
  <c r="H16" i="2"/>
  <c r="G56" i="7"/>
  <c r="G29" i="7"/>
  <c r="G44" i="7" l="1"/>
  <c r="D14" i="4" l="1"/>
  <c r="D15" i="4"/>
  <c r="D13" i="4"/>
  <c r="D12" i="4"/>
  <c r="C11" i="4"/>
  <c r="D11" i="4" s="1"/>
  <c r="G11" i="4" s="1"/>
  <c r="D13" i="7" s="1"/>
  <c r="F12" i="4" l="1"/>
  <c r="C14" i="7" s="1"/>
  <c r="I12" i="4"/>
  <c r="F14" i="7" s="1"/>
  <c r="H12" i="4"/>
  <c r="E14" i="7" s="1"/>
  <c r="G12" i="4"/>
  <c r="D14" i="7" s="1"/>
  <c r="H11" i="4"/>
  <c r="E13" i="7" s="1"/>
  <c r="H10" i="4"/>
  <c r="E12" i="7" s="1"/>
  <c r="H9" i="4"/>
  <c r="E11" i="7" s="1"/>
  <c r="G9" i="4"/>
  <c r="D11" i="7" s="1"/>
  <c r="H15" i="4"/>
  <c r="E17" i="7" s="1"/>
  <c r="G15" i="4"/>
  <c r="D17" i="7" s="1"/>
  <c r="H14" i="4"/>
  <c r="E16" i="7" s="1"/>
  <c r="G14" i="4"/>
  <c r="D16" i="7" s="1"/>
  <c r="H13" i="4"/>
  <c r="E15" i="7" s="1"/>
  <c r="G13" i="4"/>
  <c r="D15" i="7" s="1"/>
  <c r="I11" i="4"/>
  <c r="F13" i="7" s="1"/>
  <c r="I9" i="4"/>
  <c r="F11" i="7" s="1"/>
  <c r="I13" i="4"/>
  <c r="F15" i="7" s="1"/>
  <c r="I14" i="4"/>
  <c r="F16" i="7" s="1"/>
  <c r="I10" i="4"/>
  <c r="F12" i="7" s="1"/>
  <c r="I15" i="4"/>
  <c r="F17" i="7" s="1"/>
  <c r="F14" i="4"/>
  <c r="C16" i="7" s="1"/>
  <c r="F15" i="4"/>
  <c r="C17" i="7" s="1"/>
  <c r="F11" i="4"/>
  <c r="C13" i="7" s="1"/>
  <c r="G13" i="7" s="1"/>
  <c r="C11" i="7"/>
  <c r="G11" i="7" s="1"/>
  <c r="F13" i="4"/>
  <c r="C15" i="7" s="1"/>
  <c r="G15" i="7" s="1"/>
  <c r="G17" i="7" l="1"/>
  <c r="G12" i="7"/>
  <c r="G16" i="7"/>
  <c r="G14" i="7"/>
  <c r="J13" i="4"/>
  <c r="M13" i="4" s="1"/>
  <c r="N13" i="4" s="1"/>
  <c r="J12" i="4"/>
  <c r="M12" i="4" s="1"/>
  <c r="N12" i="4" s="1"/>
  <c r="J15" i="4"/>
  <c r="M15" i="4" s="1"/>
  <c r="N15" i="4" s="1"/>
  <c r="J10" i="4"/>
  <c r="M10" i="4" s="1"/>
  <c r="N10" i="4" s="1"/>
  <c r="E10" i="2"/>
  <c r="E27" i="2"/>
  <c r="J14" i="4"/>
  <c r="M14" i="4" s="1"/>
  <c r="N14" i="4" s="1"/>
  <c r="J11" i="4"/>
  <c r="M11" i="4" s="1"/>
  <c r="N11" i="4" s="1"/>
  <c r="J28" i="2"/>
  <c r="J11" i="2"/>
  <c r="E15" i="2" l="1"/>
  <c r="J15" i="2" s="1"/>
  <c r="E32" i="2"/>
  <c r="J32" i="2" s="1"/>
  <c r="E13" i="2"/>
  <c r="J13" i="2" s="1"/>
  <c r="E30" i="2"/>
  <c r="J30" i="2" s="1"/>
  <c r="E14" i="2"/>
  <c r="J14" i="2" s="1"/>
  <c r="E31" i="2"/>
  <c r="J31" i="2" s="1"/>
  <c r="E16" i="2"/>
  <c r="J16" i="2" s="1"/>
  <c r="E33" i="2"/>
  <c r="J33" i="2" s="1"/>
  <c r="G23" i="7"/>
  <c r="G59" i="7" s="1"/>
  <c r="J22" i="4"/>
  <c r="J12" i="2"/>
  <c r="J29" i="2"/>
  <c r="J10" i="2"/>
  <c r="J27" i="2"/>
  <c r="G61" i="7" l="1"/>
  <c r="G63" i="7" s="1"/>
  <c r="L9" i="2" l="1"/>
  <c r="L26" i="2"/>
  <c r="F26" i="2" s="1"/>
  <c r="J26" i="2" l="1"/>
  <c r="J34" i="2" s="1"/>
  <c r="J36" i="2" s="1"/>
  <c r="J37" i="2" s="1"/>
  <c r="J9" i="2"/>
  <c r="J17" i="2" s="1"/>
  <c r="J19" i="2" l="1"/>
  <c r="J20" i="2" s="1"/>
</calcChain>
</file>

<file path=xl/sharedStrings.xml><?xml version="1.0" encoding="utf-8"?>
<sst xmlns="http://schemas.openxmlformats.org/spreadsheetml/2006/main" count="234" uniqueCount="127">
  <si>
    <t>UTILIDAD</t>
  </si>
  <si>
    <t>COSTO /HORA</t>
  </si>
  <si>
    <t>HORAS TRABAJADAS</t>
  </si>
  <si>
    <t>COLACION</t>
  </si>
  <si>
    <t>BONOS</t>
  </si>
  <si>
    <t>GRATIFICACIONES</t>
  </si>
  <si>
    <t>SUELDO BASE</t>
  </si>
  <si>
    <t>NOMBRE</t>
  </si>
  <si>
    <t>SUELDO IMPONIBLE</t>
  </si>
  <si>
    <t>COSTO/DIA</t>
  </si>
  <si>
    <t>COSTO DIARIO TRABAJADORES</t>
  </si>
  <si>
    <t>PATRICIA SALAZAR</t>
  </si>
  <si>
    <t>JOSE LUIS LEYTON</t>
  </si>
  <si>
    <t>PETROLEO</t>
  </si>
  <si>
    <t>PEAJE</t>
  </si>
  <si>
    <t>COSTO/DIA TRABAJADOR</t>
  </si>
  <si>
    <t>KMS RECORRIDOS</t>
  </si>
  <si>
    <t>CAMIONETA KIA</t>
  </si>
  <si>
    <t>CAMION NQR</t>
  </si>
  <si>
    <t>TOTAL</t>
  </si>
  <si>
    <t>COSTO OPERATIVO</t>
  </si>
  <si>
    <t>TARIFA</t>
  </si>
  <si>
    <t>SIS</t>
  </si>
  <si>
    <t>ACHS</t>
  </si>
  <si>
    <t>AFC</t>
  </si>
  <si>
    <t>TOTAL HABERES</t>
  </si>
  <si>
    <t>ASESORIAS</t>
  </si>
  <si>
    <t>TRABAJADORES</t>
  </si>
  <si>
    <t>MANTENCION MAQUINARIA</t>
  </si>
  <si>
    <t>1.-</t>
  </si>
  <si>
    <t>SUELDOS</t>
  </si>
  <si>
    <t>PELIUS SAINT YL</t>
  </si>
  <si>
    <t>CARLA REYES</t>
  </si>
  <si>
    <t>MONTO</t>
  </si>
  <si>
    <t>PREVENCIONISTA</t>
  </si>
  <si>
    <t>CONTABILIDAD</t>
  </si>
  <si>
    <t>2.-</t>
  </si>
  <si>
    <t>GASTOS ADMINISTRATIVOS</t>
  </si>
  <si>
    <t>DETALLE</t>
  </si>
  <si>
    <t>GASTOS COMUNES</t>
  </si>
  <si>
    <t>INSUMOS DE ASEO</t>
  </si>
  <si>
    <t>INSUMOS DE OFICINA</t>
  </si>
  <si>
    <t xml:space="preserve">ARRIENDO </t>
  </si>
  <si>
    <t>PATENTES</t>
  </si>
  <si>
    <t>ROPA TRABAJADORES</t>
  </si>
  <si>
    <t>PERMISOS DE CIRCULACION</t>
  </si>
  <si>
    <t>GASTOS GENERALES</t>
  </si>
  <si>
    <t>3.-</t>
  </si>
  <si>
    <t>GASTOS PRODUCCION</t>
  </si>
  <si>
    <t>GAS GRUA</t>
  </si>
  <si>
    <t>CORDEL (48 K.)</t>
  </si>
  <si>
    <t>CALCULO COSTO TRANSPORTE DE  RESIDUOS</t>
  </si>
  <si>
    <t>COSTO OPERATIVO EFECTIVO</t>
  </si>
  <si>
    <t>COSTO/DIA TRANSPORTE</t>
  </si>
  <si>
    <t>COSTO TOTAL</t>
  </si>
  <si>
    <t>HORAS PROCESO</t>
  </si>
  <si>
    <t>COSTO OPERATIVO DIARIO</t>
  </si>
  <si>
    <t>VALOR M3</t>
  </si>
  <si>
    <t>CÁLCULO COSTOS TOTALES MENSUALES</t>
  </si>
  <si>
    <t>HORA</t>
  </si>
  <si>
    <t>MES</t>
  </si>
  <si>
    <t>DIA</t>
  </si>
  <si>
    <t>HABERES</t>
  </si>
  <si>
    <t>MIGUEL ARAYA</t>
  </si>
  <si>
    <t>JORGE PADILLA</t>
  </si>
  <si>
    <t>LUIS BAHAMONDES</t>
  </si>
  <si>
    <t>VALERIA VILO</t>
  </si>
  <si>
    <t>SANITIZACION</t>
  </si>
  <si>
    <t>PASO 1</t>
  </si>
  <si>
    <t>CLIENTE</t>
  </si>
  <si>
    <t>RUT</t>
  </si>
  <si>
    <t>DIRECCION DEL SERVICIO</t>
  </si>
  <si>
    <t>PASO 2</t>
  </si>
  <si>
    <t>TIPO DE VEHICULO</t>
  </si>
  <si>
    <t>CAPACIDAD</t>
  </si>
  <si>
    <t>RENDIMIENTO</t>
  </si>
  <si>
    <t>VALOR PETROLEO DIA</t>
  </si>
  <si>
    <t>FECHA</t>
  </si>
  <si>
    <t>LUGAR DEL SERVICIO</t>
  </si>
  <si>
    <t>LUGAR DE ORIGEN</t>
  </si>
  <si>
    <t>LUGAR DE DESTINO</t>
  </si>
  <si>
    <t>PASO 3</t>
  </si>
  <si>
    <t>PEAJE LATERAL</t>
  </si>
  <si>
    <t>CANTIDAD</t>
  </si>
  <si>
    <t>VALOR</t>
  </si>
  <si>
    <t>PEAJE TRONCAL</t>
  </si>
  <si>
    <t>(SE DESPLIEGA NOMINA CON TIPO DE VEHICULOS CICLO VERDE)</t>
  </si>
  <si>
    <t>NOMBRE CHOFER</t>
  </si>
  <si>
    <t>( SE DESPLIEGA PLANILLA DE TRABAJADORES CICLO VERDE)</t>
  </si>
  <si>
    <t xml:space="preserve"> INGRESAR ESTABLECIMIENTO Y COMUNA</t>
  </si>
  <si>
    <t>INGRESAR INFORMACION DESDE APLICACIÓN GOOGLE MAPS</t>
  </si>
  <si>
    <t>ASISTENTE 1</t>
  </si>
  <si>
    <t>ASISTENTE 2</t>
  </si>
  <si>
    <t>ADMINISTRACION</t>
  </si>
  <si>
    <t>OPERACIONES</t>
  </si>
  <si>
    <t>CONSUMO DE PETROLEO</t>
  </si>
  <si>
    <t>(FORMULA= (KMS RECORRIDOS/RENDIMIENTO)*VALOR PETROLEO DIA</t>
  </si>
  <si>
    <t>COSTO /TRABAJADOR</t>
  </si>
  <si>
    <t>(FORMULA=(HORAS TRABAJADAS*COSTO HORA TRABAJADOR)+COLACION</t>
  </si>
  <si>
    <t>PASE DIARIO</t>
  </si>
  <si>
    <t>(CANTIDAD DE PEAJES*VALOR UNITARIO)</t>
  </si>
  <si>
    <t>(CANTIDAD DE PASES DIARIOS*VALOR UNITARIO)</t>
  </si>
  <si>
    <t>COSTO OPERATIVO PLANTA/ HORA</t>
  </si>
  <si>
    <t>COSTO PROCESO</t>
  </si>
  <si>
    <t>(FORMULA=COSTO OPERATIVO PLANTA*HORAS PROCESO)</t>
  </si>
  <si>
    <t>COSTO SERVICIO</t>
  </si>
  <si>
    <t>FORMULARIO TARIFA DE TRANSPORTE</t>
  </si>
  <si>
    <t>PASO 4</t>
  </si>
  <si>
    <t>TARIFA TRANSPORTE</t>
  </si>
  <si>
    <t>COSTO /HR TRABAJADOR</t>
  </si>
  <si>
    <t>UNIDAD</t>
  </si>
  <si>
    <t>TON</t>
  </si>
  <si>
    <t>KM/LT</t>
  </si>
  <si>
    <t>JOSE FUENTES</t>
  </si>
  <si>
    <t>KATHERINE GUTIERREZ</t>
  </si>
  <si>
    <t>MARLON CASTRO</t>
  </si>
  <si>
    <t>BIANCA LEAL</t>
  </si>
  <si>
    <t>SUELDO LIQUIDO</t>
  </si>
  <si>
    <t>INTERNET,TELEFONIA Y SOFTWARE</t>
  </si>
  <si>
    <t>ELECTRICIDAD ( CGE+KIPUS)</t>
  </si>
  <si>
    <t>INSUMOS PLANTA</t>
  </si>
  <si>
    <t>ENCOMIENDAS</t>
  </si>
  <si>
    <t>MANTENCION CUENTAS BANCO</t>
  </si>
  <si>
    <t>INSUMOS EPP</t>
  </si>
  <si>
    <t>COSTOS TOTALES</t>
  </si>
  <si>
    <t>4.-</t>
  </si>
  <si>
    <t>UTILIDAD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</si>
</sst>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#,##0_ ;\-#,##0\ "/>
    <numFmt numFmtId="165" formatCode="_-[$$-340A]\ * #,##0_-;\-[$$-340A]\ * #,##0_-;_-[$$-340A]\ * &quot;-&quot;??_-;_-@_-"/>
    <numFmt numFmtId="166" formatCode="_ [$$-340A]* #,##0_ ;_ [$$-340A]* \-#,##0_ ;_ [$$-340A]* &quot;-&quot;_ ;_ @_ "/>
    <numFmt numFmtId="167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3" fontId="0" fillId="0" borderId="4" xfId="0" applyNumberFormat="1" applyBorder="1"/>
    <xf numFmtId="3" fontId="0" fillId="0" borderId="1" xfId="0" applyNumberFormat="1" applyBorder="1"/>
    <xf numFmtId="0" fontId="3" fillId="0" borderId="0" xfId="0" applyFont="1"/>
    <xf numFmtId="3" fontId="0" fillId="0" borderId="1" xfId="0" applyNumberFormat="1" applyFill="1" applyBorder="1"/>
    <xf numFmtId="3" fontId="0" fillId="0" borderId="8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0" borderId="1" xfId="0" applyFill="1" applyBorder="1"/>
    <xf numFmtId="0" fontId="0" fillId="0" borderId="0" xfId="0" applyFill="1"/>
    <xf numFmtId="14" fontId="1" fillId="0" borderId="0" xfId="0" applyNumberFormat="1" applyFont="1"/>
    <xf numFmtId="0" fontId="0" fillId="0" borderId="2" xfId="0" applyFill="1" applyBorder="1"/>
    <xf numFmtId="3" fontId="0" fillId="0" borderId="8" xfId="0" applyNumberFormat="1" applyFill="1" applyBorder="1"/>
    <xf numFmtId="0" fontId="0" fillId="0" borderId="0" xfId="0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0" xfId="0" applyBorder="1"/>
    <xf numFmtId="165" fontId="0" fillId="0" borderId="0" xfId="0" applyNumberFormat="1" applyBorder="1"/>
    <xf numFmtId="164" fontId="3" fillId="0" borderId="9" xfId="0" applyNumberFormat="1" applyFont="1" applyBorder="1"/>
    <xf numFmtId="0" fontId="0" fillId="0" borderId="0" xfId="0" applyBorder="1" applyAlignment="1"/>
    <xf numFmtId="165" fontId="2" fillId="0" borderId="0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 applyBorder="1" applyAlignment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3" fontId="3" fillId="0" borderId="9" xfId="0" applyNumberFormat="1" applyFont="1" applyBorder="1"/>
    <xf numFmtId="166" fontId="0" fillId="0" borderId="0" xfId="0" applyNumberFormat="1" applyAlignment="1">
      <alignment horizontal="center"/>
    </xf>
    <xf numFmtId="165" fontId="0" fillId="0" borderId="0" xfId="0" applyNumberFormat="1"/>
    <xf numFmtId="3" fontId="0" fillId="0" borderId="0" xfId="0" applyNumberFormat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1" fillId="0" borderId="9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3" fontId="0" fillId="0" borderId="18" xfId="0" applyNumberFormat="1" applyBorder="1" applyAlignment="1">
      <alignment horizontal="right" vertical="center" wrapText="1"/>
    </xf>
    <xf numFmtId="3" fontId="3" fillId="0" borderId="19" xfId="0" applyNumberFormat="1" applyFont="1" applyBorder="1"/>
    <xf numFmtId="3" fontId="3" fillId="0" borderId="34" xfId="0" applyNumberFormat="1" applyFont="1" applyFill="1" applyBorder="1" applyAlignment="1">
      <alignment horizontal="right" vertical="center" wrapText="1"/>
    </xf>
    <xf numFmtId="3" fontId="3" fillId="0" borderId="20" xfId="0" applyNumberFormat="1" applyFont="1" applyBorder="1"/>
    <xf numFmtId="167" fontId="0" fillId="2" borderId="1" xfId="0" applyNumberFormat="1" applyFill="1" applyBorder="1"/>
    <xf numFmtId="167" fontId="0" fillId="2" borderId="8" xfId="0" applyNumberFormat="1" applyFill="1" applyBorder="1"/>
    <xf numFmtId="167" fontId="0" fillId="2" borderId="4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0" borderId="0" xfId="0" applyFill="1" applyBorder="1"/>
    <xf numFmtId="3" fontId="3" fillId="0" borderId="35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9" xfId="0" applyNumberFormat="1" applyFont="1" applyBorder="1"/>
    <xf numFmtId="3" fontId="0" fillId="0" borderId="0" xfId="0" applyNumberFormat="1" applyFont="1"/>
    <xf numFmtId="0" fontId="0" fillId="3" borderId="13" xfId="0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right" vertical="center" wrapText="1"/>
    </xf>
    <xf numFmtId="3" fontId="0" fillId="0" borderId="10" xfId="0" applyNumberFormat="1" applyBorder="1" applyAlignment="1">
      <alignment horizontal="right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4" borderId="9" xfId="0" applyFill="1" applyBorder="1"/>
    <xf numFmtId="0" fontId="0" fillId="0" borderId="3" xfId="0" applyBorder="1" applyAlignment="1"/>
    <xf numFmtId="0" fontId="0" fillId="0" borderId="7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4" xfId="0" applyBorder="1" applyAlignment="1"/>
    <xf numFmtId="0" fontId="1" fillId="3" borderId="9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3" borderId="33" xfId="0" applyFont="1" applyFill="1" applyBorder="1" applyAlignment="1">
      <alignment horizontal="center" vertical="center" wrapText="1"/>
    </xf>
    <xf numFmtId="3" fontId="1" fillId="0" borderId="0" xfId="0" applyNumberFormat="1" applyFont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1" fillId="0" borderId="0" xfId="0" applyFont="1" applyBorder="1" applyAlignment="1">
      <alignment horizontal="right"/>
    </xf>
    <xf numFmtId="3" fontId="3" fillId="0" borderId="0" xfId="0" applyNumberFormat="1" applyFont="1"/>
    <xf numFmtId="165" fontId="1" fillId="3" borderId="9" xfId="0" applyNumberFormat="1" applyFont="1" applyFill="1" applyBorder="1" applyAlignment="1">
      <alignment horizontal="right"/>
    </xf>
    <xf numFmtId="0" fontId="0" fillId="0" borderId="5" xfId="0" applyBorder="1"/>
    <xf numFmtId="0" fontId="0" fillId="0" borderId="3" xfId="0" applyFill="1" applyBorder="1"/>
    <xf numFmtId="0" fontId="0" fillId="0" borderId="2" xfId="0" applyBorder="1"/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3" fontId="0" fillId="0" borderId="29" xfId="0" applyNumberFormat="1" applyBorder="1" applyAlignment="1">
      <alignment horizontal="right"/>
    </xf>
    <xf numFmtId="3" fontId="0" fillId="0" borderId="37" xfId="0" applyNumberFormat="1" applyBorder="1" applyAlignment="1">
      <alignment horizontal="right"/>
    </xf>
    <xf numFmtId="3" fontId="0" fillId="0" borderId="39" xfId="0" applyNumberFormat="1" applyBorder="1" applyAlignment="1">
      <alignment horizontal="right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3" fontId="0" fillId="0" borderId="22" xfId="0" applyNumberFormat="1" applyBorder="1" applyAlignment="1">
      <alignment horizontal="right"/>
    </xf>
    <xf numFmtId="3" fontId="0" fillId="0" borderId="26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3" fontId="0" fillId="0" borderId="2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41" xfId="0" applyNumberFormat="1" applyBorder="1" applyAlignment="1">
      <alignment horizontal="right"/>
    </xf>
    <xf numFmtId="3" fontId="0" fillId="0" borderId="3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7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3" fontId="0" fillId="0" borderId="18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8" xfId="0" applyBorder="1" applyAlignment="1">
      <alignment horizontal="left"/>
    </xf>
    <xf numFmtId="0" fontId="2" fillId="0" borderId="0" xfId="0" applyFont="1" applyAlignment="1">
      <alignment horizontal="center"/>
    </xf>
    <xf numFmtId="1" fontId="0" fillId="0" borderId="4" xfId="1" applyNumberFormat="1" applyFont="1" applyBorder="1"/>
    <xf numFmtId="1" fontId="0" fillId="0" borderId="1" xfId="1" applyNumberFormat="1" applyFont="1" applyBorder="1"/>
    <xf numFmtId="1" fontId="0" fillId="3" borderId="1" xfId="1" applyNumberFormat="1" applyFont="1" applyFill="1" applyBorder="1"/>
    <xf numFmtId="1" fontId="0" fillId="0" borderId="7" xfId="1" applyNumberFormat="1" applyFont="1" applyBorder="1"/>
    <xf numFmtId="1" fontId="0" fillId="0" borderId="18" xfId="1" applyNumberFormat="1" applyFont="1" applyBorder="1"/>
    <xf numFmtId="1" fontId="0" fillId="0" borderId="8" xfId="1" applyNumberFormat="1" applyFont="1" applyBorder="1"/>
    <xf numFmtId="1" fontId="0" fillId="3" borderId="8" xfId="1" applyNumberFormat="1" applyFont="1" applyFill="1" applyBorder="1"/>
    <xf numFmtId="1" fontId="0" fillId="0" borderId="10" xfId="1" applyNumberFormat="1" applyFont="1" applyBorder="1"/>
    <xf numFmtId="1" fontId="0" fillId="5" borderId="4" xfId="1" applyNumberFormat="1" applyFont="1" applyFill="1" applyBorder="1"/>
    <xf numFmtId="1" fontId="0" fillId="5" borderId="6" xfId="1" applyNumberFormat="1" applyFont="1" applyFill="1" applyBorder="1"/>
    <xf numFmtId="0" fontId="1" fillId="5" borderId="9" xfId="0" applyFont="1" applyFill="1" applyBorder="1" applyAlignment="1">
      <alignment horizontal="center"/>
    </xf>
    <xf numFmtId="3" fontId="1" fillId="5" borderId="9" xfId="0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142875</xdr:rowOff>
    </xdr:from>
    <xdr:to>
      <xdr:col>1</xdr:col>
      <xdr:colOff>1200150</xdr:colOff>
      <xdr:row>5</xdr:row>
      <xdr:rowOff>73834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33375"/>
          <a:ext cx="762000" cy="7405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57150</xdr:rowOff>
    </xdr:from>
    <xdr:to>
      <xdr:col>2</xdr:col>
      <xdr:colOff>19050</xdr:colOff>
      <xdr:row>5</xdr:row>
      <xdr:rowOff>809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47650"/>
          <a:ext cx="762000" cy="740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19050</xdr:rowOff>
    </xdr:from>
    <xdr:to>
      <xdr:col>2</xdr:col>
      <xdr:colOff>9525</xdr:colOff>
      <xdr:row>4</xdr:row>
      <xdr:rowOff>140509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209550"/>
          <a:ext cx="762000" cy="7405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5</xdr:row>
      <xdr:rowOff>102409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762000" cy="7405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142875</xdr:rowOff>
    </xdr:from>
    <xdr:to>
      <xdr:col>2</xdr:col>
      <xdr:colOff>95250</xdr:colOff>
      <xdr:row>4</xdr:row>
      <xdr:rowOff>19629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142875"/>
          <a:ext cx="657225" cy="638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64"/>
  <sheetViews>
    <sheetView topLeftCell="A49" workbookViewId="0">
      <selection activeCell="G63" sqref="G63"/>
    </sheetView>
  </sheetViews>
  <sheetFormatPr baseColWidth="10" defaultRowHeight="14.5" x14ac:dyDescent="0.35"/>
  <cols>
    <col min="1" max="1" width="3.7265625" customWidth="1"/>
    <col min="2" max="2" width="22.1796875" customWidth="1"/>
    <col min="6" max="6" width="11.54296875" customWidth="1"/>
    <col min="7" max="7" width="14.81640625" customWidth="1"/>
    <col min="10" max="10" width="22.81640625" customWidth="1"/>
  </cols>
  <sheetData>
    <row r="4" spans="1:10" ht="18.5" x14ac:dyDescent="0.45">
      <c r="C4" s="1" t="s">
        <v>58</v>
      </c>
      <c r="E4" s="1"/>
      <c r="F4" s="1"/>
      <c r="G4" s="1"/>
    </row>
    <row r="6" spans="1:10" x14ac:dyDescent="0.35">
      <c r="E6" s="56"/>
      <c r="F6" s="57"/>
      <c r="G6" s="56"/>
      <c r="J6" s="20"/>
    </row>
    <row r="7" spans="1:10" x14ac:dyDescent="0.35">
      <c r="I7" s="13"/>
      <c r="J7" s="13"/>
    </row>
    <row r="8" spans="1:10" ht="15.5" x14ac:dyDescent="0.35">
      <c r="A8" s="7" t="s">
        <v>29</v>
      </c>
      <c r="B8" s="7" t="s">
        <v>30</v>
      </c>
      <c r="I8" s="92"/>
      <c r="J8" s="92"/>
    </row>
    <row r="9" spans="1:10" ht="15" thickBot="1" x14ac:dyDescent="0.4">
      <c r="I9" s="54"/>
      <c r="J9" s="54"/>
    </row>
    <row r="10" spans="1:10" ht="15" thickBot="1" x14ac:dyDescent="0.4">
      <c r="A10" s="17"/>
      <c r="B10" s="51" t="s">
        <v>27</v>
      </c>
      <c r="C10" s="52" t="s">
        <v>62</v>
      </c>
      <c r="D10" s="52" t="s">
        <v>22</v>
      </c>
      <c r="E10" s="52" t="s">
        <v>23</v>
      </c>
      <c r="F10" s="52" t="s">
        <v>24</v>
      </c>
      <c r="G10" s="53" t="s">
        <v>19</v>
      </c>
      <c r="I10" s="93"/>
      <c r="J10" s="94"/>
    </row>
    <row r="11" spans="1:10" x14ac:dyDescent="0.35">
      <c r="B11" s="3" t="s">
        <v>11</v>
      </c>
      <c r="C11" s="5">
        <f>TRABAJADORES!F9</f>
        <v>1029239</v>
      </c>
      <c r="D11" s="5">
        <f>TRABAJADORES!G9</f>
        <v>16501.856100000001</v>
      </c>
      <c r="E11" s="5">
        <f>TRABAJADORES!H9</f>
        <v>38725.461299999995</v>
      </c>
      <c r="F11" s="5">
        <f>TRABAJADORES!I9</f>
        <v>19901.736000000001</v>
      </c>
      <c r="G11" s="18">
        <f>C11+D11+E11+F11</f>
        <v>1104368.0534000001</v>
      </c>
      <c r="I11" s="54"/>
      <c r="J11" s="94"/>
    </row>
    <row r="12" spans="1:10" x14ac:dyDescent="0.35">
      <c r="B12" s="3" t="s">
        <v>12</v>
      </c>
      <c r="C12" s="6">
        <f>TRABAJADORES!F10</f>
        <v>825000</v>
      </c>
      <c r="D12" s="6">
        <f>TRABAJADORES!G10</f>
        <v>12437.5</v>
      </c>
      <c r="E12" s="6">
        <f>TRABAJADORES!H10</f>
        <v>29187.5</v>
      </c>
      <c r="F12" s="6">
        <f>TRABAJADORES!I10</f>
        <v>15000</v>
      </c>
      <c r="G12" s="19">
        <f>C12+D12+E12+F12</f>
        <v>881625</v>
      </c>
      <c r="I12" s="54"/>
      <c r="J12" s="94"/>
    </row>
    <row r="13" spans="1:10" x14ac:dyDescent="0.35">
      <c r="B13" s="3" t="s">
        <v>32</v>
      </c>
      <c r="C13" s="6">
        <f>TRABAJADORES!F11</f>
        <v>545000</v>
      </c>
      <c r="D13" s="6">
        <f>TRABAJADORES!G11</f>
        <v>9452.5</v>
      </c>
      <c r="E13" s="6">
        <f>TRABAJADORES!H11</f>
        <v>22182.5</v>
      </c>
      <c r="F13" s="6">
        <f>TRABAJADORES!I11</f>
        <v>11400</v>
      </c>
      <c r="G13" s="19">
        <f t="shared" ref="G13:G22" si="0">C13+D13+E13+F13</f>
        <v>588035</v>
      </c>
      <c r="I13" s="54"/>
      <c r="J13" s="94"/>
    </row>
    <row r="14" spans="1:10" x14ac:dyDescent="0.35">
      <c r="B14" s="3" t="s">
        <v>63</v>
      </c>
      <c r="C14" s="6">
        <f>TRABAJADORES!F12</f>
        <v>735000</v>
      </c>
      <c r="D14" s="6">
        <f>TRABAJADORES!G12</f>
        <v>12437.5</v>
      </c>
      <c r="E14" s="6">
        <f>TRABAJADORES!H12</f>
        <v>29187.5</v>
      </c>
      <c r="F14" s="6">
        <f>TRABAJADORES!I12</f>
        <v>15000</v>
      </c>
      <c r="G14" s="19">
        <f t="shared" si="0"/>
        <v>791625</v>
      </c>
      <c r="I14" s="54"/>
      <c r="J14" s="94"/>
    </row>
    <row r="15" spans="1:10" x14ac:dyDescent="0.35">
      <c r="B15" s="3" t="s">
        <v>65</v>
      </c>
      <c r="C15" s="6">
        <f>TRABAJADORES!F13</f>
        <v>505000</v>
      </c>
      <c r="D15" s="6">
        <f>TRABAJADORES!G13</f>
        <v>9452.5</v>
      </c>
      <c r="E15" s="6">
        <f>TRABAJADORES!H13</f>
        <v>22182.5</v>
      </c>
      <c r="F15" s="6">
        <f>TRABAJADORES!I13</f>
        <v>11400</v>
      </c>
      <c r="G15" s="19">
        <f t="shared" si="0"/>
        <v>548035</v>
      </c>
      <c r="I15" s="54"/>
      <c r="J15" s="94"/>
    </row>
    <row r="16" spans="1:10" x14ac:dyDescent="0.35">
      <c r="B16" s="3" t="s">
        <v>64</v>
      </c>
      <c r="C16" s="6">
        <f>TRABAJADORES!F14</f>
        <v>525000</v>
      </c>
      <c r="D16" s="6">
        <f>TRABAJADORES!G14</f>
        <v>9452.5</v>
      </c>
      <c r="E16" s="6">
        <f>TRABAJADORES!H14</f>
        <v>22182.5</v>
      </c>
      <c r="F16" s="6">
        <f>TRABAJADORES!I14</f>
        <v>11400</v>
      </c>
      <c r="G16" s="19">
        <f t="shared" si="0"/>
        <v>568035</v>
      </c>
      <c r="I16" s="54"/>
      <c r="J16" s="94"/>
    </row>
    <row r="17" spans="1:10" x14ac:dyDescent="0.35">
      <c r="B17" s="12" t="s">
        <v>31</v>
      </c>
      <c r="C17" s="6">
        <f>TRABAJADORES!F15</f>
        <v>490000</v>
      </c>
      <c r="D17" s="6">
        <f>TRABAJADORES!G15</f>
        <v>8955</v>
      </c>
      <c r="E17" s="6">
        <f>TRABAJADORES!H15</f>
        <v>21015</v>
      </c>
      <c r="F17" s="6">
        <f>TRABAJADORES!I15</f>
        <v>10800</v>
      </c>
      <c r="G17" s="19">
        <f t="shared" si="0"/>
        <v>530770</v>
      </c>
      <c r="I17" s="54"/>
      <c r="J17" s="94"/>
    </row>
    <row r="18" spans="1:10" x14ac:dyDescent="0.35">
      <c r="B18" s="12" t="s">
        <v>113</v>
      </c>
      <c r="C18" s="6">
        <f>TRABAJADORES!F16</f>
        <v>437500</v>
      </c>
      <c r="D18" s="6">
        <f>TRABAJADORES!G16</f>
        <v>8706.25</v>
      </c>
      <c r="E18" s="6">
        <f>TRABAJADORES!H16</f>
        <v>20431.25</v>
      </c>
      <c r="F18" s="6">
        <f>TRABAJADORES!I16</f>
        <v>10500</v>
      </c>
      <c r="G18" s="19">
        <f t="shared" si="0"/>
        <v>477137.5</v>
      </c>
      <c r="I18" s="54"/>
      <c r="J18" s="94"/>
    </row>
    <row r="19" spans="1:10" x14ac:dyDescent="0.35">
      <c r="B19" s="3" t="s">
        <v>115</v>
      </c>
      <c r="C19" s="6">
        <f>TRABAJADORES!F17</f>
        <v>412500</v>
      </c>
      <c r="D19" s="6">
        <f>TRABAJADORES!G17</f>
        <v>8208.75</v>
      </c>
      <c r="E19" s="6">
        <f>TRABAJADORES!H17</f>
        <v>19263.75</v>
      </c>
      <c r="F19" s="6">
        <f>TRABAJADORES!I17</f>
        <v>9900</v>
      </c>
      <c r="G19" s="19">
        <f t="shared" si="0"/>
        <v>449872.5</v>
      </c>
      <c r="I19" s="54"/>
      <c r="J19" s="94"/>
    </row>
    <row r="20" spans="1:10" x14ac:dyDescent="0.35">
      <c r="B20" s="3" t="s">
        <v>114</v>
      </c>
      <c r="C20" s="6">
        <f>TRABAJADORES!F18</f>
        <v>437500</v>
      </c>
      <c r="D20" s="6">
        <f>TRABAJADORES!G18</f>
        <v>8706.25</v>
      </c>
      <c r="E20" s="6">
        <f>TRABAJADORES!H18</f>
        <v>20431.25</v>
      </c>
      <c r="F20" s="6">
        <f>TRABAJADORES!I18</f>
        <v>10500</v>
      </c>
      <c r="G20" s="19">
        <f t="shared" si="0"/>
        <v>477137.5</v>
      </c>
      <c r="I20" s="54"/>
      <c r="J20" s="94"/>
    </row>
    <row r="21" spans="1:10" x14ac:dyDescent="0.35">
      <c r="B21" s="3" t="s">
        <v>116</v>
      </c>
      <c r="C21" s="6">
        <f>TRABAJADORES!F19</f>
        <v>412500</v>
      </c>
      <c r="D21" s="6">
        <f>TRABAJADORES!G19</f>
        <v>8208.75</v>
      </c>
      <c r="E21" s="6">
        <f>TRABAJADORES!H19</f>
        <v>19263.75</v>
      </c>
      <c r="F21" s="6">
        <f>TRABAJADORES!I19</f>
        <v>9900</v>
      </c>
      <c r="G21" s="19">
        <f t="shared" si="0"/>
        <v>449872.5</v>
      </c>
      <c r="I21" s="54"/>
      <c r="J21" s="94"/>
    </row>
    <row r="22" spans="1:10" ht="15" thickBot="1" x14ac:dyDescent="0.4">
      <c r="B22" s="3" t="s">
        <v>66</v>
      </c>
      <c r="C22" s="6">
        <f>TRABAJADORES!F20</f>
        <v>287500</v>
      </c>
      <c r="D22" s="6">
        <f>TRABAJADORES!G20</f>
        <v>5721.25</v>
      </c>
      <c r="E22" s="6">
        <f>TRABAJADORES!H20</f>
        <v>13426.25</v>
      </c>
      <c r="F22" s="6">
        <f>TRABAJADORES!I20</f>
        <v>6900</v>
      </c>
      <c r="G22" s="19">
        <f t="shared" si="0"/>
        <v>313547.5</v>
      </c>
      <c r="I22" s="54"/>
      <c r="J22" s="94"/>
    </row>
    <row r="23" spans="1:10" ht="16" thickBot="1" x14ac:dyDescent="0.4">
      <c r="B23" s="20"/>
      <c r="C23" s="21"/>
      <c r="D23" s="21"/>
      <c r="E23" s="21"/>
      <c r="F23" s="21"/>
      <c r="G23" s="22">
        <f>SUM(G11:G22)</f>
        <v>7180060.5534000006</v>
      </c>
      <c r="I23" s="54"/>
      <c r="J23" s="94"/>
    </row>
    <row r="24" spans="1:10" ht="19" thickBot="1" x14ac:dyDescent="0.5">
      <c r="D24" s="23"/>
      <c r="E24" s="23"/>
      <c r="F24" s="24"/>
      <c r="I24" s="54"/>
      <c r="J24" s="94"/>
    </row>
    <row r="25" spans="1:10" ht="15" thickBot="1" x14ac:dyDescent="0.4">
      <c r="B25" s="106" t="s">
        <v>26</v>
      </c>
      <c r="C25" s="107"/>
      <c r="D25" s="108" t="s">
        <v>33</v>
      </c>
      <c r="E25" s="109"/>
      <c r="F25" s="109"/>
      <c r="G25" s="110"/>
      <c r="I25" s="54"/>
      <c r="J25" s="94"/>
    </row>
    <row r="26" spans="1:10" x14ac:dyDescent="0.35">
      <c r="B26" s="111" t="s">
        <v>34</v>
      </c>
      <c r="C26" s="112"/>
      <c r="D26" s="113">
        <v>120000</v>
      </c>
      <c r="E26" s="114"/>
      <c r="F26" s="114"/>
      <c r="G26" s="115"/>
      <c r="J26" s="27"/>
    </row>
    <row r="27" spans="1:10" x14ac:dyDescent="0.35">
      <c r="B27" s="121" t="s">
        <v>67</v>
      </c>
      <c r="C27" s="122"/>
      <c r="D27" s="123">
        <v>120000</v>
      </c>
      <c r="E27" s="104"/>
      <c r="F27" s="104"/>
      <c r="G27" s="124"/>
    </row>
    <row r="28" spans="1:10" ht="15" thickBot="1" x14ac:dyDescent="0.4">
      <c r="B28" s="116" t="s">
        <v>35</v>
      </c>
      <c r="C28" s="117"/>
      <c r="D28" s="118">
        <v>37500</v>
      </c>
      <c r="E28" s="119"/>
      <c r="F28" s="119"/>
      <c r="G28" s="120"/>
    </row>
    <row r="29" spans="1:10" ht="16" thickBot="1" x14ac:dyDescent="0.4">
      <c r="B29" s="25" t="s">
        <v>67</v>
      </c>
      <c r="C29" s="25"/>
      <c r="D29" s="26"/>
      <c r="E29" s="27"/>
      <c r="F29" s="28"/>
      <c r="G29" s="29">
        <f>SUM(D26:G28)</f>
        <v>277500</v>
      </c>
    </row>
    <row r="30" spans="1:10" ht="15.5" x14ac:dyDescent="0.35">
      <c r="A30" s="7" t="s">
        <v>36</v>
      </c>
      <c r="B30" s="7" t="s">
        <v>37</v>
      </c>
    </row>
    <row r="31" spans="1:10" ht="15" thickBot="1" x14ac:dyDescent="0.4"/>
    <row r="32" spans="1:10" ht="15" thickBot="1" x14ac:dyDescent="0.4">
      <c r="B32" s="106" t="s">
        <v>38</v>
      </c>
      <c r="C32" s="107"/>
      <c r="D32" s="108" t="s">
        <v>33</v>
      </c>
      <c r="E32" s="109"/>
      <c r="F32" s="109"/>
      <c r="G32" s="110"/>
    </row>
    <row r="33" spans="1:10" x14ac:dyDescent="0.35">
      <c r="B33" s="111" t="s">
        <v>39</v>
      </c>
      <c r="C33" s="112"/>
      <c r="D33" s="125">
        <v>100000</v>
      </c>
      <c r="E33" s="126"/>
      <c r="F33" s="126"/>
      <c r="G33" s="127"/>
    </row>
    <row r="34" spans="1:10" x14ac:dyDescent="0.35">
      <c r="B34" s="128" t="s">
        <v>40</v>
      </c>
      <c r="C34" s="101"/>
      <c r="D34" s="129">
        <v>60000</v>
      </c>
      <c r="E34" s="130"/>
      <c r="F34" s="130"/>
      <c r="G34" s="131"/>
    </row>
    <row r="35" spans="1:10" x14ac:dyDescent="0.35">
      <c r="B35" s="128" t="s">
        <v>41</v>
      </c>
      <c r="C35" s="101"/>
      <c r="D35" s="129">
        <v>12000</v>
      </c>
      <c r="E35" s="130"/>
      <c r="F35" s="130"/>
      <c r="G35" s="131"/>
      <c r="H35" s="20"/>
      <c r="I35" s="95"/>
      <c r="J35" s="91"/>
    </row>
    <row r="36" spans="1:10" x14ac:dyDescent="0.35">
      <c r="B36" s="121" t="s">
        <v>122</v>
      </c>
      <c r="C36" s="122"/>
      <c r="D36" s="123">
        <v>35000</v>
      </c>
      <c r="E36" s="104"/>
      <c r="F36" s="104"/>
      <c r="G36" s="124"/>
      <c r="I36" s="58"/>
      <c r="J36" s="91"/>
    </row>
    <row r="37" spans="1:10" x14ac:dyDescent="0.35">
      <c r="B37" s="128" t="s">
        <v>118</v>
      </c>
      <c r="C37" s="101"/>
      <c r="D37" s="129">
        <v>143000</v>
      </c>
      <c r="E37" s="130"/>
      <c r="F37" s="130"/>
      <c r="G37" s="131"/>
    </row>
    <row r="38" spans="1:10" x14ac:dyDescent="0.35">
      <c r="B38" s="128" t="s">
        <v>42</v>
      </c>
      <c r="C38" s="101"/>
      <c r="D38" s="129">
        <v>1200000</v>
      </c>
      <c r="E38" s="130"/>
      <c r="F38" s="130"/>
      <c r="G38" s="131"/>
    </row>
    <row r="39" spans="1:10" x14ac:dyDescent="0.35">
      <c r="B39" s="128" t="s">
        <v>43</v>
      </c>
      <c r="C39" s="101"/>
      <c r="D39" s="129">
        <v>10000</v>
      </c>
      <c r="E39" s="130"/>
      <c r="F39" s="130"/>
      <c r="G39" s="131"/>
    </row>
    <row r="40" spans="1:10" x14ac:dyDescent="0.35">
      <c r="B40" s="121" t="s">
        <v>121</v>
      </c>
      <c r="C40" s="122"/>
      <c r="D40" s="123">
        <v>13000</v>
      </c>
      <c r="E40" s="104"/>
      <c r="F40" s="104"/>
      <c r="G40" s="124"/>
    </row>
    <row r="41" spans="1:10" x14ac:dyDescent="0.35">
      <c r="B41" s="128" t="s">
        <v>44</v>
      </c>
      <c r="C41" s="101"/>
      <c r="D41" s="129">
        <v>50000</v>
      </c>
      <c r="E41" s="130"/>
      <c r="F41" s="130"/>
      <c r="G41" s="131"/>
    </row>
    <row r="42" spans="1:10" x14ac:dyDescent="0.35">
      <c r="B42" s="128" t="s">
        <v>45</v>
      </c>
      <c r="C42" s="101"/>
      <c r="D42" s="129">
        <v>45000</v>
      </c>
      <c r="E42" s="130"/>
      <c r="F42" s="130"/>
      <c r="G42" s="131"/>
    </row>
    <row r="43" spans="1:10" ht="15" thickBot="1" x14ac:dyDescent="0.4">
      <c r="B43" s="116" t="s">
        <v>46</v>
      </c>
      <c r="C43" s="117"/>
      <c r="D43" s="118">
        <v>300000</v>
      </c>
      <c r="E43" s="119"/>
      <c r="F43" s="119"/>
      <c r="G43" s="120"/>
    </row>
    <row r="44" spans="1:10" ht="16" thickBot="1" x14ac:dyDescent="0.4">
      <c r="B44" s="25"/>
      <c r="C44" s="25"/>
      <c r="D44" s="32"/>
      <c r="E44" s="32"/>
      <c r="F44" s="32"/>
      <c r="G44" s="55">
        <f>SUM(D33:G43)</f>
        <v>1968000</v>
      </c>
    </row>
    <row r="45" spans="1:10" x14ac:dyDescent="0.35">
      <c r="B45" s="25"/>
      <c r="C45" s="25"/>
      <c r="D45" s="30"/>
      <c r="E45" s="30"/>
      <c r="F45" s="30"/>
      <c r="G45" s="30"/>
    </row>
    <row r="46" spans="1:10" ht="15.5" x14ac:dyDescent="0.35">
      <c r="A46" s="7" t="s">
        <v>47</v>
      </c>
      <c r="B46" s="7" t="s">
        <v>48</v>
      </c>
    </row>
    <row r="47" spans="1:10" ht="15" thickBot="1" x14ac:dyDescent="0.4"/>
    <row r="48" spans="1:10" ht="15" thickBot="1" x14ac:dyDescent="0.4">
      <c r="B48" s="132" t="s">
        <v>38</v>
      </c>
      <c r="C48" s="133"/>
      <c r="D48" s="134" t="s">
        <v>33</v>
      </c>
      <c r="E48" s="135"/>
      <c r="F48" s="135"/>
      <c r="G48" s="136"/>
    </row>
    <row r="49" spans="1:7" x14ac:dyDescent="0.35">
      <c r="B49" s="137" t="s">
        <v>119</v>
      </c>
      <c r="C49" s="137"/>
      <c r="D49" s="138">
        <v>203000</v>
      </c>
      <c r="E49" s="138"/>
      <c r="F49" s="138"/>
      <c r="G49" s="138"/>
    </row>
    <row r="50" spans="1:7" x14ac:dyDescent="0.35">
      <c r="B50" s="139" t="s">
        <v>49</v>
      </c>
      <c r="C50" s="139"/>
      <c r="D50" s="130">
        <v>160000</v>
      </c>
      <c r="E50" s="130"/>
      <c r="F50" s="130"/>
      <c r="G50" s="130"/>
    </row>
    <row r="51" spans="1:7" x14ac:dyDescent="0.35">
      <c r="B51" s="139" t="s">
        <v>13</v>
      </c>
      <c r="C51" s="139"/>
      <c r="D51" s="130">
        <v>700000</v>
      </c>
      <c r="E51" s="130"/>
      <c r="F51" s="130"/>
      <c r="G51" s="130"/>
    </row>
    <row r="52" spans="1:7" x14ac:dyDescent="0.35">
      <c r="B52" s="139" t="s">
        <v>50</v>
      </c>
      <c r="C52" s="139"/>
      <c r="D52" s="130">
        <v>298000</v>
      </c>
      <c r="E52" s="130"/>
      <c r="F52" s="130"/>
      <c r="G52" s="130"/>
    </row>
    <row r="53" spans="1:7" x14ac:dyDescent="0.35">
      <c r="B53" s="101" t="s">
        <v>123</v>
      </c>
      <c r="C53" s="102"/>
      <c r="D53" s="103">
        <v>50000</v>
      </c>
      <c r="E53" s="104"/>
      <c r="F53" s="104"/>
      <c r="G53" s="105"/>
    </row>
    <row r="54" spans="1:7" x14ac:dyDescent="0.35">
      <c r="B54" s="139" t="s">
        <v>28</v>
      </c>
      <c r="C54" s="139"/>
      <c r="D54" s="130">
        <v>100000</v>
      </c>
      <c r="E54" s="130"/>
      <c r="F54" s="130"/>
      <c r="G54" s="130"/>
    </row>
    <row r="55" spans="1:7" ht="15" thickBot="1" x14ac:dyDescent="0.4">
      <c r="B55" s="139" t="s">
        <v>120</v>
      </c>
      <c r="C55" s="139"/>
      <c r="D55" s="130">
        <v>50000</v>
      </c>
      <c r="E55" s="130"/>
      <c r="F55" s="130"/>
      <c r="G55" s="140"/>
    </row>
    <row r="56" spans="1:7" ht="16" thickBot="1" x14ac:dyDescent="0.4">
      <c r="B56" s="141"/>
      <c r="C56" s="141"/>
      <c r="D56" s="32"/>
      <c r="E56" s="32"/>
      <c r="F56" s="32"/>
      <c r="G56" s="33">
        <f>SUM(D49:G55)</f>
        <v>1561000</v>
      </c>
    </row>
    <row r="57" spans="1:7" x14ac:dyDescent="0.35">
      <c r="D57" s="31"/>
      <c r="E57" s="31"/>
    </row>
    <row r="58" spans="1:7" ht="15" thickBot="1" x14ac:dyDescent="0.4">
      <c r="G58" s="27"/>
    </row>
    <row r="59" spans="1:7" ht="16" thickBot="1" x14ac:dyDescent="0.4">
      <c r="A59" s="7" t="s">
        <v>125</v>
      </c>
      <c r="B59" s="96" t="s">
        <v>124</v>
      </c>
      <c r="F59" s="97" t="s">
        <v>60</v>
      </c>
      <c r="G59" s="60">
        <f>G23+G29+G44+G56</f>
        <v>10986560.553400001</v>
      </c>
    </row>
    <row r="60" spans="1:7" ht="15" thickBot="1" x14ac:dyDescent="0.4">
      <c r="F60" s="59"/>
      <c r="G60" s="61"/>
    </row>
    <row r="61" spans="1:7" ht="15" thickBot="1" x14ac:dyDescent="0.4">
      <c r="F61" s="97" t="s">
        <v>61</v>
      </c>
      <c r="G61" s="60">
        <f>G59/30</f>
        <v>366218.68511333334</v>
      </c>
    </row>
    <row r="62" spans="1:7" ht="15" thickBot="1" x14ac:dyDescent="0.4">
      <c r="F62" s="59"/>
      <c r="G62" s="61"/>
    </row>
    <row r="63" spans="1:7" ht="15" thickBot="1" x14ac:dyDescent="0.4">
      <c r="F63" s="97" t="s">
        <v>59</v>
      </c>
      <c r="G63" s="60">
        <f>G61/9</f>
        <v>40690.965012592591</v>
      </c>
    </row>
    <row r="64" spans="1:7" x14ac:dyDescent="0.35">
      <c r="G64" s="27"/>
    </row>
  </sheetData>
  <mergeCells count="49">
    <mergeCell ref="B54:C54"/>
    <mergeCell ref="D54:G54"/>
    <mergeCell ref="B55:C55"/>
    <mergeCell ref="D55:G55"/>
    <mergeCell ref="B56:C56"/>
    <mergeCell ref="B50:C50"/>
    <mergeCell ref="D50:G50"/>
    <mergeCell ref="B51:C51"/>
    <mergeCell ref="D51:G51"/>
    <mergeCell ref="B52:C52"/>
    <mergeCell ref="D52:G52"/>
    <mergeCell ref="B43:C43"/>
    <mergeCell ref="D43:G43"/>
    <mergeCell ref="B48:C48"/>
    <mergeCell ref="D48:G48"/>
    <mergeCell ref="B49:C49"/>
    <mergeCell ref="D49:G49"/>
    <mergeCell ref="B39:C39"/>
    <mergeCell ref="D39:G39"/>
    <mergeCell ref="B41:C41"/>
    <mergeCell ref="D41:G41"/>
    <mergeCell ref="B42:C42"/>
    <mergeCell ref="D42:G42"/>
    <mergeCell ref="B40:C40"/>
    <mergeCell ref="D40:G40"/>
    <mergeCell ref="B35:C35"/>
    <mergeCell ref="D35:G35"/>
    <mergeCell ref="B37:C37"/>
    <mergeCell ref="D37:G37"/>
    <mergeCell ref="B38:C38"/>
    <mergeCell ref="D38:G38"/>
    <mergeCell ref="B36:C36"/>
    <mergeCell ref="D36:G36"/>
    <mergeCell ref="B53:C53"/>
    <mergeCell ref="D53:G53"/>
    <mergeCell ref="B25:C25"/>
    <mergeCell ref="D25:G25"/>
    <mergeCell ref="B26:C26"/>
    <mergeCell ref="D26:G26"/>
    <mergeCell ref="B28:C28"/>
    <mergeCell ref="D28:G28"/>
    <mergeCell ref="B27:C27"/>
    <mergeCell ref="D27:G27"/>
    <mergeCell ref="B32:C32"/>
    <mergeCell ref="D32:G32"/>
    <mergeCell ref="B33:C33"/>
    <mergeCell ref="D33:G33"/>
    <mergeCell ref="B34:C34"/>
    <mergeCell ref="D34:G3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23"/>
  <sheetViews>
    <sheetView topLeftCell="A7" workbookViewId="0">
      <selection activeCell="L9" sqref="L9"/>
    </sheetView>
  </sheetViews>
  <sheetFormatPr baseColWidth="10" defaultRowHeight="14.5" x14ac:dyDescent="0.35"/>
  <cols>
    <col min="1" max="1" width="23" customWidth="1"/>
    <col min="3" max="4" width="14" customWidth="1"/>
    <col min="12" max="12" width="12.54296875" customWidth="1"/>
    <col min="16" max="16" width="22.26953125" customWidth="1"/>
    <col min="17" max="17" width="13.54296875" customWidth="1"/>
    <col min="18" max="18" width="13.1796875" customWidth="1"/>
    <col min="21" max="21" width="12.54296875" customWidth="1"/>
  </cols>
  <sheetData>
    <row r="4" spans="1:14" ht="18.5" x14ac:dyDescent="0.45">
      <c r="D4" s="1" t="s">
        <v>10</v>
      </c>
      <c r="L4" s="14"/>
    </row>
    <row r="7" spans="1:14" ht="15" thickBot="1" x14ac:dyDescent="0.4"/>
    <row r="8" spans="1:14" ht="29.5" thickBot="1" x14ac:dyDescent="0.4">
      <c r="A8" s="49" t="s">
        <v>7</v>
      </c>
      <c r="B8" s="50" t="s">
        <v>6</v>
      </c>
      <c r="C8" s="50" t="s">
        <v>5</v>
      </c>
      <c r="D8" s="50" t="s">
        <v>8</v>
      </c>
      <c r="E8" s="50" t="s">
        <v>4</v>
      </c>
      <c r="F8" s="50" t="s">
        <v>25</v>
      </c>
      <c r="G8" s="50" t="s">
        <v>22</v>
      </c>
      <c r="H8" s="50" t="s">
        <v>23</v>
      </c>
      <c r="I8" s="50" t="s">
        <v>24</v>
      </c>
      <c r="J8" s="50" t="s">
        <v>30</v>
      </c>
      <c r="K8" s="50" t="s">
        <v>117</v>
      </c>
      <c r="L8" s="50" t="s">
        <v>2</v>
      </c>
      <c r="M8" s="50" t="s">
        <v>1</v>
      </c>
      <c r="N8" s="62" t="s">
        <v>9</v>
      </c>
    </row>
    <row r="9" spans="1:14" x14ac:dyDescent="0.35">
      <c r="A9" s="98" t="s">
        <v>11</v>
      </c>
      <c r="B9" s="155">
        <v>700000</v>
      </c>
      <c r="C9" s="155">
        <v>129239</v>
      </c>
      <c r="D9" s="163">
        <f>B9+C9</f>
        <v>829239</v>
      </c>
      <c r="E9" s="155">
        <v>200000</v>
      </c>
      <c r="F9" s="163">
        <f>D9+E9</f>
        <v>1029239</v>
      </c>
      <c r="G9" s="155">
        <f t="shared" ref="G9:G20" si="0">D9*1.99%</f>
        <v>16501.856100000001</v>
      </c>
      <c r="H9" s="155">
        <f t="shared" ref="H9:H20" si="1">D9*4.67%</f>
        <v>38725.461299999995</v>
      </c>
      <c r="I9" s="155">
        <f t="shared" ref="I9:I20" si="2">D9*2.4%</f>
        <v>19901.736000000001</v>
      </c>
      <c r="J9" s="163">
        <f>SUM(F9:I9)</f>
        <v>1104368.0534000001</v>
      </c>
      <c r="K9" s="163">
        <f>B9+E9</f>
        <v>900000</v>
      </c>
      <c r="L9" s="155">
        <v>180</v>
      </c>
      <c r="M9" s="163">
        <f>J9/L9</f>
        <v>6135.3780744444448</v>
      </c>
      <c r="N9" s="164">
        <f>M9*9</f>
        <v>55218.402670000003</v>
      </c>
    </row>
    <row r="10" spans="1:14" x14ac:dyDescent="0.35">
      <c r="A10" s="4" t="s">
        <v>12</v>
      </c>
      <c r="B10" s="156">
        <v>500000</v>
      </c>
      <c r="C10" s="156">
        <v>125000</v>
      </c>
      <c r="D10" s="156">
        <f>B10+C10</f>
        <v>625000</v>
      </c>
      <c r="E10" s="156">
        <v>200000</v>
      </c>
      <c r="F10" s="156">
        <f>D10+E10</f>
        <v>825000</v>
      </c>
      <c r="G10" s="156">
        <f t="shared" si="0"/>
        <v>12437.5</v>
      </c>
      <c r="H10" s="156">
        <f t="shared" si="1"/>
        <v>29187.5</v>
      </c>
      <c r="I10" s="156">
        <f t="shared" si="2"/>
        <v>15000</v>
      </c>
      <c r="J10" s="156">
        <f>SUM(F10:I10)</f>
        <v>881625</v>
      </c>
      <c r="K10" s="156">
        <f>B10+E10</f>
        <v>700000</v>
      </c>
      <c r="L10" s="156">
        <v>180</v>
      </c>
      <c r="M10" s="157">
        <f>J10/L10</f>
        <v>4897.916666666667</v>
      </c>
      <c r="N10" s="158">
        <f>M10*9</f>
        <v>44081.25</v>
      </c>
    </row>
    <row r="11" spans="1:14" x14ac:dyDescent="0.35">
      <c r="A11" s="4" t="s">
        <v>32</v>
      </c>
      <c r="B11" s="156">
        <v>380000</v>
      </c>
      <c r="C11" s="156">
        <f t="shared" ref="C11:C20" si="3">B11*0.25</f>
        <v>95000</v>
      </c>
      <c r="D11" s="156">
        <f t="shared" ref="D9:D15" si="4">B11+C11</f>
        <v>475000</v>
      </c>
      <c r="E11" s="156">
        <v>70000</v>
      </c>
      <c r="F11" s="156">
        <f t="shared" ref="F11:F15" si="5">D11+E11</f>
        <v>545000</v>
      </c>
      <c r="G11" s="156">
        <f t="shared" si="0"/>
        <v>9452.5</v>
      </c>
      <c r="H11" s="156">
        <f t="shared" si="1"/>
        <v>22182.5</v>
      </c>
      <c r="I11" s="156">
        <f t="shared" si="2"/>
        <v>11400</v>
      </c>
      <c r="J11" s="156">
        <f t="shared" ref="J11:J20" si="6">SUM(F11:I11)</f>
        <v>588035</v>
      </c>
      <c r="K11" s="156">
        <f>B11+E11</f>
        <v>450000</v>
      </c>
      <c r="L11" s="156">
        <v>180</v>
      </c>
      <c r="M11" s="157">
        <f t="shared" ref="M11:M20" si="7">J11/L11</f>
        <v>3266.8611111111113</v>
      </c>
      <c r="N11" s="158">
        <f t="shared" ref="N11:N20" si="8">M11*9</f>
        <v>29401.75</v>
      </c>
    </row>
    <row r="12" spans="1:14" x14ac:dyDescent="0.35">
      <c r="A12" s="4" t="s">
        <v>63</v>
      </c>
      <c r="B12" s="156">
        <v>500000</v>
      </c>
      <c r="C12" s="156">
        <f t="shared" si="3"/>
        <v>125000</v>
      </c>
      <c r="D12" s="156">
        <f t="shared" si="4"/>
        <v>625000</v>
      </c>
      <c r="E12" s="156">
        <v>110000</v>
      </c>
      <c r="F12" s="156">
        <f>D12+E12</f>
        <v>735000</v>
      </c>
      <c r="G12" s="156">
        <f t="shared" si="0"/>
        <v>12437.5</v>
      </c>
      <c r="H12" s="156">
        <f t="shared" si="1"/>
        <v>29187.5</v>
      </c>
      <c r="I12" s="156">
        <f t="shared" si="2"/>
        <v>15000</v>
      </c>
      <c r="J12" s="156">
        <f>SUM(F12:I12)</f>
        <v>791625</v>
      </c>
      <c r="K12" s="156">
        <f t="shared" ref="K12:K20" si="9">B12+E12</f>
        <v>610000</v>
      </c>
      <c r="L12" s="156">
        <v>180</v>
      </c>
      <c r="M12" s="157">
        <f t="shared" si="7"/>
        <v>4397.916666666667</v>
      </c>
      <c r="N12" s="158">
        <f t="shared" si="8"/>
        <v>39581.25</v>
      </c>
    </row>
    <row r="13" spans="1:14" x14ac:dyDescent="0.35">
      <c r="A13" s="4" t="s">
        <v>65</v>
      </c>
      <c r="B13" s="156">
        <v>380000</v>
      </c>
      <c r="C13" s="156">
        <f t="shared" si="3"/>
        <v>95000</v>
      </c>
      <c r="D13" s="156">
        <f t="shared" si="4"/>
        <v>475000</v>
      </c>
      <c r="E13" s="156">
        <v>30000</v>
      </c>
      <c r="F13" s="156">
        <f t="shared" si="5"/>
        <v>505000</v>
      </c>
      <c r="G13" s="156">
        <f t="shared" si="0"/>
        <v>9452.5</v>
      </c>
      <c r="H13" s="156">
        <f t="shared" si="1"/>
        <v>22182.5</v>
      </c>
      <c r="I13" s="156">
        <f t="shared" si="2"/>
        <v>11400</v>
      </c>
      <c r="J13" s="156">
        <f>SUM(F13:I13)</f>
        <v>548035</v>
      </c>
      <c r="K13" s="156">
        <f t="shared" si="9"/>
        <v>410000</v>
      </c>
      <c r="L13" s="156">
        <v>180</v>
      </c>
      <c r="M13" s="157">
        <f t="shared" si="7"/>
        <v>3044.6388888888887</v>
      </c>
      <c r="N13" s="158">
        <f t="shared" si="8"/>
        <v>27401.75</v>
      </c>
    </row>
    <row r="14" spans="1:14" x14ac:dyDescent="0.35">
      <c r="A14" s="4" t="s">
        <v>64</v>
      </c>
      <c r="B14" s="156">
        <v>380000</v>
      </c>
      <c r="C14" s="156">
        <f t="shared" si="3"/>
        <v>95000</v>
      </c>
      <c r="D14" s="156">
        <f t="shared" si="4"/>
        <v>475000</v>
      </c>
      <c r="E14" s="156">
        <v>50000</v>
      </c>
      <c r="F14" s="156">
        <f t="shared" si="5"/>
        <v>525000</v>
      </c>
      <c r="G14" s="156">
        <f t="shared" si="0"/>
        <v>9452.5</v>
      </c>
      <c r="H14" s="156">
        <f t="shared" si="1"/>
        <v>22182.5</v>
      </c>
      <c r="I14" s="156">
        <f t="shared" si="2"/>
        <v>11400</v>
      </c>
      <c r="J14" s="156">
        <f t="shared" si="6"/>
        <v>568035</v>
      </c>
      <c r="K14" s="156">
        <f t="shared" si="9"/>
        <v>430000</v>
      </c>
      <c r="L14" s="156">
        <v>180</v>
      </c>
      <c r="M14" s="157">
        <f t="shared" si="7"/>
        <v>3155.75</v>
      </c>
      <c r="N14" s="158">
        <f t="shared" si="8"/>
        <v>28401.75</v>
      </c>
    </row>
    <row r="15" spans="1:14" x14ac:dyDescent="0.35">
      <c r="A15" s="99" t="s">
        <v>31</v>
      </c>
      <c r="B15" s="156">
        <v>360000</v>
      </c>
      <c r="C15" s="156">
        <f t="shared" si="3"/>
        <v>90000</v>
      </c>
      <c r="D15" s="156">
        <f t="shared" si="4"/>
        <v>450000</v>
      </c>
      <c r="E15" s="156">
        <v>40000</v>
      </c>
      <c r="F15" s="156">
        <f t="shared" si="5"/>
        <v>490000</v>
      </c>
      <c r="G15" s="156">
        <f t="shared" si="0"/>
        <v>8955</v>
      </c>
      <c r="H15" s="156">
        <f t="shared" si="1"/>
        <v>21015</v>
      </c>
      <c r="I15" s="156">
        <f t="shared" si="2"/>
        <v>10800</v>
      </c>
      <c r="J15" s="156">
        <f t="shared" si="6"/>
        <v>530770</v>
      </c>
      <c r="K15" s="156">
        <f t="shared" si="9"/>
        <v>400000</v>
      </c>
      <c r="L15" s="156">
        <v>180</v>
      </c>
      <c r="M15" s="157">
        <f t="shared" si="7"/>
        <v>2948.7222222222222</v>
      </c>
      <c r="N15" s="158">
        <f t="shared" si="8"/>
        <v>26538.5</v>
      </c>
    </row>
    <row r="16" spans="1:14" x14ac:dyDescent="0.35">
      <c r="A16" s="99" t="s">
        <v>113</v>
      </c>
      <c r="B16" s="156">
        <v>350000</v>
      </c>
      <c r="C16" s="156">
        <f t="shared" si="3"/>
        <v>87500</v>
      </c>
      <c r="D16" s="156">
        <f>B16+C16</f>
        <v>437500</v>
      </c>
      <c r="E16" s="156">
        <v>0</v>
      </c>
      <c r="F16" s="156">
        <f>D16+E16</f>
        <v>437500</v>
      </c>
      <c r="G16" s="156">
        <f t="shared" si="0"/>
        <v>8706.25</v>
      </c>
      <c r="H16" s="156">
        <f t="shared" si="1"/>
        <v>20431.25</v>
      </c>
      <c r="I16" s="156">
        <f t="shared" si="2"/>
        <v>10500</v>
      </c>
      <c r="J16" s="156">
        <f t="shared" si="6"/>
        <v>477137.5</v>
      </c>
      <c r="K16" s="156">
        <f t="shared" si="9"/>
        <v>350000</v>
      </c>
      <c r="L16" s="156">
        <v>180</v>
      </c>
      <c r="M16" s="157">
        <f t="shared" si="7"/>
        <v>2650.7638888888887</v>
      </c>
      <c r="N16" s="158">
        <f t="shared" si="8"/>
        <v>23856.875</v>
      </c>
    </row>
    <row r="17" spans="1:14" x14ac:dyDescent="0.35">
      <c r="A17" s="4" t="s">
        <v>115</v>
      </c>
      <c r="B17" s="159">
        <v>330000</v>
      </c>
      <c r="C17" s="156">
        <f t="shared" si="3"/>
        <v>82500</v>
      </c>
      <c r="D17" s="159">
        <f>B17+C17</f>
        <v>412500</v>
      </c>
      <c r="E17" s="159">
        <v>0</v>
      </c>
      <c r="F17" s="159">
        <f>D17+E17</f>
        <v>412500</v>
      </c>
      <c r="G17" s="156">
        <f t="shared" si="0"/>
        <v>8208.75</v>
      </c>
      <c r="H17" s="156">
        <f t="shared" si="1"/>
        <v>19263.75</v>
      </c>
      <c r="I17" s="159">
        <f t="shared" si="2"/>
        <v>9900</v>
      </c>
      <c r="J17" s="156">
        <f t="shared" si="6"/>
        <v>449872.5</v>
      </c>
      <c r="K17" s="156">
        <f t="shared" si="9"/>
        <v>330000</v>
      </c>
      <c r="L17" s="159">
        <v>180</v>
      </c>
      <c r="M17" s="157">
        <f t="shared" si="7"/>
        <v>2499.2916666666665</v>
      </c>
      <c r="N17" s="158">
        <f t="shared" si="8"/>
        <v>22493.625</v>
      </c>
    </row>
    <row r="18" spans="1:14" x14ac:dyDescent="0.35">
      <c r="A18" s="4" t="s">
        <v>114</v>
      </c>
      <c r="B18" s="159">
        <v>350000</v>
      </c>
      <c r="C18" s="156">
        <f t="shared" si="3"/>
        <v>87500</v>
      </c>
      <c r="D18" s="159">
        <f>B18+C18</f>
        <v>437500</v>
      </c>
      <c r="E18" s="159">
        <v>0</v>
      </c>
      <c r="F18" s="159">
        <f>D18+E18</f>
        <v>437500</v>
      </c>
      <c r="G18" s="156">
        <f t="shared" si="0"/>
        <v>8706.25</v>
      </c>
      <c r="H18" s="156">
        <f t="shared" si="1"/>
        <v>20431.25</v>
      </c>
      <c r="I18" s="159">
        <f t="shared" si="2"/>
        <v>10500</v>
      </c>
      <c r="J18" s="156">
        <f t="shared" si="6"/>
        <v>477137.5</v>
      </c>
      <c r="K18" s="156">
        <f t="shared" si="9"/>
        <v>350000</v>
      </c>
      <c r="L18" s="159">
        <v>180</v>
      </c>
      <c r="M18" s="157">
        <f t="shared" si="7"/>
        <v>2650.7638888888887</v>
      </c>
      <c r="N18" s="158">
        <f t="shared" si="8"/>
        <v>23856.875</v>
      </c>
    </row>
    <row r="19" spans="1:14" x14ac:dyDescent="0.35">
      <c r="A19" s="4" t="s">
        <v>116</v>
      </c>
      <c r="B19" s="159">
        <v>330000</v>
      </c>
      <c r="C19" s="156">
        <f t="shared" si="3"/>
        <v>82500</v>
      </c>
      <c r="D19" s="159">
        <f>B19+C19</f>
        <v>412500</v>
      </c>
      <c r="E19" s="159">
        <v>0</v>
      </c>
      <c r="F19" s="159">
        <f>D19+E19</f>
        <v>412500</v>
      </c>
      <c r="G19" s="156">
        <f t="shared" si="0"/>
        <v>8208.75</v>
      </c>
      <c r="H19" s="156">
        <f t="shared" si="1"/>
        <v>19263.75</v>
      </c>
      <c r="I19" s="159">
        <f t="shared" si="2"/>
        <v>9900</v>
      </c>
      <c r="J19" s="159">
        <f t="shared" si="6"/>
        <v>449872.5</v>
      </c>
      <c r="K19" s="156">
        <f t="shared" si="9"/>
        <v>330000</v>
      </c>
      <c r="L19" s="159">
        <v>180</v>
      </c>
      <c r="M19" s="157">
        <f t="shared" si="7"/>
        <v>2499.2916666666665</v>
      </c>
      <c r="N19" s="158">
        <f t="shared" si="8"/>
        <v>22493.625</v>
      </c>
    </row>
    <row r="20" spans="1:14" ht="15" thickBot="1" x14ac:dyDescent="0.4">
      <c r="A20" s="100" t="s">
        <v>66</v>
      </c>
      <c r="B20" s="160">
        <v>230000</v>
      </c>
      <c r="C20" s="160">
        <f t="shared" si="3"/>
        <v>57500</v>
      </c>
      <c r="D20" s="160">
        <f>B20+C20</f>
        <v>287500</v>
      </c>
      <c r="E20" s="160">
        <v>0</v>
      </c>
      <c r="F20" s="160">
        <f>D20+E20</f>
        <v>287500</v>
      </c>
      <c r="G20" s="160">
        <f t="shared" si="0"/>
        <v>5721.25</v>
      </c>
      <c r="H20" s="160">
        <f t="shared" si="1"/>
        <v>13426.25</v>
      </c>
      <c r="I20" s="160">
        <f t="shared" si="2"/>
        <v>6900</v>
      </c>
      <c r="J20" s="160">
        <f t="shared" si="6"/>
        <v>313547.5</v>
      </c>
      <c r="K20" s="160">
        <f t="shared" si="9"/>
        <v>230000</v>
      </c>
      <c r="L20" s="160">
        <v>180</v>
      </c>
      <c r="M20" s="161">
        <f t="shared" si="7"/>
        <v>1741.9305555555557</v>
      </c>
      <c r="N20" s="162">
        <f t="shared" si="8"/>
        <v>15677.375</v>
      </c>
    </row>
    <row r="21" spans="1:14" ht="15" thickBot="1" x14ac:dyDescent="0.4"/>
    <row r="22" spans="1:14" ht="15" thickBot="1" x14ac:dyDescent="0.4">
      <c r="D22" s="20"/>
      <c r="F22" s="20"/>
      <c r="I22" s="165" t="s">
        <v>19</v>
      </c>
      <c r="J22" s="166">
        <f>SUM(J9:J20)</f>
        <v>7180060.5534000006</v>
      </c>
      <c r="K22" s="91"/>
    </row>
    <row r="23" spans="1:14" x14ac:dyDescent="0.35">
      <c r="D23" s="20"/>
      <c r="E23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7"/>
  <sheetViews>
    <sheetView tabSelected="1" topLeftCell="A7" workbookViewId="0">
      <selection activeCell="F9" sqref="F9"/>
    </sheetView>
  </sheetViews>
  <sheetFormatPr baseColWidth="10" defaultRowHeight="14.5" x14ac:dyDescent="0.35"/>
  <cols>
    <col min="1" max="1" width="22.81640625" customWidth="1"/>
    <col min="2" max="2" width="12.1796875" customWidth="1"/>
    <col min="5" max="6" width="13.26953125" customWidth="1"/>
    <col min="7" max="7" width="12.1796875" customWidth="1"/>
    <col min="10" max="10" width="13" customWidth="1"/>
  </cols>
  <sheetData>
    <row r="4" spans="1:13" ht="18.5" x14ac:dyDescent="0.45">
      <c r="E4" s="1" t="s">
        <v>51</v>
      </c>
      <c r="F4" s="1"/>
    </row>
    <row r="5" spans="1:13" x14ac:dyDescent="0.35">
      <c r="J5" s="14"/>
    </row>
    <row r="6" spans="1:13" ht="18.5" x14ac:dyDescent="0.45">
      <c r="E6" s="1"/>
      <c r="F6" s="2" t="s">
        <v>17</v>
      </c>
    </row>
    <row r="7" spans="1:13" ht="15" thickBot="1" x14ac:dyDescent="0.4"/>
    <row r="8" spans="1:13" ht="44" thickBot="1" x14ac:dyDescent="0.4">
      <c r="A8" s="49" t="s">
        <v>7</v>
      </c>
      <c r="B8" s="50" t="s">
        <v>2</v>
      </c>
      <c r="C8" s="50" t="s">
        <v>3</v>
      </c>
      <c r="D8" s="50" t="s">
        <v>55</v>
      </c>
      <c r="E8" s="50" t="s">
        <v>15</v>
      </c>
      <c r="F8" s="50" t="s">
        <v>52</v>
      </c>
      <c r="G8" s="50" t="s">
        <v>16</v>
      </c>
      <c r="H8" s="50" t="s">
        <v>13</v>
      </c>
      <c r="I8" s="50" t="s">
        <v>14</v>
      </c>
      <c r="J8" s="62" t="s">
        <v>53</v>
      </c>
      <c r="L8" s="90" t="s">
        <v>56</v>
      </c>
      <c r="M8" s="88" t="s">
        <v>76</v>
      </c>
    </row>
    <row r="9" spans="1:13" ht="15" thickBot="1" x14ac:dyDescent="0.4">
      <c r="A9" s="36" t="s">
        <v>20</v>
      </c>
      <c r="B9" s="40"/>
      <c r="C9" s="40"/>
      <c r="D9" s="37">
        <v>1</v>
      </c>
      <c r="E9" s="38"/>
      <c r="F9" s="39">
        <f>(L9/9)*D9</f>
        <v>40690.965012592591</v>
      </c>
      <c r="G9" s="37">
        <v>660</v>
      </c>
      <c r="H9" s="5">
        <f>(G9/10)*M9</f>
        <v>40392</v>
      </c>
      <c r="I9" s="37">
        <v>30000</v>
      </c>
      <c r="J9" s="63">
        <f t="shared" ref="J9:J16" si="0">E9+F9+H9+I9</f>
        <v>111082.96501259258</v>
      </c>
      <c r="L9" s="34">
        <f>'COSTOS TOTALES'!G61</f>
        <v>366218.68511333334</v>
      </c>
      <c r="M9" s="89">
        <v>612</v>
      </c>
    </row>
    <row r="10" spans="1:13" x14ac:dyDescent="0.35">
      <c r="A10" s="4" t="s">
        <v>65</v>
      </c>
      <c r="B10" s="46">
        <v>9</v>
      </c>
      <c r="C10" s="10">
        <v>10000</v>
      </c>
      <c r="D10" s="8"/>
      <c r="E10" s="6">
        <f>(TRABAJADORES!M13*TRANSPORTE!B10)+TRANSPORTE!C10</f>
        <v>37401.75</v>
      </c>
      <c r="F10" s="6"/>
      <c r="G10" s="8"/>
      <c r="H10" s="6">
        <f t="shared" ref="H10:H16" si="1">(G10/10)*612</f>
        <v>0</v>
      </c>
      <c r="I10" s="8"/>
      <c r="J10" s="63">
        <f t="shared" si="0"/>
        <v>37401.75</v>
      </c>
    </row>
    <row r="11" spans="1:13" x14ac:dyDescent="0.35">
      <c r="A11" s="4" t="s">
        <v>113</v>
      </c>
      <c r="B11" s="46"/>
      <c r="C11" s="10"/>
      <c r="D11" s="8"/>
      <c r="E11" s="6">
        <f>(TRABAJADORES!M16*TRANSPORTE!B11)+TRANSPORTE!C11</f>
        <v>0</v>
      </c>
      <c r="F11" s="6"/>
      <c r="G11" s="8"/>
      <c r="H11" s="6">
        <f>(G11/10)*612</f>
        <v>0</v>
      </c>
      <c r="I11" s="8"/>
      <c r="J11" s="63">
        <f t="shared" si="0"/>
        <v>0</v>
      </c>
    </row>
    <row r="12" spans="1:13" x14ac:dyDescent="0.35">
      <c r="A12" s="4" t="s">
        <v>115</v>
      </c>
      <c r="B12" s="46"/>
      <c r="C12" s="10"/>
      <c r="D12" s="8"/>
      <c r="E12" s="6">
        <f>(TRABAJADORES!M17*TRANSPORTE!B12)+TRANSPORTE!C12</f>
        <v>0</v>
      </c>
      <c r="F12" s="6"/>
      <c r="G12" s="8"/>
      <c r="H12" s="6">
        <f t="shared" si="1"/>
        <v>0</v>
      </c>
      <c r="I12" s="8"/>
      <c r="J12" s="63">
        <f t="shared" si="0"/>
        <v>0</v>
      </c>
    </row>
    <row r="13" spans="1:13" x14ac:dyDescent="0.35">
      <c r="A13" s="4" t="s">
        <v>31</v>
      </c>
      <c r="B13" s="46"/>
      <c r="C13" s="10"/>
      <c r="D13" s="8"/>
      <c r="E13" s="6">
        <f>(TRABAJADORES!M15*TRANSPORTE!B13)+TRANSPORTE!C13</f>
        <v>0</v>
      </c>
      <c r="F13" s="6"/>
      <c r="G13" s="8"/>
      <c r="H13" s="6">
        <f t="shared" si="1"/>
        <v>0</v>
      </c>
      <c r="I13" s="8"/>
      <c r="J13" s="63">
        <f t="shared" si="0"/>
        <v>0</v>
      </c>
    </row>
    <row r="14" spans="1:13" x14ac:dyDescent="0.35">
      <c r="A14" s="4" t="s">
        <v>64</v>
      </c>
      <c r="B14" s="46">
        <v>0.5</v>
      </c>
      <c r="C14" s="10"/>
      <c r="D14" s="8"/>
      <c r="E14" s="6">
        <f>(TRABAJADORES!M14*TRANSPORTE!B14)+TRANSPORTE!C14</f>
        <v>1577.875</v>
      </c>
      <c r="F14" s="6"/>
      <c r="G14" s="8"/>
      <c r="H14" s="6">
        <f t="shared" si="1"/>
        <v>0</v>
      </c>
      <c r="I14" s="8"/>
      <c r="J14" s="63">
        <f t="shared" si="0"/>
        <v>1577.875</v>
      </c>
    </row>
    <row r="15" spans="1:13" x14ac:dyDescent="0.35">
      <c r="A15" s="4" t="s">
        <v>32</v>
      </c>
      <c r="B15" s="46"/>
      <c r="C15" s="10"/>
      <c r="D15" s="8"/>
      <c r="E15" s="6">
        <f>(TRABAJADORES!M11*TRANSPORTE!B15)+TRANSPORTE!C15</f>
        <v>0</v>
      </c>
      <c r="F15" s="6"/>
      <c r="G15" s="8"/>
      <c r="H15" s="6">
        <f t="shared" si="1"/>
        <v>0</v>
      </c>
      <c r="I15" s="8"/>
      <c r="J15" s="63">
        <f t="shared" si="0"/>
        <v>0</v>
      </c>
    </row>
    <row r="16" spans="1:13" ht="15" thickBot="1" x14ac:dyDescent="0.4">
      <c r="A16" s="15" t="s">
        <v>12</v>
      </c>
      <c r="B16" s="47">
        <v>0.5</v>
      </c>
      <c r="C16" s="11"/>
      <c r="D16" s="16"/>
      <c r="E16" s="9">
        <f>(TRABAJADORES!M10*TRANSPORTE!B16)+TRANSPORTE!C16</f>
        <v>2448.9583333333335</v>
      </c>
      <c r="F16" s="9"/>
      <c r="G16" s="16"/>
      <c r="H16" s="9">
        <f t="shared" si="1"/>
        <v>0</v>
      </c>
      <c r="I16" s="16"/>
      <c r="J16" s="64">
        <f t="shared" si="0"/>
        <v>2448.9583333333335</v>
      </c>
    </row>
    <row r="17" spans="1:13" ht="15.5" x14ac:dyDescent="0.35">
      <c r="I17" s="41" t="s">
        <v>54</v>
      </c>
      <c r="J17" s="43">
        <f>SUM(J9:J16)</f>
        <v>152511.54834592593</v>
      </c>
    </row>
    <row r="18" spans="1:13" ht="15.5" x14ac:dyDescent="0.35">
      <c r="G18" s="2"/>
      <c r="I18" s="41" t="s">
        <v>126</v>
      </c>
      <c r="J18" s="44">
        <v>45754</v>
      </c>
    </row>
    <row r="19" spans="1:13" ht="16" thickBot="1" x14ac:dyDescent="0.4">
      <c r="G19" s="2"/>
      <c r="I19" s="41" t="s">
        <v>21</v>
      </c>
      <c r="J19" s="45">
        <f>SUM(J17:J18)</f>
        <v>198265.54834592593</v>
      </c>
    </row>
    <row r="20" spans="1:13" ht="16" thickBot="1" x14ac:dyDescent="0.4">
      <c r="G20" s="2"/>
      <c r="I20" s="41" t="s">
        <v>57</v>
      </c>
      <c r="J20" s="45">
        <f>J19/7</f>
        <v>28323.649763703703</v>
      </c>
    </row>
    <row r="21" spans="1:13" x14ac:dyDescent="0.35">
      <c r="G21" s="2"/>
    </row>
    <row r="22" spans="1:13" x14ac:dyDescent="0.35">
      <c r="G22" s="2"/>
    </row>
    <row r="23" spans="1:13" x14ac:dyDescent="0.35">
      <c r="F23" s="2" t="s">
        <v>18</v>
      </c>
    </row>
    <row r="24" spans="1:13" ht="15" thickBot="1" x14ac:dyDescent="0.4"/>
    <row r="25" spans="1:13" ht="44" thickBot="1" x14ac:dyDescent="0.4">
      <c r="A25" s="49" t="s">
        <v>7</v>
      </c>
      <c r="B25" s="50" t="s">
        <v>2</v>
      </c>
      <c r="C25" s="50" t="s">
        <v>3</v>
      </c>
      <c r="D25" s="50" t="s">
        <v>55</v>
      </c>
      <c r="E25" s="50" t="s">
        <v>15</v>
      </c>
      <c r="F25" s="50" t="s">
        <v>52</v>
      </c>
      <c r="G25" s="50" t="s">
        <v>16</v>
      </c>
      <c r="H25" s="50" t="s">
        <v>13</v>
      </c>
      <c r="I25" s="50" t="s">
        <v>14</v>
      </c>
      <c r="J25" s="50" t="s">
        <v>53</v>
      </c>
      <c r="L25" s="90" t="s">
        <v>56</v>
      </c>
      <c r="M25" s="88" t="s">
        <v>76</v>
      </c>
    </row>
    <row r="26" spans="1:13" ht="15" thickBot="1" x14ac:dyDescent="0.4">
      <c r="A26" s="36" t="s">
        <v>20</v>
      </c>
      <c r="B26" s="40"/>
      <c r="C26" s="40"/>
      <c r="D26" s="48">
        <v>2</v>
      </c>
      <c r="E26" s="38"/>
      <c r="F26" s="39">
        <f>(L26/9)*D26</f>
        <v>81381.930025185182</v>
      </c>
      <c r="G26" s="37">
        <v>130</v>
      </c>
      <c r="H26" s="5">
        <f>(G26/5)*M26</f>
        <v>15912</v>
      </c>
      <c r="I26" s="37">
        <v>12000</v>
      </c>
      <c r="J26" s="35">
        <f t="shared" ref="J26:J33" si="2">E26+F26+H26+I26</f>
        <v>109293.93002518518</v>
      </c>
      <c r="L26" s="34">
        <f>'COSTOS TOTALES'!G61</f>
        <v>366218.68511333334</v>
      </c>
      <c r="M26" s="89">
        <f>M9</f>
        <v>612</v>
      </c>
    </row>
    <row r="27" spans="1:13" x14ac:dyDescent="0.35">
      <c r="A27" s="4" t="s">
        <v>63</v>
      </c>
      <c r="B27" s="46">
        <v>5</v>
      </c>
      <c r="C27" s="10"/>
      <c r="D27" s="8"/>
      <c r="E27" s="6">
        <f>(TRABAJADORES!M12*TRANSPORTE!B27)+TRANSPORTE!C27</f>
        <v>21989.583333333336</v>
      </c>
      <c r="F27" s="6"/>
      <c r="G27" s="8"/>
      <c r="H27" s="6">
        <f t="shared" ref="H27:H33" si="3">(G27/10)*612</f>
        <v>0</v>
      </c>
      <c r="I27" s="8"/>
      <c r="J27" s="35">
        <f t="shared" si="2"/>
        <v>21989.583333333336</v>
      </c>
    </row>
    <row r="28" spans="1:13" x14ac:dyDescent="0.35">
      <c r="A28" s="4" t="s">
        <v>113</v>
      </c>
      <c r="B28" s="46"/>
      <c r="C28" s="10"/>
      <c r="D28" s="8"/>
      <c r="E28" s="6">
        <f>(TRABAJADORES!M16*TRANSPORTE!B28)+TRANSPORTE!C28</f>
        <v>0</v>
      </c>
      <c r="F28" s="6"/>
      <c r="G28" s="8"/>
      <c r="H28" s="6">
        <f>(G28/10)*612</f>
        <v>0</v>
      </c>
      <c r="I28" s="8"/>
      <c r="J28" s="35">
        <f t="shared" si="2"/>
        <v>0</v>
      </c>
    </row>
    <row r="29" spans="1:13" x14ac:dyDescent="0.35">
      <c r="A29" s="4" t="s">
        <v>115</v>
      </c>
      <c r="B29" s="46"/>
      <c r="C29" s="10"/>
      <c r="D29" s="8"/>
      <c r="E29" s="6">
        <f>(TRABAJADORES!M17*TRANSPORTE!B29)+TRANSPORTE!C29</f>
        <v>0</v>
      </c>
      <c r="F29" s="6"/>
      <c r="G29" s="8"/>
      <c r="H29" s="6">
        <f t="shared" si="3"/>
        <v>0</v>
      </c>
      <c r="I29" s="8"/>
      <c r="J29" s="35">
        <f t="shared" si="2"/>
        <v>0</v>
      </c>
    </row>
    <row r="30" spans="1:13" x14ac:dyDescent="0.35">
      <c r="A30" s="4" t="s">
        <v>31</v>
      </c>
      <c r="B30" s="46"/>
      <c r="C30" s="10"/>
      <c r="D30" s="8"/>
      <c r="E30" s="6">
        <f>(TRABAJADORES!M15*TRANSPORTE!B30)+TRANSPORTE!C30</f>
        <v>0</v>
      </c>
      <c r="F30" s="6"/>
      <c r="G30" s="8"/>
      <c r="H30" s="6">
        <f t="shared" si="3"/>
        <v>0</v>
      </c>
      <c r="I30" s="8"/>
      <c r="J30" s="35">
        <f t="shared" si="2"/>
        <v>0</v>
      </c>
    </row>
    <row r="31" spans="1:13" x14ac:dyDescent="0.35">
      <c r="A31" s="4" t="s">
        <v>64</v>
      </c>
      <c r="B31" s="46">
        <v>0.5</v>
      </c>
      <c r="C31" s="10"/>
      <c r="D31" s="8"/>
      <c r="E31" s="6">
        <f>(TRABAJADORES!M14*TRANSPORTE!B31)+TRANSPORTE!C31</f>
        <v>1577.875</v>
      </c>
      <c r="F31" s="6"/>
      <c r="G31" s="8"/>
      <c r="H31" s="6">
        <f t="shared" si="3"/>
        <v>0</v>
      </c>
      <c r="I31" s="8"/>
      <c r="J31" s="35">
        <f t="shared" si="2"/>
        <v>1577.875</v>
      </c>
    </row>
    <row r="32" spans="1:13" x14ac:dyDescent="0.35">
      <c r="A32" s="4" t="s">
        <v>32</v>
      </c>
      <c r="B32" s="46"/>
      <c r="C32" s="10"/>
      <c r="D32" s="8"/>
      <c r="E32" s="6">
        <f>(TRABAJADORES!M11*TRANSPORTE!B32)+TRANSPORTE!C32</f>
        <v>0</v>
      </c>
      <c r="F32" s="6"/>
      <c r="G32" s="8"/>
      <c r="H32" s="6">
        <f t="shared" si="3"/>
        <v>0</v>
      </c>
      <c r="I32" s="8"/>
      <c r="J32" s="35">
        <f t="shared" si="2"/>
        <v>0</v>
      </c>
    </row>
    <row r="33" spans="1:10" ht="15" thickBot="1" x14ac:dyDescent="0.4">
      <c r="A33" s="15" t="s">
        <v>12</v>
      </c>
      <c r="B33" s="47">
        <v>0.5</v>
      </c>
      <c r="C33" s="11"/>
      <c r="D33" s="16"/>
      <c r="E33" s="9">
        <f>(TRABAJADORES!M10*TRANSPORTE!B33)+TRANSPORTE!C33</f>
        <v>2448.9583333333335</v>
      </c>
      <c r="F33" s="9"/>
      <c r="G33" s="16"/>
      <c r="H33" s="9">
        <f t="shared" si="3"/>
        <v>0</v>
      </c>
      <c r="I33" s="16"/>
      <c r="J33" s="42">
        <f t="shared" si="2"/>
        <v>2448.9583333333335</v>
      </c>
    </row>
    <row r="34" spans="1:10" ht="15.5" x14ac:dyDescent="0.35">
      <c r="I34" s="41" t="s">
        <v>54</v>
      </c>
      <c r="J34" s="43">
        <f>SUM(J26:J33)</f>
        <v>135310.34669185185</v>
      </c>
    </row>
    <row r="35" spans="1:10" ht="15.5" x14ac:dyDescent="0.35">
      <c r="G35" s="2"/>
      <c r="I35" s="41" t="s">
        <v>126</v>
      </c>
      <c r="J35" s="44">
        <v>40593</v>
      </c>
    </row>
    <row r="36" spans="1:10" ht="16" thickBot="1" x14ac:dyDescent="0.4">
      <c r="G36" s="2"/>
      <c r="I36" s="41" t="s">
        <v>21</v>
      </c>
      <c r="J36" s="45">
        <f>SUM(J34:J35)</f>
        <v>175903.34669185185</v>
      </c>
    </row>
    <row r="37" spans="1:10" ht="16" thickBot="1" x14ac:dyDescent="0.4">
      <c r="I37" s="41" t="s">
        <v>57</v>
      </c>
      <c r="J37" s="45">
        <f>J36/15</f>
        <v>11726.889779456791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G11"/>
  <sheetViews>
    <sheetView workbookViewId="0">
      <selection activeCell="E21" sqref="E21"/>
    </sheetView>
  </sheetViews>
  <sheetFormatPr baseColWidth="10" defaultRowHeight="14.5" x14ac:dyDescent="0.35"/>
  <sheetData>
    <row r="4" spans="4:7" ht="15" thickBot="1" x14ac:dyDescent="0.4"/>
    <row r="5" spans="4:7" ht="19" thickBot="1" x14ac:dyDescent="0.5">
      <c r="D5" s="142" t="s">
        <v>73</v>
      </c>
      <c r="E5" s="143"/>
      <c r="F5" s="143"/>
      <c r="G5" s="144"/>
    </row>
    <row r="6" spans="4:7" ht="15" thickBot="1" x14ac:dyDescent="0.4">
      <c r="D6" s="145" t="s">
        <v>74</v>
      </c>
      <c r="E6" s="146"/>
      <c r="F6" s="147" t="s">
        <v>75</v>
      </c>
      <c r="G6" s="146"/>
    </row>
    <row r="7" spans="4:7" ht="15" thickBot="1" x14ac:dyDescent="0.4">
      <c r="D7" s="85" t="s">
        <v>83</v>
      </c>
      <c r="E7" s="86" t="s">
        <v>110</v>
      </c>
      <c r="F7" s="85" t="s">
        <v>83</v>
      </c>
      <c r="G7" s="86" t="s">
        <v>110</v>
      </c>
    </row>
    <row r="8" spans="4:7" x14ac:dyDescent="0.35">
      <c r="D8" s="83">
        <v>1.5</v>
      </c>
      <c r="E8" s="84" t="s">
        <v>111</v>
      </c>
      <c r="F8" s="87">
        <v>10</v>
      </c>
      <c r="G8" s="84" t="s">
        <v>112</v>
      </c>
    </row>
    <row r="9" spans="4:7" x14ac:dyDescent="0.35">
      <c r="D9" s="77">
        <v>5</v>
      </c>
      <c r="E9" s="78" t="s">
        <v>111</v>
      </c>
      <c r="F9" s="81">
        <v>5</v>
      </c>
      <c r="G9" s="78" t="s">
        <v>112</v>
      </c>
    </row>
    <row r="10" spans="4:7" x14ac:dyDescent="0.35">
      <c r="D10" s="77">
        <v>15</v>
      </c>
      <c r="E10" s="78" t="s">
        <v>111</v>
      </c>
      <c r="F10" s="81">
        <v>5</v>
      </c>
      <c r="G10" s="78" t="s">
        <v>112</v>
      </c>
    </row>
    <row r="11" spans="4:7" ht="15" thickBot="1" x14ac:dyDescent="0.4">
      <c r="D11" s="79">
        <v>30</v>
      </c>
      <c r="E11" s="80" t="s">
        <v>111</v>
      </c>
      <c r="F11" s="82">
        <v>5</v>
      </c>
      <c r="G11" s="80" t="s">
        <v>112</v>
      </c>
    </row>
  </sheetData>
  <mergeCells count="3">
    <mergeCell ref="D5:G5"/>
    <mergeCell ref="D6:E6"/>
    <mergeCell ref="F6:G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2"/>
  <sheetViews>
    <sheetView topLeftCell="A25" zoomScale="72" zoomScaleNormal="72" workbookViewId="0">
      <selection activeCell="M45" sqref="M45"/>
    </sheetView>
  </sheetViews>
  <sheetFormatPr baseColWidth="10" defaultRowHeight="14.5" x14ac:dyDescent="0.35"/>
  <sheetData>
    <row r="2" spans="1:10" ht="15" customHeight="1" x14ac:dyDescent="0.45">
      <c r="A2" s="154" t="s">
        <v>106</v>
      </c>
      <c r="B2" s="154"/>
      <c r="C2" s="154"/>
      <c r="D2" s="154"/>
      <c r="E2" s="154"/>
      <c r="F2" s="154"/>
      <c r="G2" s="154"/>
      <c r="H2" s="154"/>
      <c r="I2" s="154"/>
      <c r="J2" s="154"/>
    </row>
    <row r="5" spans="1:10" ht="18.5" x14ac:dyDescent="0.45">
      <c r="A5" s="1" t="s">
        <v>68</v>
      </c>
    </row>
    <row r="6" spans="1:10" ht="15" thickBot="1" x14ac:dyDescent="0.4"/>
    <row r="7" spans="1:10" ht="15" thickBot="1" x14ac:dyDescent="0.4">
      <c r="A7" s="152" t="s">
        <v>77</v>
      </c>
      <c r="B7" s="153"/>
      <c r="C7" s="65"/>
      <c r="D7" s="66"/>
      <c r="E7" s="66"/>
      <c r="F7" s="67"/>
    </row>
    <row r="8" spans="1:10" ht="15" thickBot="1" x14ac:dyDescent="0.4">
      <c r="A8" s="152" t="s">
        <v>69</v>
      </c>
      <c r="B8" s="153"/>
      <c r="C8" s="65"/>
      <c r="D8" s="66"/>
      <c r="E8" s="66"/>
      <c r="F8" s="67"/>
    </row>
    <row r="9" spans="1:10" ht="15" thickBot="1" x14ac:dyDescent="0.4">
      <c r="A9" s="152" t="s">
        <v>70</v>
      </c>
      <c r="B9" s="153"/>
      <c r="C9" s="65"/>
      <c r="D9" s="66"/>
      <c r="E9" s="66"/>
      <c r="F9" s="67"/>
      <c r="I9" s="73"/>
    </row>
    <row r="10" spans="1:10" ht="15" thickBot="1" x14ac:dyDescent="0.4">
      <c r="A10" s="152" t="s">
        <v>71</v>
      </c>
      <c r="B10" s="153"/>
      <c r="C10" s="65"/>
      <c r="D10" s="66"/>
      <c r="E10" s="66"/>
      <c r="F10" s="67"/>
    </row>
    <row r="12" spans="1:10" ht="18.5" x14ac:dyDescent="0.45">
      <c r="A12" s="1" t="s">
        <v>72</v>
      </c>
    </row>
    <row r="13" spans="1:10" ht="15" thickBot="1" x14ac:dyDescent="0.4"/>
    <row r="14" spans="1:10" ht="15" thickBot="1" x14ac:dyDescent="0.4">
      <c r="A14" t="s">
        <v>73</v>
      </c>
      <c r="C14" s="150" t="s">
        <v>74</v>
      </c>
      <c r="D14" s="151"/>
      <c r="E14" s="150"/>
      <c r="F14" s="151"/>
      <c r="G14" s="71" t="s">
        <v>86</v>
      </c>
    </row>
    <row r="15" spans="1:10" ht="15" thickBot="1" x14ac:dyDescent="0.4">
      <c r="C15" s="150" t="s">
        <v>75</v>
      </c>
      <c r="D15" s="151"/>
      <c r="E15" s="150"/>
      <c r="F15" s="151"/>
    </row>
    <row r="16" spans="1:10" ht="15" thickBot="1" x14ac:dyDescent="0.4">
      <c r="C16" s="69"/>
      <c r="D16" s="69"/>
      <c r="E16" s="69"/>
      <c r="F16" s="69"/>
    </row>
    <row r="17" spans="1:12" ht="15" thickBot="1" x14ac:dyDescent="0.4">
      <c r="A17" t="s">
        <v>76</v>
      </c>
      <c r="C17" s="150">
        <f>TRANSPORTE!M9</f>
        <v>612</v>
      </c>
      <c r="D17" s="151"/>
      <c r="H17" t="s">
        <v>95</v>
      </c>
      <c r="J17" s="76" t="e">
        <f>(C18/E15)*C17</f>
        <v>#DIV/0!</v>
      </c>
      <c r="K17" s="71" t="s">
        <v>96</v>
      </c>
    </row>
    <row r="18" spans="1:12" ht="15" thickBot="1" x14ac:dyDescent="0.4">
      <c r="A18" t="s">
        <v>16</v>
      </c>
      <c r="C18" s="150"/>
      <c r="D18" s="151"/>
      <c r="E18" t="s">
        <v>90</v>
      </c>
      <c r="J18" s="54"/>
      <c r="K18" s="71"/>
    </row>
    <row r="19" spans="1:12" ht="15" thickBot="1" x14ac:dyDescent="0.4"/>
    <row r="20" spans="1:12" ht="15" thickBot="1" x14ac:dyDescent="0.4">
      <c r="A20" t="s">
        <v>79</v>
      </c>
      <c r="C20" s="150"/>
      <c r="D20" s="151"/>
      <c r="E20" t="s">
        <v>89</v>
      </c>
      <c r="L20" s="72"/>
    </row>
    <row r="21" spans="1:12" ht="15" thickBot="1" x14ac:dyDescent="0.4">
      <c r="A21" t="s">
        <v>78</v>
      </c>
      <c r="C21" s="150"/>
      <c r="D21" s="151"/>
      <c r="E21" t="s">
        <v>89</v>
      </c>
    </row>
    <row r="22" spans="1:12" ht="15" thickBot="1" x14ac:dyDescent="0.4">
      <c r="A22" t="s">
        <v>80</v>
      </c>
      <c r="C22" s="150"/>
      <c r="D22" s="151"/>
      <c r="E22" t="s">
        <v>89</v>
      </c>
    </row>
    <row r="23" spans="1:12" ht="15" thickBot="1" x14ac:dyDescent="0.4"/>
    <row r="24" spans="1:12" ht="15" thickBot="1" x14ac:dyDescent="0.4">
      <c r="A24" t="s">
        <v>82</v>
      </c>
      <c r="C24" t="s">
        <v>83</v>
      </c>
      <c r="D24" s="68"/>
      <c r="F24" t="s">
        <v>84</v>
      </c>
      <c r="G24" s="68"/>
      <c r="I24" t="s">
        <v>14</v>
      </c>
      <c r="J24" s="76">
        <f>D24*G24</f>
        <v>0</v>
      </c>
      <c r="K24" s="71" t="s">
        <v>100</v>
      </c>
    </row>
    <row r="25" spans="1:12" ht="15" thickBot="1" x14ac:dyDescent="0.4">
      <c r="A25" t="s">
        <v>85</v>
      </c>
      <c r="C25" t="s">
        <v>83</v>
      </c>
      <c r="D25" s="68"/>
      <c r="F25" t="s">
        <v>84</v>
      </c>
      <c r="G25" s="68"/>
      <c r="I25" t="s">
        <v>14</v>
      </c>
      <c r="J25" s="76">
        <f t="shared" ref="J25:J26" si="0">D25*G25</f>
        <v>0</v>
      </c>
      <c r="K25" s="71" t="s">
        <v>100</v>
      </c>
    </row>
    <row r="26" spans="1:12" ht="15" thickBot="1" x14ac:dyDescent="0.4">
      <c r="A26" t="s">
        <v>99</v>
      </c>
      <c r="C26" t="s">
        <v>83</v>
      </c>
      <c r="D26" s="68"/>
      <c r="F26" t="s">
        <v>84</v>
      </c>
      <c r="G26" s="68"/>
      <c r="I26" s="70" t="s">
        <v>99</v>
      </c>
      <c r="J26" s="76">
        <f t="shared" si="0"/>
        <v>0</v>
      </c>
      <c r="K26" s="71" t="s">
        <v>101</v>
      </c>
    </row>
    <row r="28" spans="1:12" ht="18.5" x14ac:dyDescent="0.45">
      <c r="A28" s="1" t="s">
        <v>81</v>
      </c>
    </row>
    <row r="29" spans="1:12" ht="15" thickBot="1" x14ac:dyDescent="0.4"/>
    <row r="30" spans="1:12" ht="15" thickBot="1" x14ac:dyDescent="0.4">
      <c r="A30" t="s">
        <v>87</v>
      </c>
      <c r="C30" s="150"/>
      <c r="D30" s="151"/>
      <c r="E30" s="71" t="s">
        <v>88</v>
      </c>
    </row>
    <row r="31" spans="1:12" ht="25" thickBot="1" x14ac:dyDescent="0.4">
      <c r="A31" t="s">
        <v>2</v>
      </c>
      <c r="C31" s="68"/>
      <c r="D31" s="75" t="s">
        <v>109</v>
      </c>
      <c r="E31" s="68"/>
      <c r="F31" t="s">
        <v>3</v>
      </c>
      <c r="G31" s="68"/>
      <c r="H31" t="s">
        <v>97</v>
      </c>
      <c r="J31" s="76">
        <f>(C31*E31)+G31</f>
        <v>0</v>
      </c>
      <c r="K31" s="71" t="s">
        <v>98</v>
      </c>
    </row>
    <row r="32" spans="1:12" ht="15" thickBot="1" x14ac:dyDescent="0.4"/>
    <row r="33" spans="1:11" ht="15" thickBot="1" x14ac:dyDescent="0.4">
      <c r="A33" t="s">
        <v>91</v>
      </c>
      <c r="C33" s="150"/>
      <c r="D33" s="151"/>
      <c r="E33" s="71" t="s">
        <v>88</v>
      </c>
    </row>
    <row r="34" spans="1:11" ht="25" thickBot="1" x14ac:dyDescent="0.4">
      <c r="A34" t="s">
        <v>2</v>
      </c>
      <c r="C34" s="68"/>
      <c r="D34" s="75" t="s">
        <v>109</v>
      </c>
      <c r="E34" s="68"/>
      <c r="F34" t="s">
        <v>3</v>
      </c>
      <c r="G34" s="68"/>
      <c r="H34" t="s">
        <v>97</v>
      </c>
      <c r="J34" s="76">
        <f t="shared" ref="J34:J43" si="1">(C34*E34)+G34</f>
        <v>0</v>
      </c>
      <c r="K34" s="71" t="s">
        <v>98</v>
      </c>
    </row>
    <row r="35" spans="1:11" ht="15" thickBot="1" x14ac:dyDescent="0.4"/>
    <row r="36" spans="1:11" ht="15" thickBot="1" x14ac:dyDescent="0.4">
      <c r="A36" t="s">
        <v>92</v>
      </c>
      <c r="C36" s="150"/>
      <c r="D36" s="151"/>
      <c r="E36" s="71" t="s">
        <v>88</v>
      </c>
    </row>
    <row r="37" spans="1:11" ht="25" thickBot="1" x14ac:dyDescent="0.4">
      <c r="A37" t="s">
        <v>2</v>
      </c>
      <c r="C37" s="68"/>
      <c r="D37" s="75" t="s">
        <v>109</v>
      </c>
      <c r="E37" s="68"/>
      <c r="F37" t="s">
        <v>3</v>
      </c>
      <c r="G37" s="68"/>
      <c r="H37" t="s">
        <v>97</v>
      </c>
      <c r="J37" s="76">
        <f t="shared" si="1"/>
        <v>0</v>
      </c>
      <c r="K37" s="71" t="s">
        <v>98</v>
      </c>
    </row>
    <row r="38" spans="1:11" ht="15" thickBot="1" x14ac:dyDescent="0.4"/>
    <row r="39" spans="1:11" ht="15" thickBot="1" x14ac:dyDescent="0.4">
      <c r="A39" t="s">
        <v>93</v>
      </c>
      <c r="C39" s="150"/>
      <c r="D39" s="151"/>
      <c r="E39" s="71" t="s">
        <v>88</v>
      </c>
    </row>
    <row r="40" spans="1:11" ht="25" thickBot="1" x14ac:dyDescent="0.4">
      <c r="A40" t="s">
        <v>2</v>
      </c>
      <c r="C40" s="68"/>
      <c r="D40" s="75" t="s">
        <v>109</v>
      </c>
      <c r="E40" s="68"/>
      <c r="F40" t="s">
        <v>3</v>
      </c>
      <c r="G40" s="68"/>
      <c r="H40" t="s">
        <v>97</v>
      </c>
      <c r="J40" s="76">
        <f t="shared" si="1"/>
        <v>0</v>
      </c>
      <c r="K40" s="71" t="s">
        <v>98</v>
      </c>
    </row>
    <row r="41" spans="1:11" ht="15" thickBot="1" x14ac:dyDescent="0.4"/>
    <row r="42" spans="1:11" ht="15" thickBot="1" x14ac:dyDescent="0.4">
      <c r="A42" t="s">
        <v>94</v>
      </c>
      <c r="C42" s="150"/>
      <c r="D42" s="151"/>
      <c r="E42" s="71" t="s">
        <v>88</v>
      </c>
    </row>
    <row r="43" spans="1:11" ht="25" thickBot="1" x14ac:dyDescent="0.4">
      <c r="A43" t="s">
        <v>2</v>
      </c>
      <c r="C43" s="68"/>
      <c r="D43" s="75" t="s">
        <v>109</v>
      </c>
      <c r="E43" s="68"/>
      <c r="F43" t="s">
        <v>3</v>
      </c>
      <c r="G43" s="68"/>
      <c r="H43" t="s">
        <v>97</v>
      </c>
      <c r="J43" s="76">
        <f t="shared" si="1"/>
        <v>0</v>
      </c>
      <c r="K43" s="71" t="s">
        <v>98</v>
      </c>
    </row>
    <row r="44" spans="1:11" ht="15" thickBot="1" x14ac:dyDescent="0.4"/>
    <row r="45" spans="1:11" ht="15" thickBot="1" x14ac:dyDescent="0.4">
      <c r="A45" t="s">
        <v>102</v>
      </c>
      <c r="D45" s="68"/>
      <c r="E45" t="s">
        <v>55</v>
      </c>
      <c r="G45" s="68"/>
      <c r="I45" s="70" t="s">
        <v>103</v>
      </c>
      <c r="J45" s="76">
        <f>D45*G45</f>
        <v>0</v>
      </c>
      <c r="K45" s="71" t="s">
        <v>104</v>
      </c>
    </row>
    <row r="48" spans="1:11" ht="18.5" x14ac:dyDescent="0.45">
      <c r="A48" s="1" t="s">
        <v>107</v>
      </c>
    </row>
    <row r="49" spans="1:10" ht="15" thickBot="1" x14ac:dyDescent="0.4"/>
    <row r="50" spans="1:10" ht="15" thickBot="1" x14ac:dyDescent="0.4">
      <c r="A50" t="s">
        <v>108</v>
      </c>
      <c r="H50" s="148" t="s">
        <v>105</v>
      </c>
      <c r="I50" s="149"/>
      <c r="J50" s="76" t="e">
        <f>J17+J24+J25+J26+J31+J34+J37+J40+J43+J45</f>
        <v>#DIV/0!</v>
      </c>
    </row>
    <row r="51" spans="1:10" ht="15" thickBot="1" x14ac:dyDescent="0.4">
      <c r="G51" s="20"/>
      <c r="H51" s="74"/>
      <c r="I51" s="70" t="s">
        <v>0</v>
      </c>
      <c r="J51" s="76" t="e">
        <f>J50*H51</f>
        <v>#DIV/0!</v>
      </c>
    </row>
    <row r="52" spans="1:10" ht="15" thickBot="1" x14ac:dyDescent="0.4">
      <c r="H52" s="148" t="s">
        <v>21</v>
      </c>
      <c r="I52" s="149"/>
      <c r="J52" s="76" t="e">
        <f>J50+J51</f>
        <v>#DIV/0!</v>
      </c>
    </row>
  </sheetData>
  <mergeCells count="21">
    <mergeCell ref="A2:J2"/>
    <mergeCell ref="C17:D17"/>
    <mergeCell ref="C18:D18"/>
    <mergeCell ref="C20:D20"/>
    <mergeCell ref="C21:D21"/>
    <mergeCell ref="C22:D22"/>
    <mergeCell ref="E14:F14"/>
    <mergeCell ref="E15:F15"/>
    <mergeCell ref="A7:B7"/>
    <mergeCell ref="A8:B8"/>
    <mergeCell ref="A9:B9"/>
    <mergeCell ref="A10:B10"/>
    <mergeCell ref="C14:D14"/>
    <mergeCell ref="C15:D15"/>
    <mergeCell ref="H52:I52"/>
    <mergeCell ref="C30:D30"/>
    <mergeCell ref="C33:D33"/>
    <mergeCell ref="C36:D36"/>
    <mergeCell ref="C39:D39"/>
    <mergeCell ref="C42:D42"/>
    <mergeCell ref="H50:I5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COSTOS TOTALES</vt:lpstr>
      <vt:lpstr>TRABAJADORES</vt:lpstr>
      <vt:lpstr>TRANSPORTE</vt:lpstr>
      <vt:lpstr>TIPO DE VEHICULO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2020-12-09T03:43:30Z</dcterms:modified>
</cp:coreProperties>
</file>